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omments6.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3.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4.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6.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9.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1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11.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12.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backupFile="1" codeName="ThisWorkbook"/>
  <mc:AlternateContent xmlns:mc="http://schemas.openxmlformats.org/markup-compatibility/2006">
    <mc:Choice Requires="x15">
      <x15ac:absPath xmlns:x15ac="http://schemas.microsoft.com/office/spreadsheetml/2010/11/ac" url="https://newstreet1385.sharepoint.com/sites/USInternet/Shared Documents/General/Companies/Shopify/"/>
    </mc:Choice>
  </mc:AlternateContent>
  <xr:revisionPtr revIDLastSave="1" documentId="8_{2C7C6A29-C8C5-4126-955B-A50333198C69}" xr6:coauthVersionLast="47" xr6:coauthVersionMax="47" xr10:uidLastSave="{9EB7116D-237B-4986-881A-55C1494DD636}"/>
  <bookViews>
    <workbookView xWindow="-120" yWindow="-120" windowWidth="29040" windowHeight="15720" firstSheet="3" activeTab="3" xr2:uid="{BDC2F2A2-AA06-40A8-8E02-27BF9911B188}"/>
  </bookViews>
  <sheets>
    <sheet name="__FDSCACHE__" sheetId="28" state="veryHidden" r:id="rId1"/>
    <sheet name="SheetList" sheetId="39" state="hidden" r:id="rId2"/>
    <sheet name="Old Changes to ests" sheetId="25" state="hidden" r:id="rId3"/>
    <sheet name="Summary" sheetId="1" r:id="rId4"/>
    <sheet name="DCF" sheetId="21" r:id="rId5"/>
    <sheet name="Scenario" sheetId="26" r:id="rId6"/>
    <sheet name="Income" sheetId="2" r:id="rId7"/>
    <sheet name="Balance Sheet" sheetId="12" r:id="rId8"/>
    <sheet name="Cash Flow" sheetId="13" r:id="rId9"/>
    <sheet name="Revenue Build" sheetId="14" r:id="rId10"/>
    <sheet name="TAM" sheetId="45" r:id="rId11"/>
    <sheet name="Estimate Changes" sheetId="37" r:id="rId12"/>
    <sheet name="Quarterly Flash" sheetId="42" r:id="rId13"/>
    <sheet name="Charts" sheetId="35" r:id="rId14"/>
    <sheet name="Consensus" sheetId="40" r:id="rId15"/>
  </sheets>
  <externalReferences>
    <externalReference r:id="rId16"/>
    <externalReference r:id="rId17"/>
    <externalReference r:id="rId18"/>
    <externalReference r:id="rId19"/>
  </externalReferences>
  <definedNames>
    <definedName name="__123Graph_B" hidden="1">#REF!</definedName>
    <definedName name="__123Graph_C" hidden="1">#REF!</definedName>
    <definedName name="__123Graph_D" hidden="1">#REF!</definedName>
    <definedName name="__123Graph_E" hidden="1">#REF!</definedName>
    <definedName name="__123Graph_F" hidden="1">#REF!</definedName>
    <definedName name="_bdm.04b845b73b3049e1a34e758cd3867909.edm" hidden="1">'Balance Sheet'!$1:$1048576</definedName>
    <definedName name="_bdm.113ac399a99c4c3c9f6405b76157ee58.edm" localSheetId="2" hidden="1">'Old Changes to ests'!$D$8:$EG$23</definedName>
    <definedName name="_bdm.2499683e09b04fc8a3cbd23dc287f624.edm" localSheetId="2" hidden="1">'Old Changes to ests'!$D$8:$CW$23</definedName>
    <definedName name="_bdm.32aa88e27b884ad9a07666e71ae76e66.edm" hidden="1">Summary!$1:$1048576</definedName>
    <definedName name="_bdm.47c56f161eb4402da59f3313269290ad.edm" localSheetId="6" hidden="1">Income!$C$4:$DD$147</definedName>
    <definedName name="_bdm.49bd5a403c4a4e729c8c31d82fccf517.edm" localSheetId="6" hidden="1">Income!$C$4:$CY$147</definedName>
    <definedName name="_bdm.4c4bce58b1284636bfa0811fc773d8d8.edm" localSheetId="5" hidden="1">Scenario!$E$6:$J$32</definedName>
    <definedName name="_bdm.4fdfb267af9f41649e7629a54ee152f2.edm" hidden="1">Income!$1:$1048576</definedName>
    <definedName name="_bdm.62c8f1ba8f97401b81dff1c74cf2c514.edm" localSheetId="3" hidden="1">Summary!$B$11:$J$36</definedName>
    <definedName name="_bdm.64bb96627ad74fa994184916ebaf73be.edm" localSheetId="6" hidden="1">Income!$C$4:$DI$127</definedName>
    <definedName name="_bdm.6b7f58ae39ed4928abeb9b83832b8293.edm" hidden="1">#REF!</definedName>
    <definedName name="_bdm.761e8a575ebb4696be6e3d8b566e500b.edm" hidden="1">'Old Changes to ests'!$1:$1048576</definedName>
    <definedName name="_bdm.83687864e8154d00b4659f05442f36e5.edm" hidden="1">#REF!</definedName>
    <definedName name="_bdm.94c4bb4ab8aa4d52973378618e3b1dca.edm" localSheetId="8" hidden="1">'Cash Flow'!$C$4:$CY$61</definedName>
    <definedName name="_bdm.96c9c10b1f7e4c31940dc10209fcc10a.edm" localSheetId="8" hidden="1">'Cash Flow'!$C$4:$DI$60</definedName>
    <definedName name="_bdm.96f24956bbf041a68385b046422f672e.edm" localSheetId="9" hidden="1">'Revenue Build'!$C$4:$DI$69</definedName>
    <definedName name="_bdm.9f4d095a75be4918ab74790de225e13d.edm" hidden="1">'Revenue Build'!$1:$1048576</definedName>
    <definedName name="_bdm.a43b8a80216b4f92b395a2a9c8f2961b.edm" hidden="1">#REF!</definedName>
    <definedName name="_bdm.a5b5aca79e54450bbfca32bb3a417691.edm" localSheetId="6" hidden="1">Income!$C$4:$DI$113</definedName>
    <definedName name="_bdm.a93d58f476514a2f8ee6442cee7571a3.edm" localSheetId="8" hidden="1">'Cash Flow'!$C$4:$DD$62</definedName>
    <definedName name="_bdm.aa07e3f55c654e18a11dea08848b3265.edm" localSheetId="4" hidden="1">DCF!$B$6:$R$21</definedName>
    <definedName name="_bdm.c8a5d77f7f2f476bb943ab379663e0cf.edm" hidden="1">'Cash Flow'!$1:$1048576</definedName>
    <definedName name="_bdm.cf405877573f4c66ad7ffca9eba325a1.edm" hidden="1">#REF!</definedName>
    <definedName name="_bdm.d157794f691d4771b803fd05840f9f39.edm" localSheetId="3" hidden="1">Summary!$B$44:$K$52</definedName>
    <definedName name="_bdm.d3b9a395229c4778ad4eaedf0e99e2f2.edm" localSheetId="4" hidden="1">DCF!$B$2:$R$25</definedName>
    <definedName name="_bdm.d8f9a59123234be1a9685041ded133fe.edm" localSheetId="9" hidden="1">'Revenue Build'!$C$4:$DI$69</definedName>
    <definedName name="_bdm.dca45e7282c540649cdf5abf74d18a05.edm" hidden="1">DCF!$1:$1048576</definedName>
    <definedName name="_bdm.e6a7813434ea46ec9b0d793fadbe5a4b.edm" localSheetId="3" hidden="1">Summary!$B$11:$J$36</definedName>
    <definedName name="_bdm.e6f841bc120d40f38d8abe9bedaa816f.edm" localSheetId="2" hidden="1">'Old Changes to ests'!$D$8:$BN$23</definedName>
    <definedName name="_bdm.e70092ffc79f4011a69d8025b2c1164b.edm" hidden="1">Scenario!$1:$1048576</definedName>
    <definedName name="_bdm.ecf1b31b9ed24be4b36e4818caf7bdf3.edm" localSheetId="8" hidden="1">'Cash Flow'!$C$4:$DD$61</definedName>
    <definedName name="_bdm.edbb4d7d00194127a1fb74286f3920a2.edm" localSheetId="7" hidden="1">'Balance Sheet'!$C$4:$DI$71</definedName>
    <definedName name="_bdm.f21656decda3402ca3a0257dcabcca86.edm" localSheetId="3" hidden="1">Summary!$B$11:$B$36</definedName>
    <definedName name="frame_stop">#REF!</definedName>
    <definedName name="frame_stop_10">#REF!</definedName>
    <definedName name="frame_stop_2">Summary!$C$6</definedName>
    <definedName name="frame_stop_3">DCF!$U$7</definedName>
    <definedName name="frame_stop_4">Scenario!$F$13</definedName>
    <definedName name="frame_stop_5">Income!$D$6</definedName>
    <definedName name="frame_stop_6">'Estimate Changes'!$Q$8</definedName>
    <definedName name="frame_stop_7">'Quarterly Flash'!$K$11</definedName>
    <definedName name="frame_stop_8">Charts!$F$5</definedName>
    <definedName name="frame_stop_9">Consensus!$D$6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SheetNames">SheetList!$A$1:$A$11</definedName>
  </definedNames>
  <calcPr calcId="191028" calcMode="autoNoTable"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8" i="45" l="1"/>
  <c r="G128" i="45"/>
  <c r="H128" i="45"/>
  <c r="I128" i="45"/>
  <c r="J128" i="45"/>
  <c r="K128" i="45"/>
  <c r="L128" i="45"/>
  <c r="M128" i="45"/>
  <c r="N128" i="45"/>
  <c r="E128" i="45"/>
  <c r="F127" i="45"/>
  <c r="G127" i="45"/>
  <c r="H127" i="45"/>
  <c r="I127" i="45"/>
  <c r="J127" i="45"/>
  <c r="K127" i="45"/>
  <c r="L127" i="45"/>
  <c r="M127" i="45"/>
  <c r="N127" i="45"/>
  <c r="E127" i="45"/>
  <c r="F126" i="45"/>
  <c r="G126" i="45"/>
  <c r="H126" i="45"/>
  <c r="I126" i="45"/>
  <c r="J126" i="45"/>
  <c r="K126" i="45"/>
  <c r="L126" i="45"/>
  <c r="M126" i="45"/>
  <c r="N126" i="45"/>
  <c r="E126" i="45"/>
  <c r="N51" i="45"/>
  <c r="M51" i="45"/>
  <c r="L51" i="45"/>
  <c r="K51" i="45"/>
  <c r="J51" i="45"/>
  <c r="I51" i="45"/>
  <c r="H51" i="45"/>
  <c r="G51" i="45"/>
  <c r="F51" i="45"/>
  <c r="E51" i="45"/>
  <c r="D51" i="45"/>
  <c r="EC131" i="14"/>
  <c r="DX131" i="14"/>
  <c r="DS131" i="14"/>
  <c r="DN131" i="14"/>
  <c r="DN130" i="14" s="1"/>
  <c r="CY130" i="14"/>
  <c r="DD130" i="14"/>
  <c r="DI130" i="14"/>
  <c r="J8" i="26"/>
  <c r="I8" i="26"/>
  <c r="F8" i="26"/>
  <c r="H8" i="26"/>
  <c r="G8" i="26"/>
  <c r="H14" i="26"/>
  <c r="D10" i="21"/>
  <c r="BM22" i="37"/>
  <c r="BG22" i="37"/>
  <c r="BA22" i="37"/>
  <c r="AU22" i="37"/>
  <c r="AB22" i="37"/>
  <c r="U22" i="37"/>
  <c r="CH228" i="35"/>
  <c r="CI228" i="35"/>
  <c r="CJ228" i="35"/>
  <c r="CK228" i="35"/>
  <c r="CL228" i="35"/>
  <c r="CM228" i="35"/>
  <c r="CN228" i="35"/>
  <c r="CO228" i="35"/>
  <c r="CP228" i="35"/>
  <c r="CQ228" i="35"/>
  <c r="CR228" i="35"/>
  <c r="CS228" i="35"/>
  <c r="CG227" i="35"/>
  <c r="CS227" i="35"/>
  <c r="CR227" i="35"/>
  <c r="CQ227" i="35"/>
  <c r="CP227" i="35"/>
  <c r="CO227" i="35"/>
  <c r="CN227" i="35"/>
  <c r="CM227" i="35"/>
  <c r="CL227" i="35"/>
  <c r="CK227" i="35"/>
  <c r="CJ227" i="35"/>
  <c r="CI227" i="35"/>
  <c r="CH227" i="35"/>
  <c r="CS226" i="35"/>
  <c r="CR226" i="35"/>
  <c r="CQ226" i="35"/>
  <c r="CP226" i="35"/>
  <c r="CO226" i="35"/>
  <c r="CN226" i="35"/>
  <c r="CM226" i="35"/>
  <c r="CL226" i="35"/>
  <c r="CK226" i="35"/>
  <c r="CJ226" i="35"/>
  <c r="CI226" i="35"/>
  <c r="CH226" i="35"/>
  <c r="CE34" i="37"/>
  <c r="BY34" i="37"/>
  <c r="BS34" i="37"/>
  <c r="BM34" i="37"/>
  <c r="BG34" i="37"/>
  <c r="BA34" i="37"/>
  <c r="AU34" i="37"/>
  <c r="AO34" i="37"/>
  <c r="AH34" i="37"/>
  <c r="AB34" i="37"/>
  <c r="U34" i="37"/>
  <c r="CE28" i="37" l="1"/>
  <c r="AJ82" i="40" a="1"/>
  <c r="AD82" i="40" a="1"/>
  <c r="AF77" i="40" a="1"/>
  <c r="AH72" i="40" a="1"/>
  <c r="AJ66" i="40" a="1"/>
  <c r="AD66" i="40" a="1"/>
  <c r="AF61" i="40" a="1"/>
  <c r="AH57" i="40" a="1"/>
  <c r="AJ52" i="40" a="1"/>
  <c r="AD52" i="40" a="1"/>
  <c r="AF47" i="40" a="1"/>
  <c r="AH42" i="40" a="1"/>
  <c r="AJ37" i="40" a="1"/>
  <c r="AI82" i="40" a="1"/>
  <c r="AC82" i="40" a="1"/>
  <c r="AE77" i="40" a="1"/>
  <c r="AG72" i="40" a="1"/>
  <c r="AI66" i="40" a="1"/>
  <c r="AC66" i="40" a="1"/>
  <c r="AE61" i="40" a="1"/>
  <c r="AG57" i="40" a="1"/>
  <c r="AI52" i="40" a="1"/>
  <c r="AC52" i="40" a="1"/>
  <c r="AE47" i="40" a="1"/>
  <c r="AG42" i="40" a="1"/>
  <c r="AI37" i="40" a="1"/>
  <c r="AC37" i="40" a="1"/>
  <c r="AE32" i="40" a="1"/>
  <c r="AG22" i="40" a="1"/>
  <c r="AI18" i="40" a="1"/>
  <c r="AC18" i="40" a="1"/>
  <c r="AE14" i="40" a="1"/>
  <c r="AG10" i="40" a="1"/>
  <c r="AI6" i="40" a="1"/>
  <c r="AC6" i="40" a="1"/>
  <c r="V82" i="40" a="1"/>
  <c r="P82" i="40" a="1"/>
  <c r="J82" i="40" a="1"/>
  <c r="D82" i="40" a="1"/>
  <c r="V77" i="40" a="1"/>
  <c r="P77" i="40" a="1"/>
  <c r="J77" i="40" a="1"/>
  <c r="D77" i="40" a="1"/>
  <c r="V72" i="40" a="1"/>
  <c r="P72" i="40" a="1"/>
  <c r="J72" i="40" a="1"/>
  <c r="D72" i="40" a="1"/>
  <c r="V66" i="40" a="1"/>
  <c r="P66" i="40" a="1"/>
  <c r="J66" i="40" a="1"/>
  <c r="D66" i="40" a="1"/>
  <c r="V61" i="40" a="1"/>
  <c r="P61" i="40" a="1"/>
  <c r="J61" i="40" a="1"/>
  <c r="D61" i="40" a="1"/>
  <c r="V57" i="40" a="1"/>
  <c r="P57" i="40" a="1"/>
  <c r="J57" i="40" a="1"/>
  <c r="D57" i="40" a="1"/>
  <c r="V52" i="40" a="1"/>
  <c r="AI32" i="40" a="1"/>
  <c r="AI14" i="40" a="1"/>
  <c r="Z82" i="40" a="1"/>
  <c r="Z77" i="40" a="1"/>
  <c r="Z72" i="40" a="1"/>
  <c r="Z66" i="40" a="1"/>
  <c r="Z61" i="40" a="1"/>
  <c r="Z57" i="40" a="1"/>
  <c r="Z52" i="40" a="1"/>
  <c r="K52" i="40" a="1"/>
  <c r="W42" i="40" a="1"/>
  <c r="K37" i="40" a="1"/>
  <c r="W22" i="40" a="1"/>
  <c r="K18" i="40" a="1"/>
  <c r="W10" i="40" a="1"/>
  <c r="K6" i="40" a="1"/>
  <c r="I10" i="25" a="1"/>
  <c r="I20" i="25" a="1"/>
  <c r="O12" i="25" a="1"/>
  <c r="O22" i="25" a="1"/>
  <c r="U16" i="25" a="1"/>
  <c r="AA10" i="25" a="1"/>
  <c r="AA20" i="25" a="1"/>
  <c r="AH12" i="25" a="1"/>
  <c r="AH22" i="25" a="1"/>
  <c r="AO16" i="25" a="1"/>
  <c r="AV10" i="25" a="1"/>
  <c r="AV20" i="25" a="1"/>
  <c r="BC12" i="25" a="1"/>
  <c r="BC22" i="25" a="1"/>
  <c r="BJ16" i="25" a="1"/>
  <c r="BQ10" i="25" a="1"/>
  <c r="BQ20" i="25" a="1"/>
  <c r="BX12" i="25" a="1"/>
  <c r="BX22" i="25" a="1"/>
  <c r="CE16" i="25" a="1"/>
  <c r="CL10" i="25" a="1"/>
  <c r="CL20" i="25" a="1"/>
  <c r="CS12" i="25" a="1"/>
  <c r="CS22" i="25" a="1"/>
  <c r="CZ16" i="25" a="1"/>
  <c r="DG10" i="25" a="1"/>
  <c r="DG20" i="25" a="1"/>
  <c r="DN12" i="25" a="1"/>
  <c r="DN22" i="25" a="1"/>
  <c r="DU16" i="25" a="1"/>
  <c r="EB10" i="25" a="1"/>
  <c r="EB20" i="25" a="1"/>
  <c r="EJ12" i="25" a="1"/>
  <c r="EJ22" i="25" a="1"/>
  <c r="V10" i="40" a="1"/>
  <c r="R6" i="40" a="1"/>
  <c r="J6" i="40" a="1"/>
  <c r="D6" i="40" a="1"/>
  <c r="DW24" i="14" a="1"/>
  <c r="DQ24" i="14" a="1"/>
  <c r="O82" i="40" a="1"/>
  <c r="O72" i="40" a="1"/>
  <c r="O61" i="40" a="1"/>
  <c r="K47" i="40" a="1"/>
  <c r="K32" i="40" a="1"/>
  <c r="AH16" i="25" a="1"/>
  <c r="BC16" i="25" a="1"/>
  <c r="BX16" i="25" a="1"/>
  <c r="CL22" i="25" a="1"/>
  <c r="DG22" i="25" a="1"/>
  <c r="EB22" i="25" a="1"/>
  <c r="AH82" i="40" a="1"/>
  <c r="AH77" i="40" a="1"/>
  <c r="AF72" i="40" a="1"/>
  <c r="AF66" i="40" a="1"/>
  <c r="AD61" i="40" a="1"/>
  <c r="AD57" i="40" a="1"/>
  <c r="AJ47" i="40" a="1"/>
  <c r="AJ42" i="40" a="1"/>
  <c r="AH37" i="40" a="1"/>
  <c r="AI22" i="40" a="1"/>
  <c r="AH18" i="40" a="1"/>
  <c r="AI10" i="40" a="1"/>
  <c r="AH6" i="40" a="1"/>
  <c r="R82" i="40" a="1"/>
  <c r="I82" i="40" a="1"/>
  <c r="R77" i="40" a="1"/>
  <c r="I77" i="40" a="1"/>
  <c r="R72" i="40" a="1"/>
  <c r="I72" i="40" a="1"/>
  <c r="R66" i="40" a="1"/>
  <c r="I66" i="40" a="1"/>
  <c r="R61" i="40" a="1"/>
  <c r="I61" i="40" a="1"/>
  <c r="R57" i="40" a="1"/>
  <c r="I57" i="40" a="1"/>
  <c r="R52" i="40" a="1"/>
  <c r="J52" i="40" a="1"/>
  <c r="AA47" i="40" a="1"/>
  <c r="T47" i="40" a="1"/>
  <c r="M47" i="40" a="1"/>
  <c r="F47" i="40" a="1"/>
  <c r="V42" i="40" a="1"/>
  <c r="O42" i="40" a="1"/>
  <c r="H42" i="40" a="1"/>
  <c r="Y37" i="40" a="1"/>
  <c r="R37" i="40" a="1"/>
  <c r="J37" i="40" a="1"/>
  <c r="AA32" i="40" a="1"/>
  <c r="T32" i="40" a="1"/>
  <c r="M32" i="40" a="1"/>
  <c r="F32" i="40" a="1"/>
  <c r="V22" i="40" a="1"/>
  <c r="O22" i="40" a="1"/>
  <c r="H22" i="40" a="1"/>
  <c r="Y18" i="40" a="1"/>
  <c r="R18" i="40" a="1"/>
  <c r="J18" i="40" a="1"/>
  <c r="AA14" i="40" a="1"/>
  <c r="T14" i="40" a="1"/>
  <c r="M14" i="40" a="1"/>
  <c r="F14" i="40" a="1"/>
  <c r="O10" i="40" a="1"/>
  <c r="H10" i="40" a="1"/>
  <c r="Y6" i="40" a="1"/>
  <c r="EC24" i="14" a="1"/>
  <c r="DK24" i="14" a="1"/>
  <c r="O77" i="40" a="1"/>
  <c r="X61" i="40" a="1"/>
  <c r="X57" i="40" a="1"/>
  <c r="W37" i="40" a="1"/>
  <c r="W6" i="40" a="1"/>
  <c r="I12" i="25" a="1"/>
  <c r="AA12" i="25" a="1"/>
  <c r="AO20" i="25" a="1"/>
  <c r="BJ10" i="25" a="1"/>
  <c r="CE10" i="25" a="1"/>
  <c r="CS16" i="25" a="1"/>
  <c r="DG12" i="25" a="1"/>
  <c r="DU20" i="25" a="1"/>
  <c r="AH32" i="40" a="1"/>
  <c r="AH22" i="40" a="1"/>
  <c r="AH14" i="40" a="1"/>
  <c r="AH10" i="40" a="1"/>
  <c r="Y82" i="40" a="1"/>
  <c r="Q82" i="40" a="1"/>
  <c r="Y77" i="40" a="1"/>
  <c r="Q77" i="40" a="1"/>
  <c r="Y72" i="40" a="1"/>
  <c r="Q72" i="40" a="1"/>
  <c r="Y66" i="40" a="1"/>
  <c r="Q66" i="40" a="1"/>
  <c r="Y61" i="40" a="1"/>
  <c r="Q61" i="40" a="1"/>
  <c r="Y57" i="40" a="1"/>
  <c r="Q57" i="40" a="1"/>
  <c r="Y52" i="40" a="1"/>
  <c r="Q52" i="40" a="1"/>
  <c r="E47" i="40" a="1"/>
  <c r="Q37" i="40" a="1"/>
  <c r="E32" i="40" a="1"/>
  <c r="Q18" i="40" a="1"/>
  <c r="E14" i="40" a="1"/>
  <c r="Q6" i="40" a="1"/>
  <c r="I11" i="25" a="1"/>
  <c r="I21" i="25" a="1"/>
  <c r="O14" i="25" a="1"/>
  <c r="O23" i="25" a="1"/>
  <c r="U18" i="25" a="1"/>
  <c r="AA11" i="25" a="1"/>
  <c r="AA21" i="25" a="1"/>
  <c r="AH14" i="25" a="1"/>
  <c r="AH23" i="25" a="1"/>
  <c r="AO18" i="25" a="1"/>
  <c r="AV11" i="25" a="1"/>
  <c r="AV21" i="25" a="1"/>
  <c r="BC14" i="25" a="1"/>
  <c r="BC23" i="25" a="1"/>
  <c r="BJ18" i="25" a="1"/>
  <c r="BQ11" i="25" a="1"/>
  <c r="BQ21" i="25" a="1"/>
  <c r="BX14" i="25" a="1"/>
  <c r="BX23" i="25" a="1"/>
  <c r="CE18" i="25" a="1"/>
  <c r="CL11" i="25" a="1"/>
  <c r="CL21" i="25" a="1"/>
  <c r="CS14" i="25" a="1"/>
  <c r="CS23" i="25" a="1"/>
  <c r="CZ18" i="25" a="1"/>
  <c r="DG11" i="25" a="1"/>
  <c r="DG21" i="25" a="1"/>
  <c r="DN14" i="25" a="1"/>
  <c r="DN23" i="25" a="1"/>
  <c r="DU18" i="25" a="1"/>
  <c r="EB11" i="25" a="1"/>
  <c r="EB21" i="25" a="1"/>
  <c r="EJ14" i="25" a="1"/>
  <c r="EJ23" i="25" a="1"/>
  <c r="P52" i="40" a="1"/>
  <c r="I52" i="40" a="1"/>
  <c r="S47" i="40" a="1"/>
  <c r="L47" i="40" a="1"/>
  <c r="D47" i="40" a="1"/>
  <c r="N42" i="40" a="1"/>
  <c r="X37" i="40" a="1"/>
  <c r="P37" i="40" a="1"/>
  <c r="Z32" i="40" a="1"/>
  <c r="S32" i="40" a="1"/>
  <c r="D32" i="40" a="1"/>
  <c r="U22" i="40" a="1"/>
  <c r="G22" i="40" a="1"/>
  <c r="X18" i="40" a="1"/>
  <c r="P18" i="40" a="1"/>
  <c r="Z14" i="40" a="1"/>
  <c r="S14" i="40" a="1"/>
  <c r="D14" i="40" a="1"/>
  <c r="N10" i="40" a="1"/>
  <c r="X6" i="40" a="1"/>
  <c r="N124" i="45" a="1"/>
  <c r="DV24" i="14" a="1"/>
  <c r="DP24" i="14" a="1"/>
  <c r="AG32" i="40" a="1"/>
  <c r="AF22" i="40" a="1"/>
  <c r="AG14" i="40" a="1"/>
  <c r="AF10" i="40" a="1"/>
  <c r="X77" i="40" a="1"/>
  <c r="X72" i="40" a="1"/>
  <c r="O66" i="40" a="1"/>
  <c r="O57" i="40" a="1"/>
  <c r="W18" i="40" a="1"/>
  <c r="O16" i="25" a="1"/>
  <c r="U20" i="25" a="1"/>
  <c r="AA22" i="25" a="1"/>
  <c r="AV12" i="25" a="1"/>
  <c r="BJ20" i="25" a="1"/>
  <c r="BQ22" i="25" a="1"/>
  <c r="CL12" i="25" a="1"/>
  <c r="CZ10" i="25" a="1"/>
  <c r="DN16" i="25" a="1"/>
  <c r="EB12" i="25" a="1"/>
  <c r="AF82" i="40" a="1"/>
  <c r="AJ57" i="40" a="1"/>
  <c r="AG82" i="40" a="1"/>
  <c r="AG77" i="40" a="1"/>
  <c r="AE72" i="40" a="1"/>
  <c r="AE66" i="40" a="1"/>
  <c r="AC61" i="40" a="1"/>
  <c r="AC57" i="40" a="1"/>
  <c r="AI47" i="40" a="1"/>
  <c r="AI42" i="40" a="1"/>
  <c r="AG37" i="40" a="1"/>
  <c r="AG18" i="40" a="1"/>
  <c r="AG6" i="40" a="1"/>
  <c r="H82" i="40" a="1"/>
  <c r="H77" i="40" a="1"/>
  <c r="H72" i="40" a="1"/>
  <c r="H66" i="40" a="1"/>
  <c r="H61" i="40" a="1"/>
  <c r="H57" i="40" a="1"/>
  <c r="Z47" i="40" a="1"/>
  <c r="U42" i="40" a="1"/>
  <c r="G42" i="40" a="1"/>
  <c r="I37" i="40" a="1"/>
  <c r="L32" i="40" a="1"/>
  <c r="N22" i="40" a="1"/>
  <c r="I18" i="40" a="1"/>
  <c r="L14" i="40" a="1"/>
  <c r="U10" i="40" a="1"/>
  <c r="G10" i="40" a="1"/>
  <c r="P6" i="40" a="1"/>
  <c r="I6" i="40" a="1"/>
  <c r="EB24" i="14" a="1"/>
  <c r="X82" i="40" a="1"/>
  <c r="X66" i="40" a="1"/>
  <c r="X52" i="40" a="1"/>
  <c r="K14" i="40" a="1"/>
  <c r="I22" i="25" a="1"/>
  <c r="U10" i="25" a="1"/>
  <c r="AO10" i="25" a="1"/>
  <c r="AV22" i="25" a="1"/>
  <c r="BQ12" i="25" a="1"/>
  <c r="CE20" i="25" a="1"/>
  <c r="CZ20" i="25" a="1"/>
  <c r="DU10" i="25" a="1"/>
  <c r="EJ16" i="25" a="1"/>
  <c r="AI72" i="40" a="1"/>
  <c r="AH61" i="40" a="1"/>
  <c r="AD14" i="40" a="1"/>
  <c r="AF6" i="40" a="1"/>
  <c r="E82" i="40" a="1"/>
  <c r="N77" i="40" a="1"/>
  <c r="U66" i="40" a="1"/>
  <c r="G66" i="40" a="1"/>
  <c r="E61" i="40" a="1"/>
  <c r="N57" i="40" a="1"/>
  <c r="M52" i="40" a="1"/>
  <c r="X47" i="40" a="1"/>
  <c r="J47" i="40" a="1"/>
  <c r="K42" i="40" a="1"/>
  <c r="L37" i="40" a="1"/>
  <c r="V32" i="40" a="1"/>
  <c r="I32" i="40" a="1"/>
  <c r="T22" i="40" a="1"/>
  <c r="U14" i="40" a="1"/>
  <c r="H14" i="40" a="1"/>
  <c r="S10" i="40" a="1"/>
  <c r="F10" i="40" a="1"/>
  <c r="DR24" i="14" a="1"/>
  <c r="AA18" i="25" a="1"/>
  <c r="AH20" i="25" a="1"/>
  <c r="AO21" i="25" a="1"/>
  <c r="BX21" i="25" a="1"/>
  <c r="CE22" i="25" a="1"/>
  <c r="CL23" i="25" a="1"/>
  <c r="DU23" i="25" a="1"/>
  <c r="EJ10" i="25" a="1"/>
  <c r="G18" i="40" a="1"/>
  <c r="E10" i="40" a="1"/>
  <c r="F6" i="40" a="1"/>
  <c r="DO24" i="14" a="1"/>
  <c r="I18" i="25" a="1"/>
  <c r="O20" i="25" a="1"/>
  <c r="BC21" i="25" a="1"/>
  <c r="BJ22" i="25" a="1"/>
  <c r="CZ23" i="25" a="1"/>
  <c r="DN10" i="25" a="1"/>
  <c r="AO23" i="25" a="1"/>
  <c r="BJ11" i="25" a="1"/>
  <c r="AI77" i="40" a="1"/>
  <c r="F72" i="40" a="1"/>
  <c r="R47" i="40" a="1"/>
  <c r="AA22" i="40" a="1"/>
  <c r="O14" i="40" a="1"/>
  <c r="U23" i="25" a="1"/>
  <c r="CE12" i="25" a="1"/>
  <c r="EB16" i="25" a="1"/>
  <c r="AF57" i="40" a="1"/>
  <c r="N66" i="40" a="1"/>
  <c r="G47" i="40" a="1"/>
  <c r="D42" i="40" a="1"/>
  <c r="P22" i="40" a="1"/>
  <c r="Z6" i="40" a="1"/>
  <c r="O10" i="25" a="1"/>
  <c r="BJ12" i="25" a="1"/>
  <c r="DN18" i="25" a="1"/>
  <c r="W61" i="40" a="1"/>
  <c r="S52" i="40" a="1"/>
  <c r="AA42" i="40" a="1"/>
  <c r="Z22" i="40" a="1"/>
  <c r="Y10" i="40" a="1"/>
  <c r="DL24" i="14" a="1"/>
  <c r="AV14" i="25" a="1"/>
  <c r="EB18" i="25" a="1"/>
  <c r="AE57" i="40" a="1"/>
  <c r="F77" i="40" a="1"/>
  <c r="T57" i="40" a="1"/>
  <c r="P42" i="40" a="1"/>
  <c r="N37" i="40" a="1"/>
  <c r="M18" i="40" a="1"/>
  <c r="K124" i="45" a="1"/>
  <c r="AA14" i="25" a="1"/>
  <c r="BJ14" i="25" a="1"/>
  <c r="DG18" i="25" a="1"/>
  <c r="N32" i="40" a="1"/>
  <c r="L22" i="40" a="1"/>
  <c r="J10" i="40" a="1"/>
  <c r="AO14" i="25" a="1"/>
  <c r="CZ21" i="25" a="1"/>
  <c r="S77" i="40" a="1"/>
  <c r="S57" i="40" a="1"/>
  <c r="K22" i="40" a="1"/>
  <c r="T10" i="40" a="1"/>
  <c r="U14" i="25" a="1"/>
  <c r="BQ18" i="25" a="1"/>
  <c r="DN21" i="25" a="1"/>
  <c r="F82" i="40" a="1"/>
  <c r="F61" i="40" a="1"/>
  <c r="Y42" i="40" a="1"/>
  <c r="AE82" i="40" a="1"/>
  <c r="AD72" i="40" a="1"/>
  <c r="AF52" i="40" a="1"/>
  <c r="AE42" i="40" a="1"/>
  <c r="AF32" i="40" a="1"/>
  <c r="AC22" i="40" a="1"/>
  <c r="S82" i="40" a="1"/>
  <c r="W72" i="40" a="1"/>
  <c r="L72" i="40" a="1"/>
  <c r="S61" i="40" a="1"/>
  <c r="W52" i="40" a="1"/>
  <c r="W47" i="40" a="1"/>
  <c r="X42" i="40" a="1"/>
  <c r="J42" i="40" a="1"/>
  <c r="U37" i="40" a="1"/>
  <c r="H37" i="40" a="1"/>
  <c r="I22" i="40" a="1"/>
  <c r="T18" i="40" a="1"/>
  <c r="R14" i="40" a="1"/>
  <c r="S6" i="40" a="1"/>
  <c r="DZ24" i="14" a="1"/>
  <c r="U21" i="25" a="1"/>
  <c r="BQ23" i="25" a="1"/>
  <c r="DU11" i="25" a="1"/>
  <c r="N6" i="40" a="1"/>
  <c r="I23" i="25" a="1"/>
  <c r="CZ12" i="25" a="1"/>
  <c r="AH66" i="40" a="1"/>
  <c r="T72" i="40" a="1"/>
  <c r="T52" i="40" a="1"/>
  <c r="S37" i="40" a="1"/>
  <c r="Q22" i="40" a="1"/>
  <c r="Z10" i="40" a="1"/>
  <c r="DM24" i="14" a="1"/>
  <c r="AO11" i="25" a="1"/>
  <c r="EJ18" i="25" a="1"/>
  <c r="G77" i="40" a="1"/>
  <c r="G57" i="40" a="1"/>
  <c r="R42" i="40" a="1"/>
  <c r="E37" i="40" a="1"/>
  <c r="N18" i="40" a="1"/>
  <c r="L124" i="45" a="1"/>
  <c r="U11" i="25" a="1"/>
  <c r="BC11" i="25" a="1"/>
  <c r="CZ14" i="25" a="1"/>
  <c r="AG66" i="40" a="1"/>
  <c r="L61" i="40" a="1"/>
  <c r="P47" i="40" a="1"/>
  <c r="M22" i="40" a="1"/>
  <c r="V6" i="40" a="1"/>
  <c r="AO12" i="25" a="1"/>
  <c r="CL16" i="25" a="1"/>
  <c r="AJ61" i="40" a="1"/>
  <c r="K82" i="40" a="1"/>
  <c r="AA66" i="40" a="1"/>
  <c r="F57" i="40" a="1"/>
  <c r="E52" i="40" a="1"/>
  <c r="AA37" i="40" a="1"/>
  <c r="Y32" i="40" a="1"/>
  <c r="J14" i="40" a="1"/>
  <c r="DT24" i="14" a="1"/>
  <c r="U12" i="25" a="1"/>
  <c r="BQ16" i="25" a="1"/>
  <c r="DU21" i="25" a="1"/>
  <c r="U61" i="40" a="1"/>
  <c r="V18" i="40" a="1"/>
  <c r="H6" i="40" a="1"/>
  <c r="BC18" i="25" a="1"/>
  <c r="CS20" i="25" a="1"/>
  <c r="EJ21" i="25" a="1"/>
  <c r="AC47" i="40" a="1"/>
  <c r="W66" i="40" a="1"/>
  <c r="Y47" i="40" a="1"/>
  <c r="X32" i="40" a="1"/>
  <c r="L18" i="40" a="1"/>
  <c r="AH18" i="25" a="1"/>
  <c r="CE21" i="25" a="1"/>
  <c r="AD22" i="40" a="1"/>
  <c r="AA72" i="40" a="1"/>
  <c r="T61" i="40" a="1"/>
  <c r="AG61" i="40" a="1"/>
  <c r="AJ18" i="40" a="1"/>
  <c r="AC14" i="40" a="1"/>
  <c r="AE6" i="40" a="1"/>
  <c r="AA77" i="40" a="1"/>
  <c r="M77" i="40" a="1"/>
  <c r="K72" i="40" a="1"/>
  <c r="T66" i="40" a="1"/>
  <c r="F66" i="40" a="1"/>
  <c r="AA57" i="40" a="1"/>
  <c r="M57" i="40" a="1"/>
  <c r="L52" i="40" a="1"/>
  <c r="V47" i="40" a="1"/>
  <c r="I47" i="40" a="1"/>
  <c r="T42" i="40" a="1"/>
  <c r="U32" i="40" a="1"/>
  <c r="H32" i="40" a="1"/>
  <c r="S22" i="40" a="1"/>
  <c r="F22" i="40" a="1"/>
  <c r="Q14" i="40" a="1"/>
  <c r="G14" i="40" a="1"/>
  <c r="R10" i="40" a="1"/>
  <c r="D10" i="40" a="1"/>
  <c r="O6" i="40" a="1"/>
  <c r="AH21" i="25" a="1"/>
  <c r="AO22" i="25" a="1"/>
  <c r="AV23" i="25" a="1"/>
  <c r="CE23" i="25" a="1"/>
  <c r="CS10" i="25" a="1"/>
  <c r="CZ11" i="25" a="1"/>
  <c r="EJ11" i="25" a="1"/>
  <c r="AJ77" i="40" a="1"/>
  <c r="AC72" i="40" a="1"/>
  <c r="AE52" i="40" a="1"/>
  <c r="AD42" i="40" a="1"/>
  <c r="AD32" i="40" a="1"/>
  <c r="AF18" i="40" a="1"/>
  <c r="AD6" i="40" a="1"/>
  <c r="N82" i="40" a="1"/>
  <c r="U72" i="40" a="1"/>
  <c r="G72" i="40" a="1"/>
  <c r="E66" i="40" a="1"/>
  <c r="N61" i="40" a="1"/>
  <c r="U52" i="40" a="1"/>
  <c r="H52" i="40" a="1"/>
  <c r="I42" i="40" a="1"/>
  <c r="T37" i="40" a="1"/>
  <c r="G37" i="40" a="1"/>
  <c r="R32" i="40" a="1"/>
  <c r="E22" i="40" a="1"/>
  <c r="S18" i="40" a="1"/>
  <c r="F18" i="40" a="1"/>
  <c r="P14" i="40" a="1"/>
  <c r="AA10" i="40" a="1"/>
  <c r="Q10" i="40" a="1"/>
  <c r="E6" i="40" a="1"/>
  <c r="DY24" i="14" a="1"/>
  <c r="DN24" i="14" a="1"/>
  <c r="O21" i="25" a="1"/>
  <c r="U22" i="25" a="1"/>
  <c r="AA23" i="25" a="1"/>
  <c r="BJ23" i="25" a="1"/>
  <c r="BX10" i="25" a="1"/>
  <c r="CE11" i="25" a="1"/>
  <c r="DN11" i="25" a="1"/>
  <c r="DU12" i="25" a="1"/>
  <c r="EB14" i="25" a="1"/>
  <c r="AI57" i="40" a="1"/>
  <c r="AH47" i="40" a="1"/>
  <c r="AJ10" i="40" a="1"/>
  <c r="W77" i="40" a="1"/>
  <c r="L77" i="40" a="1"/>
  <c r="S66" i="40" a="1"/>
  <c r="W57" i="40" a="1"/>
  <c r="L57" i="40" a="1"/>
  <c r="U47" i="40" a="1"/>
  <c r="H47" i="40" a="1"/>
  <c r="S42" i="40" a="1"/>
  <c r="F42" i="40" a="1"/>
  <c r="Q32" i="40" a="1"/>
  <c r="G32" i="40" a="1"/>
  <c r="R22" i="40" a="1"/>
  <c r="D22" i="40" a="1"/>
  <c r="O18" i="40" a="1"/>
  <c r="E18" i="40" a="1"/>
  <c r="P10" i="40" a="1"/>
  <c r="AA6" i="40" a="1"/>
  <c r="M124" i="45" a="1"/>
  <c r="BC10" i="25" a="1"/>
  <c r="CS11" i="25" a="1"/>
  <c r="DG14" i="25" a="1"/>
  <c r="AC42" i="40" a="1"/>
  <c r="AC32" i="40" a="1"/>
  <c r="AE18" i="40" a="1"/>
  <c r="AA82" i="40" a="1"/>
  <c r="M82" i="40" a="1"/>
  <c r="K77" i="40" a="1"/>
  <c r="AA61" i="40" a="1"/>
  <c r="M61" i="40" a="1"/>
  <c r="K57" i="40" a="1"/>
  <c r="G52" i="40" a="1"/>
  <c r="E42" i="40" a="1"/>
  <c r="F37" i="40" a="1"/>
  <c r="P32" i="40" a="1"/>
  <c r="D18" i="40" a="1"/>
  <c r="M10" i="40" a="1"/>
  <c r="DX24" i="14" a="1"/>
  <c r="AH10" i="25" a="1"/>
  <c r="BX11" i="25" a="1"/>
  <c r="CL14" i="25" a="1"/>
  <c r="DU14" i="25" a="1"/>
  <c r="AD77" i="40" a="1"/>
  <c r="AG47" i="40" a="1"/>
  <c r="AF37" i="40" a="1"/>
  <c r="AD18" i="40" a="1"/>
  <c r="AE10" i="40" a="1"/>
  <c r="U77" i="40" a="1"/>
  <c r="E72" i="40" a="1"/>
  <c r="U57" i="40" a="1"/>
  <c r="Q47" i="40" a="1"/>
  <c r="O37" i="40" a="1"/>
  <c r="AA18" i="40" a="1"/>
  <c r="Y14" i="40" a="1"/>
  <c r="M6" i="40" a="1"/>
  <c r="DU24" i="14" a="1"/>
  <c r="BQ14" i="25" a="1"/>
  <c r="DG16" i="25" a="1"/>
  <c r="AJ22" i="40" a="1"/>
  <c r="W82" i="40" a="1"/>
  <c r="L82" i="40" a="1"/>
  <c r="S72" i="40" a="1"/>
  <c r="F52" i="40" a="1"/>
  <c r="Q42" i="40" a="1"/>
  <c r="D37" i="40" a="1"/>
  <c r="O32" i="40" a="1"/>
  <c r="N14" i="40" a="1"/>
  <c r="L10" i="40" a="1"/>
  <c r="AH11" i="25" a="1"/>
  <c r="CE14" i="25" a="1"/>
  <c r="CS18" i="25" a="1"/>
  <c r="EJ20" i="25" a="1"/>
  <c r="AC77" i="40" a="1"/>
  <c r="AD47" i="40" a="1"/>
  <c r="AE37" i="40" a="1"/>
  <c r="AJ14" i="40" a="1"/>
  <c r="AD10" i="40" a="1"/>
  <c r="T77" i="40" a="1"/>
  <c r="M66" i="40" a="1"/>
  <c r="K61" i="40" a="1"/>
  <c r="O52" i="40" a="1"/>
  <c r="Z18" i="40" a="1"/>
  <c r="X14" i="40" a="1"/>
  <c r="K10" i="40" a="1"/>
  <c r="L6" i="40" a="1"/>
  <c r="O11" i="25" a="1"/>
  <c r="BX18" i="25" a="1"/>
  <c r="DN20" i="25" a="1"/>
  <c r="E57" i="40" a="1"/>
  <c r="D52" i="40" a="1"/>
  <c r="Z42" i="40" a="1"/>
  <c r="M42" i="40" a="1"/>
  <c r="X10" i="40" a="1"/>
  <c r="I14" i="25" a="1"/>
  <c r="AV16" i="25" a="1"/>
  <c r="CL18" i="25" a="1"/>
  <c r="AJ72" i="40" a="1"/>
  <c r="AF14" i="40" a="1"/>
  <c r="AC10" i="40" a="1"/>
  <c r="N52" i="40" a="1"/>
  <c r="Z37" i="40" a="1"/>
  <c r="J32" i="40" a="1"/>
  <c r="I14" i="40" a="1"/>
  <c r="J124" i="45" a="1"/>
  <c r="EB23" i="25" a="1"/>
  <c r="AF42" i="40" a="1"/>
  <c r="AJ32" i="40" a="1"/>
  <c r="AJ6" i="40" a="1"/>
  <c r="K66" i="40" a="1"/>
  <c r="AA52" i="40" a="1"/>
  <c r="V37" i="40" a="1"/>
  <c r="AH52" i="40" a="1"/>
  <c r="AD37" i="40" a="1"/>
  <c r="AE22" i="40" a="1"/>
  <c r="U82" i="40" a="1"/>
  <c r="G82" i="40" a="1"/>
  <c r="E77" i="40" a="1"/>
  <c r="N72" i="40" a="1"/>
  <c r="G61" i="40" a="1"/>
  <c r="O47" i="40" a="1"/>
  <c r="Y22" i="40" a="1"/>
  <c r="W14" i="40" a="1"/>
  <c r="U6" i="40" a="1"/>
  <c r="AI61" i="40" a="1"/>
  <c r="L66" i="40" a="1"/>
  <c r="M37" i="40" a="1"/>
  <c r="V14" i="40" a="1"/>
  <c r="DS24" i="14" a="1"/>
  <c r="AA16" i="25" a="1"/>
  <c r="BX20" i="25" a="1"/>
  <c r="DU22" i="25" a="1"/>
  <c r="AG52" i="40" a="1"/>
  <c r="T82" i="40" a="1"/>
  <c r="M72" i="40" a="1"/>
  <c r="N47" i="40" a="1"/>
  <c r="L42" i="40" a="1"/>
  <c r="T6" i="40" a="1"/>
  <c r="G6" i="40" a="1"/>
  <c r="I16" i="25" a="1"/>
  <c r="O18" i="25" a="1"/>
  <c r="CS21" i="25" a="1"/>
  <c r="X22" i="40" a="1"/>
  <c r="CZ22" i="25" a="1"/>
  <c r="J22" i="40" a="1"/>
  <c r="U18" i="40" a="1"/>
  <c r="H18" i="40" a="1"/>
  <c r="AV18" i="25" a="1"/>
  <c r="I10" i="40" a="1"/>
  <c r="W32" i="40" a="1"/>
  <c r="EA24" i="14" a="1"/>
  <c r="DG23" i="25" a="1"/>
  <c r="BC20" i="25" a="1"/>
  <c r="BJ21" i="25" a="1"/>
  <c r="BJ21" i="25" l="1"/>
  <c r="BC20" i="25"/>
  <c r="DG23" i="25"/>
  <c r="EA24" i="14"/>
  <c r="W32" i="40"/>
  <c r="I10" i="40"/>
  <c r="AV18" i="25"/>
  <c r="H18" i="40"/>
  <c r="U18" i="40"/>
  <c r="J22" i="40"/>
  <c r="CZ22" i="25"/>
  <c r="X22" i="40"/>
  <c r="CS21" i="25"/>
  <c r="O18" i="25"/>
  <c r="I16" i="25"/>
  <c r="G6" i="40"/>
  <c r="T6" i="40"/>
  <c r="L42" i="40"/>
  <c r="N47" i="40"/>
  <c r="M72" i="40"/>
  <c r="T82" i="40"/>
  <c r="AG52" i="40"/>
  <c r="DU22" i="25"/>
  <c r="BX20" i="25"/>
  <c r="AA16" i="25"/>
  <c r="DS24" i="14"/>
  <c r="V14" i="40"/>
  <c r="M37" i="40"/>
  <c r="L66" i="40"/>
  <c r="AI61" i="40"/>
  <c r="U6" i="40"/>
  <c r="W14" i="40"/>
  <c r="Y22" i="40"/>
  <c r="O47" i="40"/>
  <c r="G61" i="40"/>
  <c r="N72" i="40"/>
  <c r="E77" i="40"/>
  <c r="G82" i="40"/>
  <c r="U82" i="40"/>
  <c r="AE22" i="40"/>
  <c r="AD37" i="40"/>
  <c r="AH52" i="40"/>
  <c r="V37" i="40"/>
  <c r="AA52" i="40"/>
  <c r="K66" i="40"/>
  <c r="AJ6" i="40"/>
  <c r="AJ32" i="40"/>
  <c r="AF42" i="40"/>
  <c r="EB23" i="25"/>
  <c r="J124" i="45"/>
  <c r="I14" i="40"/>
  <c r="J32" i="40"/>
  <c r="Z37" i="40"/>
  <c r="N52" i="40"/>
  <c r="AC10" i="40"/>
  <c r="AF14" i="40"/>
  <c r="AJ72" i="40"/>
  <c r="CL18" i="25"/>
  <c r="AV16" i="25"/>
  <c r="I14" i="25"/>
  <c r="X10" i="40"/>
  <c r="M42" i="40"/>
  <c r="Z42" i="40"/>
  <c r="D52" i="40"/>
  <c r="E57" i="40"/>
  <c r="DN20" i="25"/>
  <c r="BX18" i="25"/>
  <c r="O11" i="25"/>
  <c r="L6" i="40"/>
  <c r="K10" i="40"/>
  <c r="X14" i="40"/>
  <c r="Z18" i="40"/>
  <c r="O52" i="40"/>
  <c r="K61" i="40"/>
  <c r="M66" i="40"/>
  <c r="T77" i="40"/>
  <c r="AD10" i="40"/>
  <c r="AJ14" i="40"/>
  <c r="AE37" i="40"/>
  <c r="AD47" i="40"/>
  <c r="AC77" i="40"/>
  <c r="EJ20" i="25"/>
  <c r="CS18" i="25"/>
  <c r="CE14" i="25"/>
  <c r="AH11" i="25"/>
  <c r="L10" i="40"/>
  <c r="N14" i="40"/>
  <c r="O32" i="40"/>
  <c r="D37" i="40"/>
  <c r="Q42" i="40"/>
  <c r="F52" i="40"/>
  <c r="S72" i="40"/>
  <c r="L82" i="40"/>
  <c r="W82" i="40"/>
  <c r="AJ22" i="40"/>
  <c r="DG16" i="25"/>
  <c r="BQ14" i="25"/>
  <c r="DU24" i="14"/>
  <c r="M6" i="40"/>
  <c r="Y14" i="40"/>
  <c r="AA18" i="40"/>
  <c r="O37" i="40"/>
  <c r="Q47" i="40"/>
  <c r="U57" i="40"/>
  <c r="E72" i="40"/>
  <c r="U77" i="40"/>
  <c r="AE10" i="40"/>
  <c r="AD18" i="40"/>
  <c r="AF37" i="40"/>
  <c r="AG47" i="40"/>
  <c r="AD77" i="40"/>
  <c r="DU14" i="25"/>
  <c r="CL14" i="25"/>
  <c r="BX11" i="25"/>
  <c r="AH10" i="25"/>
  <c r="DX24" i="14"/>
  <c r="M10" i="40"/>
  <c r="D18" i="40"/>
  <c r="P32" i="40"/>
  <c r="F37" i="40"/>
  <c r="E42" i="40"/>
  <c r="G52" i="40"/>
  <c r="K57" i="40"/>
  <c r="M61" i="40"/>
  <c r="AA61" i="40"/>
  <c r="K77" i="40"/>
  <c r="M82" i="40"/>
  <c r="AA82" i="40"/>
  <c r="AE18" i="40"/>
  <c r="AC32" i="40"/>
  <c r="AC42" i="40"/>
  <c r="DG14" i="25"/>
  <c r="CS11" i="25"/>
  <c r="BC10" i="25"/>
  <c r="M124" i="45"/>
  <c r="AA6" i="40"/>
  <c r="P10" i="40"/>
  <c r="E18" i="40"/>
  <c r="O18" i="40"/>
  <c r="D22" i="40"/>
  <c r="R22" i="40"/>
  <c r="G32" i="40"/>
  <c r="Q32" i="40"/>
  <c r="F42" i="40"/>
  <c r="S42" i="40"/>
  <c r="H47" i="40"/>
  <c r="U47" i="40"/>
  <c r="L57" i="40"/>
  <c r="W57" i="40"/>
  <c r="S66" i="40"/>
  <c r="L77" i="40"/>
  <c r="W77" i="40"/>
  <c r="AJ10" i="40"/>
  <c r="AH47" i="40"/>
  <c r="AI57" i="40"/>
  <c r="EB14" i="25"/>
  <c r="DU12" i="25"/>
  <c r="DN11" i="25"/>
  <c r="CE11" i="25"/>
  <c r="BX10" i="25"/>
  <c r="BJ23" i="25"/>
  <c r="AA23" i="25"/>
  <c r="U22" i="25"/>
  <c r="O21" i="25"/>
  <c r="DN24" i="14"/>
  <c r="DY24" i="14"/>
  <c r="E6" i="40"/>
  <c r="Q10" i="40"/>
  <c r="AA10" i="40"/>
  <c r="P14" i="40"/>
  <c r="F18" i="40"/>
  <c r="S18" i="40"/>
  <c r="E22" i="40"/>
  <c r="R32" i="40"/>
  <c r="G37" i="40"/>
  <c r="T37" i="40"/>
  <c r="I42" i="40"/>
  <c r="H52" i="40"/>
  <c r="U52" i="40"/>
  <c r="N61" i="40"/>
  <c r="E66" i="40"/>
  <c r="G72" i="40"/>
  <c r="U72" i="40"/>
  <c r="N82" i="40"/>
  <c r="AD6" i="40"/>
  <c r="AF18" i="40"/>
  <c r="AD32" i="40"/>
  <c r="AD42" i="40"/>
  <c r="AE52" i="40"/>
  <c r="AC72" i="40"/>
  <c r="AJ77" i="40"/>
  <c r="EJ11" i="25"/>
  <c r="CZ11" i="25"/>
  <c r="CS10" i="25"/>
  <c r="CE23" i="25"/>
  <c r="AV23" i="25"/>
  <c r="AO22" i="25"/>
  <c r="AH21" i="25"/>
  <c r="O6" i="40"/>
  <c r="D10" i="40"/>
  <c r="R10" i="40"/>
  <c r="G14" i="40"/>
  <c r="Q14" i="40"/>
  <c r="F22" i="40"/>
  <c r="S22" i="40"/>
  <c r="H32" i="40"/>
  <c r="U32" i="40"/>
  <c r="T42" i="40"/>
  <c r="I47" i="40"/>
  <c r="V47" i="40"/>
  <c r="L52" i="40"/>
  <c r="M57" i="40"/>
  <c r="AA57" i="40"/>
  <c r="F66" i="40"/>
  <c r="T66" i="40"/>
  <c r="K72" i="40"/>
  <c r="M77" i="40"/>
  <c r="AA77" i="40"/>
  <c r="AE6" i="40"/>
  <c r="AC14" i="40"/>
  <c r="AJ18" i="40"/>
  <c r="AG61" i="40"/>
  <c r="T61" i="40"/>
  <c r="AA72" i="40"/>
  <c r="AD22" i="40"/>
  <c r="CE21" i="25"/>
  <c r="AH18" i="25"/>
  <c r="L18" i="40"/>
  <c r="X32" i="40"/>
  <c r="Y47" i="40"/>
  <c r="W66" i="40"/>
  <c r="AC47" i="40"/>
  <c r="EJ21" i="25"/>
  <c r="CS20" i="25"/>
  <c r="BC18" i="25"/>
  <c r="H6" i="40"/>
  <c r="V18" i="40"/>
  <c r="U61" i="40"/>
  <c r="DU21" i="25"/>
  <c r="BQ16" i="25"/>
  <c r="U12" i="25"/>
  <c r="DT24" i="14"/>
  <c r="J14" i="40"/>
  <c r="Y32" i="40"/>
  <c r="AA37" i="40"/>
  <c r="E52" i="40"/>
  <c r="F57" i="40"/>
  <c r="AA66" i="40"/>
  <c r="K82" i="40"/>
  <c r="AJ61" i="40"/>
  <c r="CL16" i="25"/>
  <c r="AO12" i="25"/>
  <c r="V6" i="40"/>
  <c r="M22" i="40"/>
  <c r="P47" i="40"/>
  <c r="L61" i="40"/>
  <c r="AG66" i="40"/>
  <c r="CZ14" i="25"/>
  <c r="BC11" i="25"/>
  <c r="U11" i="25"/>
  <c r="L124" i="45"/>
  <c r="N18" i="40"/>
  <c r="E37" i="40"/>
  <c r="R42" i="40"/>
  <c r="G57" i="40"/>
  <c r="G77" i="40"/>
  <c r="EJ18" i="25"/>
  <c r="AO11" i="25"/>
  <c r="DM24" i="14"/>
  <c r="Z10" i="40"/>
  <c r="Q22" i="40"/>
  <c r="S37" i="40"/>
  <c r="T52" i="40"/>
  <c r="T72" i="40"/>
  <c r="AH66" i="40"/>
  <c r="CZ12" i="25"/>
  <c r="I23" i="25"/>
  <c r="N6" i="40"/>
  <c r="DU11" i="25"/>
  <c r="BQ23" i="25"/>
  <c r="U21" i="25"/>
  <c r="DZ24" i="14"/>
  <c r="S6" i="40"/>
  <c r="R14" i="40"/>
  <c r="T18" i="40"/>
  <c r="I22" i="40"/>
  <c r="H37" i="40"/>
  <c r="U37" i="40"/>
  <c r="J42" i="40"/>
  <c r="X42" i="40"/>
  <c r="W47" i="40"/>
  <c r="W52" i="40"/>
  <c r="S61" i="40"/>
  <c r="L72" i="40"/>
  <c r="W72" i="40"/>
  <c r="S82" i="40"/>
  <c r="AC22" i="40"/>
  <c r="AF32" i="40"/>
  <c r="AE42" i="40"/>
  <c r="AF52" i="40"/>
  <c r="AD72" i="40"/>
  <c r="AE82" i="40"/>
  <c r="Y42" i="40"/>
  <c r="F61" i="40"/>
  <c r="F82" i="40"/>
  <c r="DN21" i="25"/>
  <c r="BQ18" i="25"/>
  <c r="U14" i="25"/>
  <c r="T10" i="40"/>
  <c r="K22" i="40"/>
  <c r="S57" i="40"/>
  <c r="S77" i="40"/>
  <c r="CZ21" i="25"/>
  <c r="AO14" i="25"/>
  <c r="J10" i="40"/>
  <c r="L22" i="40"/>
  <c r="N32" i="40"/>
  <c r="DG18" i="25"/>
  <c r="BJ14" i="25"/>
  <c r="AA14" i="25"/>
  <c r="K124" i="45"/>
  <c r="M18" i="40"/>
  <c r="N37" i="40"/>
  <c r="P42" i="40"/>
  <c r="T57" i="40"/>
  <c r="F77" i="40"/>
  <c r="AE57" i="40"/>
  <c r="EB18" i="25"/>
  <c r="AV14" i="25"/>
  <c r="DL24" i="14"/>
  <c r="Y10" i="40"/>
  <c r="Z22" i="40"/>
  <c r="AA42" i="40"/>
  <c r="S52" i="40"/>
  <c r="W61" i="40"/>
  <c r="DN18" i="25"/>
  <c r="BJ12" i="25"/>
  <c r="O10" i="25"/>
  <c r="Z6" i="40"/>
  <c r="P22" i="40"/>
  <c r="D42" i="40"/>
  <c r="G47" i="40"/>
  <c r="N66" i="40"/>
  <c r="AF57" i="40"/>
  <c r="EB16" i="25"/>
  <c r="CE12" i="25"/>
  <c r="U23" i="25"/>
  <c r="O14" i="40"/>
  <c r="AA22" i="40"/>
  <c r="R47" i="40"/>
  <c r="F72" i="40"/>
  <c r="AI77" i="40"/>
  <c r="BJ11" i="25"/>
  <c r="AO23" i="25"/>
  <c r="DN10" i="25"/>
  <c r="CZ23" i="25"/>
  <c r="BJ22" i="25"/>
  <c r="BC21" i="25"/>
  <c r="O20" i="25"/>
  <c r="I18" i="25"/>
  <c r="DO24" i="14"/>
  <c r="F6" i="40"/>
  <c r="E10" i="40"/>
  <c r="G18" i="40"/>
  <c r="EJ10" i="25"/>
  <c r="DU23" i="25"/>
  <c r="CL23" i="25"/>
  <c r="CE22" i="25"/>
  <c r="BX21" i="25"/>
  <c r="AO21" i="25"/>
  <c r="AH20" i="25"/>
  <c r="AA18" i="25"/>
  <c r="DR24" i="14"/>
  <c r="F10" i="40"/>
  <c r="S10" i="40"/>
  <c r="H14" i="40"/>
  <c r="U14" i="40"/>
  <c r="T22" i="40"/>
  <c r="I32" i="40"/>
  <c r="V32" i="40"/>
  <c r="L37" i="40"/>
  <c r="K42" i="40"/>
  <c r="J47" i="40"/>
  <c r="X47" i="40"/>
  <c r="M52" i="40"/>
  <c r="N57" i="40"/>
  <c r="E61" i="40"/>
  <c r="G66" i="40"/>
  <c r="U66" i="40"/>
  <c r="N77" i="40"/>
  <c r="E82" i="40"/>
  <c r="AF6" i="40"/>
  <c r="AD14" i="40"/>
  <c r="AH61" i="40"/>
  <c r="AI72" i="40"/>
  <c r="EJ16" i="25"/>
  <c r="DU10" i="25"/>
  <c r="CZ20" i="25"/>
  <c r="CE20" i="25"/>
  <c r="BQ12" i="25"/>
  <c r="AV22" i="25"/>
  <c r="AO10" i="25"/>
  <c r="U10" i="25"/>
  <c r="I22" i="25"/>
  <c r="K14" i="40"/>
  <c r="X52" i="40"/>
  <c r="X66" i="40"/>
  <c r="X82" i="40"/>
  <c r="EB24" i="14"/>
  <c r="I6" i="40"/>
  <c r="P6" i="40"/>
  <c r="G10" i="40"/>
  <c r="U10" i="40"/>
  <c r="L14" i="40"/>
  <c r="I18" i="40"/>
  <c r="N22" i="40"/>
  <c r="L32" i="40"/>
  <c r="I37" i="40"/>
  <c r="G42" i="40"/>
  <c r="U42" i="40"/>
  <c r="Z47" i="40"/>
  <c r="H57" i="40"/>
  <c r="H61" i="40"/>
  <c r="H66" i="40"/>
  <c r="H72" i="40"/>
  <c r="H77" i="40"/>
  <c r="H82" i="40"/>
  <c r="AG6" i="40"/>
  <c r="AG18" i="40"/>
  <c r="AG37" i="40"/>
  <c r="AI42" i="40"/>
  <c r="AI47" i="40"/>
  <c r="AC57" i="40"/>
  <c r="AC61" i="40"/>
  <c r="AE66" i="40"/>
  <c r="AE72" i="40"/>
  <c r="AG77" i="40"/>
  <c r="AG82" i="40"/>
  <c r="AJ57" i="40"/>
  <c r="AF82" i="40"/>
  <c r="EB12" i="25"/>
  <c r="DN16" i="25"/>
  <c r="CZ10" i="25"/>
  <c r="CL12" i="25"/>
  <c r="BQ22" i="25"/>
  <c r="BJ20" i="25"/>
  <c r="AV12" i="25"/>
  <c r="AA22" i="25"/>
  <c r="U20" i="25"/>
  <c r="O16" i="25"/>
  <c r="W18" i="40"/>
  <c r="O57" i="40"/>
  <c r="O66" i="40"/>
  <c r="X72" i="40"/>
  <c r="X77" i="40"/>
  <c r="AF10" i="40"/>
  <c r="AG14" i="40"/>
  <c r="AF22" i="40"/>
  <c r="AG32" i="40"/>
  <c r="DP24" i="14"/>
  <c r="DV24" i="14"/>
  <c r="N124" i="45"/>
  <c r="X6" i="40"/>
  <c r="N10" i="40"/>
  <c r="D14" i="40"/>
  <c r="S14" i="40"/>
  <c r="Z14" i="40"/>
  <c r="P18" i="40"/>
  <c r="X18" i="40"/>
  <c r="G22" i="40"/>
  <c r="U22" i="40"/>
  <c r="D32" i="40"/>
  <c r="S32" i="40"/>
  <c r="Z32" i="40"/>
  <c r="P37" i="40"/>
  <c r="X37" i="40"/>
  <c r="N42" i="40"/>
  <c r="D47" i="40"/>
  <c r="L47" i="40"/>
  <c r="S47" i="40"/>
  <c r="I52" i="40"/>
  <c r="P52" i="40"/>
  <c r="EJ23" i="25"/>
  <c r="EJ14" i="25"/>
  <c r="EB21" i="25"/>
  <c r="EB11" i="25"/>
  <c r="DU18" i="25"/>
  <c r="DN23" i="25"/>
  <c r="DN14" i="25"/>
  <c r="DG21" i="25"/>
  <c r="DG11" i="25"/>
  <c r="CZ18" i="25"/>
  <c r="CS23" i="25"/>
  <c r="CS14" i="25"/>
  <c r="CL21" i="25"/>
  <c r="CL11" i="25"/>
  <c r="CE18" i="25"/>
  <c r="BX23" i="25"/>
  <c r="BX14" i="25"/>
  <c r="BQ21" i="25"/>
  <c r="BQ11" i="25"/>
  <c r="BJ18" i="25"/>
  <c r="BC23" i="25"/>
  <c r="BC14" i="25"/>
  <c r="AV21" i="25"/>
  <c r="AV11" i="25"/>
  <c r="AO18" i="25"/>
  <c r="AH23" i="25"/>
  <c r="AH14" i="25"/>
  <c r="AA21" i="25"/>
  <c r="AA11" i="25"/>
  <c r="U18" i="25"/>
  <c r="O23" i="25"/>
  <c r="O14" i="25"/>
  <c r="I21" i="25"/>
  <c r="I11" i="25"/>
  <c r="Q6" i="40"/>
  <c r="E14" i="40"/>
  <c r="Q18" i="40"/>
  <c r="E32" i="40"/>
  <c r="Q37" i="40"/>
  <c r="E47" i="40"/>
  <c r="Q52" i="40"/>
  <c r="Y52" i="40"/>
  <c r="Q57" i="40"/>
  <c r="Y57" i="40"/>
  <c r="Q61" i="40"/>
  <c r="Y61" i="40"/>
  <c r="Q66" i="40"/>
  <c r="Y66" i="40"/>
  <c r="Q72" i="40"/>
  <c r="Y72" i="40"/>
  <c r="Q77" i="40"/>
  <c r="Y77" i="40"/>
  <c r="Q82" i="40"/>
  <c r="Y82" i="40"/>
  <c r="AH10" i="40"/>
  <c r="AH14" i="40"/>
  <c r="AH22" i="40"/>
  <c r="AH32" i="40"/>
  <c r="DU20" i="25"/>
  <c r="DG12" i="25"/>
  <c r="CS16" i="25"/>
  <c r="CE10" i="25"/>
  <c r="BJ10" i="25"/>
  <c r="AO20" i="25"/>
  <c r="AA12" i="25"/>
  <c r="I12" i="25"/>
  <c r="W6" i="40"/>
  <c r="W37" i="40"/>
  <c r="X57" i="40"/>
  <c r="X61" i="40"/>
  <c r="O77" i="40"/>
  <c r="DK24" i="14"/>
  <c r="EC24" i="14"/>
  <c r="Y6" i="40"/>
  <c r="H10" i="40"/>
  <c r="O10" i="40"/>
  <c r="F14" i="40"/>
  <c r="M14" i="40"/>
  <c r="T14" i="40"/>
  <c r="AA14" i="40"/>
  <c r="J18" i="40"/>
  <c r="R18" i="40"/>
  <c r="Y18" i="40"/>
  <c r="H22" i="40"/>
  <c r="O22" i="40"/>
  <c r="V22" i="40"/>
  <c r="F32" i="40"/>
  <c r="M32" i="40"/>
  <c r="T32" i="40"/>
  <c r="AA32" i="40"/>
  <c r="J37" i="40"/>
  <c r="R37" i="40"/>
  <c r="Y37" i="40"/>
  <c r="H42" i="40"/>
  <c r="O42" i="40"/>
  <c r="V42" i="40"/>
  <c r="F47" i="40"/>
  <c r="M47" i="40"/>
  <c r="T47" i="40"/>
  <c r="AA47" i="40"/>
  <c r="J52" i="40"/>
  <c r="R52" i="40"/>
  <c r="I57" i="40"/>
  <c r="R57" i="40"/>
  <c r="I61" i="40"/>
  <c r="R61" i="40"/>
  <c r="I66" i="40"/>
  <c r="R66" i="40"/>
  <c r="I72" i="40"/>
  <c r="R72" i="40"/>
  <c r="I77" i="40"/>
  <c r="R77" i="40"/>
  <c r="I82" i="40"/>
  <c r="R82" i="40"/>
  <c r="AH6" i="40"/>
  <c r="AI10" i="40"/>
  <c r="AH18" i="40"/>
  <c r="AI22" i="40"/>
  <c r="AH37" i="40"/>
  <c r="AJ42" i="40"/>
  <c r="AJ47" i="40"/>
  <c r="AD57" i="40"/>
  <c r="AD61" i="40"/>
  <c r="AF66" i="40"/>
  <c r="AF72" i="40"/>
  <c r="AH77" i="40"/>
  <c r="AH82" i="40"/>
  <c r="EB22" i="25"/>
  <c r="DG22" i="25"/>
  <c r="CL22" i="25"/>
  <c r="BX16" i="25"/>
  <c r="BC16" i="25"/>
  <c r="AH16" i="25"/>
  <c r="K32" i="40"/>
  <c r="K47" i="40"/>
  <c r="O61" i="40"/>
  <c r="O72" i="40"/>
  <c r="O82" i="40"/>
  <c r="DQ24" i="14"/>
  <c r="DW24" i="14"/>
  <c r="D6" i="40"/>
  <c r="J6" i="40"/>
  <c r="R6" i="40"/>
  <c r="V10" i="40"/>
  <c r="EJ22" i="25"/>
  <c r="EJ12" i="25"/>
  <c r="EB20" i="25"/>
  <c r="EB10" i="25"/>
  <c r="DU16" i="25"/>
  <c r="DN22" i="25"/>
  <c r="DN12" i="25"/>
  <c r="DG20" i="25"/>
  <c r="DG10" i="25"/>
  <c r="CZ16" i="25"/>
  <c r="CS22" i="25"/>
  <c r="CS12" i="25"/>
  <c r="CL20" i="25"/>
  <c r="CL10" i="25"/>
  <c r="CE16" i="25"/>
  <c r="BX22" i="25"/>
  <c r="BX12" i="25"/>
  <c r="BQ20" i="25"/>
  <c r="BQ10" i="25"/>
  <c r="BJ16" i="25"/>
  <c r="BC22" i="25"/>
  <c r="BC12" i="25"/>
  <c r="AV20" i="25"/>
  <c r="AV10" i="25"/>
  <c r="AO16" i="25"/>
  <c r="AH22" i="25"/>
  <c r="AH12" i="25"/>
  <c r="AA20" i="25"/>
  <c r="AA10" i="25"/>
  <c r="U16" i="25"/>
  <c r="O22" i="25"/>
  <c r="O12" i="25"/>
  <c r="I20" i="25"/>
  <c r="I10" i="25"/>
  <c r="K6" i="40"/>
  <c r="W10" i="40"/>
  <c r="K18" i="40"/>
  <c r="W22" i="40"/>
  <c r="K37" i="40"/>
  <c r="W42" i="40"/>
  <c r="K52" i="40"/>
  <c r="Z52" i="40"/>
  <c r="Z57" i="40"/>
  <c r="Z61" i="40"/>
  <c r="Z66" i="40"/>
  <c r="Z72" i="40"/>
  <c r="Z77" i="40"/>
  <c r="Z82" i="40"/>
  <c r="AI14" i="40"/>
  <c r="AI32" i="40"/>
  <c r="V52" i="40"/>
  <c r="D57" i="40"/>
  <c r="J57" i="40"/>
  <c r="P57" i="40"/>
  <c r="V57" i="40"/>
  <c r="D61" i="40"/>
  <c r="J61" i="40"/>
  <c r="P61" i="40"/>
  <c r="V61" i="40"/>
  <c r="D66" i="40"/>
  <c r="J66" i="40"/>
  <c r="P66" i="40"/>
  <c r="V66" i="40"/>
  <c r="D72" i="40"/>
  <c r="J72" i="40"/>
  <c r="P72" i="40"/>
  <c r="V72" i="40"/>
  <c r="D77" i="40"/>
  <c r="J77" i="40"/>
  <c r="P77" i="40"/>
  <c r="V77" i="40"/>
  <c r="D82" i="40"/>
  <c r="J82" i="40"/>
  <c r="P82" i="40"/>
  <c r="V82" i="40"/>
  <c r="AC6" i="40"/>
  <c r="AI6" i="40"/>
  <c r="AG10" i="40"/>
  <c r="AE14" i="40"/>
  <c r="AC18" i="40"/>
  <c r="AI18" i="40"/>
  <c r="AG22" i="40"/>
  <c r="AE32" i="40"/>
  <c r="AC37" i="40"/>
  <c r="AI37" i="40"/>
  <c r="AG42" i="40"/>
  <c r="AE47" i="40"/>
  <c r="AC52" i="40"/>
  <c r="AI52" i="40"/>
  <c r="AG57" i="40"/>
  <c r="AE61" i="40"/>
  <c r="AC66" i="40"/>
  <c r="AI66" i="40"/>
  <c r="AG72" i="40"/>
  <c r="AE77" i="40"/>
  <c r="AC82" i="40"/>
  <c r="AI82" i="40"/>
  <c r="AJ37" i="40"/>
  <c r="AH42" i="40"/>
  <c r="AF47" i="40"/>
  <c r="AD52" i="40"/>
  <c r="AJ52" i="40"/>
  <c r="AH57" i="40"/>
  <c r="AF61" i="40"/>
  <c r="AD66" i="40"/>
  <c r="AJ66" i="40"/>
  <c r="AH72" i="40"/>
  <c r="AF77" i="40"/>
  <c r="AD82" i="40"/>
  <c r="AJ82" i="40"/>
  <c r="H7" i="26" l="1"/>
  <c r="H9" i="26"/>
  <c r="D73" i="2"/>
  <c r="E73" i="2"/>
  <c r="F73" i="2"/>
  <c r="G73" i="2"/>
  <c r="H73" i="2"/>
  <c r="C74" i="2"/>
  <c r="D74" i="2"/>
  <c r="I74" i="2"/>
  <c r="ED74" i="2"/>
  <c r="CN212" i="35"/>
  <c r="CN218" i="35" s="1"/>
  <c r="CN211" i="35"/>
  <c r="CN217" i="35" s="1"/>
  <c r="CN210" i="35"/>
  <c r="CN216" i="35" s="1"/>
  <c r="CN209" i="35"/>
  <c r="CN215" i="35" s="1"/>
  <c r="DV225" i="14"/>
  <c r="EA225" i="14" s="1"/>
  <c r="DQ225" i="14"/>
  <c r="DP225" i="14"/>
  <c r="DU225" i="14" s="1"/>
  <c r="DZ225" i="14" s="1"/>
  <c r="DO225" i="14"/>
  <c r="DT225" i="14" s="1"/>
  <c r="DY225" i="14" s="1"/>
  <c r="DQ223" i="14"/>
  <c r="DV223" i="14" s="1"/>
  <c r="DP223" i="14"/>
  <c r="DU223" i="14" s="1"/>
  <c r="DZ223" i="14" s="1"/>
  <c r="DO223" i="14"/>
  <c r="DT223" i="14" s="1"/>
  <c r="DY223" i="14" s="1"/>
  <c r="EA223" i="14" l="1"/>
  <c r="DK228" i="14" l="1"/>
  <c r="DL228" i="14"/>
  <c r="DJ228" i="14"/>
  <c r="DH228" i="14"/>
  <c r="DG228" i="14"/>
  <c r="DG226" i="14"/>
  <c r="DH226" i="14"/>
  <c r="DL226" i="14"/>
  <c r="DK226" i="14"/>
  <c r="DJ226" i="14"/>
  <c r="DH224" i="14"/>
  <c r="DG224" i="14"/>
  <c r="DM225" i="14"/>
  <c r="DR225" i="14" s="1"/>
  <c r="DW225" i="14" s="1"/>
  <c r="EB225" i="14" s="1"/>
  <c r="DM223" i="14"/>
  <c r="DR223" i="14" s="1"/>
  <c r="DL224" i="14"/>
  <c r="DK224" i="14"/>
  <c r="DJ224" i="14"/>
  <c r="CO203" i="35"/>
  <c r="CP203" i="35"/>
  <c r="CQ203" i="35"/>
  <c r="CR203" i="35"/>
  <c r="CS203" i="35"/>
  <c r="CN203" i="35"/>
  <c r="DF220" i="14"/>
  <c r="DG220" i="14"/>
  <c r="DH220" i="14"/>
  <c r="DM220" i="14" s="1"/>
  <c r="DR220" i="14" s="1"/>
  <c r="DJ220" i="14"/>
  <c r="DK220" i="14"/>
  <c r="DP220" i="14" s="1"/>
  <c r="DL220" i="14"/>
  <c r="DQ220" i="14" s="1"/>
  <c r="DF218" i="14"/>
  <c r="DG218" i="14"/>
  <c r="DH218" i="14"/>
  <c r="DJ218" i="14"/>
  <c r="DK218" i="14"/>
  <c r="DL218" i="14"/>
  <c r="CO197" i="35"/>
  <c r="CN197" i="35"/>
  <c r="CM197" i="35"/>
  <c r="CL197" i="35"/>
  <c r="CK197" i="35"/>
  <c r="CJ197" i="35"/>
  <c r="CI197" i="35"/>
  <c r="CH197" i="35"/>
  <c r="CH198" i="35"/>
  <c r="CI198" i="35"/>
  <c r="CJ198" i="35"/>
  <c r="CK198" i="35"/>
  <c r="CL198" i="35"/>
  <c r="CM198" i="35"/>
  <c r="CN198" i="35"/>
  <c r="CO198" i="35"/>
  <c r="CO199" i="35" s="1"/>
  <c r="CJ189" i="35"/>
  <c r="K150" i="35"/>
  <c r="L150" i="35"/>
  <c r="M150" i="35"/>
  <c r="N150" i="35"/>
  <c r="O150" i="35"/>
  <c r="P150" i="35"/>
  <c r="Q150" i="35"/>
  <c r="R150" i="35"/>
  <c r="S150" i="35"/>
  <c r="T150" i="35"/>
  <c r="U150" i="35"/>
  <c r="AH150" i="35"/>
  <c r="AI150" i="35"/>
  <c r="AJ150" i="35"/>
  <c r="AK150" i="35"/>
  <c r="N152" i="35"/>
  <c r="R152" i="35"/>
  <c r="J150" i="35"/>
  <c r="E149" i="35"/>
  <c r="E150" i="35"/>
  <c r="E151" i="35"/>
  <c r="E152" i="35"/>
  <c r="AF105" i="35"/>
  <c r="AG105" i="35"/>
  <c r="AH105" i="35"/>
  <c r="AI105" i="35"/>
  <c r="AJ105" i="35"/>
  <c r="AK105" i="35"/>
  <c r="AL105" i="35"/>
  <c r="AM105" i="35"/>
  <c r="AN105" i="35"/>
  <c r="AE105" i="35"/>
  <c r="AM106" i="35"/>
  <c r="AN106" i="35"/>
  <c r="AL106" i="35"/>
  <c r="AI106" i="35"/>
  <c r="AJ106" i="35"/>
  <c r="AK106" i="35"/>
  <c r="AE99" i="35"/>
  <c r="AE97" i="35"/>
  <c r="AE98" i="35"/>
  <c r="AE96" i="35"/>
  <c r="AE90" i="35"/>
  <c r="AE91" i="35"/>
  <c r="AE92" i="35"/>
  <c r="AE93" i="35"/>
  <c r="AM91" i="35"/>
  <c r="AM92" i="35"/>
  <c r="AM93" i="35"/>
  <c r="AH91" i="35"/>
  <c r="AI91" i="35"/>
  <c r="AJ91" i="35"/>
  <c r="AK91" i="35"/>
  <c r="AL91" i="35"/>
  <c r="AH92" i="35"/>
  <c r="AI92" i="35"/>
  <c r="AJ92" i="35"/>
  <c r="AK92" i="35"/>
  <c r="AL92" i="35"/>
  <c r="AH93" i="35"/>
  <c r="AI93" i="35"/>
  <c r="AJ93" i="35"/>
  <c r="AK93" i="35"/>
  <c r="AL93" i="35"/>
  <c r="AF91" i="35"/>
  <c r="AG91" i="35"/>
  <c r="AF92" i="35"/>
  <c r="AG92" i="35"/>
  <c r="AF93" i="35"/>
  <c r="AG93" i="35"/>
  <c r="AI87" i="35"/>
  <c r="AJ87" i="35"/>
  <c r="AK87" i="35"/>
  <c r="AL87" i="35"/>
  <c r="AM87" i="35"/>
  <c r="AN87" i="35"/>
  <c r="DA216" i="14"/>
  <c r="AE106" i="35" s="1"/>
  <c r="DB216" i="14"/>
  <c r="AF106" i="35" s="1"/>
  <c r="DC216" i="14"/>
  <c r="AG106" i="35" s="1"/>
  <c r="DE216" i="14"/>
  <c r="DE218" i="14" s="1"/>
  <c r="CJ182" i="35"/>
  <c r="CK182" i="35"/>
  <c r="CK189" i="35" s="1"/>
  <c r="CL182" i="35"/>
  <c r="CL189" i="35" s="1"/>
  <c r="CM182" i="35"/>
  <c r="CM189" i="35" s="1"/>
  <c r="CN182" i="35"/>
  <c r="CN189" i="35" s="1"/>
  <c r="CO182" i="35"/>
  <c r="CO189" i="35" s="1"/>
  <c r="CP182" i="35"/>
  <c r="CP189" i="35" s="1"/>
  <c r="CQ182" i="35"/>
  <c r="CQ189" i="35" s="1"/>
  <c r="CR182" i="35"/>
  <c r="CR189" i="35" s="1"/>
  <c r="CS182" i="35"/>
  <c r="CS189" i="35" s="1"/>
  <c r="CI182" i="35"/>
  <c r="AE82" i="35"/>
  <c r="AF82" i="35"/>
  <c r="AF90" i="35" s="1"/>
  <c r="AF95" i="35" s="1"/>
  <c r="AG82" i="35"/>
  <c r="AG90" i="35" s="1"/>
  <c r="AG95" i="35" s="1"/>
  <c r="AH82" i="35"/>
  <c r="AH90" i="35" s="1"/>
  <c r="AH95" i="35" s="1"/>
  <c r="AI82" i="35"/>
  <c r="AJ82" i="35"/>
  <c r="AK82" i="35"/>
  <c r="AL82" i="35"/>
  <c r="AM82" i="35"/>
  <c r="AN82" i="35"/>
  <c r="AD82" i="35"/>
  <c r="AL84" i="35"/>
  <c r="AM84" i="35"/>
  <c r="AN84" i="35"/>
  <c r="AH84" i="35"/>
  <c r="AI84" i="35"/>
  <c r="AJ84" i="35"/>
  <c r="AK84" i="35"/>
  <c r="AD84" i="35"/>
  <c r="AE84" i="35"/>
  <c r="AF84" i="35"/>
  <c r="AG84" i="35"/>
  <c r="CI175" i="35"/>
  <c r="CJ175" i="35"/>
  <c r="CK175" i="35"/>
  <c r="CL175" i="35"/>
  <c r="CM175" i="35"/>
  <c r="CN175" i="35"/>
  <c r="CO175" i="35"/>
  <c r="CP175" i="35"/>
  <c r="CQ175" i="35"/>
  <c r="CR175" i="35"/>
  <c r="CS175" i="35"/>
  <c r="CH175" i="35"/>
  <c r="CI31" i="14"/>
  <c r="CN31" i="14"/>
  <c r="CS31" i="14"/>
  <c r="CL169" i="35"/>
  <c r="CM169" i="35"/>
  <c r="CN169" i="35"/>
  <c r="CO169" i="35"/>
  <c r="CK169" i="35"/>
  <c r="DW223" i="14" l="1"/>
  <c r="CM199" i="35"/>
  <c r="CI199" i="35"/>
  <c r="DL221" i="14"/>
  <c r="DJ219" i="14"/>
  <c r="CN199" i="35"/>
  <c r="CL199" i="35"/>
  <c r="DC218" i="14"/>
  <c r="DH219" i="14" s="1"/>
  <c r="CK199" i="35"/>
  <c r="DA220" i="14"/>
  <c r="DF221" i="14" s="1"/>
  <c r="DB218" i="14"/>
  <c r="DG219" i="14" s="1"/>
  <c r="DL219" i="14"/>
  <c r="DK219" i="14"/>
  <c r="DA218" i="14"/>
  <c r="DF219" i="14" s="1"/>
  <c r="DK221" i="14"/>
  <c r="DW220" i="14"/>
  <c r="EB220" i="14" s="1"/>
  <c r="DV220" i="14"/>
  <c r="EA220" i="14" s="1"/>
  <c r="DU220" i="14"/>
  <c r="DZ220" i="14" s="1"/>
  <c r="DE220" i="14"/>
  <c r="DJ221" i="14" s="1"/>
  <c r="DC220" i="14"/>
  <c r="DH221" i="14" s="1"/>
  <c r="DO220" i="14"/>
  <c r="DB220" i="14"/>
  <c r="DG221" i="14" s="1"/>
  <c r="CJ199" i="35"/>
  <c r="DI216" i="14"/>
  <c r="CO204" i="35" s="1"/>
  <c r="AH106" i="35"/>
  <c r="AI90" i="35"/>
  <c r="AI95" i="35" s="1"/>
  <c r="AI86" i="35"/>
  <c r="AJ90" i="35"/>
  <c r="AJ95" i="35" s="1"/>
  <c r="AJ86" i="35"/>
  <c r="AK90" i="35"/>
  <c r="AK95" i="35" s="1"/>
  <c r="AK86" i="35"/>
  <c r="AL90" i="35"/>
  <c r="AL95" i="35" s="1"/>
  <c r="AL86" i="35"/>
  <c r="AM90" i="35"/>
  <c r="AM95" i="35" s="1"/>
  <c r="AM86" i="35"/>
  <c r="AN90" i="35"/>
  <c r="AN95" i="35" s="1"/>
  <c r="AN86" i="35"/>
  <c r="EB223" i="14" l="1"/>
  <c r="DT220" i="14"/>
  <c r="DD216" i="14"/>
  <c r="CN204" i="35" s="1"/>
  <c r="DY220" i="14" l="1"/>
  <c r="Q107" i="45"/>
  <c r="P107" i="45"/>
  <c r="O107" i="45"/>
  <c r="N107" i="45"/>
  <c r="M107" i="45"/>
  <c r="L107" i="45"/>
  <c r="K107" i="45"/>
  <c r="J107" i="45"/>
  <c r="I107" i="45"/>
  <c r="H107" i="45"/>
  <c r="G107" i="45"/>
  <c r="F107" i="45"/>
  <c r="E107" i="45"/>
  <c r="D107" i="45"/>
  <c r="Q106" i="45"/>
  <c r="P106" i="45"/>
  <c r="O106" i="45"/>
  <c r="N106" i="45"/>
  <c r="M106" i="45"/>
  <c r="L106" i="45"/>
  <c r="K106" i="45"/>
  <c r="J106" i="45"/>
  <c r="I106" i="45"/>
  <c r="H106" i="45"/>
  <c r="G106" i="45"/>
  <c r="F106" i="45"/>
  <c r="E106" i="45"/>
  <c r="D106" i="45"/>
  <c r="C106" i="45"/>
  <c r="Q104" i="45"/>
  <c r="P104" i="45"/>
  <c r="O104" i="45"/>
  <c r="N104" i="45"/>
  <c r="M104" i="45"/>
  <c r="L104" i="45"/>
  <c r="K104" i="45"/>
  <c r="J104" i="45"/>
  <c r="I104" i="45"/>
  <c r="H104" i="45"/>
  <c r="G104" i="45"/>
  <c r="F104" i="45"/>
  <c r="E104" i="45"/>
  <c r="D104" i="45"/>
  <c r="C104" i="45"/>
  <c r="Q103" i="45"/>
  <c r="P103" i="45"/>
  <c r="O103" i="45"/>
  <c r="N103" i="45"/>
  <c r="M103" i="45"/>
  <c r="L103" i="45"/>
  <c r="K103" i="45"/>
  <c r="J103" i="45"/>
  <c r="I103" i="45"/>
  <c r="H103" i="45"/>
  <c r="G103" i="45"/>
  <c r="F103" i="45"/>
  <c r="E103" i="45"/>
  <c r="D103" i="45"/>
  <c r="C103" i="45"/>
  <c r="Q102" i="45"/>
  <c r="P102" i="45"/>
  <c r="O102" i="45"/>
  <c r="N102" i="45"/>
  <c r="M102" i="45"/>
  <c r="L102" i="45"/>
  <c r="K102" i="45"/>
  <c r="J102" i="45"/>
  <c r="I102" i="45"/>
  <c r="H102" i="45"/>
  <c r="G102" i="45"/>
  <c r="F102" i="45"/>
  <c r="E102" i="45"/>
  <c r="D102" i="45"/>
  <c r="C102" i="45"/>
  <c r="B99" i="45"/>
  <c r="B98" i="45"/>
  <c r="B96" i="45"/>
  <c r="B95" i="45"/>
  <c r="B94" i="45"/>
  <c r="Q91" i="45"/>
  <c r="P91" i="45"/>
  <c r="O91" i="45"/>
  <c r="N91" i="45"/>
  <c r="M91" i="45"/>
  <c r="L91" i="45"/>
  <c r="K91" i="45"/>
  <c r="J91" i="45"/>
  <c r="I91" i="45"/>
  <c r="H91" i="45"/>
  <c r="G91" i="45"/>
  <c r="F91" i="45"/>
  <c r="E91" i="45"/>
  <c r="D91" i="45"/>
  <c r="B91" i="45"/>
  <c r="Q90" i="45"/>
  <c r="P90" i="45"/>
  <c r="O90" i="45"/>
  <c r="N90" i="45"/>
  <c r="M90" i="45"/>
  <c r="L90" i="45"/>
  <c r="K90" i="45"/>
  <c r="J90" i="45"/>
  <c r="I90" i="45"/>
  <c r="H90" i="45"/>
  <c r="G90" i="45"/>
  <c r="F90" i="45"/>
  <c r="E90" i="45"/>
  <c r="D90" i="45"/>
  <c r="C90" i="45"/>
  <c r="B90" i="45"/>
  <c r="Q88" i="45"/>
  <c r="P88" i="45"/>
  <c r="O88" i="45"/>
  <c r="N88" i="45"/>
  <c r="M88" i="45"/>
  <c r="L88" i="45"/>
  <c r="K88" i="45"/>
  <c r="J88" i="45"/>
  <c r="I88" i="45"/>
  <c r="H88" i="45"/>
  <c r="G88" i="45"/>
  <c r="F88" i="45"/>
  <c r="E88" i="45"/>
  <c r="D88" i="45"/>
  <c r="C88" i="45"/>
  <c r="B88" i="45"/>
  <c r="Q87" i="45"/>
  <c r="P87" i="45"/>
  <c r="O87" i="45"/>
  <c r="N87" i="45"/>
  <c r="M87" i="45"/>
  <c r="L87" i="45"/>
  <c r="K87" i="45"/>
  <c r="J87" i="45"/>
  <c r="I87" i="45"/>
  <c r="H87" i="45"/>
  <c r="G87" i="45"/>
  <c r="F87" i="45"/>
  <c r="E87" i="45"/>
  <c r="D87" i="45"/>
  <c r="B87" i="45"/>
  <c r="Q86" i="45"/>
  <c r="P86" i="45"/>
  <c r="O86" i="45"/>
  <c r="N86" i="45"/>
  <c r="M86" i="45"/>
  <c r="L86" i="45"/>
  <c r="K86" i="45"/>
  <c r="J86" i="45"/>
  <c r="I86" i="45"/>
  <c r="H86" i="45"/>
  <c r="G86" i="45"/>
  <c r="F86" i="45"/>
  <c r="E86" i="45"/>
  <c r="D86" i="45"/>
  <c r="C86" i="45"/>
  <c r="B86" i="45"/>
  <c r="B85" i="45"/>
  <c r="Q83" i="45"/>
  <c r="P83" i="45"/>
  <c r="O83" i="45"/>
  <c r="N83" i="45"/>
  <c r="M83" i="45"/>
  <c r="L83" i="45"/>
  <c r="K83" i="45"/>
  <c r="J83" i="45"/>
  <c r="I83" i="45"/>
  <c r="H83" i="45"/>
  <c r="G83" i="45"/>
  <c r="F83" i="45"/>
  <c r="E83" i="45"/>
  <c r="D83" i="45"/>
  <c r="B83" i="45"/>
  <c r="Q82" i="45"/>
  <c r="P82" i="45"/>
  <c r="O82" i="45"/>
  <c r="N82" i="45"/>
  <c r="M82" i="45"/>
  <c r="L82" i="45"/>
  <c r="K82" i="45"/>
  <c r="J82" i="45"/>
  <c r="I82" i="45"/>
  <c r="H82" i="45"/>
  <c r="G82" i="45"/>
  <c r="F82" i="45"/>
  <c r="E82" i="45"/>
  <c r="D82" i="45"/>
  <c r="C82" i="45"/>
  <c r="B82" i="45"/>
  <c r="Q80" i="45"/>
  <c r="P80" i="45"/>
  <c r="O80" i="45"/>
  <c r="N80" i="45"/>
  <c r="M80" i="45"/>
  <c r="L80" i="45"/>
  <c r="K80" i="45"/>
  <c r="J80" i="45"/>
  <c r="I80" i="45"/>
  <c r="H80" i="45"/>
  <c r="G80" i="45"/>
  <c r="F80" i="45"/>
  <c r="E80" i="45"/>
  <c r="D80" i="45"/>
  <c r="C80" i="45"/>
  <c r="B80" i="45"/>
  <c r="Q79" i="45"/>
  <c r="P79" i="45"/>
  <c r="O79" i="45"/>
  <c r="N79" i="45"/>
  <c r="M79" i="45"/>
  <c r="L79" i="45"/>
  <c r="K79" i="45"/>
  <c r="J79" i="45"/>
  <c r="I79" i="45"/>
  <c r="H79" i="45"/>
  <c r="G79" i="45"/>
  <c r="F79" i="45"/>
  <c r="E79" i="45"/>
  <c r="D79" i="45"/>
  <c r="B79" i="45"/>
  <c r="Q78" i="45"/>
  <c r="P78" i="45"/>
  <c r="O78" i="45"/>
  <c r="N78" i="45"/>
  <c r="M78" i="45"/>
  <c r="L78" i="45"/>
  <c r="K78" i="45"/>
  <c r="J78" i="45"/>
  <c r="I78" i="45"/>
  <c r="H78" i="45"/>
  <c r="G78" i="45"/>
  <c r="F78" i="45"/>
  <c r="E78" i="45"/>
  <c r="D78" i="45"/>
  <c r="C78" i="45"/>
  <c r="B78" i="45"/>
  <c r="B77" i="45"/>
  <c r="Q75" i="45"/>
  <c r="P75" i="45"/>
  <c r="O75" i="45"/>
  <c r="N75" i="45"/>
  <c r="M75" i="45"/>
  <c r="L75" i="45"/>
  <c r="K75" i="45"/>
  <c r="J75" i="45"/>
  <c r="I75" i="45"/>
  <c r="H75" i="45"/>
  <c r="G75" i="45"/>
  <c r="F75" i="45"/>
  <c r="E75" i="45"/>
  <c r="D75" i="45"/>
  <c r="B75" i="45"/>
  <c r="Q74" i="45"/>
  <c r="P74" i="45"/>
  <c r="O74" i="45"/>
  <c r="N74" i="45"/>
  <c r="M74" i="45"/>
  <c r="L74" i="45"/>
  <c r="K74" i="45"/>
  <c r="J74" i="45"/>
  <c r="I74" i="45"/>
  <c r="H74" i="45"/>
  <c r="G74" i="45"/>
  <c r="F74" i="45"/>
  <c r="E74" i="45"/>
  <c r="D74" i="45"/>
  <c r="C74" i="45"/>
  <c r="B74" i="45"/>
  <c r="Q72" i="45"/>
  <c r="P72" i="45"/>
  <c r="O72" i="45"/>
  <c r="N72" i="45"/>
  <c r="M72" i="45"/>
  <c r="L72" i="45"/>
  <c r="K72" i="45"/>
  <c r="J72" i="45"/>
  <c r="I72" i="45"/>
  <c r="H72" i="45"/>
  <c r="G72" i="45"/>
  <c r="F72" i="45"/>
  <c r="E72" i="45"/>
  <c r="D72" i="45"/>
  <c r="C72" i="45"/>
  <c r="B72" i="45"/>
  <c r="Q71" i="45"/>
  <c r="P71" i="45"/>
  <c r="O71" i="45"/>
  <c r="N71" i="45"/>
  <c r="M71" i="45"/>
  <c r="L71" i="45"/>
  <c r="K71" i="45"/>
  <c r="J71" i="45"/>
  <c r="I71" i="45"/>
  <c r="H71" i="45"/>
  <c r="G71" i="45"/>
  <c r="F71" i="45"/>
  <c r="E71" i="45"/>
  <c r="D71" i="45"/>
  <c r="B71" i="45"/>
  <c r="Q70" i="45"/>
  <c r="P70" i="45"/>
  <c r="O70" i="45"/>
  <c r="N70" i="45"/>
  <c r="M70" i="45"/>
  <c r="L70" i="45"/>
  <c r="K70" i="45"/>
  <c r="J70" i="45"/>
  <c r="I70" i="45"/>
  <c r="H70" i="45"/>
  <c r="G70" i="45"/>
  <c r="F70" i="45"/>
  <c r="E70" i="45"/>
  <c r="D70" i="45"/>
  <c r="C70" i="45"/>
  <c r="B70" i="45"/>
  <c r="B69" i="45"/>
  <c r="Q67" i="45"/>
  <c r="P67" i="45"/>
  <c r="O67" i="45"/>
  <c r="N67" i="45"/>
  <c r="M67" i="45"/>
  <c r="L67" i="45"/>
  <c r="K67" i="45"/>
  <c r="J67" i="45"/>
  <c r="I67" i="45"/>
  <c r="H67" i="45"/>
  <c r="G67" i="45"/>
  <c r="F67" i="45"/>
  <c r="E67" i="45"/>
  <c r="D67" i="45"/>
  <c r="B67" i="45"/>
  <c r="Q66" i="45"/>
  <c r="P66" i="45"/>
  <c r="O66" i="45"/>
  <c r="N66" i="45"/>
  <c r="M66" i="45"/>
  <c r="L66" i="45"/>
  <c r="K66" i="45"/>
  <c r="J66" i="45"/>
  <c r="I66" i="45"/>
  <c r="H66" i="45"/>
  <c r="G66" i="45"/>
  <c r="F66" i="45"/>
  <c r="E66" i="45"/>
  <c r="D66" i="45"/>
  <c r="C66" i="45"/>
  <c r="B66" i="45"/>
  <c r="Q64" i="45"/>
  <c r="P64" i="45"/>
  <c r="O64" i="45"/>
  <c r="N64" i="45"/>
  <c r="M64" i="45"/>
  <c r="L64" i="45"/>
  <c r="K64" i="45"/>
  <c r="J64" i="45"/>
  <c r="I64" i="45"/>
  <c r="H64" i="45"/>
  <c r="G64" i="45"/>
  <c r="F64" i="45"/>
  <c r="E64" i="45"/>
  <c r="D64" i="45"/>
  <c r="C64" i="45"/>
  <c r="B64" i="45"/>
  <c r="Q63" i="45"/>
  <c r="P63" i="45"/>
  <c r="O63" i="45"/>
  <c r="N63" i="45"/>
  <c r="M63" i="45"/>
  <c r="L63" i="45"/>
  <c r="K63" i="45"/>
  <c r="J63" i="45"/>
  <c r="I63" i="45"/>
  <c r="H63" i="45"/>
  <c r="G63" i="45"/>
  <c r="F63" i="45"/>
  <c r="E63" i="45"/>
  <c r="D63" i="45"/>
  <c r="B63" i="45"/>
  <c r="Q62" i="45"/>
  <c r="P62" i="45"/>
  <c r="O62" i="45"/>
  <c r="N62" i="45"/>
  <c r="M62" i="45"/>
  <c r="L62" i="45"/>
  <c r="K62" i="45"/>
  <c r="J62" i="45"/>
  <c r="I62" i="45"/>
  <c r="H62" i="45"/>
  <c r="G62" i="45"/>
  <c r="F62" i="45"/>
  <c r="E62" i="45"/>
  <c r="D62" i="45"/>
  <c r="C62" i="45"/>
  <c r="B62" i="45"/>
  <c r="B61" i="45"/>
  <c r="R60" i="45"/>
  <c r="Q60" i="45"/>
  <c r="P60" i="45"/>
  <c r="O60" i="45"/>
  <c r="N60" i="45"/>
  <c r="N120" i="45" s="1"/>
  <c r="M60" i="45"/>
  <c r="M120" i="45" s="1"/>
  <c r="L60" i="45"/>
  <c r="L120" i="45" s="1"/>
  <c r="K60" i="45"/>
  <c r="K120" i="45" s="1"/>
  <c r="J60" i="45"/>
  <c r="J120" i="45" s="1"/>
  <c r="I60" i="45"/>
  <c r="I120" i="45" s="1"/>
  <c r="H60" i="45"/>
  <c r="H120" i="45" s="1"/>
  <c r="G60" i="45"/>
  <c r="G120" i="45" s="1"/>
  <c r="F60" i="45"/>
  <c r="F120" i="45" s="1"/>
  <c r="E60" i="45"/>
  <c r="E120" i="45" s="1"/>
  <c r="D60" i="45"/>
  <c r="C60" i="45"/>
  <c r="B50" i="45"/>
  <c r="N49" i="45"/>
  <c r="M49" i="45"/>
  <c r="L49" i="45"/>
  <c r="K49" i="45"/>
  <c r="J49" i="45"/>
  <c r="I49" i="45"/>
  <c r="H49" i="45"/>
  <c r="G49" i="45"/>
  <c r="F49" i="45"/>
  <c r="E49" i="45"/>
  <c r="D49" i="45"/>
  <c r="C49" i="45"/>
  <c r="B49" i="45"/>
  <c r="F48" i="45"/>
  <c r="E48" i="45"/>
  <c r="D48" i="45"/>
  <c r="C48" i="45"/>
  <c r="B48" i="45"/>
  <c r="N47" i="45"/>
  <c r="M47" i="45"/>
  <c r="L47" i="45"/>
  <c r="K47" i="45"/>
  <c r="J47" i="45"/>
  <c r="I47" i="45"/>
  <c r="H47" i="45"/>
  <c r="G47" i="45"/>
  <c r="F47" i="45"/>
  <c r="E47" i="45"/>
  <c r="D47" i="45"/>
  <c r="C47" i="45"/>
  <c r="B47" i="45"/>
  <c r="F46" i="45"/>
  <c r="E46" i="45"/>
  <c r="D46" i="45"/>
  <c r="C46" i="45"/>
  <c r="B46" i="45"/>
  <c r="N45" i="45"/>
  <c r="M45" i="45"/>
  <c r="L45" i="45"/>
  <c r="K45" i="45"/>
  <c r="J45" i="45"/>
  <c r="I45" i="45"/>
  <c r="H45" i="45"/>
  <c r="G45" i="45"/>
  <c r="F45" i="45"/>
  <c r="E45" i="45"/>
  <c r="D45" i="45"/>
  <c r="C45" i="45"/>
  <c r="B45" i="45"/>
  <c r="F44" i="45"/>
  <c r="E44" i="45"/>
  <c r="D44" i="45"/>
  <c r="C44" i="45"/>
  <c r="B44" i="45"/>
  <c r="B43" i="45"/>
  <c r="B42" i="45"/>
  <c r="B40" i="45"/>
  <c r="B39" i="45"/>
  <c r="N36" i="45"/>
  <c r="M36" i="45"/>
  <c r="L36" i="45"/>
  <c r="K36" i="45"/>
  <c r="J36" i="45"/>
  <c r="I36" i="45"/>
  <c r="H36" i="45"/>
  <c r="B36" i="45"/>
  <c r="F35" i="45"/>
  <c r="E35" i="45"/>
  <c r="D35" i="45"/>
  <c r="C35" i="45"/>
  <c r="B35" i="45"/>
  <c r="N34" i="45"/>
  <c r="M34" i="45"/>
  <c r="L34" i="45"/>
  <c r="K34" i="45"/>
  <c r="J34" i="45"/>
  <c r="I34" i="45"/>
  <c r="H34" i="45"/>
  <c r="B34" i="45"/>
  <c r="F33" i="45"/>
  <c r="E33" i="45"/>
  <c r="D33" i="45"/>
  <c r="C33" i="45"/>
  <c r="B33" i="45"/>
  <c r="N32" i="45"/>
  <c r="M32" i="45"/>
  <c r="L32" i="45"/>
  <c r="K32" i="45"/>
  <c r="J32" i="45"/>
  <c r="I32" i="45"/>
  <c r="H32" i="45"/>
  <c r="B32" i="45"/>
  <c r="F31" i="45"/>
  <c r="E31" i="45"/>
  <c r="D31" i="45"/>
  <c r="C31" i="45"/>
  <c r="B31" i="45"/>
  <c r="B30" i="45"/>
  <c r="B29" i="45"/>
  <c r="B28" i="45"/>
  <c r="B27" i="45"/>
  <c r="G24" i="45"/>
  <c r="F24" i="45"/>
  <c r="G25" i="45" s="1"/>
  <c r="B24" i="45"/>
  <c r="F22" i="45"/>
  <c r="E22" i="45"/>
  <c r="D22" i="45"/>
  <c r="C22" i="45"/>
  <c r="B22" i="45"/>
  <c r="J20" i="45"/>
  <c r="I20" i="45"/>
  <c r="H20" i="45"/>
  <c r="G20" i="45"/>
  <c r="B20" i="45"/>
  <c r="G18" i="45"/>
  <c r="F18" i="45"/>
  <c r="E18" i="45"/>
  <c r="D18" i="45"/>
  <c r="C18" i="45"/>
  <c r="B18" i="45"/>
  <c r="J16" i="45"/>
  <c r="I16" i="45"/>
  <c r="H16" i="45"/>
  <c r="B16" i="45"/>
  <c r="G14" i="45"/>
  <c r="F14" i="45"/>
  <c r="E14" i="45"/>
  <c r="D14" i="45"/>
  <c r="C14" i="45"/>
  <c r="B14" i="45"/>
  <c r="J12" i="45"/>
  <c r="I12" i="45"/>
  <c r="H12" i="45"/>
  <c r="G12" i="45"/>
  <c r="B12" i="45"/>
  <c r="J10" i="45"/>
  <c r="I10" i="45"/>
  <c r="H10" i="45"/>
  <c r="G10" i="45"/>
  <c r="F10" i="45"/>
  <c r="E10" i="45"/>
  <c r="D10" i="45"/>
  <c r="C10" i="45"/>
  <c r="B10" i="45"/>
  <c r="J8" i="45"/>
  <c r="I8" i="45"/>
  <c r="H8" i="45"/>
  <c r="G8" i="45"/>
  <c r="F8" i="45"/>
  <c r="E8" i="45"/>
  <c r="D8" i="45"/>
  <c r="C8" i="45"/>
  <c r="B8" i="45"/>
  <c r="B6" i="45"/>
  <c r="B5" i="45"/>
  <c r="CG61" i="35"/>
  <c r="CG63" i="35"/>
  <c r="CG65" i="35"/>
  <c r="CG59" i="35"/>
  <c r="F98" i="45" l="1"/>
  <c r="G98" i="45"/>
  <c r="N114" i="45"/>
  <c r="I9" i="45"/>
  <c r="H11" i="45"/>
  <c r="J94" i="45"/>
  <c r="K98" i="45"/>
  <c r="K114" i="45"/>
  <c r="C98" i="45"/>
  <c r="H98" i="45"/>
  <c r="J114" i="45"/>
  <c r="K115" i="45" s="1"/>
  <c r="L114" i="45"/>
  <c r="M114" i="45"/>
  <c r="N98" i="45"/>
  <c r="M94" i="45"/>
  <c r="O98" i="45"/>
  <c r="O94" i="45"/>
  <c r="D23" i="45"/>
  <c r="P98" i="45"/>
  <c r="J9" i="45"/>
  <c r="F23" i="45"/>
  <c r="H9" i="45"/>
  <c r="F19" i="45"/>
  <c r="I11" i="45"/>
  <c r="G9" i="45"/>
  <c r="E11" i="45"/>
  <c r="J17" i="45"/>
  <c r="I13" i="45"/>
  <c r="G19" i="45"/>
  <c r="J11" i="45"/>
  <c r="E19" i="45"/>
  <c r="E23" i="45"/>
  <c r="G11" i="45"/>
  <c r="C94" i="45"/>
  <c r="K94" i="45"/>
  <c r="K95" i="45" s="1"/>
  <c r="D98" i="45"/>
  <c r="L98" i="45"/>
  <c r="D94" i="45"/>
  <c r="L94" i="45"/>
  <c r="E98" i="45"/>
  <c r="M98" i="45"/>
  <c r="P94" i="45"/>
  <c r="Q98" i="45"/>
  <c r="I94" i="45"/>
  <c r="Q94" i="45"/>
  <c r="J110" i="45"/>
  <c r="K110" i="45"/>
  <c r="K112" i="45" s="1"/>
  <c r="P114" i="45"/>
  <c r="Q110" i="45"/>
  <c r="E110" i="45"/>
  <c r="I98" i="45"/>
  <c r="E114" i="45"/>
  <c r="N110" i="45"/>
  <c r="H110" i="45"/>
  <c r="O114" i="45"/>
  <c r="D114" i="45"/>
  <c r="L110" i="45"/>
  <c r="G110" i="45"/>
  <c r="C110" i="45"/>
  <c r="G114" i="45"/>
  <c r="H94" i="45"/>
  <c r="C114" i="45"/>
  <c r="O110" i="45"/>
  <c r="D110" i="45"/>
  <c r="Q114" i="45"/>
  <c r="H114" i="45"/>
  <c r="M110" i="45"/>
  <c r="I110" i="45"/>
  <c r="F114" i="45"/>
  <c r="P110" i="45"/>
  <c r="F110" i="45"/>
  <c r="F112" i="45" s="1"/>
  <c r="N94" i="45"/>
  <c r="G94" i="45"/>
  <c r="F94" i="45"/>
  <c r="E94" i="45"/>
  <c r="J98" i="45"/>
  <c r="D9" i="45"/>
  <c r="E15" i="45"/>
  <c r="D11" i="45"/>
  <c r="H13" i="45"/>
  <c r="F15" i="45"/>
  <c r="I114" i="45"/>
  <c r="H21" i="45"/>
  <c r="E9" i="45"/>
  <c r="D15" i="45"/>
  <c r="I21" i="45"/>
  <c r="J21" i="45"/>
  <c r="I17" i="45"/>
  <c r="J13" i="45"/>
  <c r="G15" i="45"/>
  <c r="F9" i="45"/>
  <c r="F11" i="45"/>
  <c r="D19" i="45"/>
  <c r="L115" i="45" l="1"/>
  <c r="J95" i="45"/>
  <c r="O115" i="45"/>
  <c r="N112" i="45"/>
  <c r="F99" i="45"/>
  <c r="N115" i="45"/>
  <c r="G99" i="45"/>
  <c r="L99" i="45"/>
  <c r="L112" i="45"/>
  <c r="H99" i="45"/>
  <c r="O99" i="45"/>
  <c r="M115" i="45"/>
  <c r="P95" i="45"/>
  <c r="P99" i="45"/>
  <c r="I99" i="45"/>
  <c r="Q111" i="45"/>
  <c r="Q95" i="45"/>
  <c r="Q99" i="45"/>
  <c r="J99" i="45"/>
  <c r="O95" i="45"/>
  <c r="M112" i="45"/>
  <c r="O112" i="45"/>
  <c r="Q115" i="45"/>
  <c r="D95" i="45"/>
  <c r="E99" i="45"/>
  <c r="D99" i="45"/>
  <c r="H115" i="45"/>
  <c r="P112" i="45"/>
  <c r="L95" i="45"/>
  <c r="M95" i="45"/>
  <c r="N99" i="45"/>
  <c r="M99" i="45"/>
  <c r="E112" i="45"/>
  <c r="E111" i="45"/>
  <c r="D111" i="45"/>
  <c r="D112" i="45"/>
  <c r="K111" i="45"/>
  <c r="G95" i="45"/>
  <c r="G111" i="45"/>
  <c r="D115" i="45"/>
  <c r="C112" i="45"/>
  <c r="L111" i="45"/>
  <c r="E95" i="45"/>
  <c r="O111" i="45"/>
  <c r="P115" i="45"/>
  <c r="P111" i="45"/>
  <c r="F111" i="45"/>
  <c r="N111" i="45"/>
  <c r="F115" i="45"/>
  <c r="J111" i="45"/>
  <c r="Q112" i="45"/>
  <c r="N95" i="45"/>
  <c r="H111" i="45"/>
  <c r="J112" i="45"/>
  <c r="H112" i="45"/>
  <c r="M111" i="45"/>
  <c r="I111" i="45"/>
  <c r="G112" i="45"/>
  <c r="F95" i="45"/>
  <c r="I95" i="45"/>
  <c r="H95" i="45"/>
  <c r="G115" i="45"/>
  <c r="E115" i="45"/>
  <c r="I115" i="45"/>
  <c r="J115" i="45"/>
  <c r="I112" i="45"/>
  <c r="K99" i="45"/>
  <c r="I10" i="21" l="1"/>
  <c r="J10" i="21" s="1"/>
  <c r="K10" i="21" s="1"/>
  <c r="L10" i="21" s="1"/>
  <c r="M10" i="21" s="1"/>
  <c r="N10" i="21" s="1"/>
  <c r="O10" i="21" s="1"/>
  <c r="CJ150" i="35"/>
  <c r="CJ156" i="35" s="1"/>
  <c r="CK150" i="35"/>
  <c r="CK156" i="35" s="1"/>
  <c r="CL150" i="35"/>
  <c r="CL156" i="35" s="1"/>
  <c r="CM150" i="35"/>
  <c r="CM156" i="35" s="1"/>
  <c r="CN150" i="35"/>
  <c r="CN156" i="35" s="1"/>
  <c r="CO150" i="35"/>
  <c r="CO156" i="35" s="1"/>
  <c r="CP150" i="35"/>
  <c r="CP156" i="35" s="1"/>
  <c r="CQ150" i="35"/>
  <c r="CQ156" i="35" s="1"/>
  <c r="CR150" i="35"/>
  <c r="CR156" i="35" s="1"/>
  <c r="CS150" i="35"/>
  <c r="CS156" i="35" s="1"/>
  <c r="CI150" i="35"/>
  <c r="CG152" i="35"/>
  <c r="CG158" i="35" s="1"/>
  <c r="E146" i="35"/>
  <c r="E145" i="35"/>
  <c r="CG144" i="35"/>
  <c r="E144" i="35" s="1"/>
  <c r="DJ212" i="14"/>
  <c r="DK212" i="14"/>
  <c r="DL212" i="14"/>
  <c r="E80" i="35"/>
  <c r="P80" i="35"/>
  <c r="Q80" i="35"/>
  <c r="R80" i="35"/>
  <c r="S80" i="35"/>
  <c r="T80" i="35"/>
  <c r="U80" i="35"/>
  <c r="V80" i="35"/>
  <c r="W80" i="35"/>
  <c r="X80" i="35"/>
  <c r="Y80" i="35"/>
  <c r="Z80" i="35"/>
  <c r="AA80" i="35"/>
  <c r="AB80" i="35"/>
  <c r="AC80" i="35"/>
  <c r="AD80" i="35"/>
  <c r="AE80" i="35"/>
  <c r="AF80" i="35"/>
  <c r="AG80" i="35"/>
  <c r="AH80" i="35"/>
  <c r="AI80" i="35"/>
  <c r="AJ80" i="35"/>
  <c r="AK80" i="35"/>
  <c r="AL80" i="35"/>
  <c r="AM80" i="35"/>
  <c r="AN80" i="35"/>
  <c r="CG151" i="35" l="1"/>
  <c r="CG157" i="35" s="1"/>
  <c r="CG146" i="35"/>
  <c r="CG153" i="35" s="1"/>
  <c r="CG159" i="35" s="1"/>
  <c r="CG147" i="35"/>
  <c r="CG155" i="35" s="1"/>
  <c r="CS44" i="14"/>
  <c r="CN44" i="14"/>
  <c r="CI44" i="14"/>
  <c r="CD44" i="14"/>
  <c r="BY44" i="14"/>
  <c r="BT44" i="14"/>
  <c r="H15" i="21"/>
  <c r="DM32" i="13" l="1"/>
  <c r="DQ31" i="13"/>
  <c r="DV31" i="13" s="1"/>
  <c r="DR31" i="13"/>
  <c r="DW31" i="13" s="1"/>
  <c r="DP31" i="13"/>
  <c r="DU31" i="13" s="1"/>
  <c r="DO31" i="13"/>
  <c r="DO32" i="13" s="1"/>
  <c r="DM12" i="13"/>
  <c r="DO12" i="13" s="1"/>
  <c r="DP12" i="13" s="1"/>
  <c r="DQ12" i="13" s="1"/>
  <c r="DR12" i="13" s="1"/>
  <c r="DT12" i="13" s="1"/>
  <c r="DU12" i="13" s="1"/>
  <c r="DV12" i="13" s="1"/>
  <c r="DW12" i="13" s="1"/>
  <c r="DY12" i="13" s="1"/>
  <c r="DZ12" i="13" s="1"/>
  <c r="EA12" i="13" s="1"/>
  <c r="EB12" i="13" s="1"/>
  <c r="DR53" i="12"/>
  <c r="DW53" i="12" s="1"/>
  <c r="EB53" i="12" s="1"/>
  <c r="DR55" i="12"/>
  <c r="DQ32" i="13" l="1"/>
  <c r="DZ31" i="13"/>
  <c r="DZ32" i="13" s="1"/>
  <c r="DU32" i="13"/>
  <c r="EB31" i="13"/>
  <c r="EB32" i="13" s="1"/>
  <c r="DY31" i="13"/>
  <c r="DY32" i="13" s="1"/>
  <c r="DW32" i="13"/>
  <c r="EA31" i="13"/>
  <c r="EA32" i="13" s="1"/>
  <c r="DV32" i="13"/>
  <c r="DP32" i="13"/>
  <c r="DR32" i="13"/>
  <c r="DT31" i="13"/>
  <c r="DT32" i="13" s="1"/>
  <c r="CQ70" i="14"/>
  <c r="CR70" i="14"/>
  <c r="CS70" i="14"/>
  <c r="CP70" i="14"/>
  <c r="DN132" i="14"/>
  <c r="DS132" i="14" s="1"/>
  <c r="DX132" i="14" s="1"/>
  <c r="EC132" i="14" s="1"/>
  <c r="CT132" i="14"/>
  <c r="CY132" i="14" s="1"/>
  <c r="DD132" i="14" s="1"/>
  <c r="BZ132" i="14"/>
  <c r="CE132" i="14" s="1"/>
  <c r="CJ132" i="14" s="1"/>
  <c r="EC16" i="13"/>
  <c r="EC15" i="13"/>
  <c r="EC14" i="13"/>
  <c r="EC13" i="13"/>
  <c r="DX16" i="13"/>
  <c r="DX15" i="13"/>
  <c r="DX14" i="13"/>
  <c r="DX13" i="13"/>
  <c r="DS16" i="13"/>
  <c r="DS15" i="13"/>
  <c r="DS14" i="13"/>
  <c r="DS13" i="13"/>
  <c r="DN98" i="14"/>
  <c r="DN102" i="14"/>
  <c r="DN100" i="14"/>
  <c r="K16" i="45" s="1"/>
  <c r="K17" i="45" s="1"/>
  <c r="DN96" i="14"/>
  <c r="CT100" i="14"/>
  <c r="DI114" i="14"/>
  <c r="DI112" i="14"/>
  <c r="DI110" i="14"/>
  <c r="DI109" i="14"/>
  <c r="DI108" i="14"/>
  <c r="DD114" i="14"/>
  <c r="DD112" i="14"/>
  <c r="DD110" i="14"/>
  <c r="DD109" i="14"/>
  <c r="DD108" i="14"/>
  <c r="CY114" i="14"/>
  <c r="CY110" i="14"/>
  <c r="CY109" i="14"/>
  <c r="CY108" i="14"/>
  <c r="CT116" i="14"/>
  <c r="CT113" i="14"/>
  <c r="CT111" i="14"/>
  <c r="CT109" i="14"/>
  <c r="CT108" i="14"/>
  <c r="CO115" i="14"/>
  <c r="CO113" i="14"/>
  <c r="CO111" i="14"/>
  <c r="CO109" i="14"/>
  <c r="CO108" i="14"/>
  <c r="CJ115" i="14"/>
  <c r="CJ113" i="14"/>
  <c r="CJ111" i="14"/>
  <c r="CJ109" i="14"/>
  <c r="CJ108" i="14"/>
  <c r="CE115" i="14"/>
  <c r="CE113" i="14"/>
  <c r="CE111" i="14"/>
  <c r="CE109" i="14"/>
  <c r="CE108" i="14"/>
  <c r="BZ115" i="14"/>
  <c r="BZ113" i="14"/>
  <c r="BZ111" i="14"/>
  <c r="BZ109" i="14"/>
  <c r="BZ108" i="14"/>
  <c r="BU115" i="14"/>
  <c r="BU113" i="14"/>
  <c r="BU111" i="14"/>
  <c r="BU109" i="14"/>
  <c r="BU108" i="14"/>
  <c r="BP115" i="14"/>
  <c r="BP113" i="14"/>
  <c r="BP111" i="14"/>
  <c r="BP109" i="14"/>
  <c r="BP108" i="14"/>
  <c r="BK115" i="14"/>
  <c r="BK113" i="14"/>
  <c r="BK111" i="14"/>
  <c r="BK109" i="14"/>
  <c r="BK108" i="14"/>
  <c r="CV70" i="14" l="1"/>
  <c r="W150" i="35"/>
  <c r="CW70" i="14"/>
  <c r="X150" i="35"/>
  <c r="CX70" i="14"/>
  <c r="Y150" i="35"/>
  <c r="CU70" i="14"/>
  <c r="V150" i="35"/>
  <c r="DS102" i="14"/>
  <c r="K20" i="45"/>
  <c r="K21" i="45" s="1"/>
  <c r="DS98" i="14"/>
  <c r="K12" i="45"/>
  <c r="K13" i="45" s="1"/>
  <c r="CY112" i="14"/>
  <c r="G16" i="45"/>
  <c r="H17" i="45" s="1"/>
  <c r="DS96" i="14"/>
  <c r="K8" i="45"/>
  <c r="K9" i="45" s="1"/>
  <c r="AA150" i="35" l="1"/>
  <c r="DA70" i="14"/>
  <c r="AE150" i="35" s="1"/>
  <c r="AB150" i="35"/>
  <c r="DB70" i="14"/>
  <c r="AF150" i="35" s="1"/>
  <c r="AC150" i="35"/>
  <c r="DC70" i="14"/>
  <c r="AG150" i="35" s="1"/>
  <c r="Z150" i="35"/>
  <c r="CZ70" i="14"/>
  <c r="AD150" i="35" s="1"/>
  <c r="DX96" i="14"/>
  <c r="L8" i="45"/>
  <c r="L9" i="45" s="1"/>
  <c r="DX98" i="14"/>
  <c r="L12" i="45"/>
  <c r="L13" i="45" s="1"/>
  <c r="DX102" i="14"/>
  <c r="L20" i="45"/>
  <c r="L21" i="45" s="1"/>
  <c r="BU127" i="14"/>
  <c r="BU125" i="14"/>
  <c r="BU123" i="14"/>
  <c r="BU121" i="14"/>
  <c r="BU120" i="14"/>
  <c r="CO121" i="14"/>
  <c r="F30" i="45" s="1"/>
  <c r="CO123" i="14"/>
  <c r="F32" i="45" s="1"/>
  <c r="CO125" i="14"/>
  <c r="F34" i="45" s="1"/>
  <c r="CO127" i="14"/>
  <c r="F36" i="45" s="1"/>
  <c r="CO95" i="14"/>
  <c r="F6" i="45" s="1"/>
  <c r="CJ104" i="14"/>
  <c r="E24" i="45" s="1"/>
  <c r="CJ95" i="14"/>
  <c r="E6" i="45" s="1"/>
  <c r="CE95" i="14"/>
  <c r="D6" i="45" s="1"/>
  <c r="CT123" i="14"/>
  <c r="G32" i="45" s="1"/>
  <c r="CT124" i="14"/>
  <c r="G33" i="45" s="1"/>
  <c r="CT125" i="14"/>
  <c r="G34" i="45" s="1"/>
  <c r="CT126" i="14"/>
  <c r="G35" i="45" s="1"/>
  <c r="CT127" i="14"/>
  <c r="G36" i="45" s="1"/>
  <c r="CT95" i="14"/>
  <c r="G6" i="45" s="1"/>
  <c r="BZ95" i="14"/>
  <c r="C6" i="45" s="1"/>
  <c r="BU95" i="14"/>
  <c r="BP95" i="14"/>
  <c r="BK95" i="14"/>
  <c r="BF95" i="14"/>
  <c r="DI95" i="14"/>
  <c r="J6" i="45" s="1"/>
  <c r="DD95" i="14"/>
  <c r="I6" i="45" s="1"/>
  <c r="CY95" i="14"/>
  <c r="H6" i="45" s="1"/>
  <c r="CY104" i="14"/>
  <c r="H24" i="45" s="1"/>
  <c r="H25" i="45" s="1"/>
  <c r="DD104" i="14"/>
  <c r="I24" i="45" s="1"/>
  <c r="DI104" i="14"/>
  <c r="J24" i="45" s="1"/>
  <c r="I7" i="45" l="1"/>
  <c r="H7" i="45"/>
  <c r="J7" i="45"/>
  <c r="J25" i="45"/>
  <c r="G7" i="45"/>
  <c r="F7" i="45"/>
  <c r="M20" i="45"/>
  <c r="EC102" i="14"/>
  <c r="N20" i="45" s="1"/>
  <c r="I25" i="45"/>
  <c r="D7" i="45"/>
  <c r="EC98" i="14"/>
  <c r="N12" i="45" s="1"/>
  <c r="M12" i="45"/>
  <c r="M13" i="45" s="1"/>
  <c r="E7" i="45"/>
  <c r="F25" i="45"/>
  <c r="EC96" i="14"/>
  <c r="N8" i="45" s="1"/>
  <c r="M8" i="45"/>
  <c r="M9" i="45" s="1"/>
  <c r="DI107" i="14"/>
  <c r="BK107" i="14"/>
  <c r="CE107" i="14"/>
  <c r="BP107" i="14"/>
  <c r="BU119" i="14"/>
  <c r="BU107" i="14"/>
  <c r="CY126" i="14"/>
  <c r="H35" i="45" s="1"/>
  <c r="CY116" i="14"/>
  <c r="BZ107" i="14"/>
  <c r="CY107" i="14"/>
  <c r="BZ104" i="14"/>
  <c r="C24" i="45" s="1"/>
  <c r="CE104" i="14"/>
  <c r="DD107" i="14"/>
  <c r="CT107" i="14"/>
  <c r="CJ107" i="14"/>
  <c r="CJ120" i="14"/>
  <c r="E29" i="45" s="1"/>
  <c r="CO116" i="14"/>
  <c r="DI126" i="14"/>
  <c r="J35" i="45" s="1"/>
  <c r="DI116" i="14"/>
  <c r="DD121" i="14"/>
  <c r="I30" i="45" s="1"/>
  <c r="DD116" i="14"/>
  <c r="CO107" i="14"/>
  <c r="DD119" i="14"/>
  <c r="BU128" i="14"/>
  <c r="CJ121" i="14"/>
  <c r="E30" i="45" s="1"/>
  <c r="CJ125" i="14"/>
  <c r="E34" i="45" s="1"/>
  <c r="DI119" i="14"/>
  <c r="CJ127" i="14"/>
  <c r="E36" i="45" s="1"/>
  <c r="DD122" i="14"/>
  <c r="I31" i="45" s="1"/>
  <c r="CJ123" i="14"/>
  <c r="E32" i="45" s="1"/>
  <c r="DD124" i="14"/>
  <c r="I33" i="45" s="1"/>
  <c r="CY121" i="14"/>
  <c r="H30" i="45" s="1"/>
  <c r="CJ119" i="14"/>
  <c r="CY122" i="14"/>
  <c r="H31" i="45" s="1"/>
  <c r="CY119" i="14"/>
  <c r="CO119" i="14"/>
  <c r="CT119" i="14"/>
  <c r="CO120" i="14"/>
  <c r="F29" i="45" s="1"/>
  <c r="DI121" i="14"/>
  <c r="J30" i="45" s="1"/>
  <c r="DD126" i="14"/>
  <c r="I35" i="45" s="1"/>
  <c r="DD120" i="14"/>
  <c r="I29" i="45" s="1"/>
  <c r="CY120" i="14"/>
  <c r="H29" i="45" s="1"/>
  <c r="CY124" i="14"/>
  <c r="H33" i="45" s="1"/>
  <c r="CT121" i="14"/>
  <c r="G30" i="45" s="1"/>
  <c r="CT122" i="14"/>
  <c r="G31" i="45" s="1"/>
  <c r="CT120" i="14"/>
  <c r="G29" i="45" s="1"/>
  <c r="DI120" i="14"/>
  <c r="J29" i="45" s="1"/>
  <c r="DI122" i="14"/>
  <c r="J31" i="45" s="1"/>
  <c r="DI124" i="14"/>
  <c r="J33" i="45" s="1"/>
  <c r="N13" i="45" l="1"/>
  <c r="N9" i="45"/>
  <c r="E28" i="45"/>
  <c r="CJ116" i="35" s="1"/>
  <c r="H28" i="45"/>
  <c r="CM116" i="35" s="1"/>
  <c r="J28" i="45"/>
  <c r="CO116" i="35" s="1"/>
  <c r="I28" i="45"/>
  <c r="CN116" i="35" s="1"/>
  <c r="N21" i="45"/>
  <c r="M21" i="45"/>
  <c r="G28" i="45"/>
  <c r="CL116" i="35" s="1"/>
  <c r="F28" i="45"/>
  <c r="CK116" i="35" s="1"/>
  <c r="CJ116" i="14"/>
  <c r="D24" i="45"/>
  <c r="E25" i="45" s="1"/>
  <c r="BZ119" i="14"/>
  <c r="BZ123" i="14"/>
  <c r="C32" i="45" s="1"/>
  <c r="BZ120" i="14"/>
  <c r="C29" i="45" s="1"/>
  <c r="BZ121" i="14"/>
  <c r="C30" i="45" s="1"/>
  <c r="BZ125" i="14"/>
  <c r="C34" i="45" s="1"/>
  <c r="CE127" i="14"/>
  <c r="D36" i="45" s="1"/>
  <c r="CE119" i="14"/>
  <c r="CE125" i="14"/>
  <c r="D34" i="45" s="1"/>
  <c r="CE120" i="14"/>
  <c r="D29" i="45" s="1"/>
  <c r="CE121" i="14"/>
  <c r="D30" i="45" s="1"/>
  <c r="CE123" i="14"/>
  <c r="D32" i="45" s="1"/>
  <c r="CE116" i="14"/>
  <c r="BZ127" i="14"/>
  <c r="C36" i="45" s="1"/>
  <c r="BZ116" i="14"/>
  <c r="CY128" i="14"/>
  <c r="H37" i="45" s="1"/>
  <c r="DD128" i="14"/>
  <c r="I37" i="45" s="1"/>
  <c r="CJ128" i="14"/>
  <c r="E37" i="45" s="1"/>
  <c r="CO128" i="14"/>
  <c r="F37" i="45" s="1"/>
  <c r="CT128" i="14"/>
  <c r="G37" i="45" s="1"/>
  <c r="DI128" i="14"/>
  <c r="J37" i="45" s="1"/>
  <c r="D25" i="45" l="1"/>
  <c r="D28" i="45"/>
  <c r="CI116" i="35" s="1"/>
  <c r="C28" i="45"/>
  <c r="CH116" i="35" s="1"/>
  <c r="CE128" i="14"/>
  <c r="D37" i="45" s="1"/>
  <c r="BZ128" i="14"/>
  <c r="C37" i="45" s="1"/>
  <c r="DM91" i="14" l="1"/>
  <c r="DR91" i="14" s="1"/>
  <c r="DW91" i="14" s="1"/>
  <c r="EB91" i="14" s="1"/>
  <c r="DM89" i="14"/>
  <c r="DR89" i="14" s="1"/>
  <c r="DW89" i="14" s="1"/>
  <c r="EB89" i="14" s="1"/>
  <c r="DM87" i="14"/>
  <c r="DR87" i="14" s="1"/>
  <c r="DW87" i="14" s="1"/>
  <c r="EB87" i="14" s="1"/>
  <c r="DM84" i="14"/>
  <c r="CP114" i="35" s="1"/>
  <c r="CP115" i="35" s="1"/>
  <c r="EB149" i="14"/>
  <c r="EC149" i="14" s="1"/>
  <c r="EA149" i="14"/>
  <c r="DZ149" i="14"/>
  <c r="DY149" i="14"/>
  <c r="DW149" i="14"/>
  <c r="DX149" i="14" s="1"/>
  <c r="DV149" i="14"/>
  <c r="DU149" i="14"/>
  <c r="DT149" i="14"/>
  <c r="DR149" i="14"/>
  <c r="DS149" i="14" s="1"/>
  <c r="DQ149" i="14"/>
  <c r="DP149" i="14"/>
  <c r="DO149" i="14"/>
  <c r="DM149" i="14"/>
  <c r="DN149" i="14" s="1"/>
  <c r="DL149" i="14"/>
  <c r="DK149" i="14"/>
  <c r="DJ149" i="14"/>
  <c r="DH149" i="14"/>
  <c r="DI149" i="14" s="1"/>
  <c r="DG149" i="14"/>
  <c r="DF149" i="14"/>
  <c r="DE149" i="14"/>
  <c r="DC149" i="14"/>
  <c r="DD149" i="14" s="1"/>
  <c r="DB149" i="14"/>
  <c r="DA149" i="14"/>
  <c r="CZ149" i="14"/>
  <c r="CX149" i="14"/>
  <c r="CY149" i="14" s="1"/>
  <c r="CW149" i="14"/>
  <c r="CV149" i="14"/>
  <c r="CU149" i="14"/>
  <c r="CS149" i="14"/>
  <c r="CT149" i="14" s="1"/>
  <c r="CR149" i="14"/>
  <c r="CQ149" i="14"/>
  <c r="CP149" i="14"/>
  <c r="CN149" i="14"/>
  <c r="CO149" i="14" s="1"/>
  <c r="CM149" i="14"/>
  <c r="CL149" i="14"/>
  <c r="CK149" i="14"/>
  <c r="CI149" i="14"/>
  <c r="CJ149" i="14" s="1"/>
  <c r="CH149" i="14"/>
  <c r="CG149" i="14"/>
  <c r="CF149" i="14"/>
  <c r="CD149" i="14"/>
  <c r="CE149" i="14" s="1"/>
  <c r="CC149" i="14"/>
  <c r="CB149" i="14"/>
  <c r="CA149" i="14"/>
  <c r="BY149" i="14"/>
  <c r="BZ149" i="14" s="1"/>
  <c r="BX149" i="14"/>
  <c r="BW149" i="14"/>
  <c r="BV149" i="14"/>
  <c r="BT149" i="14"/>
  <c r="BU149" i="14" s="1"/>
  <c r="EC148" i="14"/>
  <c r="DX148" i="14"/>
  <c r="DS148" i="14"/>
  <c r="DN148" i="14"/>
  <c r="DI148" i="14"/>
  <c r="DD148" i="14"/>
  <c r="CY148" i="14"/>
  <c r="CT148" i="14"/>
  <c r="CO148" i="14"/>
  <c r="CJ148" i="14"/>
  <c r="CE148" i="14"/>
  <c r="BZ148" i="14"/>
  <c r="BU148" i="14"/>
  <c r="EC147" i="14"/>
  <c r="DX147" i="14"/>
  <c r="DS147" i="14"/>
  <c r="DN147" i="14"/>
  <c r="DI147" i="14"/>
  <c r="DD147" i="14"/>
  <c r="CY147" i="14"/>
  <c r="CT147" i="14"/>
  <c r="CO147" i="14"/>
  <c r="CJ147" i="14"/>
  <c r="CE147" i="14"/>
  <c r="BZ147" i="14"/>
  <c r="BU147" i="14"/>
  <c r="CX143" i="14"/>
  <c r="CS143" i="14"/>
  <c r="CN143" i="14"/>
  <c r="CI143" i="14"/>
  <c r="CD143" i="14"/>
  <c r="BY143" i="14"/>
  <c r="BT143" i="14"/>
  <c r="EB197" i="14"/>
  <c r="EC197" i="14" s="1"/>
  <c r="EA197" i="14"/>
  <c r="DZ197" i="14"/>
  <c r="DY197" i="14"/>
  <c r="DW197" i="14"/>
  <c r="DX197" i="14" s="1"/>
  <c r="DV197" i="14"/>
  <c r="DU197" i="14"/>
  <c r="DT197" i="14"/>
  <c r="DR197" i="14"/>
  <c r="DS197" i="14" s="1"/>
  <c r="DQ197" i="14"/>
  <c r="DP197" i="14"/>
  <c r="DO197" i="14"/>
  <c r="DM197" i="14"/>
  <c r="DN197" i="14" s="1"/>
  <c r="DL197" i="14"/>
  <c r="DK197" i="14"/>
  <c r="DJ197" i="14"/>
  <c r="DH197" i="14"/>
  <c r="DI197" i="14" s="1"/>
  <c r="DG197" i="14"/>
  <c r="DF197" i="14"/>
  <c r="DE197" i="14"/>
  <c r="DC197" i="14"/>
  <c r="DD197" i="14" s="1"/>
  <c r="DB197" i="14"/>
  <c r="DA197" i="14"/>
  <c r="CZ197" i="14"/>
  <c r="CX197" i="14"/>
  <c r="CY197" i="14" s="1"/>
  <c r="CW197" i="14"/>
  <c r="CV197" i="14"/>
  <c r="CU197" i="14"/>
  <c r="CS197" i="14"/>
  <c r="CT197" i="14" s="1"/>
  <c r="CR197" i="14"/>
  <c r="CQ197" i="14"/>
  <c r="CP197" i="14"/>
  <c r="CN197" i="14"/>
  <c r="CO197" i="14" s="1"/>
  <c r="CM197" i="14"/>
  <c r="CL197" i="14"/>
  <c r="CK197" i="14"/>
  <c r="CI197" i="14"/>
  <c r="CJ197" i="14" s="1"/>
  <c r="CH197" i="14"/>
  <c r="CG197" i="14"/>
  <c r="CF197" i="14"/>
  <c r="CD197" i="14"/>
  <c r="CE197" i="14" s="1"/>
  <c r="CC197" i="14"/>
  <c r="CB197" i="14"/>
  <c r="CA197" i="14"/>
  <c r="BY197" i="14"/>
  <c r="BZ197" i="14" s="1"/>
  <c r="BX197" i="14"/>
  <c r="BW197" i="14"/>
  <c r="BV197" i="14"/>
  <c r="BT197" i="14"/>
  <c r="BU197" i="14" s="1"/>
  <c r="EC196" i="14"/>
  <c r="DX196" i="14"/>
  <c r="DS196" i="14"/>
  <c r="DN196" i="14"/>
  <c r="DI196" i="14"/>
  <c r="DD196" i="14"/>
  <c r="CY196" i="14"/>
  <c r="CT196" i="14"/>
  <c r="CO196" i="14"/>
  <c r="CJ196" i="14"/>
  <c r="CE196" i="14"/>
  <c r="BZ196" i="14"/>
  <c r="BU196" i="14"/>
  <c r="EC195" i="14"/>
  <c r="DX195" i="14"/>
  <c r="DS195" i="14"/>
  <c r="DN195" i="14"/>
  <c r="DI195" i="14"/>
  <c r="DD195" i="14"/>
  <c r="CY195" i="14"/>
  <c r="CT195" i="14"/>
  <c r="CO195" i="14"/>
  <c r="CJ195" i="14"/>
  <c r="CE195" i="14"/>
  <c r="BZ195" i="14"/>
  <c r="BU195" i="14"/>
  <c r="CX191" i="14"/>
  <c r="CS191" i="14"/>
  <c r="CN191" i="14"/>
  <c r="CI191" i="14"/>
  <c r="CD191" i="14"/>
  <c r="BY191" i="14"/>
  <c r="BT191" i="14"/>
  <c r="EB161" i="14"/>
  <c r="EC161" i="14" s="1"/>
  <c r="EA161" i="14"/>
  <c r="DZ161" i="14"/>
  <c r="DY161" i="14"/>
  <c r="DW161" i="14"/>
  <c r="DX161" i="14" s="1"/>
  <c r="DV161" i="14"/>
  <c r="DU161" i="14"/>
  <c r="DT161" i="14"/>
  <c r="DR161" i="14"/>
  <c r="DS161" i="14" s="1"/>
  <c r="DQ161" i="14"/>
  <c r="DP161" i="14"/>
  <c r="DO161" i="14"/>
  <c r="DM161" i="14"/>
  <c r="DN161" i="14" s="1"/>
  <c r="DL161" i="14"/>
  <c r="DK161" i="14"/>
  <c r="DJ161" i="14"/>
  <c r="DH161" i="14"/>
  <c r="DI161" i="14" s="1"/>
  <c r="DG161" i="14"/>
  <c r="DF161" i="14"/>
  <c r="DE161" i="14"/>
  <c r="DC161" i="14"/>
  <c r="DD161" i="14" s="1"/>
  <c r="DB161" i="14"/>
  <c r="DA161" i="14"/>
  <c r="CZ161" i="14"/>
  <c r="CX161" i="14"/>
  <c r="CY161" i="14" s="1"/>
  <c r="CW161" i="14"/>
  <c r="CV161" i="14"/>
  <c r="CU161" i="14"/>
  <c r="CS161" i="14"/>
  <c r="CT161" i="14" s="1"/>
  <c r="CR161" i="14"/>
  <c r="CQ161" i="14"/>
  <c r="CP161" i="14"/>
  <c r="CN161" i="14"/>
  <c r="CO161" i="14" s="1"/>
  <c r="CM161" i="14"/>
  <c r="CL161" i="14"/>
  <c r="CK161" i="14"/>
  <c r="CI161" i="14"/>
  <c r="CJ161" i="14" s="1"/>
  <c r="CH161" i="14"/>
  <c r="CG161" i="14"/>
  <c r="CF161" i="14"/>
  <c r="CD161" i="14"/>
  <c r="CE161" i="14" s="1"/>
  <c r="CC161" i="14"/>
  <c r="CB161" i="14"/>
  <c r="CA161" i="14"/>
  <c r="BY161" i="14"/>
  <c r="BZ161" i="14" s="1"/>
  <c r="BX161" i="14"/>
  <c r="BW161" i="14"/>
  <c r="BV161" i="14"/>
  <c r="BT161" i="14"/>
  <c r="BU161" i="14" s="1"/>
  <c r="EC160" i="14"/>
  <c r="DX160" i="14"/>
  <c r="DS160" i="14"/>
  <c r="DN160" i="14"/>
  <c r="DI160" i="14"/>
  <c r="DD160" i="14"/>
  <c r="CY160" i="14"/>
  <c r="CT160" i="14"/>
  <c r="CO160" i="14"/>
  <c r="CJ160" i="14"/>
  <c r="CE160" i="14"/>
  <c r="BZ160" i="14"/>
  <c r="BU160" i="14"/>
  <c r="EC159" i="14"/>
  <c r="DX159" i="14"/>
  <c r="DS159" i="14"/>
  <c r="DN159" i="14"/>
  <c r="DI159" i="14"/>
  <c r="DD159" i="14"/>
  <c r="CY159" i="14"/>
  <c r="CT159" i="14"/>
  <c r="CO159" i="14"/>
  <c r="CJ159" i="14"/>
  <c r="CE159" i="14"/>
  <c r="BZ159" i="14"/>
  <c r="BU159" i="14"/>
  <c r="CX155" i="14"/>
  <c r="CS155" i="14"/>
  <c r="CN155" i="14"/>
  <c r="CI155" i="14"/>
  <c r="CD155" i="14"/>
  <c r="BY155" i="14"/>
  <c r="BT155" i="14"/>
  <c r="EB173" i="14"/>
  <c r="EC173" i="14" s="1"/>
  <c r="EA173" i="14"/>
  <c r="DZ173" i="14"/>
  <c r="DY173" i="14"/>
  <c r="DW173" i="14"/>
  <c r="DX173" i="14" s="1"/>
  <c r="DV173" i="14"/>
  <c r="DU173" i="14"/>
  <c r="DT173" i="14"/>
  <c r="DR173" i="14"/>
  <c r="DS173" i="14" s="1"/>
  <c r="DQ173" i="14"/>
  <c r="DP173" i="14"/>
  <c r="DO173" i="14"/>
  <c r="DM173" i="14"/>
  <c r="DN173" i="14" s="1"/>
  <c r="DL173" i="14"/>
  <c r="DK173" i="14"/>
  <c r="DJ173" i="14"/>
  <c r="DH173" i="14"/>
  <c r="DI173" i="14" s="1"/>
  <c r="DG173" i="14"/>
  <c r="DF173" i="14"/>
  <c r="DE173" i="14"/>
  <c r="DC173" i="14"/>
  <c r="DD173" i="14" s="1"/>
  <c r="DB173" i="14"/>
  <c r="DA173" i="14"/>
  <c r="CZ173" i="14"/>
  <c r="CX173" i="14"/>
  <c r="CY173" i="14" s="1"/>
  <c r="CW173" i="14"/>
  <c r="CV173" i="14"/>
  <c r="CU173" i="14"/>
  <c r="CS173" i="14"/>
  <c r="CT173" i="14" s="1"/>
  <c r="CR173" i="14"/>
  <c r="CQ173" i="14"/>
  <c r="CP173" i="14"/>
  <c r="CN173" i="14"/>
  <c r="CO173" i="14" s="1"/>
  <c r="CM173" i="14"/>
  <c r="CL173" i="14"/>
  <c r="CK173" i="14"/>
  <c r="CI173" i="14"/>
  <c r="CJ173" i="14" s="1"/>
  <c r="CH173" i="14"/>
  <c r="CG173" i="14"/>
  <c r="CF173" i="14"/>
  <c r="CD173" i="14"/>
  <c r="CE173" i="14" s="1"/>
  <c r="CC173" i="14"/>
  <c r="CB173" i="14"/>
  <c r="CA173" i="14"/>
  <c r="BY173" i="14"/>
  <c r="BZ173" i="14" s="1"/>
  <c r="BX173" i="14"/>
  <c r="BW173" i="14"/>
  <c r="BV173" i="14"/>
  <c r="BT173" i="14"/>
  <c r="BU173" i="14" s="1"/>
  <c r="EC172" i="14"/>
  <c r="DX172" i="14"/>
  <c r="DS172" i="14"/>
  <c r="DN172" i="14"/>
  <c r="DI172" i="14"/>
  <c r="DD172" i="14"/>
  <c r="CY172" i="14"/>
  <c r="CT172" i="14"/>
  <c r="CO172" i="14"/>
  <c r="CJ172" i="14"/>
  <c r="CE172" i="14"/>
  <c r="BZ172" i="14"/>
  <c r="BU172" i="14"/>
  <c r="EC171" i="14"/>
  <c r="DX171" i="14"/>
  <c r="DS171" i="14"/>
  <c r="DN171" i="14"/>
  <c r="DI171" i="14"/>
  <c r="DD171" i="14"/>
  <c r="CY171" i="14"/>
  <c r="CT171" i="14"/>
  <c r="CO171" i="14"/>
  <c r="CJ171" i="14"/>
  <c r="CE171" i="14"/>
  <c r="BZ171" i="14"/>
  <c r="BU171" i="14"/>
  <c r="CX167" i="14"/>
  <c r="CS167" i="14"/>
  <c r="CN167" i="14"/>
  <c r="CI167" i="14"/>
  <c r="CD167" i="14"/>
  <c r="BY167" i="14"/>
  <c r="BT167" i="14"/>
  <c r="BU184" i="14"/>
  <c r="BU183" i="14"/>
  <c r="BT185" i="14"/>
  <c r="BU185" i="14" s="1"/>
  <c r="BT179" i="14"/>
  <c r="DC185" i="14"/>
  <c r="DD185" i="14" s="1"/>
  <c r="DB185" i="14"/>
  <c r="DA185" i="14"/>
  <c r="CZ185" i="14"/>
  <c r="CX185" i="14"/>
  <c r="CY185" i="14" s="1"/>
  <c r="CW185" i="14"/>
  <c r="CV185" i="14"/>
  <c r="CU185" i="14"/>
  <c r="CS185" i="14"/>
  <c r="CT185" i="14" s="1"/>
  <c r="CR185" i="14"/>
  <c r="CQ185" i="14"/>
  <c r="CP185" i="14"/>
  <c r="CN185" i="14"/>
  <c r="CO185" i="14" s="1"/>
  <c r="CM185" i="14"/>
  <c r="CL185" i="14"/>
  <c r="CK185" i="14"/>
  <c r="CI185" i="14"/>
  <c r="CJ185" i="14" s="1"/>
  <c r="CH185" i="14"/>
  <c r="CG185" i="14"/>
  <c r="CF185" i="14"/>
  <c r="CD185" i="14"/>
  <c r="CE185" i="14" s="1"/>
  <c r="CC185" i="14"/>
  <c r="CB185" i="14"/>
  <c r="CA185" i="14"/>
  <c r="BY185" i="14"/>
  <c r="BZ185" i="14" s="1"/>
  <c r="BX185" i="14"/>
  <c r="BW185" i="14"/>
  <c r="BV185" i="14"/>
  <c r="DD184" i="14"/>
  <c r="CY184" i="14"/>
  <c r="CT184" i="14"/>
  <c r="CO184" i="14"/>
  <c r="CJ184" i="14"/>
  <c r="CE184" i="14"/>
  <c r="BZ184" i="14"/>
  <c r="DD183" i="14"/>
  <c r="CY183" i="14"/>
  <c r="CT183" i="14"/>
  <c r="CO183" i="14"/>
  <c r="CJ183" i="14"/>
  <c r="CE183" i="14"/>
  <c r="BZ183" i="14"/>
  <c r="CX179" i="14"/>
  <c r="CS179" i="14"/>
  <c r="CN179" i="14"/>
  <c r="CI179" i="14"/>
  <c r="CD179" i="14"/>
  <c r="BY179" i="14"/>
  <c r="DE185" i="14"/>
  <c r="DF185" i="14"/>
  <c r="DG185" i="14"/>
  <c r="DH185" i="14"/>
  <c r="DI185" i="14" s="1"/>
  <c r="DI184" i="14"/>
  <c r="DI183" i="14"/>
  <c r="EB185" i="14"/>
  <c r="EC185" i="14" s="1"/>
  <c r="EA185" i="14"/>
  <c r="DZ185" i="14"/>
  <c r="DY185" i="14"/>
  <c r="EC184" i="14"/>
  <c r="EC183" i="14"/>
  <c r="DW185" i="14"/>
  <c r="DX185" i="14" s="1"/>
  <c r="DV185" i="14"/>
  <c r="DU185" i="14"/>
  <c r="DT185" i="14"/>
  <c r="DX184" i="14"/>
  <c r="DX183" i="14"/>
  <c r="DR185" i="14"/>
  <c r="DS185" i="14" s="1"/>
  <c r="DQ185" i="14"/>
  <c r="DP185" i="14"/>
  <c r="DO185" i="14"/>
  <c r="DS184" i="14"/>
  <c r="DS183" i="14"/>
  <c r="DN183" i="14"/>
  <c r="DN184" i="14"/>
  <c r="DJ185" i="14"/>
  <c r="DL185" i="14"/>
  <c r="DK185" i="14"/>
  <c r="DM185" i="14"/>
  <c r="DN185" i="14" s="1"/>
  <c r="CI68" i="35"/>
  <c r="CI74" i="35" s="1"/>
  <c r="CJ68" i="35"/>
  <c r="CJ74" i="35" s="1"/>
  <c r="CK68" i="35"/>
  <c r="CK74" i="35" s="1"/>
  <c r="CL68" i="35"/>
  <c r="CL74" i="35" s="1"/>
  <c r="CM68" i="35"/>
  <c r="CM74" i="35" s="1"/>
  <c r="CN68" i="35"/>
  <c r="CN74" i="35" s="1"/>
  <c r="CO68" i="35"/>
  <c r="CO74" i="35" s="1"/>
  <c r="CP68" i="35"/>
  <c r="CP74" i="35" s="1"/>
  <c r="CQ68" i="35"/>
  <c r="CQ74" i="35" s="1"/>
  <c r="CR68" i="35"/>
  <c r="CR74" i="35" s="1"/>
  <c r="CS68" i="35"/>
  <c r="CS74" i="35" s="1"/>
  <c r="CH68" i="35"/>
  <c r="CH74" i="35" s="1"/>
  <c r="CG76" i="35"/>
  <c r="CG70" i="35"/>
  <c r="CG69" i="35"/>
  <c r="CI47" i="35"/>
  <c r="CJ47" i="35"/>
  <c r="CK47" i="35"/>
  <c r="CL47" i="35"/>
  <c r="CM47" i="35"/>
  <c r="CN47" i="35"/>
  <c r="CO47" i="35"/>
  <c r="CP47" i="35"/>
  <c r="CQ47" i="35"/>
  <c r="CR47" i="35"/>
  <c r="CS47" i="35"/>
  <c r="CH47" i="35"/>
  <c r="CI52" i="35"/>
  <c r="CJ52" i="35"/>
  <c r="CK52" i="35"/>
  <c r="CL52" i="35"/>
  <c r="CM52" i="35"/>
  <c r="CN52" i="35"/>
  <c r="CO52" i="35"/>
  <c r="CP52" i="35"/>
  <c r="CQ52" i="35"/>
  <c r="CR52" i="35"/>
  <c r="CS52" i="35"/>
  <c r="CH52" i="35"/>
  <c r="CG55" i="35"/>
  <c r="AN7" i="35"/>
  <c r="AM7" i="35"/>
  <c r="AL7" i="35"/>
  <c r="AK7" i="35"/>
  <c r="AJ7" i="35"/>
  <c r="AI7" i="35"/>
  <c r="AH7" i="35"/>
  <c r="AG7" i="35"/>
  <c r="AF7" i="35"/>
  <c r="AE7" i="35"/>
  <c r="AD7" i="35"/>
  <c r="AB7" i="35"/>
  <c r="AA7" i="35"/>
  <c r="Z7" i="35"/>
  <c r="Y7" i="35"/>
  <c r="X7" i="35"/>
  <c r="W7" i="35"/>
  <c r="V7" i="35"/>
  <c r="U7" i="35"/>
  <c r="T7" i="35"/>
  <c r="S7" i="35"/>
  <c r="R7" i="35"/>
  <c r="Q7" i="35"/>
  <c r="P7" i="35"/>
  <c r="O7" i="35"/>
  <c r="N7" i="35"/>
  <c r="M7" i="35"/>
  <c r="L7" i="35"/>
  <c r="K7" i="35"/>
  <c r="J7" i="35"/>
  <c r="I7" i="35"/>
  <c r="H7" i="35"/>
  <c r="G7" i="35"/>
  <c r="F7" i="35"/>
  <c r="CJ13" i="35"/>
  <c r="CK13" i="35"/>
  <c r="CL13" i="35"/>
  <c r="CM13" i="35"/>
  <c r="CN13" i="35"/>
  <c r="CO13" i="35"/>
  <c r="CP13" i="35"/>
  <c r="CQ13" i="35"/>
  <c r="CR13" i="35"/>
  <c r="CS13" i="35"/>
  <c r="CI13" i="35"/>
  <c r="CG14" i="35"/>
  <c r="E15" i="35"/>
  <c r="CG15" i="35" s="1"/>
  <c r="CJ24" i="35"/>
  <c r="CK24" i="35"/>
  <c r="CL24" i="35"/>
  <c r="CM24" i="35"/>
  <c r="CN24" i="35"/>
  <c r="CO24" i="35"/>
  <c r="CP24" i="35"/>
  <c r="CQ24" i="35"/>
  <c r="CR24" i="35"/>
  <c r="CS24" i="35"/>
  <c r="CI24" i="35"/>
  <c r="CI17" i="35"/>
  <c r="CJ17" i="35"/>
  <c r="CK17" i="35"/>
  <c r="CL17" i="35"/>
  <c r="CM17" i="35"/>
  <c r="CN17" i="35"/>
  <c r="CO17" i="35"/>
  <c r="CP17" i="35"/>
  <c r="CQ17" i="35"/>
  <c r="CR17" i="35"/>
  <c r="CS17" i="35"/>
  <c r="CH17" i="35"/>
  <c r="CG21" i="35"/>
  <c r="AM11" i="35"/>
  <c r="AN11" i="35"/>
  <c r="AL11" i="35"/>
  <c r="AI11" i="35"/>
  <c r="AJ11" i="35"/>
  <c r="AK11" i="35"/>
  <c r="AH11" i="35"/>
  <c r="AE11" i="35"/>
  <c r="AF11" i="35"/>
  <c r="AG11" i="35"/>
  <c r="AD11" i="35"/>
  <c r="AA11" i="35"/>
  <c r="AB11" i="35"/>
  <c r="AC11" i="35"/>
  <c r="Z11" i="35"/>
  <c r="W11" i="35"/>
  <c r="X11" i="35"/>
  <c r="Y11" i="35"/>
  <c r="V11" i="35"/>
  <c r="S11" i="35"/>
  <c r="T11" i="35"/>
  <c r="U11" i="35"/>
  <c r="R11" i="35"/>
  <c r="O11" i="35"/>
  <c r="P11" i="35"/>
  <c r="Q11" i="35"/>
  <c r="N11" i="35"/>
  <c r="K11" i="35"/>
  <c r="L11" i="35"/>
  <c r="M11" i="35"/>
  <c r="J11" i="35"/>
  <c r="E11" i="35"/>
  <c r="F11" i="35"/>
  <c r="G11" i="35"/>
  <c r="H11" i="35"/>
  <c r="I11" i="35"/>
  <c r="CP113" i="35"/>
  <c r="CP118" i="35" s="1"/>
  <c r="CQ113" i="35"/>
  <c r="CQ118" i="35" s="1"/>
  <c r="CR113" i="35"/>
  <c r="CR118" i="35" s="1"/>
  <c r="CS113" i="35"/>
  <c r="CS118" i="35" s="1"/>
  <c r="AM33" i="35"/>
  <c r="AN33" i="35"/>
  <c r="AM34" i="35"/>
  <c r="AN34" i="35"/>
  <c r="AL34" i="35"/>
  <c r="AL33" i="35"/>
  <c r="AI33" i="35"/>
  <c r="AJ33" i="35"/>
  <c r="AK33" i="35"/>
  <c r="AI34" i="35"/>
  <c r="AJ34" i="35"/>
  <c r="AK34" i="35"/>
  <c r="AH34" i="35"/>
  <c r="AH33" i="35"/>
  <c r="AE33" i="35"/>
  <c r="AF33" i="35"/>
  <c r="AG33" i="35"/>
  <c r="AE34" i="35"/>
  <c r="AF34" i="35"/>
  <c r="AG34" i="35"/>
  <c r="AD34" i="35"/>
  <c r="AD33" i="35"/>
  <c r="AA33" i="35"/>
  <c r="AB33" i="35"/>
  <c r="AC33" i="35"/>
  <c r="AA34" i="35"/>
  <c r="AB34" i="35"/>
  <c r="AC34" i="35"/>
  <c r="Z34" i="35"/>
  <c r="Z33" i="35"/>
  <c r="W33" i="35"/>
  <c r="X33" i="35"/>
  <c r="Y33" i="35"/>
  <c r="W34" i="35"/>
  <c r="X34" i="35"/>
  <c r="Y34" i="35"/>
  <c r="V34" i="35"/>
  <c r="V33" i="35"/>
  <c r="S33" i="35"/>
  <c r="T33" i="35"/>
  <c r="U33" i="35"/>
  <c r="S34" i="35"/>
  <c r="T34" i="35"/>
  <c r="U34" i="35"/>
  <c r="R34" i="35"/>
  <c r="R33" i="35"/>
  <c r="O33" i="35"/>
  <c r="P33" i="35"/>
  <c r="Q33" i="35"/>
  <c r="O34" i="35"/>
  <c r="P34" i="35"/>
  <c r="Q34" i="35"/>
  <c r="N34" i="35"/>
  <c r="N33" i="35"/>
  <c r="K33" i="35"/>
  <c r="L33" i="35"/>
  <c r="M33" i="35"/>
  <c r="K34" i="35"/>
  <c r="L34" i="35"/>
  <c r="M34" i="35"/>
  <c r="J34" i="35"/>
  <c r="J33" i="35"/>
  <c r="G33" i="35"/>
  <c r="H33" i="35"/>
  <c r="I33" i="35"/>
  <c r="G34" i="35"/>
  <c r="H34" i="35"/>
  <c r="I34" i="35"/>
  <c r="F34" i="35"/>
  <c r="F33" i="35"/>
  <c r="BP104" i="14"/>
  <c r="BF104" i="14"/>
  <c r="BK104" i="14"/>
  <c r="CI113" i="35"/>
  <c r="CI118" i="35" s="1"/>
  <c r="CJ113" i="35"/>
  <c r="CJ118" i="35" s="1"/>
  <c r="CK113" i="35"/>
  <c r="CK118" i="35" s="1"/>
  <c r="CL113" i="35"/>
  <c r="CL118" i="35" s="1"/>
  <c r="CM113" i="35"/>
  <c r="CM118" i="35" s="1"/>
  <c r="CN113" i="35"/>
  <c r="CN118" i="35" s="1"/>
  <c r="CO113" i="35"/>
  <c r="CO118" i="35" s="1"/>
  <c r="CH113" i="35"/>
  <c r="CH118" i="35" s="1"/>
  <c r="CO114" i="35"/>
  <c r="CO115" i="35" s="1"/>
  <c r="CN114" i="35"/>
  <c r="CN115" i="35" s="1"/>
  <c r="CM114" i="35"/>
  <c r="CM115" i="35" s="1"/>
  <c r="CL114" i="35"/>
  <c r="CL115" i="35" s="1"/>
  <c r="BY84" i="14"/>
  <c r="CH114" i="35" s="1"/>
  <c r="CH115" i="35" s="1"/>
  <c r="CD84" i="14"/>
  <c r="CI114" i="35" s="1"/>
  <c r="CI115" i="35" s="1"/>
  <c r="CI84" i="14"/>
  <c r="CJ114" i="35" s="1"/>
  <c r="CJ115" i="35" s="1"/>
  <c r="CN84" i="14"/>
  <c r="CK114" i="35" s="1"/>
  <c r="CK115" i="35" s="1"/>
  <c r="Q8" i="35" l="1"/>
  <c r="L8" i="35"/>
  <c r="K8" i="35"/>
  <c r="S8" i="35"/>
  <c r="AA8" i="35"/>
  <c r="Y8" i="35"/>
  <c r="T8" i="35"/>
  <c r="AH8" i="35"/>
  <c r="AH83" i="35" s="1"/>
  <c r="J8" i="35"/>
  <c r="R8" i="35"/>
  <c r="Z8" i="35"/>
  <c r="AI8" i="35"/>
  <c r="AI83" i="35" s="1"/>
  <c r="AI88" i="35" s="1"/>
  <c r="N8" i="35"/>
  <c r="V8" i="35"/>
  <c r="AE8" i="35"/>
  <c r="AE83" i="35" s="1"/>
  <c r="AM8" i="35"/>
  <c r="AM83" i="35" s="1"/>
  <c r="AM88" i="35" s="1"/>
  <c r="O8" i="35"/>
  <c r="W8" i="35"/>
  <c r="AF8" i="35"/>
  <c r="AF83" i="35" s="1"/>
  <c r="AN8" i="35"/>
  <c r="AN83" i="35" s="1"/>
  <c r="AN88" i="35" s="1"/>
  <c r="P8" i="35"/>
  <c r="X8" i="35"/>
  <c r="AJ8" i="35"/>
  <c r="AJ83" i="35" s="1"/>
  <c r="AJ88" i="35" s="1"/>
  <c r="AB8" i="35"/>
  <c r="AK8" i="35"/>
  <c r="AK83" i="35" s="1"/>
  <c r="AK88" i="35" s="1"/>
  <c r="M8" i="35"/>
  <c r="U8" i="35"/>
  <c r="AD8" i="35"/>
  <c r="AD83" i="35" s="1"/>
  <c r="AL8" i="35"/>
  <c r="AL83" i="35" s="1"/>
  <c r="AL88" i="35" s="1"/>
  <c r="BK116" i="14"/>
  <c r="BU116" i="14"/>
  <c r="BP116" i="14"/>
  <c r="BK123" i="14"/>
  <c r="BK121" i="14"/>
  <c r="BK120" i="14"/>
  <c r="BK125" i="14"/>
  <c r="BK127" i="14"/>
  <c r="BK119" i="14"/>
  <c r="BF127" i="14"/>
  <c r="BF125" i="14"/>
  <c r="BF123" i="14"/>
  <c r="BF121" i="14"/>
  <c r="BF120" i="14"/>
  <c r="BF119" i="14"/>
  <c r="BP120" i="14"/>
  <c r="BP123" i="14"/>
  <c r="BP127" i="14"/>
  <c r="BP121" i="14"/>
  <c r="BP125" i="14"/>
  <c r="BP119" i="14"/>
  <c r="DR84" i="14"/>
  <c r="CE143" i="14"/>
  <c r="CD146" i="14"/>
  <c r="CD150" i="14" s="1"/>
  <c r="BZ143" i="14"/>
  <c r="BY146" i="14"/>
  <c r="BY150" i="14" s="1"/>
  <c r="BU143" i="14"/>
  <c r="BT146" i="14"/>
  <c r="CY143" i="14"/>
  <c r="CX146" i="14"/>
  <c r="CX150" i="14" s="1"/>
  <c r="CY150" i="14" s="1"/>
  <c r="CS146" i="14"/>
  <c r="CS150" i="14" s="1"/>
  <c r="CT150" i="14" s="1"/>
  <c r="CT143" i="14"/>
  <c r="CO143" i="14"/>
  <c r="CN146" i="14"/>
  <c r="CN150" i="14" s="1"/>
  <c r="CO150" i="14" s="1"/>
  <c r="CI146" i="14"/>
  <c r="CI150" i="14" s="1"/>
  <c r="CJ150" i="14" s="1"/>
  <c r="CJ143" i="14"/>
  <c r="BZ155" i="14"/>
  <c r="BZ156" i="14" s="1"/>
  <c r="BY158" i="14"/>
  <c r="BU155" i="14"/>
  <c r="BU156" i="14" s="1"/>
  <c r="BT158" i="14"/>
  <c r="CY191" i="14"/>
  <c r="CX194" i="14"/>
  <c r="CX198" i="14" s="1"/>
  <c r="CY198" i="14" s="1"/>
  <c r="CT191" i="14"/>
  <c r="CT192" i="14" s="1"/>
  <c r="CS194" i="14"/>
  <c r="CS198" i="14" s="1"/>
  <c r="CT198" i="14" s="1"/>
  <c r="CN194" i="14"/>
  <c r="CN198" i="14" s="1"/>
  <c r="CO198" i="14" s="1"/>
  <c r="CO191" i="14"/>
  <c r="CO192" i="14" s="1"/>
  <c r="CJ191" i="14"/>
  <c r="CJ192" i="14" s="1"/>
  <c r="CI194" i="14"/>
  <c r="CI198" i="14" s="1"/>
  <c r="CJ198" i="14" s="1"/>
  <c r="CD194" i="14"/>
  <c r="CD198" i="14" s="1"/>
  <c r="CE198" i="14" s="1"/>
  <c r="CE191" i="14"/>
  <c r="CE192" i="14" s="1"/>
  <c r="BY194" i="14"/>
  <c r="BY198" i="14" s="1"/>
  <c r="BZ198" i="14" s="1"/>
  <c r="BZ191" i="14"/>
  <c r="BZ192" i="14" s="1"/>
  <c r="BU191" i="14"/>
  <c r="BU192" i="14" s="1"/>
  <c r="BT194" i="14"/>
  <c r="BT198" i="14" s="1"/>
  <c r="BU198" i="14" s="1"/>
  <c r="CY155" i="14"/>
  <c r="CX158" i="14"/>
  <c r="CX162" i="14" s="1"/>
  <c r="CY162" i="14" s="1"/>
  <c r="CS158" i="14"/>
  <c r="CS162" i="14" s="1"/>
  <c r="CT162" i="14" s="1"/>
  <c r="CT155" i="14"/>
  <c r="CT156" i="14" s="1"/>
  <c r="CO155" i="14"/>
  <c r="CO156" i="14" s="1"/>
  <c r="CN158" i="14"/>
  <c r="CN162" i="14" s="1"/>
  <c r="CO162" i="14" s="1"/>
  <c r="CI158" i="14"/>
  <c r="CI162" i="14" s="1"/>
  <c r="CJ162" i="14" s="1"/>
  <c r="CJ155" i="14"/>
  <c r="CJ156" i="14" s="1"/>
  <c r="CE155" i="14"/>
  <c r="CE156" i="14" s="1"/>
  <c r="CD158" i="14"/>
  <c r="CD162" i="14" s="1"/>
  <c r="CE162" i="14" s="1"/>
  <c r="CY167" i="14"/>
  <c r="CX170" i="14"/>
  <c r="CT167" i="14"/>
  <c r="CT168" i="14" s="1"/>
  <c r="CS170" i="14"/>
  <c r="CO167" i="14"/>
  <c r="CO168" i="14" s="1"/>
  <c r="CN170" i="14"/>
  <c r="CI170" i="14"/>
  <c r="CI174" i="14" s="1"/>
  <c r="CJ174" i="14" s="1"/>
  <c r="CJ167" i="14"/>
  <c r="CJ168" i="14" s="1"/>
  <c r="CE167" i="14"/>
  <c r="CE168" i="14" s="1"/>
  <c r="CD170" i="14"/>
  <c r="CD174" i="14" s="1"/>
  <c r="CE174" i="14" s="1"/>
  <c r="BY170" i="14"/>
  <c r="BY174" i="14" s="1"/>
  <c r="BZ174" i="14" s="1"/>
  <c r="BZ167" i="14"/>
  <c r="BZ168" i="14" s="1"/>
  <c r="BT170" i="14"/>
  <c r="BT174" i="14" s="1"/>
  <c r="BU174" i="14" s="1"/>
  <c r="BU167" i="14"/>
  <c r="BU168" i="14" s="1"/>
  <c r="BU179" i="14"/>
  <c r="BU180" i="14" s="1"/>
  <c r="BT182" i="14"/>
  <c r="CX182" i="14"/>
  <c r="CX186" i="14" s="1"/>
  <c r="CY186" i="14" s="1"/>
  <c r="CY179" i="14"/>
  <c r="CT179" i="14"/>
  <c r="CT180" i="14" s="1"/>
  <c r="CS182" i="14"/>
  <c r="CS186" i="14" s="1"/>
  <c r="CT186" i="14" s="1"/>
  <c r="CO179" i="14"/>
  <c r="CO180" i="14" s="1"/>
  <c r="CN182" i="14"/>
  <c r="CN186" i="14" s="1"/>
  <c r="CO186" i="14" s="1"/>
  <c r="CJ179" i="14"/>
  <c r="CJ180" i="14" s="1"/>
  <c r="CI182" i="14"/>
  <c r="CI186" i="14" s="1"/>
  <c r="CJ186" i="14" s="1"/>
  <c r="CD182" i="14"/>
  <c r="CD186" i="14" s="1"/>
  <c r="CE186" i="14" s="1"/>
  <c r="CE179" i="14"/>
  <c r="CE180" i="14" s="1"/>
  <c r="BZ179" i="14"/>
  <c r="BZ180" i="14" s="1"/>
  <c r="BY182" i="14"/>
  <c r="BY186" i="14" s="1"/>
  <c r="BZ186" i="14" s="1"/>
  <c r="BP128" i="14" l="1"/>
  <c r="BF128" i="14"/>
  <c r="BK128" i="14"/>
  <c r="CE146" i="14"/>
  <c r="CE145" i="14" s="1"/>
  <c r="BZ146" i="14"/>
  <c r="BZ145" i="14" s="1"/>
  <c r="DW84" i="14"/>
  <c r="CQ114" i="35"/>
  <c r="CQ115" i="35" s="1"/>
  <c r="BT150" i="14"/>
  <c r="BU150" i="14" s="1"/>
  <c r="BU146" i="14"/>
  <c r="BU145" i="14" s="1"/>
  <c r="CE150" i="14"/>
  <c r="CD151" i="14"/>
  <c r="CE151" i="14" s="1"/>
  <c r="CE152" i="14" s="1"/>
  <c r="CX151" i="14"/>
  <c r="CY146" i="14"/>
  <c r="CY145" i="14" s="1"/>
  <c r="CS151" i="14"/>
  <c r="CT146" i="14"/>
  <c r="CT145" i="14" s="1"/>
  <c r="CO146" i="14"/>
  <c r="CO145" i="14" s="1"/>
  <c r="CN151" i="14"/>
  <c r="CJ146" i="14"/>
  <c r="CJ145" i="14" s="1"/>
  <c r="CI151" i="14"/>
  <c r="BZ150" i="14"/>
  <c r="BY151" i="14"/>
  <c r="BY162" i="14"/>
  <c r="BZ162" i="14" s="1"/>
  <c r="BZ158" i="14"/>
  <c r="BZ157" i="14" s="1"/>
  <c r="BU158" i="14"/>
  <c r="BU157" i="14" s="1"/>
  <c r="BT162" i="14"/>
  <c r="CX199" i="14"/>
  <c r="CY194" i="14"/>
  <c r="CY193" i="14" s="1"/>
  <c r="CS199" i="14"/>
  <c r="CT194" i="14"/>
  <c r="CT193" i="14" s="1"/>
  <c r="CO194" i="14"/>
  <c r="CO193" i="14" s="1"/>
  <c r="CN199" i="14"/>
  <c r="CJ194" i="14"/>
  <c r="CJ193" i="14" s="1"/>
  <c r="CI199" i="14"/>
  <c r="CE194" i="14"/>
  <c r="CE193" i="14" s="1"/>
  <c r="CD199" i="14"/>
  <c r="BZ194" i="14"/>
  <c r="BZ193" i="14" s="1"/>
  <c r="BY199" i="14"/>
  <c r="BU194" i="14"/>
  <c r="BU193" i="14" s="1"/>
  <c r="BT199" i="14"/>
  <c r="CX163" i="14"/>
  <c r="CY158" i="14"/>
  <c r="CY157" i="14" s="1"/>
  <c r="CT158" i="14"/>
  <c r="CT157" i="14" s="1"/>
  <c r="CS163" i="14"/>
  <c r="CN163" i="14"/>
  <c r="CO158" i="14"/>
  <c r="CO157" i="14" s="1"/>
  <c r="CJ158" i="14"/>
  <c r="CJ157" i="14" s="1"/>
  <c r="CI163" i="14"/>
  <c r="CE158" i="14"/>
  <c r="CE157" i="14" s="1"/>
  <c r="CD163" i="14"/>
  <c r="CY170" i="14"/>
  <c r="CY169" i="14" s="1"/>
  <c r="CX174" i="14"/>
  <c r="CT170" i="14"/>
  <c r="CT169" i="14" s="1"/>
  <c r="CS174" i="14"/>
  <c r="CO170" i="14"/>
  <c r="CO169" i="14" s="1"/>
  <c r="CN174" i="14"/>
  <c r="CJ170" i="14"/>
  <c r="CJ169" i="14" s="1"/>
  <c r="CI175" i="14"/>
  <c r="CE170" i="14"/>
  <c r="CE169" i="14" s="1"/>
  <c r="CD175" i="14"/>
  <c r="BZ170" i="14"/>
  <c r="BZ169" i="14" s="1"/>
  <c r="BY175" i="14"/>
  <c r="BU170" i="14"/>
  <c r="BU169" i="14" s="1"/>
  <c r="BT175" i="14"/>
  <c r="BT186" i="14"/>
  <c r="BU182" i="14"/>
  <c r="BU181" i="14" s="1"/>
  <c r="CY182" i="14"/>
  <c r="CY181" i="14" s="1"/>
  <c r="CX187" i="14"/>
  <c r="CS187" i="14"/>
  <c r="CT182" i="14"/>
  <c r="CT181" i="14" s="1"/>
  <c r="CN187" i="14"/>
  <c r="CO182" i="14"/>
  <c r="CO181" i="14" s="1"/>
  <c r="CJ182" i="14"/>
  <c r="CJ181" i="14" s="1"/>
  <c r="CI187" i="14"/>
  <c r="CE182" i="14"/>
  <c r="CE181" i="14" s="1"/>
  <c r="CD187" i="14"/>
  <c r="BY187" i="14"/>
  <c r="BZ182" i="14"/>
  <c r="BZ181" i="14" s="1"/>
  <c r="EB60" i="12"/>
  <c r="EA60" i="12"/>
  <c r="DZ60" i="12"/>
  <c r="DW55" i="12"/>
  <c r="EB55" i="12" s="1"/>
  <c r="DR62" i="12"/>
  <c r="DW62" i="12" s="1"/>
  <c r="EB62" i="12" s="1"/>
  <c r="DR61" i="12"/>
  <c r="DW61" i="12" s="1"/>
  <c r="EB61" i="12" s="1"/>
  <c r="C58" i="12"/>
  <c r="D58" i="12"/>
  <c r="E58"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C57" i="12"/>
  <c r="D57" i="12"/>
  <c r="E57" i="12"/>
  <c r="F57"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DW60" i="12"/>
  <c r="C67" i="13"/>
  <c r="D67" i="13"/>
  <c r="E67" i="13"/>
  <c r="F67" i="13"/>
  <c r="G67" i="13"/>
  <c r="H67" i="13"/>
  <c r="I67" i="13"/>
  <c r="J67" i="13"/>
  <c r="K67" i="13"/>
  <c r="L67" i="13"/>
  <c r="M67" i="13"/>
  <c r="N67" i="13"/>
  <c r="O67" i="13"/>
  <c r="P67" i="13"/>
  <c r="Q67" i="13"/>
  <c r="R67" i="13"/>
  <c r="S67" i="13"/>
  <c r="T67" i="13"/>
  <c r="U67" i="13"/>
  <c r="V67" i="13"/>
  <c r="W67" i="13"/>
  <c r="X67" i="13"/>
  <c r="Y67" i="13"/>
  <c r="Z67" i="13"/>
  <c r="AA67" i="13"/>
  <c r="AB67" i="13"/>
  <c r="AC67" i="13"/>
  <c r="AD67" i="13"/>
  <c r="AE67" i="13"/>
  <c r="AF67" i="13"/>
  <c r="AG67" i="13"/>
  <c r="AH67" i="13"/>
  <c r="AI67" i="13"/>
  <c r="AJ67" i="13"/>
  <c r="AK67" i="13"/>
  <c r="AL67" i="13"/>
  <c r="AM67" i="13"/>
  <c r="AN67" i="13"/>
  <c r="AO67" i="13"/>
  <c r="AP67" i="13"/>
  <c r="AQ67" i="13"/>
  <c r="AR67" i="13"/>
  <c r="AS67" i="13"/>
  <c r="AT67" i="13"/>
  <c r="AU67" i="13"/>
  <c r="AV67" i="13"/>
  <c r="AW67" i="13"/>
  <c r="AX67" i="13"/>
  <c r="AY67" i="13"/>
  <c r="AZ67" i="13"/>
  <c r="BA67" i="13"/>
  <c r="BB67" i="13"/>
  <c r="BC67" i="13"/>
  <c r="BD67" i="13"/>
  <c r="BE67" i="13"/>
  <c r="BF67" i="13"/>
  <c r="BG67" i="13"/>
  <c r="BH67" i="13"/>
  <c r="BI67" i="13"/>
  <c r="BJ67" i="13"/>
  <c r="BK67" i="13"/>
  <c r="BL67" i="13"/>
  <c r="BM67" i="13"/>
  <c r="BN67" i="13"/>
  <c r="BO67" i="13"/>
  <c r="BP67" i="13"/>
  <c r="DY28" i="13"/>
  <c r="DU28" i="13"/>
  <c r="DZ28" i="13" s="1"/>
  <c r="DV28" i="13"/>
  <c r="EA28" i="13" s="1"/>
  <c r="DW28" i="13"/>
  <c r="EB28" i="13" s="1"/>
  <c r="DT28" i="13"/>
  <c r="AJ71" i="40"/>
  <c r="AI71" i="40"/>
  <c r="AH71" i="40"/>
  <c r="AG71" i="40"/>
  <c r="AF71" i="40"/>
  <c r="AE71" i="40"/>
  <c r="AD71" i="40"/>
  <c r="AC71" i="40"/>
  <c r="E71" i="40"/>
  <c r="F71" i="40"/>
  <c r="G71" i="40"/>
  <c r="H71" i="40"/>
  <c r="I71" i="40"/>
  <c r="J71" i="40"/>
  <c r="K71" i="40"/>
  <c r="L71" i="40"/>
  <c r="M71" i="40"/>
  <c r="N71" i="40"/>
  <c r="O71" i="40"/>
  <c r="P71" i="40"/>
  <c r="Q71" i="40"/>
  <c r="R71" i="40"/>
  <c r="S71" i="40"/>
  <c r="T71" i="40"/>
  <c r="U71" i="40"/>
  <c r="V71" i="40"/>
  <c r="W71" i="40"/>
  <c r="X71" i="40"/>
  <c r="Y71" i="40"/>
  <c r="Z71" i="40"/>
  <c r="AA71" i="40"/>
  <c r="D71" i="40"/>
  <c r="DM35" i="2"/>
  <c r="BT151" i="14" l="1"/>
  <c r="BY163" i="14"/>
  <c r="CD152" i="14"/>
  <c r="CD153" i="14" s="1"/>
  <c r="EB84" i="14"/>
  <c r="CS114" i="35" s="1"/>
  <c r="CS115" i="35" s="1"/>
  <c r="CR114" i="35"/>
  <c r="CR115" i="35" s="1"/>
  <c r="CX152" i="14"/>
  <c r="CX153" i="14" s="1"/>
  <c r="CY151" i="14"/>
  <c r="CY152" i="14" s="1"/>
  <c r="CT151" i="14"/>
  <c r="CT152" i="14" s="1"/>
  <c r="CS152" i="14"/>
  <c r="CS153" i="14" s="1"/>
  <c r="CO151" i="14"/>
  <c r="CO152" i="14" s="1"/>
  <c r="CN152" i="14"/>
  <c r="CN153" i="14" s="1"/>
  <c r="CJ151" i="14"/>
  <c r="CJ152" i="14" s="1"/>
  <c r="CI152" i="14"/>
  <c r="CI153" i="14" s="1"/>
  <c r="BY152" i="14"/>
  <c r="BY153" i="14" s="1"/>
  <c r="BZ151" i="14"/>
  <c r="BZ152" i="14" s="1"/>
  <c r="CO174" i="14"/>
  <c r="CN175" i="14"/>
  <c r="BU162" i="14"/>
  <c r="BT163" i="14"/>
  <c r="CX200" i="14"/>
  <c r="CX201" i="14" s="1"/>
  <c r="CY199" i="14"/>
  <c r="CY200" i="14" s="1"/>
  <c r="CT199" i="14"/>
  <c r="CT200" i="14" s="1"/>
  <c r="CS200" i="14"/>
  <c r="CS201" i="14" s="1"/>
  <c r="CN200" i="14"/>
  <c r="CN201" i="14" s="1"/>
  <c r="CO199" i="14"/>
  <c r="CO200" i="14" s="1"/>
  <c r="CJ199" i="14"/>
  <c r="CJ200" i="14" s="1"/>
  <c r="CI200" i="14"/>
  <c r="CI201" i="14" s="1"/>
  <c r="CE199" i="14"/>
  <c r="CE200" i="14" s="1"/>
  <c r="CD200" i="14"/>
  <c r="CD201" i="14" s="1"/>
  <c r="BZ199" i="14"/>
  <c r="BZ200" i="14" s="1"/>
  <c r="BY200" i="14"/>
  <c r="BY201" i="14" s="1"/>
  <c r="BU199" i="14"/>
  <c r="BU200" i="14" s="1"/>
  <c r="BT200" i="14"/>
  <c r="BT201" i="14" s="1"/>
  <c r="CY163" i="14"/>
  <c r="CY164" i="14" s="1"/>
  <c r="CX164" i="14"/>
  <c r="CX165" i="14" s="1"/>
  <c r="CS164" i="14"/>
  <c r="CS165" i="14" s="1"/>
  <c r="CT163" i="14"/>
  <c r="CT164" i="14" s="1"/>
  <c r="CN164" i="14"/>
  <c r="CN165" i="14" s="1"/>
  <c r="CO163" i="14"/>
  <c r="CO164" i="14" s="1"/>
  <c r="CJ163" i="14"/>
  <c r="CJ164" i="14" s="1"/>
  <c r="CI164" i="14"/>
  <c r="CI165" i="14" s="1"/>
  <c r="CD164" i="14"/>
  <c r="CD165" i="14" s="1"/>
  <c r="CE163" i="14"/>
  <c r="CE164" i="14" s="1"/>
  <c r="CJ175" i="14"/>
  <c r="CJ176" i="14" s="1"/>
  <c r="CI176" i="14"/>
  <c r="CI177" i="14" s="1"/>
  <c r="CE175" i="14"/>
  <c r="CE176" i="14" s="1"/>
  <c r="CD176" i="14"/>
  <c r="CD177" i="14" s="1"/>
  <c r="BZ175" i="14"/>
  <c r="BZ176" i="14" s="1"/>
  <c r="BY176" i="14"/>
  <c r="BY177" i="14" s="1"/>
  <c r="BT176" i="14"/>
  <c r="BT177" i="14" s="1"/>
  <c r="BU175" i="14"/>
  <c r="BU176" i="14" s="1"/>
  <c r="CY174" i="14"/>
  <c r="CX175" i="14"/>
  <c r="CT174" i="14"/>
  <c r="CS175" i="14"/>
  <c r="BU186" i="14"/>
  <c r="BT187" i="14"/>
  <c r="CX188" i="14"/>
  <c r="CX189" i="14" s="1"/>
  <c r="CY187" i="14"/>
  <c r="CY188" i="14" s="1"/>
  <c r="CT187" i="14"/>
  <c r="CT188" i="14" s="1"/>
  <c r="CS188" i="14"/>
  <c r="CS189" i="14" s="1"/>
  <c r="CN188" i="14"/>
  <c r="CN189" i="14" s="1"/>
  <c r="CO187" i="14"/>
  <c r="CO188" i="14" s="1"/>
  <c r="CJ187" i="14"/>
  <c r="CJ188" i="14" s="1"/>
  <c r="CI188" i="14"/>
  <c r="CI189" i="14" s="1"/>
  <c r="CD188" i="14"/>
  <c r="CD189" i="14" s="1"/>
  <c r="CE187" i="14"/>
  <c r="CE188" i="14" s="1"/>
  <c r="BZ187" i="14"/>
  <c r="BZ188" i="14" s="1"/>
  <c r="BY188" i="14"/>
  <c r="BY189" i="14" s="1"/>
  <c r="CO175" i="14" l="1"/>
  <c r="CO176" i="14" s="1"/>
  <c r="CN176" i="14"/>
  <c r="CN177" i="14" s="1"/>
  <c r="BU151" i="14"/>
  <c r="BU152" i="14" s="1"/>
  <c r="BT152" i="14"/>
  <c r="BT153" i="14" s="1"/>
  <c r="BY164" i="14"/>
  <c r="BY165" i="14" s="1"/>
  <c r="BZ163" i="14"/>
  <c r="BZ164" i="14" s="1"/>
  <c r="BT164" i="14"/>
  <c r="BT165" i="14" s="1"/>
  <c r="BU163" i="14"/>
  <c r="BU164" i="14" s="1"/>
  <c r="CX176" i="14"/>
  <c r="CX177" i="14" s="1"/>
  <c r="CY175" i="14"/>
  <c r="CY176" i="14" s="1"/>
  <c r="CS176" i="14"/>
  <c r="CS177" i="14" s="1"/>
  <c r="CT175" i="14"/>
  <c r="CT176" i="14" s="1"/>
  <c r="BU187" i="14"/>
  <c r="BU188" i="14" s="1"/>
  <c r="BT188" i="14"/>
  <c r="BT189" i="14" s="1"/>
  <c r="DM70" i="14" l="1"/>
  <c r="AO150" i="35" s="1"/>
  <c r="DM41" i="14"/>
  <c r="DM216" i="14" s="1"/>
  <c r="DM49" i="2"/>
  <c r="DO49" i="2" s="1"/>
  <c r="DP49" i="2" s="1"/>
  <c r="DQ49" i="2" s="1"/>
  <c r="DR49" i="2" s="1"/>
  <c r="DT49" i="2" s="1"/>
  <c r="DR35" i="2"/>
  <c r="DW35" i="2" s="1"/>
  <c r="EB35" i="2" s="1"/>
  <c r="O23" i="37"/>
  <c r="N23" i="37"/>
  <c r="M23" i="37"/>
  <c r="L23" i="37"/>
  <c r="H33" i="42"/>
  <c r="H31" i="42"/>
  <c r="H29" i="42"/>
  <c r="H27" i="42"/>
  <c r="H25" i="42"/>
  <c r="H23" i="42"/>
  <c r="H21" i="42"/>
  <c r="H18" i="42"/>
  <c r="H19" i="42"/>
  <c r="H17" i="42"/>
  <c r="H15" i="42"/>
  <c r="H13" i="42"/>
  <c r="H11" i="42"/>
  <c r="DL42" i="14"/>
  <c r="DK42" i="14"/>
  <c r="DJ42" i="14"/>
  <c r="DH42" i="14"/>
  <c r="DG42" i="14"/>
  <c r="DF42" i="14"/>
  <c r="DE42" i="14"/>
  <c r="DC42" i="14"/>
  <c r="DB42" i="14"/>
  <c r="DA42" i="14"/>
  <c r="CW42" i="14"/>
  <c r="CV42" i="14"/>
  <c r="CU42" i="14"/>
  <c r="CS42" i="14"/>
  <c r="CR42" i="14"/>
  <c r="CQ42" i="14"/>
  <c r="CP42" i="14"/>
  <c r="CN42" i="14"/>
  <c r="CM42" i="14"/>
  <c r="CL42" i="14"/>
  <c r="CK42" i="14"/>
  <c r="CI42" i="14"/>
  <c r="CH42" i="14"/>
  <c r="CG42" i="14"/>
  <c r="CF42" i="14"/>
  <c r="CD42" i="14"/>
  <c r="CC42" i="14"/>
  <c r="CB42" i="14"/>
  <c r="CA42" i="14"/>
  <c r="BY42" i="14"/>
  <c r="BX42" i="14"/>
  <c r="BW42" i="14"/>
  <c r="BV42" i="14"/>
  <c r="BT42" i="14"/>
  <c r="BS42" i="14"/>
  <c r="BR42" i="14"/>
  <c r="P11" i="42"/>
  <c r="Q11" i="42" s="1"/>
  <c r="C5" i="13"/>
  <c r="C5" i="12"/>
  <c r="E11" i="42" a="1"/>
  <c r="E11" i="37" a="1"/>
  <c r="E20" i="37" a="1"/>
  <c r="E24" i="37" a="1"/>
  <c r="E22" i="37" a="1"/>
  <c r="E12" i="42" a="1"/>
  <c r="E12" i="37" a="1"/>
  <c r="E9" i="37" a="1"/>
  <c r="E23" i="37" a="1"/>
  <c r="E10" i="37" a="1"/>
  <c r="DN216" i="14" l="1"/>
  <c r="DM217" i="14"/>
  <c r="J57" i="45"/>
  <c r="H57" i="45"/>
  <c r="F57" i="45"/>
  <c r="I57" i="45"/>
  <c r="K57" i="45"/>
  <c r="N57" i="45"/>
  <c r="G57" i="45"/>
  <c r="M57" i="45"/>
  <c r="E57" i="45"/>
  <c r="L57" i="45"/>
  <c r="D57" i="45"/>
  <c r="AO7" i="35"/>
  <c r="AO8" i="35" s="1"/>
  <c r="L7" i="40"/>
  <c r="J7" i="40"/>
  <c r="AG7" i="40"/>
  <c r="Z8" i="40"/>
  <c r="AI7" i="40"/>
  <c r="E12" i="37"/>
  <c r="AE62" i="40"/>
  <c r="G63" i="40"/>
  <c r="AJ62" i="40"/>
  <c r="AG62" i="40"/>
  <c r="E11" i="37"/>
  <c r="AD62" i="40"/>
  <c r="AH62" i="40"/>
  <c r="E23" i="37"/>
  <c r="D23" i="37" s="1"/>
  <c r="E11" i="42"/>
  <c r="D11" i="42" s="1"/>
  <c r="E20" i="37"/>
  <c r="B20" i="37" s="1"/>
  <c r="E10" i="37"/>
  <c r="C10" i="37" s="1"/>
  <c r="E22" i="37"/>
  <c r="B22" i="37" s="1"/>
  <c r="E24" i="37"/>
  <c r="B24" i="37" s="1"/>
  <c r="E12" i="42"/>
  <c r="D12" i="42" s="1"/>
  <c r="E9" i="37"/>
  <c r="B9" i="37" s="1"/>
  <c r="DU49" i="2"/>
  <c r="AE7" i="40"/>
  <c r="AH7" i="40"/>
  <c r="AA8" i="40"/>
  <c r="AA7" i="40"/>
  <c r="Z7" i="40"/>
  <c r="Y7" i="40"/>
  <c r="Y8" i="40"/>
  <c r="X8" i="40"/>
  <c r="X7" i="40"/>
  <c r="W8" i="40"/>
  <c r="W7" i="40"/>
  <c r="V8" i="40"/>
  <c r="V7" i="40"/>
  <c r="U7" i="40"/>
  <c r="U8" i="40"/>
  <c r="T8" i="40"/>
  <c r="T7" i="40"/>
  <c r="S8" i="40"/>
  <c r="S7" i="40"/>
  <c r="R7" i="40"/>
  <c r="R8" i="40"/>
  <c r="Q7" i="40"/>
  <c r="Q8" i="40"/>
  <c r="P8" i="40"/>
  <c r="O8" i="40"/>
  <c r="O7" i="40"/>
  <c r="N7" i="40"/>
  <c r="N8" i="40"/>
  <c r="M7" i="40"/>
  <c r="M8" i="40"/>
  <c r="K7" i="40"/>
  <c r="K8" i="40"/>
  <c r="J8" i="40"/>
  <c r="I7" i="40"/>
  <c r="I8" i="40"/>
  <c r="H8" i="40"/>
  <c r="H7" i="40"/>
  <c r="AF7" i="40"/>
  <c r="AD7" i="40"/>
  <c r="E8" i="40"/>
  <c r="DL15" i="13"/>
  <c r="DL19" i="12"/>
  <c r="DL20" i="13"/>
  <c r="DL52" i="2"/>
  <c r="DL120" i="2" s="1"/>
  <c r="DK14" i="14"/>
  <c r="DL63" i="14"/>
  <c r="DL53" i="14"/>
  <c r="DQ53" i="14" s="1"/>
  <c r="DV53" i="14" s="1"/>
  <c r="EA53" i="14" s="1"/>
  <c r="DL52" i="14"/>
  <c r="DL48" i="14"/>
  <c r="DL43" i="14"/>
  <c r="DL36" i="14"/>
  <c r="DL18" i="14"/>
  <c r="DL16" i="14"/>
  <c r="DL9" i="14"/>
  <c r="DL8" i="14"/>
  <c r="DL55" i="13"/>
  <c r="DL54" i="13"/>
  <c r="DL43" i="13"/>
  <c r="DL37" i="13"/>
  <c r="DL21" i="13"/>
  <c r="DL19" i="13"/>
  <c r="DL18" i="13"/>
  <c r="DL48" i="12"/>
  <c r="DL43" i="12"/>
  <c r="DL30" i="12"/>
  <c r="DL36" i="12" s="1"/>
  <c r="DL121" i="2"/>
  <c r="DL118" i="2"/>
  <c r="DL95" i="2"/>
  <c r="DL9" i="13" s="1"/>
  <c r="DL8" i="13" s="1"/>
  <c r="DL88" i="2"/>
  <c r="DL69" i="2"/>
  <c r="DL61" i="2"/>
  <c r="DL56" i="2"/>
  <c r="DL57" i="2" s="1"/>
  <c r="DL42" i="2"/>
  <c r="DL58" i="12" s="1"/>
  <c r="DL25" i="2"/>
  <c r="DL26" i="2" s="1"/>
  <c r="DL23" i="2"/>
  <c r="DL24" i="2" s="1"/>
  <c r="DL20" i="2"/>
  <c r="DL18" i="2"/>
  <c r="DL15" i="2"/>
  <c r="DL11" i="2"/>
  <c r="DL10" i="2"/>
  <c r="DL8" i="2"/>
  <c r="CI3" i="35"/>
  <c r="CJ3" i="35" s="1"/>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F38" i="35"/>
  <c r="E31" i="35"/>
  <c r="CG31" i="35" s="1"/>
  <c r="G37" i="35"/>
  <c r="H37" i="35" s="1"/>
  <c r="I37" i="35" s="1"/>
  <c r="K37" i="35"/>
  <c r="L37" i="35" s="1"/>
  <c r="M37" i="35" s="1"/>
  <c r="O37" i="35"/>
  <c r="P37" i="35" s="1"/>
  <c r="Q37" i="35" s="1"/>
  <c r="S37" i="35"/>
  <c r="T37" i="35" s="1"/>
  <c r="U37" i="35" s="1"/>
  <c r="V37" i="35" s="1"/>
  <c r="W37" i="35" s="1"/>
  <c r="X37" i="35" s="1"/>
  <c r="Y37" i="35" s="1"/>
  <c r="Z37" i="35" s="1"/>
  <c r="AA37" i="35" s="1"/>
  <c r="AB37" i="35" s="1"/>
  <c r="AC37" i="35" s="1"/>
  <c r="AD37" i="35" s="1"/>
  <c r="AE37" i="35" s="1"/>
  <c r="AF37" i="35" s="1"/>
  <c r="AG37" i="35" s="1"/>
  <c r="AH37" i="35" s="1"/>
  <c r="AI37" i="35" s="1"/>
  <c r="AJ37" i="35" s="1"/>
  <c r="AK37" i="35" s="1"/>
  <c r="AL37" i="35" s="1"/>
  <c r="E66" i="13"/>
  <c r="F66" i="13"/>
  <c r="G66" i="13"/>
  <c r="H66" i="13"/>
  <c r="I66" i="13"/>
  <c r="J66" i="13"/>
  <c r="K66" i="13"/>
  <c r="L66" i="13"/>
  <c r="M66" i="13"/>
  <c r="N66" i="13"/>
  <c r="O66" i="13"/>
  <c r="P66" i="13"/>
  <c r="Q66" i="13"/>
  <c r="R66" i="13"/>
  <c r="S66" i="13"/>
  <c r="T66" i="13"/>
  <c r="U66" i="13"/>
  <c r="V66" i="13"/>
  <c r="W66" i="13"/>
  <c r="X66" i="13"/>
  <c r="Y66" i="13"/>
  <c r="Z66" i="13"/>
  <c r="AA66" i="13"/>
  <c r="AB66" i="13"/>
  <c r="AC66" i="13"/>
  <c r="AD66" i="13"/>
  <c r="AE66" i="13"/>
  <c r="AF66" i="13"/>
  <c r="AG66" i="13"/>
  <c r="AH66" i="13"/>
  <c r="AI66" i="13"/>
  <c r="AJ66" i="13"/>
  <c r="AK66" i="13"/>
  <c r="AL66" i="13"/>
  <c r="AM66" i="13"/>
  <c r="AN66" i="13"/>
  <c r="AO66" i="13"/>
  <c r="AP66" i="13"/>
  <c r="AQ66" i="13"/>
  <c r="AR66" i="13"/>
  <c r="AS66" i="13"/>
  <c r="AT66" i="13"/>
  <c r="AU66" i="13"/>
  <c r="AV66" i="13"/>
  <c r="AW66" i="13"/>
  <c r="AX66" i="13"/>
  <c r="AY66" i="13"/>
  <c r="AZ66" i="13"/>
  <c r="BA66" i="13"/>
  <c r="BB66" i="13"/>
  <c r="BC66" i="13"/>
  <c r="BD66" i="13"/>
  <c r="BE66" i="13"/>
  <c r="BF66" i="13"/>
  <c r="BG66" i="13"/>
  <c r="BH66" i="13"/>
  <c r="BI66" i="13"/>
  <c r="BJ66" i="13"/>
  <c r="BK66" i="13"/>
  <c r="BL66" i="13"/>
  <c r="BM66" i="13"/>
  <c r="BN66" i="13"/>
  <c r="BO66" i="13"/>
  <c r="BP66" i="13"/>
  <c r="D66" i="13"/>
  <c r="DJ63" i="14"/>
  <c r="DL46" i="13" l="1"/>
  <c r="AN35" i="35"/>
  <c r="AN5" i="35"/>
  <c r="AN9" i="35" s="1"/>
  <c r="DL57" i="12"/>
  <c r="DN217" i="14"/>
  <c r="CP204" i="35"/>
  <c r="DL237" i="14"/>
  <c r="DL235" i="14"/>
  <c r="DL233" i="14"/>
  <c r="DL231" i="14"/>
  <c r="DQ15" i="2"/>
  <c r="DV15" i="2" s="1"/>
  <c r="EA15" i="2" s="1"/>
  <c r="DM15" i="2"/>
  <c r="DR15" i="2" s="1"/>
  <c r="DW15" i="2" s="1"/>
  <c r="EB15" i="2" s="1"/>
  <c r="DQ18" i="2"/>
  <c r="DV18" i="2" s="1"/>
  <c r="EA18" i="2" s="1"/>
  <c r="DM18" i="2"/>
  <c r="D24" i="37"/>
  <c r="D10" i="37"/>
  <c r="B10" i="37"/>
  <c r="C11" i="42"/>
  <c r="B11" i="42"/>
  <c r="J63" i="40"/>
  <c r="J62" i="40"/>
  <c r="DL45" i="14"/>
  <c r="F8" i="40"/>
  <c r="C22" i="37"/>
  <c r="B11" i="37"/>
  <c r="C11" i="37"/>
  <c r="D11" i="37"/>
  <c r="G8" i="40"/>
  <c r="Y63" i="40"/>
  <c r="Y62" i="40"/>
  <c r="AF62" i="40"/>
  <c r="AI62" i="40"/>
  <c r="C12" i="37"/>
  <c r="D12" i="37"/>
  <c r="B12" i="37"/>
  <c r="U63" i="40"/>
  <c r="U62" i="40"/>
  <c r="X63" i="40"/>
  <c r="X62" i="40"/>
  <c r="AA62" i="40"/>
  <c r="AA63" i="40"/>
  <c r="R63" i="40"/>
  <c r="R62" i="40"/>
  <c r="Q63" i="40"/>
  <c r="Q62" i="40"/>
  <c r="T62" i="40"/>
  <c r="T63" i="40"/>
  <c r="W63" i="40"/>
  <c r="W62" i="40"/>
  <c r="DJ70" i="14"/>
  <c r="AL150" i="35" s="1"/>
  <c r="M63" i="40"/>
  <c r="M62" i="40"/>
  <c r="P63" i="40"/>
  <c r="P62" i="40"/>
  <c r="S62" i="40"/>
  <c r="S63" i="40"/>
  <c r="N63" i="40"/>
  <c r="N62" i="40"/>
  <c r="AJ7" i="40"/>
  <c r="L8" i="40"/>
  <c r="P7" i="40"/>
  <c r="I63" i="40"/>
  <c r="I62" i="40"/>
  <c r="L62" i="40"/>
  <c r="L63" i="40"/>
  <c r="O63" i="40"/>
  <c r="O62" i="40"/>
  <c r="V63" i="40"/>
  <c r="V62" i="40"/>
  <c r="DL43" i="2"/>
  <c r="E63" i="40"/>
  <c r="H63" i="40"/>
  <c r="H62" i="40"/>
  <c r="K62" i="40"/>
  <c r="K63" i="40"/>
  <c r="Z63" i="40"/>
  <c r="Z62" i="40"/>
  <c r="F63" i="40"/>
  <c r="B12" i="42"/>
  <c r="C12" i="42"/>
  <c r="C24" i="37"/>
  <c r="D22" i="37"/>
  <c r="D20" i="37"/>
  <c r="C20" i="37"/>
  <c r="B23" i="37"/>
  <c r="D9" i="37"/>
  <c r="C23" i="37"/>
  <c r="C9" i="37"/>
  <c r="DV49" i="2"/>
  <c r="DW49" i="2" s="1"/>
  <c r="DY49" i="2" s="1"/>
  <c r="DR18" i="2"/>
  <c r="DW18" i="2" s="1"/>
  <c r="EB18" i="2" s="1"/>
  <c r="CK3" i="35"/>
  <c r="DL57" i="13"/>
  <c r="DL60" i="13" s="1"/>
  <c r="DL22" i="13"/>
  <c r="DL60" i="12"/>
  <c r="DL59" i="12"/>
  <c r="DL55" i="12"/>
  <c r="DQ55" i="12" s="1"/>
  <c r="DV55" i="12" s="1"/>
  <c r="EA55" i="12" s="1"/>
  <c r="DL51" i="12"/>
  <c r="DL53" i="12" s="1"/>
  <c r="DQ53" i="12" s="1"/>
  <c r="DV53" i="12" s="1"/>
  <c r="EA53" i="12" s="1"/>
  <c r="DL66" i="13"/>
  <c r="DL52" i="12"/>
  <c r="DL65" i="14"/>
  <c r="DL61" i="12"/>
  <c r="DQ61" i="12" s="1"/>
  <c r="DV61" i="12" s="1"/>
  <c r="EA61" i="12" s="1"/>
  <c r="DL62" i="12"/>
  <c r="DQ62" i="12" s="1"/>
  <c r="DV62" i="12" s="1"/>
  <c r="EA62" i="12" s="1"/>
  <c r="DL35" i="12"/>
  <c r="DL44" i="12"/>
  <c r="DL21" i="2"/>
  <c r="DL41" i="2"/>
  <c r="DL27" i="2"/>
  <c r="DL39" i="2"/>
  <c r="DL37" i="2"/>
  <c r="DQ37" i="2" s="1"/>
  <c r="DV37" i="2" s="1"/>
  <c r="EA37" i="2" s="1"/>
  <c r="DL33" i="2"/>
  <c r="DL35" i="2"/>
  <c r="DQ35" i="2" s="1"/>
  <c r="DV35" i="2" s="1"/>
  <c r="EA35" i="2" s="1"/>
  <c r="DL96" i="2"/>
  <c r="DL119" i="2"/>
  <c r="DL89" i="2"/>
  <c r="DL117" i="2"/>
  <c r="DL145" i="2"/>
  <c r="DL138" i="2"/>
  <c r="DL133" i="2"/>
  <c r="DQ133" i="2" s="1"/>
  <c r="DV133" i="2" s="1"/>
  <c r="EA133" i="2" s="1"/>
  <c r="DL144" i="2"/>
  <c r="DL142" i="2"/>
  <c r="DL137" i="2"/>
  <c r="DL132" i="2"/>
  <c r="DQ132" i="2" s="1"/>
  <c r="DV132" i="2" s="1"/>
  <c r="EA132" i="2" s="1"/>
  <c r="DL130" i="2"/>
  <c r="DQ130" i="2" s="1"/>
  <c r="DV130" i="2" s="1"/>
  <c r="EA130" i="2" s="1"/>
  <c r="DL143" i="2"/>
  <c r="DL139" i="2"/>
  <c r="DL136" i="2"/>
  <c r="DL131" i="2"/>
  <c r="DQ131" i="2" s="1"/>
  <c r="DV131" i="2" s="1"/>
  <c r="EA131" i="2" s="1"/>
  <c r="AM37" i="35"/>
  <c r="AN37" i="35" s="1"/>
  <c r="AO37" i="35" s="1"/>
  <c r="AP37" i="35" s="1"/>
  <c r="AQ37" i="35" s="1"/>
  <c r="AR37" i="35" s="1"/>
  <c r="AS37" i="35" s="1"/>
  <c r="AT37" i="35" s="1"/>
  <c r="AU37" i="35" s="1"/>
  <c r="AV37" i="35" s="1"/>
  <c r="AW37" i="35" s="1"/>
  <c r="AX37" i="35" s="1"/>
  <c r="AY37" i="35" s="1"/>
  <c r="AZ37" i="35" s="1"/>
  <c r="BA37" i="35" s="1"/>
  <c r="P31" i="42"/>
  <c r="Q31" i="42" s="1"/>
  <c r="P29" i="42"/>
  <c r="Q29" i="42" s="1"/>
  <c r="P27" i="42"/>
  <c r="Q27" i="42" s="1"/>
  <c r="P25" i="42"/>
  <c r="Q25" i="42" s="1"/>
  <c r="P21" i="42"/>
  <c r="Q21" i="42" s="1"/>
  <c r="P17" i="42"/>
  <c r="Q17" i="42" s="1"/>
  <c r="P15" i="42"/>
  <c r="Q15" i="42" s="1"/>
  <c r="P13" i="42"/>
  <c r="Q13" i="42" s="1"/>
  <c r="EB55" i="13"/>
  <c r="EA55" i="13"/>
  <c r="DZ55" i="13"/>
  <c r="DY55" i="13"/>
  <c r="DW55" i="13"/>
  <c r="DV55" i="13"/>
  <c r="DU55" i="13"/>
  <c r="DT55" i="13"/>
  <c r="DR55" i="13"/>
  <c r="DQ55" i="13"/>
  <c r="DP55" i="13"/>
  <c r="DO55" i="13"/>
  <c r="DM55" i="13"/>
  <c r="DK55" i="13"/>
  <c r="DJ55" i="13"/>
  <c r="DH55" i="13"/>
  <c r="DG55" i="13"/>
  <c r="DF55" i="13"/>
  <c r="DE55" i="13"/>
  <c r="CZ55" i="13"/>
  <c r="CU55" i="13"/>
  <c r="CP55" i="13"/>
  <c r="CK55" i="13"/>
  <c r="CF55" i="13"/>
  <c r="CA55" i="13"/>
  <c r="BV55" i="13"/>
  <c r="DK54" i="13"/>
  <c r="DJ54" i="13"/>
  <c r="DH54" i="13"/>
  <c r="DG54" i="13"/>
  <c r="DF54" i="13"/>
  <c r="DE54" i="13"/>
  <c r="CZ54" i="13"/>
  <c r="BQ55" i="13"/>
  <c r="P19" i="42"/>
  <c r="Q19" i="42" s="1"/>
  <c r="P23" i="42"/>
  <c r="Q23" i="42" s="1"/>
  <c r="AF36" i="42"/>
  <c r="AD36" i="42"/>
  <c r="AB36" i="42"/>
  <c r="Z36" i="42"/>
  <c r="X36" i="42"/>
  <c r="V36" i="42"/>
  <c r="T36" i="42"/>
  <c r="R36" i="42"/>
  <c r="N36" i="42"/>
  <c r="L36" i="42"/>
  <c r="P33" i="42"/>
  <c r="Q33" i="42" s="1"/>
  <c r="H8" i="42"/>
  <c r="L8" i="42"/>
  <c r="H4" i="42"/>
  <c r="H3" i="42"/>
  <c r="R8" i="42" s="1"/>
  <c r="H2" i="42"/>
  <c r="K9" i="42" s="1"/>
  <c r="W78" i="40"/>
  <c r="W79" i="40"/>
  <c r="J78" i="40"/>
  <c r="J79" i="40"/>
  <c r="N78" i="40"/>
  <c r="N79" i="40"/>
  <c r="AG78" i="40"/>
  <c r="S78" i="40"/>
  <c r="S79" i="40"/>
  <c r="AD78" i="40"/>
  <c r="F79" i="40"/>
  <c r="X79" i="40"/>
  <c r="X78" i="40"/>
  <c r="O79" i="40"/>
  <c r="O78" i="40"/>
  <c r="U78" i="40"/>
  <c r="U79" i="40"/>
  <c r="Y79" i="40"/>
  <c r="Y78" i="40"/>
  <c r="T78" i="40"/>
  <c r="T79" i="40"/>
  <c r="K78" i="40"/>
  <c r="K79" i="40"/>
  <c r="I79" i="40"/>
  <c r="I78" i="40"/>
  <c r="Q79" i="40"/>
  <c r="Q78" i="40"/>
  <c r="G79" i="40"/>
  <c r="E79" i="40"/>
  <c r="AH78" i="40"/>
  <c r="AJ78" i="40"/>
  <c r="AE78" i="40"/>
  <c r="H79" i="40"/>
  <c r="H78" i="40"/>
  <c r="M78" i="40"/>
  <c r="M79" i="40"/>
  <c r="AF78" i="40"/>
  <c r="Z78" i="40"/>
  <c r="Z79" i="40"/>
  <c r="AI78" i="40"/>
  <c r="P79" i="40"/>
  <c r="P78" i="40"/>
  <c r="AA78" i="40"/>
  <c r="AA79" i="40"/>
  <c r="R78" i="40"/>
  <c r="R79" i="40"/>
  <c r="V78" i="40"/>
  <c r="V79" i="40"/>
  <c r="L78" i="40"/>
  <c r="L79" i="40"/>
  <c r="T73" i="40"/>
  <c r="T74" i="40"/>
  <c r="AA73" i="40"/>
  <c r="AA74" i="40"/>
  <c r="R74" i="40"/>
  <c r="R73" i="40"/>
  <c r="Y74" i="40"/>
  <c r="Y73" i="40"/>
  <c r="L73" i="40"/>
  <c r="L74" i="40"/>
  <c r="W73" i="40"/>
  <c r="W74" i="40"/>
  <c r="J74" i="40"/>
  <c r="J73" i="40"/>
  <c r="AD73" i="40"/>
  <c r="G74" i="40"/>
  <c r="I74" i="40"/>
  <c r="I73" i="40"/>
  <c r="P73" i="40"/>
  <c r="P74" i="40"/>
  <c r="K74" i="40"/>
  <c r="K73" i="40"/>
  <c r="AH73" i="40"/>
  <c r="AI73" i="40"/>
  <c r="H73" i="40"/>
  <c r="H74" i="40"/>
  <c r="E74" i="40"/>
  <c r="M73" i="40"/>
  <c r="M74" i="40"/>
  <c r="V73" i="40"/>
  <c r="V74" i="40"/>
  <c r="O73" i="40"/>
  <c r="O74" i="40"/>
  <c r="AJ73" i="40"/>
  <c r="AE73" i="40"/>
  <c r="N73" i="40"/>
  <c r="N74" i="40"/>
  <c r="Q74" i="40"/>
  <c r="Q73" i="40"/>
  <c r="AG73" i="40"/>
  <c r="AF73" i="40"/>
  <c r="Z74" i="40"/>
  <c r="Z73" i="40"/>
  <c r="F74" i="40"/>
  <c r="S73" i="40"/>
  <c r="S74" i="40"/>
  <c r="U73" i="40"/>
  <c r="U74" i="40"/>
  <c r="X73" i="40"/>
  <c r="X74" i="40"/>
  <c r="AI67" i="40"/>
  <c r="F68" i="40"/>
  <c r="AE67" i="40"/>
  <c r="AG67" i="40"/>
  <c r="J68" i="40"/>
  <c r="J67" i="40"/>
  <c r="Z68" i="40"/>
  <c r="Z67" i="40"/>
  <c r="AH67" i="40"/>
  <c r="AD67" i="40"/>
  <c r="AA68" i="40"/>
  <c r="AA67" i="40"/>
  <c r="AF67" i="40"/>
  <c r="V67" i="40"/>
  <c r="V68" i="40"/>
  <c r="W67" i="40"/>
  <c r="W68" i="40"/>
  <c r="N67" i="40"/>
  <c r="N68" i="40"/>
  <c r="R68" i="40"/>
  <c r="R67" i="40"/>
  <c r="X67" i="40"/>
  <c r="X68" i="40"/>
  <c r="O67" i="40"/>
  <c r="O68" i="40"/>
  <c r="T67" i="40"/>
  <c r="T68" i="40"/>
  <c r="K68" i="40"/>
  <c r="K67" i="40"/>
  <c r="P67" i="40"/>
  <c r="P68" i="40"/>
  <c r="G68" i="40"/>
  <c r="Y67" i="40"/>
  <c r="Y68" i="40"/>
  <c r="U67" i="40"/>
  <c r="U68" i="40"/>
  <c r="L68" i="40"/>
  <c r="L67" i="40"/>
  <c r="S68" i="40"/>
  <c r="S67" i="40"/>
  <c r="Q67" i="40"/>
  <c r="Q68" i="40"/>
  <c r="M67" i="40"/>
  <c r="M68" i="40"/>
  <c r="H67" i="40"/>
  <c r="H68" i="40"/>
  <c r="AJ67" i="40"/>
  <c r="I67" i="40"/>
  <c r="I68" i="40"/>
  <c r="E68" i="40"/>
  <c r="AJ58" i="40"/>
  <c r="AF58" i="40"/>
  <c r="AE58" i="40"/>
  <c r="AI58" i="40"/>
  <c r="AD58" i="40"/>
  <c r="AH58" i="40"/>
  <c r="AG58" i="40"/>
  <c r="M58" i="40"/>
  <c r="M59" i="40"/>
  <c r="H58" i="40"/>
  <c r="H59" i="40"/>
  <c r="E59" i="40"/>
  <c r="AA59" i="40"/>
  <c r="AA58" i="40"/>
  <c r="J58" i="40"/>
  <c r="J59" i="40"/>
  <c r="F59" i="40"/>
  <c r="O58" i="40"/>
  <c r="O59" i="40"/>
  <c r="Z58" i="40"/>
  <c r="Z59" i="40"/>
  <c r="T58" i="40"/>
  <c r="T59" i="40"/>
  <c r="G59" i="40"/>
  <c r="U58" i="40"/>
  <c r="U59" i="40"/>
  <c r="P58" i="40"/>
  <c r="P59" i="40"/>
  <c r="R58" i="40"/>
  <c r="R59" i="40"/>
  <c r="Q58" i="40"/>
  <c r="Q59" i="40"/>
  <c r="W58" i="40"/>
  <c r="W59" i="40"/>
  <c r="I58" i="40"/>
  <c r="I59" i="40"/>
  <c r="X58" i="40"/>
  <c r="X59" i="40"/>
  <c r="S59" i="40"/>
  <c r="S58" i="40"/>
  <c r="N58" i="40"/>
  <c r="N59" i="40"/>
  <c r="Y58" i="40"/>
  <c r="Y59" i="40"/>
  <c r="L58" i="40"/>
  <c r="L59" i="40"/>
  <c r="K59" i="40"/>
  <c r="K58" i="40"/>
  <c r="V58" i="40"/>
  <c r="V59" i="40"/>
  <c r="O54" i="40"/>
  <c r="O53" i="40"/>
  <c r="K54" i="40"/>
  <c r="K53" i="40"/>
  <c r="T53" i="40"/>
  <c r="T54" i="40"/>
  <c r="Q54" i="40"/>
  <c r="Q53" i="40"/>
  <c r="J53" i="40"/>
  <c r="J54" i="40"/>
  <c r="AG53" i="40"/>
  <c r="M53" i="40"/>
  <c r="M54" i="40"/>
  <c r="X54" i="40"/>
  <c r="X53" i="40"/>
  <c r="N53" i="40"/>
  <c r="N54" i="40"/>
  <c r="AE53" i="40"/>
  <c r="AJ53" i="40"/>
  <c r="F54" i="40"/>
  <c r="G54" i="40"/>
  <c r="Y54" i="40"/>
  <c r="Y53" i="40"/>
  <c r="P54" i="40"/>
  <c r="P53" i="40"/>
  <c r="AD53" i="40"/>
  <c r="H53" i="40"/>
  <c r="H54" i="40"/>
  <c r="AI53" i="40"/>
  <c r="I54" i="40"/>
  <c r="I53" i="40"/>
  <c r="L54" i="40"/>
  <c r="L53" i="40"/>
  <c r="U53" i="40"/>
  <c r="U54" i="40"/>
  <c r="Z53" i="40"/>
  <c r="Z54" i="40"/>
  <c r="AF53" i="40"/>
  <c r="W53" i="40"/>
  <c r="W54" i="40"/>
  <c r="V53" i="40"/>
  <c r="V54" i="40"/>
  <c r="AH53" i="40"/>
  <c r="AA53" i="40"/>
  <c r="AA54" i="40"/>
  <c r="S53" i="40"/>
  <c r="S54" i="40"/>
  <c r="R54" i="40"/>
  <c r="R53" i="40"/>
  <c r="E54" i="40"/>
  <c r="AG48" i="40"/>
  <c r="O48" i="40"/>
  <c r="O49" i="40"/>
  <c r="M48" i="40"/>
  <c r="M49" i="40"/>
  <c r="N48" i="40"/>
  <c r="N49" i="40"/>
  <c r="T48" i="40"/>
  <c r="T49" i="40"/>
  <c r="H48" i="40"/>
  <c r="H49" i="40"/>
  <c r="Z49" i="40"/>
  <c r="Z48" i="40"/>
  <c r="Y49" i="40"/>
  <c r="Y48" i="40"/>
  <c r="P48" i="40"/>
  <c r="P49" i="40"/>
  <c r="AJ48" i="40"/>
  <c r="V48" i="40"/>
  <c r="V49" i="40"/>
  <c r="U48" i="40"/>
  <c r="U49" i="40"/>
  <c r="L48" i="40"/>
  <c r="L49" i="40"/>
  <c r="W48" i="40"/>
  <c r="W49" i="40"/>
  <c r="R49" i="40"/>
  <c r="R48" i="40"/>
  <c r="Q49" i="40"/>
  <c r="Q48" i="40"/>
  <c r="AF48" i="40"/>
  <c r="S48" i="40"/>
  <c r="S49" i="40"/>
  <c r="J49" i="40"/>
  <c r="J48" i="40"/>
  <c r="I49" i="40"/>
  <c r="I48" i="40"/>
  <c r="AA49" i="40"/>
  <c r="AA48" i="40"/>
  <c r="G49" i="40"/>
  <c r="E49" i="40"/>
  <c r="K49" i="40"/>
  <c r="K48" i="40"/>
  <c r="AI48" i="40"/>
  <c r="AH48" i="40"/>
  <c r="X48" i="40"/>
  <c r="X49" i="40"/>
  <c r="F49" i="40"/>
  <c r="AE48" i="40"/>
  <c r="AD48" i="40"/>
  <c r="I44" i="40"/>
  <c r="I43" i="40"/>
  <c r="AF43" i="40"/>
  <c r="AJ43" i="40"/>
  <c r="F44" i="40"/>
  <c r="U43" i="40"/>
  <c r="U44" i="40"/>
  <c r="Y44" i="40"/>
  <c r="Y43" i="40"/>
  <c r="AG43" i="40"/>
  <c r="S43" i="40"/>
  <c r="S44" i="40"/>
  <c r="Q44" i="40"/>
  <c r="Q43" i="40"/>
  <c r="Z44" i="40"/>
  <c r="Z43" i="40"/>
  <c r="H43" i="40"/>
  <c r="H44" i="40"/>
  <c r="AD43" i="40"/>
  <c r="V43" i="40"/>
  <c r="V44" i="40"/>
  <c r="N43" i="40"/>
  <c r="N44" i="40"/>
  <c r="AA44" i="40"/>
  <c r="AA43" i="40"/>
  <c r="W43" i="40"/>
  <c r="W44" i="40"/>
  <c r="X43" i="40"/>
  <c r="X44" i="40"/>
  <c r="O43" i="40"/>
  <c r="O44" i="40"/>
  <c r="T43" i="40"/>
  <c r="T44" i="40"/>
  <c r="K44" i="40"/>
  <c r="K43" i="40"/>
  <c r="G44" i="40"/>
  <c r="E44" i="40"/>
  <c r="P43" i="40"/>
  <c r="P44" i="40"/>
  <c r="R44" i="40"/>
  <c r="R43" i="40"/>
  <c r="M43" i="40"/>
  <c r="M44" i="40"/>
  <c r="AE43" i="40"/>
  <c r="L43" i="40"/>
  <c r="L44" i="40"/>
  <c r="J44" i="40"/>
  <c r="J43" i="40"/>
  <c r="AI43" i="40"/>
  <c r="AH43" i="40"/>
  <c r="X38" i="40"/>
  <c r="X39" i="40"/>
  <c r="AJ38" i="40"/>
  <c r="Z39" i="40"/>
  <c r="Z38" i="40"/>
  <c r="AF38" i="40"/>
  <c r="V38" i="40"/>
  <c r="V39" i="40"/>
  <c r="AH38" i="40"/>
  <c r="E39" i="40"/>
  <c r="AA38" i="40"/>
  <c r="AA39" i="40"/>
  <c r="J39" i="40"/>
  <c r="J38" i="40"/>
  <c r="Y39" i="40"/>
  <c r="Y38" i="40"/>
  <c r="H38" i="40"/>
  <c r="H39" i="40"/>
  <c r="AG38" i="40"/>
  <c r="O38" i="40"/>
  <c r="O39" i="40"/>
  <c r="AI38" i="40"/>
  <c r="U38" i="40"/>
  <c r="U39" i="40"/>
  <c r="G39" i="40"/>
  <c r="AE38" i="40"/>
  <c r="M38" i="40"/>
  <c r="M39" i="40"/>
  <c r="T38" i="40"/>
  <c r="T39" i="40"/>
  <c r="W38" i="40"/>
  <c r="W39" i="40"/>
  <c r="R39" i="40"/>
  <c r="R38" i="40"/>
  <c r="AD38" i="40"/>
  <c r="P38" i="40"/>
  <c r="P39" i="40"/>
  <c r="S38" i="40"/>
  <c r="S39" i="40"/>
  <c r="N38" i="40"/>
  <c r="N39" i="40"/>
  <c r="Q39" i="40"/>
  <c r="Q38" i="40"/>
  <c r="L38" i="40"/>
  <c r="L39" i="40"/>
  <c r="K38" i="40"/>
  <c r="K39" i="40"/>
  <c r="F39" i="40"/>
  <c r="I39" i="40"/>
  <c r="I38" i="40"/>
  <c r="E34" i="40"/>
  <c r="W33" i="40"/>
  <c r="W34" i="40"/>
  <c r="O33" i="40"/>
  <c r="O34" i="40"/>
  <c r="V33" i="40"/>
  <c r="V34" i="40"/>
  <c r="H33" i="40"/>
  <c r="H34" i="40"/>
  <c r="S33" i="40"/>
  <c r="S34" i="40"/>
  <c r="I34" i="40"/>
  <c r="I33" i="40"/>
  <c r="R34" i="40"/>
  <c r="R33" i="40"/>
  <c r="AH33" i="40"/>
  <c r="AG33" i="40"/>
  <c r="K33" i="40"/>
  <c r="K34" i="40"/>
  <c r="AE33" i="40"/>
  <c r="N33" i="40"/>
  <c r="N34" i="40"/>
  <c r="AF33" i="40"/>
  <c r="L34" i="40"/>
  <c r="L33" i="40"/>
  <c r="T33" i="40"/>
  <c r="T34" i="40"/>
  <c r="M33" i="40"/>
  <c r="M34" i="40"/>
  <c r="F34" i="40"/>
  <c r="AI33" i="40"/>
  <c r="AA33" i="40"/>
  <c r="AA34" i="40"/>
  <c r="G34" i="40"/>
  <c r="Z34" i="40"/>
  <c r="Z33" i="40"/>
  <c r="P33" i="40"/>
  <c r="P34" i="40"/>
  <c r="AD33" i="40"/>
  <c r="J34" i="40"/>
  <c r="J33" i="40"/>
  <c r="Q34" i="40"/>
  <c r="Q33" i="40"/>
  <c r="Y34" i="40"/>
  <c r="Y33" i="40"/>
  <c r="AJ33" i="40"/>
  <c r="AJ27" i="40"/>
  <c r="U33" i="40"/>
  <c r="U34" i="40"/>
  <c r="X33" i="40"/>
  <c r="X34" i="40"/>
  <c r="AI27" i="40"/>
  <c r="AH27" i="40"/>
  <c r="AG27" i="40"/>
  <c r="AF27" i="40"/>
  <c r="AE27" i="40"/>
  <c r="AD27" i="40"/>
  <c r="AC27" i="40"/>
  <c r="AA27" i="40"/>
  <c r="Z27" i="40"/>
  <c r="Y27" i="40"/>
  <c r="X27" i="40"/>
  <c r="W27" i="40"/>
  <c r="V27" i="40"/>
  <c r="U27" i="40"/>
  <c r="T27" i="40"/>
  <c r="S27" i="40"/>
  <c r="R27" i="40"/>
  <c r="Q27" i="40"/>
  <c r="P27" i="40"/>
  <c r="O27" i="40"/>
  <c r="N27" i="40"/>
  <c r="M27" i="40"/>
  <c r="L27" i="40"/>
  <c r="K27" i="40"/>
  <c r="J27" i="40"/>
  <c r="I27" i="40"/>
  <c r="H27" i="40"/>
  <c r="G27" i="40"/>
  <c r="K28" i="40" s="1"/>
  <c r="F27" i="40"/>
  <c r="E27" i="40"/>
  <c r="D27" i="40"/>
  <c r="AD23" i="40"/>
  <c r="AH23" i="40"/>
  <c r="AF23" i="40"/>
  <c r="AI23" i="40"/>
  <c r="AE23" i="40"/>
  <c r="AJ23" i="40"/>
  <c r="AG23" i="40"/>
  <c r="R24" i="40"/>
  <c r="R23" i="40"/>
  <c r="S23" i="40"/>
  <c r="S24" i="40"/>
  <c r="V23" i="40"/>
  <c r="V24" i="40"/>
  <c r="AA24" i="40"/>
  <c r="AA23" i="40"/>
  <c r="X24" i="40"/>
  <c r="X23" i="40"/>
  <c r="M23" i="40"/>
  <c r="M24" i="40"/>
  <c r="I24" i="40"/>
  <c r="I23" i="40"/>
  <c r="J24" i="40"/>
  <c r="J23" i="40"/>
  <c r="Y24" i="40"/>
  <c r="Y23" i="40"/>
  <c r="Q24" i="40"/>
  <c r="Q23" i="40"/>
  <c r="O23" i="40"/>
  <c r="O24" i="40"/>
  <c r="Z24" i="40"/>
  <c r="Z23" i="40"/>
  <c r="U23" i="40"/>
  <c r="U24" i="40"/>
  <c r="W23" i="40"/>
  <c r="W24" i="40"/>
  <c r="L24" i="40"/>
  <c r="L23" i="40"/>
  <c r="P23" i="40"/>
  <c r="P24" i="40"/>
  <c r="T23" i="40"/>
  <c r="T24" i="40"/>
  <c r="N23" i="40"/>
  <c r="N24" i="40"/>
  <c r="K24" i="40"/>
  <c r="K23" i="40"/>
  <c r="H23" i="40"/>
  <c r="H24" i="40"/>
  <c r="F24" i="40"/>
  <c r="G24" i="40"/>
  <c r="E24" i="40"/>
  <c r="AJ19" i="40"/>
  <c r="AI19" i="40"/>
  <c r="AG19" i="40"/>
  <c r="AH19" i="40"/>
  <c r="AF19" i="40"/>
  <c r="AE19" i="40"/>
  <c r="AD19" i="40"/>
  <c r="AJ15" i="40"/>
  <c r="AI15" i="40"/>
  <c r="AH15" i="40"/>
  <c r="AG15" i="40"/>
  <c r="AF15" i="40"/>
  <c r="AE15" i="40"/>
  <c r="AD15" i="40"/>
  <c r="AJ80" i="40"/>
  <c r="AJ75" i="40"/>
  <c r="AJ69" i="40"/>
  <c r="AJ55" i="40"/>
  <c r="AJ50" i="40"/>
  <c r="AJ45" i="40"/>
  <c r="AJ35" i="40"/>
  <c r="AJ40" i="40"/>
  <c r="AJ25" i="40"/>
  <c r="AI80" i="40"/>
  <c r="AI75" i="40"/>
  <c r="AI69" i="40"/>
  <c r="AI55" i="40"/>
  <c r="AI50" i="40"/>
  <c r="AI45" i="40"/>
  <c r="AI40" i="40"/>
  <c r="AI35" i="40"/>
  <c r="AI25" i="40"/>
  <c r="AJ11" i="40"/>
  <c r="AH80" i="40"/>
  <c r="AH75" i="40"/>
  <c r="AH69" i="40"/>
  <c r="AH55" i="40"/>
  <c r="AH50" i="40"/>
  <c r="AH45" i="40"/>
  <c r="AH40" i="40"/>
  <c r="AH35" i="40"/>
  <c r="AH25" i="40"/>
  <c r="AI11" i="40"/>
  <c r="AG80" i="40"/>
  <c r="AG75" i="40"/>
  <c r="AG69" i="40"/>
  <c r="AG55" i="40"/>
  <c r="AG50" i="40"/>
  <c r="AG45" i="40"/>
  <c r="AG40" i="40"/>
  <c r="AG35" i="40"/>
  <c r="AG25" i="40"/>
  <c r="AH11" i="40"/>
  <c r="AF80" i="40"/>
  <c r="AF75" i="40"/>
  <c r="AF69" i="40"/>
  <c r="AG11" i="40"/>
  <c r="AF55" i="40"/>
  <c r="AF50" i="40"/>
  <c r="AF45" i="40"/>
  <c r="AF40" i="40"/>
  <c r="AF35" i="40"/>
  <c r="AF25" i="40"/>
  <c r="AE80" i="40"/>
  <c r="AE75" i="40"/>
  <c r="AE69" i="40"/>
  <c r="AE55" i="40"/>
  <c r="AE50" i="40"/>
  <c r="AE45" i="40"/>
  <c r="AE40" i="40"/>
  <c r="AE35" i="40"/>
  <c r="AE25" i="40"/>
  <c r="AF11" i="40"/>
  <c r="AD80" i="40"/>
  <c r="AD75" i="40"/>
  <c r="AD69" i="40"/>
  <c r="AE11" i="40"/>
  <c r="AD55" i="40"/>
  <c r="AD50" i="40"/>
  <c r="AD45" i="40"/>
  <c r="AD40" i="40"/>
  <c r="AD35" i="40"/>
  <c r="AD25" i="40"/>
  <c r="AD11" i="40"/>
  <c r="AA16" i="40"/>
  <c r="Z16" i="40"/>
  <c r="Y16" i="40"/>
  <c r="X16" i="40"/>
  <c r="AA15" i="40"/>
  <c r="Z15" i="40"/>
  <c r="W16" i="40"/>
  <c r="U16" i="40"/>
  <c r="Y15" i="40"/>
  <c r="V16" i="40"/>
  <c r="T16" i="40"/>
  <c r="X15" i="40"/>
  <c r="W15" i="40"/>
  <c r="V15" i="40"/>
  <c r="S16" i="40"/>
  <c r="Q16" i="40"/>
  <c r="U15" i="40"/>
  <c r="R16" i="40"/>
  <c r="T15" i="40"/>
  <c r="S15" i="40"/>
  <c r="P16" i="40"/>
  <c r="R15" i="40"/>
  <c r="O16" i="40"/>
  <c r="N16" i="40"/>
  <c r="Q15" i="40"/>
  <c r="P15" i="40"/>
  <c r="M16" i="40"/>
  <c r="L16" i="40"/>
  <c r="O15" i="40"/>
  <c r="K16" i="40"/>
  <c r="N15" i="40"/>
  <c r="J16" i="40"/>
  <c r="M15" i="40"/>
  <c r="L15" i="40"/>
  <c r="I16" i="40"/>
  <c r="K15" i="40"/>
  <c r="H16" i="40"/>
  <c r="J15" i="40"/>
  <c r="G16" i="40"/>
  <c r="I15" i="40"/>
  <c r="F16" i="40"/>
  <c r="H15" i="40"/>
  <c r="E16" i="40"/>
  <c r="AA20" i="40"/>
  <c r="Z20" i="40"/>
  <c r="Y20" i="40"/>
  <c r="AA19" i="40"/>
  <c r="X20" i="40"/>
  <c r="Z19" i="40"/>
  <c r="W20" i="40"/>
  <c r="Y19" i="40"/>
  <c r="V20" i="40"/>
  <c r="X19" i="40"/>
  <c r="U20" i="40"/>
  <c r="W19" i="40"/>
  <c r="T20" i="40"/>
  <c r="R20" i="40"/>
  <c r="V19" i="40"/>
  <c r="S20" i="40"/>
  <c r="U19" i="40"/>
  <c r="T19" i="40"/>
  <c r="Q20" i="40"/>
  <c r="S19" i="40"/>
  <c r="P20" i="40"/>
  <c r="R19" i="40"/>
  <c r="O20" i="40"/>
  <c r="Q19" i="40"/>
  <c r="N20" i="40"/>
  <c r="M20" i="40"/>
  <c r="P19" i="40"/>
  <c r="O19" i="40"/>
  <c r="L20" i="40"/>
  <c r="N19" i="40"/>
  <c r="K20" i="40"/>
  <c r="M19" i="40"/>
  <c r="J20" i="40"/>
  <c r="I20" i="40"/>
  <c r="L19" i="40"/>
  <c r="H20" i="40"/>
  <c r="K19" i="40"/>
  <c r="G20" i="40"/>
  <c r="J19" i="40"/>
  <c r="I19" i="40"/>
  <c r="F20" i="40"/>
  <c r="H19" i="40"/>
  <c r="AA80" i="40"/>
  <c r="AA75" i="40"/>
  <c r="AA69" i="40"/>
  <c r="AA55" i="40"/>
  <c r="AA50" i="40"/>
  <c r="AA45" i="40"/>
  <c r="AA40" i="40"/>
  <c r="AA35" i="40"/>
  <c r="AA25" i="40"/>
  <c r="AA12" i="40"/>
  <c r="E20" i="40"/>
  <c r="Z80" i="40"/>
  <c r="Z75" i="40"/>
  <c r="Z69" i="40"/>
  <c r="Z55" i="40"/>
  <c r="Z50" i="40"/>
  <c r="Z45" i="40"/>
  <c r="Z40" i="40"/>
  <c r="Z35" i="40"/>
  <c r="Z25" i="40"/>
  <c r="Z12" i="40"/>
  <c r="Y80" i="40"/>
  <c r="Y75" i="40"/>
  <c r="Y69" i="40"/>
  <c r="Y55" i="40"/>
  <c r="Y50" i="40"/>
  <c r="Y45" i="40"/>
  <c r="Y40" i="40"/>
  <c r="Y35" i="40"/>
  <c r="Y25" i="40"/>
  <c r="X80" i="40"/>
  <c r="X75" i="40"/>
  <c r="X69" i="40"/>
  <c r="X55" i="40"/>
  <c r="X50" i="40"/>
  <c r="X45" i="40"/>
  <c r="X40" i="40"/>
  <c r="X35" i="40"/>
  <c r="X25" i="40"/>
  <c r="X12" i="40"/>
  <c r="Y12" i="40"/>
  <c r="W80" i="40"/>
  <c r="W75" i="40"/>
  <c r="W69" i="40"/>
  <c r="W55" i="40"/>
  <c r="W50" i="40"/>
  <c r="W45" i="40"/>
  <c r="W40" i="40"/>
  <c r="W35" i="40"/>
  <c r="W25" i="40"/>
  <c r="AA11" i="40"/>
  <c r="V80" i="40"/>
  <c r="V75" i="40"/>
  <c r="V69" i="40"/>
  <c r="V55" i="40"/>
  <c r="V50" i="40"/>
  <c r="V45" i="40"/>
  <c r="V40" i="40"/>
  <c r="V35" i="40"/>
  <c r="V25" i="40"/>
  <c r="Z11" i="40"/>
  <c r="W12" i="40"/>
  <c r="U80" i="40"/>
  <c r="U75" i="40"/>
  <c r="U69" i="40"/>
  <c r="U55" i="40"/>
  <c r="U50" i="40"/>
  <c r="U45" i="40"/>
  <c r="U40" i="40"/>
  <c r="U35" i="40"/>
  <c r="U25" i="40"/>
  <c r="Y11" i="40"/>
  <c r="V12" i="40"/>
  <c r="U12" i="40"/>
  <c r="T80" i="40"/>
  <c r="T75" i="40"/>
  <c r="T69" i="40"/>
  <c r="T55" i="40"/>
  <c r="T50" i="40"/>
  <c r="T45" i="40"/>
  <c r="T40" i="40"/>
  <c r="T35" i="40"/>
  <c r="T25" i="40"/>
  <c r="X11" i="40"/>
  <c r="S80" i="40"/>
  <c r="S75" i="40"/>
  <c r="S69" i="40"/>
  <c r="S55" i="40"/>
  <c r="S50" i="40"/>
  <c r="S45" i="40"/>
  <c r="S40" i="40"/>
  <c r="S35" i="40"/>
  <c r="S25" i="40"/>
  <c r="W11" i="40"/>
  <c r="T12" i="40"/>
  <c r="R80" i="40"/>
  <c r="R75" i="40"/>
  <c r="R69" i="40"/>
  <c r="S12" i="40"/>
  <c r="R55" i="40"/>
  <c r="R50" i="40"/>
  <c r="R45" i="40"/>
  <c r="R40" i="40"/>
  <c r="R35" i="40"/>
  <c r="R25" i="40"/>
  <c r="V11" i="40"/>
  <c r="Q80" i="40"/>
  <c r="Q75" i="40"/>
  <c r="Q69" i="40"/>
  <c r="R12" i="40"/>
  <c r="Q55" i="40"/>
  <c r="Q50" i="40"/>
  <c r="Q45" i="40"/>
  <c r="Q40" i="40"/>
  <c r="Q35" i="40"/>
  <c r="Q25" i="40"/>
  <c r="U11" i="40"/>
  <c r="P80" i="40"/>
  <c r="P75" i="40"/>
  <c r="P69" i="40"/>
  <c r="P55" i="40"/>
  <c r="P50" i="40"/>
  <c r="P45" i="40"/>
  <c r="P40" i="40"/>
  <c r="P35" i="40"/>
  <c r="P25" i="40"/>
  <c r="T11" i="40"/>
  <c r="Q12" i="40"/>
  <c r="O80" i="40"/>
  <c r="O75" i="40"/>
  <c r="O69" i="40"/>
  <c r="O55" i="40"/>
  <c r="O50" i="40"/>
  <c r="O45" i="40"/>
  <c r="O40" i="40"/>
  <c r="O35" i="40"/>
  <c r="O25" i="40"/>
  <c r="O12" i="40"/>
  <c r="S11" i="40"/>
  <c r="P12" i="40"/>
  <c r="N80" i="40"/>
  <c r="N75" i="40"/>
  <c r="N69" i="40"/>
  <c r="N55" i="40"/>
  <c r="N50" i="40"/>
  <c r="N45" i="40"/>
  <c r="N40" i="40"/>
  <c r="N35" i="40"/>
  <c r="N25" i="40"/>
  <c r="R11" i="40"/>
  <c r="N12" i="40"/>
  <c r="M80" i="40"/>
  <c r="M75" i="40"/>
  <c r="M69" i="40"/>
  <c r="M55" i="40"/>
  <c r="M50" i="40"/>
  <c r="M45" i="40"/>
  <c r="M40" i="40"/>
  <c r="M35" i="40"/>
  <c r="M25" i="40"/>
  <c r="Q11" i="40"/>
  <c r="L80" i="40"/>
  <c r="L75" i="40"/>
  <c r="L69" i="40"/>
  <c r="M12" i="40"/>
  <c r="L55" i="40"/>
  <c r="L50" i="40"/>
  <c r="L45" i="40"/>
  <c r="L40" i="40"/>
  <c r="L35" i="40"/>
  <c r="L25" i="40"/>
  <c r="P11" i="40"/>
  <c r="K80" i="40"/>
  <c r="K75" i="40"/>
  <c r="K69" i="40"/>
  <c r="K55" i="40"/>
  <c r="K50" i="40"/>
  <c r="K45" i="40"/>
  <c r="K40" i="40"/>
  <c r="K35" i="40"/>
  <c r="K25" i="40"/>
  <c r="O11" i="40"/>
  <c r="L12" i="40"/>
  <c r="J80" i="40"/>
  <c r="J75" i="40"/>
  <c r="J69" i="40"/>
  <c r="K12" i="40"/>
  <c r="J55" i="40"/>
  <c r="J50" i="40"/>
  <c r="J45" i="40"/>
  <c r="J40" i="40"/>
  <c r="J35" i="40"/>
  <c r="J25" i="40"/>
  <c r="N11" i="40"/>
  <c r="I80" i="40"/>
  <c r="I75" i="40"/>
  <c r="I69" i="40"/>
  <c r="J12" i="40"/>
  <c r="I55" i="40"/>
  <c r="I50" i="40"/>
  <c r="I45" i="40"/>
  <c r="I40" i="40"/>
  <c r="I35" i="40"/>
  <c r="I25" i="40"/>
  <c r="M11" i="40"/>
  <c r="H80" i="40"/>
  <c r="H75" i="40"/>
  <c r="H69" i="40"/>
  <c r="H55" i="40"/>
  <c r="H50" i="40"/>
  <c r="H45" i="40"/>
  <c r="H40" i="40"/>
  <c r="H35" i="40"/>
  <c r="H25" i="40"/>
  <c r="L11" i="40"/>
  <c r="I12" i="40"/>
  <c r="G80" i="40"/>
  <c r="G75" i="40"/>
  <c r="G69" i="40"/>
  <c r="H12" i="40"/>
  <c r="G55" i="40"/>
  <c r="G50" i="40"/>
  <c r="G45" i="40"/>
  <c r="G40" i="40"/>
  <c r="G35" i="40"/>
  <c r="G25" i="40"/>
  <c r="K11" i="40"/>
  <c r="F80" i="40"/>
  <c r="F75" i="40"/>
  <c r="F69" i="40"/>
  <c r="F55" i="40"/>
  <c r="F50" i="40"/>
  <c r="F45" i="40"/>
  <c r="F40" i="40"/>
  <c r="F35" i="40"/>
  <c r="F25" i="40"/>
  <c r="J11" i="40"/>
  <c r="G12" i="40"/>
  <c r="E80" i="40"/>
  <c r="E75" i="40"/>
  <c r="E69" i="40"/>
  <c r="E55" i="40"/>
  <c r="E50" i="40"/>
  <c r="E45" i="40"/>
  <c r="E40" i="40"/>
  <c r="E35" i="40"/>
  <c r="E25" i="40"/>
  <c r="I11" i="40"/>
  <c r="F12" i="40"/>
  <c r="D80" i="40"/>
  <c r="D75" i="40"/>
  <c r="D69" i="40"/>
  <c r="D55" i="40"/>
  <c r="D50" i="40"/>
  <c r="D45" i="40"/>
  <c r="D40" i="40"/>
  <c r="D35" i="40"/>
  <c r="D25" i="40"/>
  <c r="H11" i="40"/>
  <c r="E12" i="40"/>
  <c r="E4" i="40"/>
  <c r="F4" i="40" s="1"/>
  <c r="BQ6" i="37"/>
  <c r="Z6" i="37"/>
  <c r="BS4" i="25"/>
  <c r="BZ4" i="25"/>
  <c r="CG4" i="25"/>
  <c r="CN4" i="25"/>
  <c r="DB4" i="25"/>
  <c r="DI4" i="25"/>
  <c r="DP4" i="25"/>
  <c r="DW4" i="25"/>
  <c r="K6" i="25"/>
  <c r="Q6" i="25"/>
  <c r="W6" i="25"/>
  <c r="AC6" i="25"/>
  <c r="K7" i="25"/>
  <c r="AQ7" i="25"/>
  <c r="Q7" i="25"/>
  <c r="AX7" i="25"/>
  <c r="W7" i="25"/>
  <c r="W8" i="25"/>
  <c r="AJ7" i="25"/>
  <c r="BE7" i="25"/>
  <c r="Q8" i="25"/>
  <c r="S6" i="37"/>
  <c r="AF6" i="37"/>
  <c r="BZ7" i="25"/>
  <c r="BE8" i="25"/>
  <c r="AJ6" i="25"/>
  <c r="AQ6" i="25"/>
  <c r="AX6" i="25"/>
  <c r="BE6" i="25"/>
  <c r="BL6" i="25"/>
  <c r="AC8" i="25"/>
  <c r="BS7" i="25"/>
  <c r="J10" i="25"/>
  <c r="AX8" i="25"/>
  <c r="AQ8" i="25"/>
  <c r="BS6" i="25"/>
  <c r="BZ6" i="25"/>
  <c r="BZ8" i="25"/>
  <c r="BL8" i="25"/>
  <c r="AJ8" i="25"/>
  <c r="P10" i="25"/>
  <c r="BS8" i="25"/>
  <c r="V10" i="25"/>
  <c r="AB10" i="25"/>
  <c r="AI10" i="25"/>
  <c r="AP10" i="25"/>
  <c r="AW10" i="25"/>
  <c r="BD10" i="25"/>
  <c r="BK10" i="25"/>
  <c r="BR10" i="25"/>
  <c r="BY10" i="25"/>
  <c r="J11" i="25"/>
  <c r="P11" i="25"/>
  <c r="V11" i="25"/>
  <c r="AB11" i="25"/>
  <c r="AI11" i="25"/>
  <c r="AP11" i="25"/>
  <c r="AW11" i="25"/>
  <c r="BD11" i="25"/>
  <c r="BK11" i="25"/>
  <c r="BR11" i="25"/>
  <c r="BY11" i="25"/>
  <c r="J12" i="25"/>
  <c r="P12" i="25"/>
  <c r="V12" i="25"/>
  <c r="AB12" i="25"/>
  <c r="AI12" i="25"/>
  <c r="AP12" i="25"/>
  <c r="AW12" i="25"/>
  <c r="BD12" i="25"/>
  <c r="BK12" i="25"/>
  <c r="BR12" i="25"/>
  <c r="BY12" i="25"/>
  <c r="J13" i="25"/>
  <c r="P13" i="25"/>
  <c r="V13" i="25"/>
  <c r="AB13" i="25"/>
  <c r="BC13" i="25"/>
  <c r="BD13" i="25" s="1"/>
  <c r="BJ13" i="25"/>
  <c r="BK13" i="25" s="1"/>
  <c r="BX13" i="25"/>
  <c r="BY13" i="25" s="1"/>
  <c r="J14" i="25"/>
  <c r="P14" i="25"/>
  <c r="V14" i="25"/>
  <c r="AB14" i="25"/>
  <c r="AI14" i="25"/>
  <c r="AP14" i="25"/>
  <c r="AW14" i="25"/>
  <c r="BD14" i="25"/>
  <c r="BK14" i="25"/>
  <c r="BR14" i="25"/>
  <c r="BY14" i="25"/>
  <c r="J15" i="25"/>
  <c r="P15" i="25"/>
  <c r="V15" i="25"/>
  <c r="AB15" i="25"/>
  <c r="BC15" i="25"/>
  <c r="BD15" i="25" s="1"/>
  <c r="BJ15" i="25"/>
  <c r="BK15" i="25" s="1"/>
  <c r="BX15" i="25"/>
  <c r="BY15" i="25" s="1"/>
  <c r="J16" i="25"/>
  <c r="P16" i="25"/>
  <c r="V16" i="25"/>
  <c r="AB16" i="25"/>
  <c r="AI16" i="25"/>
  <c r="AP16" i="25"/>
  <c r="AW16" i="25"/>
  <c r="BD16" i="25"/>
  <c r="BK16" i="25"/>
  <c r="BR16" i="25"/>
  <c r="BY16" i="25"/>
  <c r="J17" i="25"/>
  <c r="P17" i="25"/>
  <c r="V17" i="25"/>
  <c r="AB17" i="25"/>
  <c r="BC17" i="25"/>
  <c r="BD17" i="25" s="1"/>
  <c r="BJ17" i="25"/>
  <c r="BK17" i="25" s="1"/>
  <c r="BX17" i="25"/>
  <c r="BY17" i="25" s="1"/>
  <c r="J18" i="25"/>
  <c r="P18" i="25"/>
  <c r="V18" i="25"/>
  <c r="AB18" i="25"/>
  <c r="AI18" i="25"/>
  <c r="AP18" i="25"/>
  <c r="AW18" i="25"/>
  <c r="BD18" i="25"/>
  <c r="BK18" i="25"/>
  <c r="BR18" i="25"/>
  <c r="BX19" i="25"/>
  <c r="BY19" i="25" s="1"/>
  <c r="I19" i="25"/>
  <c r="J19" i="25" s="1"/>
  <c r="O19" i="25"/>
  <c r="P19" i="25" s="1"/>
  <c r="U19" i="25"/>
  <c r="V19" i="25" s="1"/>
  <c r="AA19" i="25"/>
  <c r="AB19" i="25" s="1"/>
  <c r="AH19" i="25"/>
  <c r="AI19" i="25" s="1"/>
  <c r="AO19" i="25"/>
  <c r="AP19" i="25" s="1"/>
  <c r="AV19" i="25"/>
  <c r="AW19" i="25" s="1"/>
  <c r="BC19" i="25"/>
  <c r="BD19" i="25" s="1"/>
  <c r="BJ19" i="25"/>
  <c r="BK19" i="25" s="1"/>
  <c r="BQ19" i="25"/>
  <c r="BR19" i="25" s="1"/>
  <c r="BY18" i="25"/>
  <c r="J20" i="25"/>
  <c r="P20" i="25"/>
  <c r="V20" i="25"/>
  <c r="AB20" i="25"/>
  <c r="AI20" i="25"/>
  <c r="AP20" i="25"/>
  <c r="AR20" i="25"/>
  <c r="AU20" i="25" s="1"/>
  <c r="AW20" i="25"/>
  <c r="AY20" i="25"/>
  <c r="BD20" i="25"/>
  <c r="BF20" i="25"/>
  <c r="BG20" i="25" s="1"/>
  <c r="BK20" i="25"/>
  <c r="BR20" i="25"/>
  <c r="BT20" i="25"/>
  <c r="BY20" i="25"/>
  <c r="CA20" i="25"/>
  <c r="J21" i="25"/>
  <c r="P21" i="25"/>
  <c r="V21" i="25"/>
  <c r="AB21" i="25"/>
  <c r="AI21" i="25"/>
  <c r="AP21" i="25"/>
  <c r="AR21" i="25"/>
  <c r="AU21" i="25" s="1"/>
  <c r="AW21" i="25"/>
  <c r="AY21" i="25"/>
  <c r="BD21" i="25"/>
  <c r="BF21" i="25"/>
  <c r="BI21" i="25" s="1"/>
  <c r="BK21" i="25"/>
  <c r="BR21" i="25"/>
  <c r="BT21" i="25"/>
  <c r="BW21" i="25" s="1"/>
  <c r="BY21" i="25"/>
  <c r="CA21" i="25"/>
  <c r="CB21" i="25" s="1"/>
  <c r="J22" i="25"/>
  <c r="P22" i="25"/>
  <c r="V22" i="25"/>
  <c r="AB22" i="25"/>
  <c r="AI22" i="25"/>
  <c r="AP22" i="25"/>
  <c r="AR22" i="25"/>
  <c r="AS22" i="25" s="1"/>
  <c r="AW22" i="25"/>
  <c r="AY22" i="25"/>
  <c r="BB22" i="25" s="1"/>
  <c r="BD22" i="25"/>
  <c r="BF22" i="25"/>
  <c r="BG22" i="25" s="1"/>
  <c r="BK22" i="25"/>
  <c r="BR22" i="25"/>
  <c r="BT22" i="25"/>
  <c r="BU22" i="25" s="1"/>
  <c r="BY22" i="25"/>
  <c r="CA22" i="25"/>
  <c r="CB22" i="25" s="1"/>
  <c r="J23" i="25"/>
  <c r="P23" i="25"/>
  <c r="V23" i="25"/>
  <c r="AB23" i="25"/>
  <c r="AI23" i="25"/>
  <c r="AP23" i="25"/>
  <c r="AW23" i="25"/>
  <c r="BD23" i="25"/>
  <c r="BK23" i="25"/>
  <c r="BR23" i="25"/>
  <c r="BY23" i="25"/>
  <c r="E8" i="25"/>
  <c r="K8" i="25"/>
  <c r="DN12" i="13"/>
  <c r="DK21" i="13"/>
  <c r="DF21" i="13"/>
  <c r="DH21" i="13"/>
  <c r="EB30" i="13"/>
  <c r="EA30" i="13"/>
  <c r="DZ30" i="13"/>
  <c r="DY30" i="13"/>
  <c r="DW30" i="13"/>
  <c r="DW37" i="13" s="1"/>
  <c r="DV30" i="13"/>
  <c r="DU30" i="13"/>
  <c r="DT30" i="13"/>
  <c r="DT37" i="13" s="1"/>
  <c r="DR30" i="13"/>
  <c r="DQ30" i="13"/>
  <c r="DP30" i="13"/>
  <c r="DP37" i="13" s="1"/>
  <c r="DO30" i="13"/>
  <c r="DM30" i="13"/>
  <c r="DN30" i="13"/>
  <c r="DZ37" i="13"/>
  <c r="DM26" i="12"/>
  <c r="DN44" i="13"/>
  <c r="N5" i="12"/>
  <c r="O5" i="12" s="1"/>
  <c r="P5" i="12" s="1"/>
  <c r="Q5" i="12" s="1"/>
  <c r="J5" i="12"/>
  <c r="K5" i="12"/>
  <c r="L5" i="12" s="1"/>
  <c r="E5" i="12"/>
  <c r="F5" i="12" s="1"/>
  <c r="G5" i="12" s="1"/>
  <c r="H5" i="12" s="1"/>
  <c r="M5" i="12" s="1"/>
  <c r="R5" i="12" s="1"/>
  <c r="W5" i="12" s="1"/>
  <c r="AB5" i="12" s="1"/>
  <c r="AG5" i="12" s="1"/>
  <c r="AL5" i="12" s="1"/>
  <c r="AQ5" i="12" s="1"/>
  <c r="AV5" i="12" s="1"/>
  <c r="BA5" i="12" s="1"/>
  <c r="BF5" i="12" s="1"/>
  <c r="BK5" i="12" s="1"/>
  <c r="BP5" i="12" s="1"/>
  <c r="BU5" i="12" s="1"/>
  <c r="BZ5" i="12" s="1"/>
  <c r="CE5" i="12" s="1"/>
  <c r="CJ5" i="12" s="1"/>
  <c r="CO5" i="12" s="1"/>
  <c r="CT5" i="12" s="1"/>
  <c r="CY5" i="12" s="1"/>
  <c r="DD5" i="12" s="1"/>
  <c r="DI5" i="12" s="1"/>
  <c r="DN5" i="12" s="1"/>
  <c r="DS5" i="12" s="1"/>
  <c r="DX5" i="12" s="1"/>
  <c r="EC5" i="12" s="1"/>
  <c r="N5" i="14"/>
  <c r="J5" i="14"/>
  <c r="K5" i="14" s="1"/>
  <c r="L5" i="14" s="1"/>
  <c r="E5" i="14"/>
  <c r="F5" i="14" s="1"/>
  <c r="G5" i="14" s="1"/>
  <c r="H5" i="14" s="1"/>
  <c r="M5" i="14" s="1"/>
  <c r="N5" i="13"/>
  <c r="S5" i="13" s="1"/>
  <c r="J5" i="13"/>
  <c r="K5" i="13" s="1"/>
  <c r="L5" i="13" s="1"/>
  <c r="E5" i="13"/>
  <c r="F5" i="13" s="1"/>
  <c r="G5" i="13" s="1"/>
  <c r="H5" i="13" s="1"/>
  <c r="M5" i="13" s="1"/>
  <c r="R5" i="13" s="1"/>
  <c r="W5" i="13" s="1"/>
  <c r="AB5" i="13" s="1"/>
  <c r="AG5" i="13" s="1"/>
  <c r="AL5" i="13" s="1"/>
  <c r="AQ5" i="13" s="1"/>
  <c r="AV5" i="13" s="1"/>
  <c r="BA5" i="13" s="1"/>
  <c r="BF5" i="13" s="1"/>
  <c r="BK5" i="13" s="1"/>
  <c r="BP5" i="13" s="1"/>
  <c r="BU5" i="13" s="1"/>
  <c r="BZ5" i="13" s="1"/>
  <c r="CE5" i="13" s="1"/>
  <c r="CJ5" i="13" s="1"/>
  <c r="CO5" i="13" s="1"/>
  <c r="CT5" i="13" s="1"/>
  <c r="CY5" i="13" s="1"/>
  <c r="DD5" i="13" s="1"/>
  <c r="DI5" i="13" s="1"/>
  <c r="DN5" i="13" s="1"/>
  <c r="DS5" i="13" s="1"/>
  <c r="DX5" i="13" s="1"/>
  <c r="EC5" i="13" s="1"/>
  <c r="N5" i="2"/>
  <c r="E5" i="2"/>
  <c r="E74" i="2" s="1"/>
  <c r="J5" i="2"/>
  <c r="BQ82" i="2"/>
  <c r="BU81" i="2"/>
  <c r="BT81" i="2"/>
  <c r="BS81" i="2"/>
  <c r="BR81" i="2"/>
  <c r="BQ81" i="2"/>
  <c r="BU30" i="2"/>
  <c r="BT30" i="2"/>
  <c r="BS30" i="2"/>
  <c r="BR30" i="2"/>
  <c r="BQ30" i="2"/>
  <c r="DK10" i="2"/>
  <c r="DJ10" i="2"/>
  <c r="DH10" i="2"/>
  <c r="DG10" i="2"/>
  <c r="DF10" i="2"/>
  <c r="DE10" i="2"/>
  <c r="DC10" i="2"/>
  <c r="DB10" i="2"/>
  <c r="DA10" i="2"/>
  <c r="CZ10" i="2"/>
  <c r="CX10" i="2"/>
  <c r="CW10" i="2"/>
  <c r="CV10" i="2"/>
  <c r="CU10" i="2"/>
  <c r="CS10" i="2"/>
  <c r="CR10" i="2"/>
  <c r="CQ10" i="2"/>
  <c r="CP10" i="2"/>
  <c r="CN10" i="2"/>
  <c r="CM10" i="2"/>
  <c r="CL10" i="2"/>
  <c r="CK10" i="2"/>
  <c r="CI10" i="2"/>
  <c r="CH10" i="2"/>
  <c r="CG10" i="2"/>
  <c r="CF10" i="2"/>
  <c r="CD10" i="2"/>
  <c r="CC10" i="2"/>
  <c r="CB10" i="2"/>
  <c r="CA10" i="2"/>
  <c r="BY10" i="2"/>
  <c r="BX10" i="2"/>
  <c r="BW10" i="2"/>
  <c r="BV10" i="2"/>
  <c r="DK8" i="2"/>
  <c r="DJ8" i="2"/>
  <c r="DH8" i="2"/>
  <c r="DG8" i="2"/>
  <c r="DF8" i="2"/>
  <c r="DE8" i="2"/>
  <c r="DC8" i="2"/>
  <c r="DB8" i="2"/>
  <c r="DA8" i="2"/>
  <c r="CZ8" i="2"/>
  <c r="CX8" i="2"/>
  <c r="CW8" i="2"/>
  <c r="CV8" i="2"/>
  <c r="CU8" i="2"/>
  <c r="CS8" i="2"/>
  <c r="CR8" i="2"/>
  <c r="CQ8" i="2"/>
  <c r="CP8" i="2"/>
  <c r="CN8" i="2"/>
  <c r="CM8" i="2"/>
  <c r="CL8" i="2"/>
  <c r="CK8" i="2"/>
  <c r="CI8" i="2"/>
  <c r="CH8" i="2"/>
  <c r="CG8" i="2"/>
  <c r="CF8" i="2"/>
  <c r="CD8" i="2"/>
  <c r="CC8" i="2"/>
  <c r="CB8" i="2"/>
  <c r="CA8" i="2"/>
  <c r="BY8" i="2"/>
  <c r="BX8" i="2"/>
  <c r="BW8" i="2"/>
  <c r="BV8" i="2"/>
  <c r="DK63" i="14"/>
  <c r="DK52" i="14"/>
  <c r="EC45" i="13"/>
  <c r="EC44" i="13"/>
  <c r="EC42" i="13"/>
  <c r="EC40" i="13"/>
  <c r="EC39" i="13"/>
  <c r="EC36" i="13"/>
  <c r="EC35" i="13"/>
  <c r="EC34" i="13"/>
  <c r="EC33" i="13"/>
  <c r="EC31" i="13"/>
  <c r="EC30" i="13"/>
  <c r="EC29" i="13"/>
  <c r="EC28" i="13"/>
  <c r="EC55" i="13" s="1"/>
  <c r="G8" i="21" s="1"/>
  <c r="DX45" i="13"/>
  <c r="DX44" i="13"/>
  <c r="DX42" i="13"/>
  <c r="DX40" i="13"/>
  <c r="DX39" i="13"/>
  <c r="DX36" i="13"/>
  <c r="DX35" i="13"/>
  <c r="DX34" i="13"/>
  <c r="DX33" i="13"/>
  <c r="DX32" i="13"/>
  <c r="DX31" i="13"/>
  <c r="DX29" i="13"/>
  <c r="DX28" i="13"/>
  <c r="DX55" i="13" s="1"/>
  <c r="F8" i="21" s="1"/>
  <c r="EC39" i="12"/>
  <c r="EC29" i="12"/>
  <c r="DX39" i="12"/>
  <c r="DX29" i="12"/>
  <c r="EB121" i="2"/>
  <c r="EA121" i="2"/>
  <c r="DZ121" i="2"/>
  <c r="DY121" i="2"/>
  <c r="EB120" i="2"/>
  <c r="EA120" i="2"/>
  <c r="DZ120" i="2"/>
  <c r="DY120" i="2"/>
  <c r="EB118" i="2"/>
  <c r="EA118" i="2"/>
  <c r="DZ118" i="2"/>
  <c r="DY118" i="2"/>
  <c r="EC104" i="2"/>
  <c r="EC78" i="2"/>
  <c r="EC60" i="2"/>
  <c r="EC53" i="2"/>
  <c r="EC52" i="2"/>
  <c r="DW121" i="2"/>
  <c r="DV121" i="2"/>
  <c r="DU121" i="2"/>
  <c r="DT121" i="2"/>
  <c r="DW120" i="2"/>
  <c r="DV120" i="2"/>
  <c r="DU120" i="2"/>
  <c r="DT120" i="2"/>
  <c r="DW118" i="2"/>
  <c r="DV118" i="2"/>
  <c r="DU118" i="2"/>
  <c r="DT118" i="2"/>
  <c r="DX104" i="2"/>
  <c r="DX78" i="2"/>
  <c r="DX60" i="2"/>
  <c r="DX53" i="2"/>
  <c r="DX52" i="2"/>
  <c r="DD40" i="13"/>
  <c r="DD39" i="13"/>
  <c r="DI39" i="13"/>
  <c r="DI40" i="13"/>
  <c r="DS40" i="13"/>
  <c r="DS39" i="13"/>
  <c r="DN39" i="13"/>
  <c r="DN40" i="13"/>
  <c r="DS33" i="13"/>
  <c r="DS31" i="13"/>
  <c r="DN33" i="13"/>
  <c r="DN32" i="13"/>
  <c r="DN31" i="13"/>
  <c r="DN14" i="13"/>
  <c r="DN16" i="13"/>
  <c r="DH20" i="13"/>
  <c r="DG20" i="13"/>
  <c r="DF20" i="13"/>
  <c r="DH19" i="13"/>
  <c r="DG19" i="13"/>
  <c r="DF19" i="13"/>
  <c r="DH18" i="13"/>
  <c r="DH22" i="13" s="1"/>
  <c r="DG18" i="13"/>
  <c r="DF18" i="13"/>
  <c r="DG21" i="13"/>
  <c r="DK20" i="13"/>
  <c r="DK19" i="13"/>
  <c r="DM41" i="12"/>
  <c r="DN41" i="12" s="1"/>
  <c r="DO41" i="12" s="1"/>
  <c r="DP41" i="12" s="1"/>
  <c r="DQ41" i="12" s="1"/>
  <c r="DR41" i="12" s="1"/>
  <c r="DS41" i="12" s="1"/>
  <c r="DT41" i="12" s="1"/>
  <c r="DU41" i="12" s="1"/>
  <c r="DV41" i="12" s="1"/>
  <c r="DW41" i="12" s="1"/>
  <c r="DX41" i="12" s="1"/>
  <c r="DY41" i="12" s="1"/>
  <c r="DZ41" i="12" s="1"/>
  <c r="EA41" i="12" s="1"/>
  <c r="EB41" i="12" s="1"/>
  <c r="EC41" i="12" s="1"/>
  <c r="DM40" i="12"/>
  <c r="DN40" i="12" s="1"/>
  <c r="DO40" i="12" s="1"/>
  <c r="DP40" i="12" s="1"/>
  <c r="DQ40" i="12" s="1"/>
  <c r="DR40" i="12" s="1"/>
  <c r="DS40" i="12" s="1"/>
  <c r="DT40" i="12" s="1"/>
  <c r="DU40" i="12" s="1"/>
  <c r="DV40" i="12" s="1"/>
  <c r="DW40" i="12" s="1"/>
  <c r="DX40" i="12" s="1"/>
  <c r="DY40" i="12" s="1"/>
  <c r="DZ40" i="12" s="1"/>
  <c r="EA40" i="12" s="1"/>
  <c r="EB40" i="12" s="1"/>
  <c r="EC40" i="12" s="1"/>
  <c r="DK15" i="13"/>
  <c r="DN15" i="13" s="1"/>
  <c r="DK53" i="14"/>
  <c r="DP53" i="14" s="1"/>
  <c r="DU53" i="14" s="1"/>
  <c r="DZ53" i="14" s="1"/>
  <c r="DK48" i="14"/>
  <c r="DK43" i="14"/>
  <c r="DK36" i="14"/>
  <c r="DK18" i="14"/>
  <c r="DK16" i="14"/>
  <c r="DK9" i="14"/>
  <c r="DK8" i="14"/>
  <c r="DK43" i="13"/>
  <c r="DK37" i="13"/>
  <c r="DK18" i="13"/>
  <c r="DK48" i="12"/>
  <c r="DK43" i="12"/>
  <c r="DK30" i="12"/>
  <c r="DK36" i="12"/>
  <c r="DK121" i="2"/>
  <c r="DK118" i="2"/>
  <c r="DK95" i="2"/>
  <c r="DK9" i="13" s="1"/>
  <c r="DK8" i="13" s="1"/>
  <c r="DK88" i="2"/>
  <c r="DK117" i="2" s="1"/>
  <c r="DK69" i="2"/>
  <c r="DK61" i="2"/>
  <c r="DK56" i="2"/>
  <c r="DK57" i="2" s="1"/>
  <c r="DK120" i="2"/>
  <c r="DK42" i="2"/>
  <c r="DK58" i="12" s="1"/>
  <c r="DK25" i="2"/>
  <c r="DK26" i="2" s="1"/>
  <c r="DK23" i="2"/>
  <c r="DK24" i="2" s="1"/>
  <c r="DK20" i="2"/>
  <c r="DK60" i="12" s="1"/>
  <c r="DK18" i="2"/>
  <c r="DP18" i="2" s="1"/>
  <c r="DU18" i="2" s="1"/>
  <c r="DZ18" i="2" s="1"/>
  <c r="DK15" i="2"/>
  <c r="DP15" i="2" s="1"/>
  <c r="DU15" i="2" s="1"/>
  <c r="DZ15" i="2" s="1"/>
  <c r="DK11" i="2"/>
  <c r="DK41" i="2" s="1"/>
  <c r="DK35" i="12"/>
  <c r="DK44" i="12"/>
  <c r="DJ53" i="14"/>
  <c r="DO53" i="14" s="1"/>
  <c r="DJ52" i="14"/>
  <c r="DJ48" i="14"/>
  <c r="DJ45" i="14" s="1"/>
  <c r="DO45" i="14" s="1"/>
  <c r="DJ43" i="14"/>
  <c r="DJ12" i="14"/>
  <c r="DJ36" i="14"/>
  <c r="DJ18" i="14"/>
  <c r="DJ16" i="14"/>
  <c r="DJ9" i="14"/>
  <c r="DH36" i="14"/>
  <c r="DH63" i="14"/>
  <c r="DH53" i="14"/>
  <c r="DM53" i="14" s="1"/>
  <c r="DH52" i="14"/>
  <c r="DH48" i="14"/>
  <c r="DH43" i="14"/>
  <c r="DH18" i="14"/>
  <c r="DI18" i="14" s="1"/>
  <c r="DH16" i="14"/>
  <c r="DH9" i="14"/>
  <c r="DH8" i="14"/>
  <c r="DJ36" i="13"/>
  <c r="DJ37" i="13" s="1"/>
  <c r="DJ17" i="13"/>
  <c r="DJ42" i="12"/>
  <c r="DJ43" i="12"/>
  <c r="DJ52" i="2"/>
  <c r="DJ120" i="2" s="1"/>
  <c r="DJ43" i="13"/>
  <c r="DJ48" i="12"/>
  <c r="DJ30" i="12"/>
  <c r="DJ36" i="12" s="1"/>
  <c r="DJ121" i="2"/>
  <c r="DJ118" i="2"/>
  <c r="DJ95" i="2"/>
  <c r="DJ119" i="2" s="1"/>
  <c r="DJ88" i="2"/>
  <c r="DJ117" i="2" s="1"/>
  <c r="DJ69" i="2"/>
  <c r="DJ61" i="2"/>
  <c r="DJ42" i="2"/>
  <c r="DJ58" i="12" s="1"/>
  <c r="DJ25" i="2"/>
  <c r="DJ26" i="2" s="1"/>
  <c r="DJ23" i="2"/>
  <c r="DJ24" i="2" s="1"/>
  <c r="DJ20" i="2"/>
  <c r="DJ60" i="12" s="1"/>
  <c r="DO60" i="12" s="1"/>
  <c r="DT60" i="12" s="1"/>
  <c r="DY60" i="12" s="1"/>
  <c r="DJ18" i="2"/>
  <c r="DO18" i="2" s="1"/>
  <c r="DT18" i="2" s="1"/>
  <c r="DY18" i="2" s="1"/>
  <c r="DJ15" i="2"/>
  <c r="DO15" i="2" s="1"/>
  <c r="DT15" i="2" s="1"/>
  <c r="DY15" i="2" s="1"/>
  <c r="DJ11" i="2"/>
  <c r="DJ39" i="2" s="1"/>
  <c r="DH36" i="13"/>
  <c r="DH37" i="13" s="1"/>
  <c r="DH17" i="13"/>
  <c r="DH42" i="12"/>
  <c r="DI42" i="12" s="1"/>
  <c r="DH43" i="12"/>
  <c r="DH43" i="13"/>
  <c r="DH48" i="12"/>
  <c r="DH30" i="12"/>
  <c r="DI30" i="12" s="1"/>
  <c r="DI36" i="12" s="1"/>
  <c r="DI35" i="12" s="1"/>
  <c r="DH36" i="12"/>
  <c r="DH35" i="12" s="1"/>
  <c r="DJ65" i="14"/>
  <c r="DJ56" i="2"/>
  <c r="DJ57" i="2" s="1"/>
  <c r="DH58" i="2"/>
  <c r="DI58" i="2" s="1"/>
  <c r="DH53" i="2"/>
  <c r="DI53" i="2" s="1"/>
  <c r="DH49" i="2"/>
  <c r="DI49" i="2" s="1"/>
  <c r="DH18" i="2"/>
  <c r="DH15" i="2"/>
  <c r="DX22" i="25"/>
  <c r="EA22" i="25" s="1"/>
  <c r="DX21" i="25"/>
  <c r="EC21" i="25" s="1"/>
  <c r="DX20" i="25"/>
  <c r="DY20" i="25" s="1"/>
  <c r="DQ22" i="25"/>
  <c r="DR22" i="25" s="1"/>
  <c r="DQ21" i="25"/>
  <c r="DT21" i="25" s="1"/>
  <c r="DQ20" i="25"/>
  <c r="DT20" i="25" s="1"/>
  <c r="DJ22" i="25"/>
  <c r="DM22" i="25" s="1"/>
  <c r="DJ21" i="25"/>
  <c r="DM21" i="25" s="1"/>
  <c r="DJ20" i="25"/>
  <c r="DK20" i="25" s="1"/>
  <c r="DC22" i="25"/>
  <c r="DC21" i="25"/>
  <c r="DF21" i="25" s="1"/>
  <c r="DC20" i="25"/>
  <c r="DD20" i="25" s="1"/>
  <c r="CO22" i="25"/>
  <c r="CP22" i="25" s="1"/>
  <c r="CO21" i="25"/>
  <c r="CR21" i="25" s="1"/>
  <c r="CO20" i="25"/>
  <c r="CR20" i="25" s="1"/>
  <c r="CH22" i="25"/>
  <c r="CI22" i="25" s="1"/>
  <c r="CH21" i="25"/>
  <c r="CK21" i="25" s="1"/>
  <c r="CH20" i="25"/>
  <c r="CI20" i="25" s="1"/>
  <c r="E22" i="35"/>
  <c r="CG22" i="35" s="1"/>
  <c r="E20" i="35"/>
  <c r="CG20" i="35" s="1"/>
  <c r="E19" i="35"/>
  <c r="CG19" i="35" s="1"/>
  <c r="CG18" i="35"/>
  <c r="S3" i="35"/>
  <c r="O3" i="35"/>
  <c r="K3" i="35"/>
  <c r="G3" i="35"/>
  <c r="H3" i="35" s="1"/>
  <c r="E6" i="21"/>
  <c r="F6" i="21" s="1"/>
  <c r="G6" i="21" s="1"/>
  <c r="H6" i="21" s="1"/>
  <c r="I6" i="21" s="1"/>
  <c r="J6" i="21" s="1"/>
  <c r="K6" i="21" s="1"/>
  <c r="L6" i="21" s="1"/>
  <c r="M6" i="21" s="1"/>
  <c r="N6" i="21" s="1"/>
  <c r="O6" i="21" s="1"/>
  <c r="DS45" i="13"/>
  <c r="DS44" i="13"/>
  <c r="DS42" i="13"/>
  <c r="DS36" i="13"/>
  <c r="DS35" i="13"/>
  <c r="DS34" i="13"/>
  <c r="DS29" i="13"/>
  <c r="DS28" i="13"/>
  <c r="DS55" i="13" s="1"/>
  <c r="E8" i="21" s="1"/>
  <c r="DS39" i="12"/>
  <c r="DS29" i="12"/>
  <c r="DS104" i="2"/>
  <c r="DS78" i="2"/>
  <c r="DS60" i="2"/>
  <c r="DS53" i="2"/>
  <c r="DS52" i="2"/>
  <c r="DS49" i="2"/>
  <c r="DR121" i="2"/>
  <c r="DQ121" i="2"/>
  <c r="DP121" i="2"/>
  <c r="DO121" i="2"/>
  <c r="DR120" i="2"/>
  <c r="DQ120" i="2"/>
  <c r="DP120" i="2"/>
  <c r="DO120" i="2"/>
  <c r="DI39" i="12"/>
  <c r="DD39" i="12"/>
  <c r="CY20" i="12"/>
  <c r="CT20" i="12"/>
  <c r="CO20" i="12"/>
  <c r="CJ20" i="12"/>
  <c r="CE20" i="12"/>
  <c r="BZ20" i="12"/>
  <c r="BU20" i="12"/>
  <c r="DD20" i="12"/>
  <c r="DI20" i="12"/>
  <c r="BQ17" i="13"/>
  <c r="DG36" i="13"/>
  <c r="DG37" i="13" s="1"/>
  <c r="DE17" i="13"/>
  <c r="DG17" i="13"/>
  <c r="CU36" i="13"/>
  <c r="CP36" i="13"/>
  <c r="CK36" i="13"/>
  <c r="CK37" i="13" s="1"/>
  <c r="CF36" i="13"/>
  <c r="CF37" i="13" s="1"/>
  <c r="CA36" i="13"/>
  <c r="CA37" i="13" s="1"/>
  <c r="BQ36" i="13"/>
  <c r="BQ37" i="13" s="1"/>
  <c r="BU47" i="13"/>
  <c r="DF36" i="13"/>
  <c r="DF37" i="13" s="1"/>
  <c r="CZ37" i="13"/>
  <c r="BV37" i="13"/>
  <c r="DF17" i="13"/>
  <c r="DE36" i="13"/>
  <c r="DE35" i="13"/>
  <c r="DE37" i="13" s="1"/>
  <c r="DC36" i="13"/>
  <c r="DD36" i="13" s="1"/>
  <c r="DG104" i="2"/>
  <c r="DG121" i="2" s="1"/>
  <c r="DF102" i="2"/>
  <c r="DF104" i="2"/>
  <c r="DG52" i="2"/>
  <c r="DG42" i="2"/>
  <c r="DG58" i="12" s="1"/>
  <c r="CS42" i="2"/>
  <c r="CS58" i="12" s="1"/>
  <c r="CR42" i="2"/>
  <c r="CR58" i="12" s="1"/>
  <c r="CQ42" i="2"/>
  <c r="CQ58" i="12" s="1"/>
  <c r="CP42" i="2"/>
  <c r="CP58" i="12" s="1"/>
  <c r="CN42" i="2"/>
  <c r="CN58" i="12" s="1"/>
  <c r="CM42" i="2"/>
  <c r="CM58" i="12" s="1"/>
  <c r="CL42" i="2"/>
  <c r="CL58" i="12" s="1"/>
  <c r="CK42" i="2"/>
  <c r="CK58" i="12" s="1"/>
  <c r="CI42" i="2"/>
  <c r="CI58" i="12" s="1"/>
  <c r="CH42" i="2"/>
  <c r="CH58" i="12" s="1"/>
  <c r="CG42" i="2"/>
  <c r="CG58" i="12" s="1"/>
  <c r="CF42" i="2"/>
  <c r="CF58" i="12" s="1"/>
  <c r="CD42" i="2"/>
  <c r="CD58" i="12" s="1"/>
  <c r="CC42" i="2"/>
  <c r="CC58" i="12" s="1"/>
  <c r="CB42" i="2"/>
  <c r="CB58" i="12" s="1"/>
  <c r="CA42" i="2"/>
  <c r="CA58" i="12" s="1"/>
  <c r="BY42" i="2"/>
  <c r="BY58" i="12" s="1"/>
  <c r="BX42" i="2"/>
  <c r="BX58" i="12" s="1"/>
  <c r="BW42" i="2"/>
  <c r="BW58" i="12" s="1"/>
  <c r="BV42" i="2"/>
  <c r="BV58" i="12" s="1"/>
  <c r="BT42" i="2"/>
  <c r="BT58" i="12" s="1"/>
  <c r="BS42" i="2"/>
  <c r="BS58" i="12" s="1"/>
  <c r="BR42" i="2"/>
  <c r="BR58" i="12" s="1"/>
  <c r="BQ42" i="2"/>
  <c r="BQ58" i="12" s="1"/>
  <c r="CX42" i="2"/>
  <c r="CX58" i="12" s="1"/>
  <c r="CW42" i="2"/>
  <c r="CW58" i="12" s="1"/>
  <c r="CV42" i="2"/>
  <c r="CV58" i="12" s="1"/>
  <c r="CU42" i="2"/>
  <c r="CZ42" i="2"/>
  <c r="CZ58" i="12" s="1"/>
  <c r="DA42" i="2"/>
  <c r="DA58" i="12" s="1"/>
  <c r="DB42" i="2"/>
  <c r="DB58" i="12" s="1"/>
  <c r="DC42" i="2"/>
  <c r="DC58" i="12" s="1"/>
  <c r="DE42" i="2"/>
  <c r="DE58" i="12" s="1"/>
  <c r="DF42" i="2"/>
  <c r="DF58" i="12" s="1"/>
  <c r="DD40" i="2"/>
  <c r="CY40" i="2"/>
  <c r="CT40" i="2"/>
  <c r="CO40" i="2"/>
  <c r="CJ40" i="2"/>
  <c r="CE40" i="2"/>
  <c r="BZ40" i="2"/>
  <c r="BU40" i="2"/>
  <c r="DE15" i="2"/>
  <c r="DG42" i="12"/>
  <c r="DG43" i="12"/>
  <c r="DF42" i="12"/>
  <c r="DF43" i="12" s="1"/>
  <c r="DE42" i="12"/>
  <c r="DC42" i="12"/>
  <c r="DC43" i="12" s="1"/>
  <c r="DB42" i="12"/>
  <c r="DB43" i="12"/>
  <c r="DC58" i="2"/>
  <c r="DC49" i="2"/>
  <c r="DC50" i="2"/>
  <c r="DD50" i="2" s="1"/>
  <c r="DC53" i="2"/>
  <c r="DD53" i="2" s="1"/>
  <c r="DB104" i="2"/>
  <c r="DB52" i="2"/>
  <c r="DG48" i="12"/>
  <c r="DG30" i="12"/>
  <c r="DG36" i="12"/>
  <c r="DG35" i="12"/>
  <c r="DF48" i="12"/>
  <c r="DF30" i="12"/>
  <c r="DF36" i="12"/>
  <c r="DF35" i="12" s="1"/>
  <c r="DE48" i="12"/>
  <c r="DE30" i="12"/>
  <c r="DE36" i="12"/>
  <c r="DE44" i="12" s="1"/>
  <c r="DC30" i="12"/>
  <c r="DC36" i="12" s="1"/>
  <c r="DC48" i="12"/>
  <c r="DG102" i="2"/>
  <c r="DG118" i="2" s="1"/>
  <c r="DG95" i="2"/>
  <c r="DG88" i="2"/>
  <c r="DG11" i="13" s="1"/>
  <c r="DG69" i="2"/>
  <c r="DG61" i="2"/>
  <c r="DG56" i="2"/>
  <c r="DG51" i="2"/>
  <c r="DG25" i="2"/>
  <c r="DG26" i="2" s="1"/>
  <c r="DG23" i="2"/>
  <c r="DG24" i="2" s="1"/>
  <c r="DG20" i="2"/>
  <c r="DG60" i="12" s="1"/>
  <c r="DG18" i="2"/>
  <c r="DG15" i="2"/>
  <c r="DG11" i="2"/>
  <c r="DF120" i="2"/>
  <c r="DF95" i="2"/>
  <c r="DF9" i="13" s="1"/>
  <c r="DF8" i="13" s="1"/>
  <c r="DF88" i="2"/>
  <c r="DF69" i="2"/>
  <c r="DF61" i="2"/>
  <c r="DF56" i="2"/>
  <c r="DF51" i="2"/>
  <c r="DF54" i="2" s="1"/>
  <c r="DF25" i="2"/>
  <c r="DF26" i="2" s="1"/>
  <c r="DF23" i="2"/>
  <c r="DF24" i="2" s="1"/>
  <c r="DF20" i="2"/>
  <c r="DF18" i="2"/>
  <c r="DF15" i="2"/>
  <c r="DF11" i="2"/>
  <c r="DE121" i="2"/>
  <c r="DE120" i="2"/>
  <c r="DE102" i="2"/>
  <c r="DE118" i="2" s="1"/>
  <c r="DE95" i="2"/>
  <c r="DE119" i="2" s="1"/>
  <c r="DE88" i="2"/>
  <c r="DE69" i="2"/>
  <c r="DE61" i="2"/>
  <c r="DE56" i="2"/>
  <c r="DE51" i="2"/>
  <c r="DE54" i="2" s="1"/>
  <c r="DE25" i="2"/>
  <c r="DE23" i="2"/>
  <c r="DE24" i="2" s="1"/>
  <c r="DE20" i="2"/>
  <c r="DE18" i="2"/>
  <c r="DE11" i="2"/>
  <c r="DC11" i="2"/>
  <c r="DC15" i="2"/>
  <c r="DC18" i="2"/>
  <c r="DC20" i="2"/>
  <c r="DC23" i="2"/>
  <c r="DC24" i="2" s="1"/>
  <c r="DC25" i="2"/>
  <c r="DC26" i="2" s="1"/>
  <c r="DC69" i="2"/>
  <c r="DC88" i="2"/>
  <c r="DC95" i="2"/>
  <c r="DC119" i="2" s="1"/>
  <c r="DC102" i="2"/>
  <c r="DC121" i="2"/>
  <c r="DB48" i="14"/>
  <c r="DB36" i="14"/>
  <c r="DF43" i="14"/>
  <c r="DG43" i="14"/>
  <c r="DE43" i="14"/>
  <c r="DB43" i="14"/>
  <c r="DF53" i="14"/>
  <c r="DE53" i="14"/>
  <c r="DB53" i="14"/>
  <c r="DC53" i="14"/>
  <c r="DA53" i="14"/>
  <c r="DA36" i="14"/>
  <c r="DA9" i="14"/>
  <c r="DA16" i="14"/>
  <c r="DA18" i="14"/>
  <c r="DB30" i="12"/>
  <c r="DB36" i="12"/>
  <c r="DB44" i="12" s="1"/>
  <c r="DB35" i="12"/>
  <c r="DB48" i="12"/>
  <c r="DB11" i="2"/>
  <c r="DB41" i="2" s="1"/>
  <c r="DB15" i="2"/>
  <c r="DB18" i="2"/>
  <c r="DB20" i="2"/>
  <c r="DB23" i="2"/>
  <c r="DB24" i="2" s="1"/>
  <c r="DB25" i="2"/>
  <c r="DB26" i="2" s="1"/>
  <c r="DB51" i="2"/>
  <c r="DB56" i="2"/>
  <c r="DB61" i="2"/>
  <c r="DB69" i="2"/>
  <c r="DB88" i="2"/>
  <c r="DB95" i="2"/>
  <c r="DB102" i="2"/>
  <c r="DB118" i="2" s="1"/>
  <c r="DA42" i="12"/>
  <c r="DA43" i="12"/>
  <c r="DA44" i="13"/>
  <c r="DB44" i="13" s="1"/>
  <c r="DA41" i="13"/>
  <c r="DA35" i="13"/>
  <c r="DB35" i="13" s="1"/>
  <c r="DC35" i="13" s="1"/>
  <c r="DD35" i="13" s="1"/>
  <c r="DA28" i="13"/>
  <c r="DA55" i="13" s="1"/>
  <c r="DA30" i="13"/>
  <c r="DB30" i="13" s="1"/>
  <c r="DA29" i="13"/>
  <c r="DA21" i="13"/>
  <c r="DB21" i="13" s="1"/>
  <c r="DC21" i="13" s="1"/>
  <c r="DA20" i="13"/>
  <c r="DB20" i="13" s="1"/>
  <c r="DC20" i="13" s="1"/>
  <c r="DA19" i="13"/>
  <c r="DB19" i="13" s="1"/>
  <c r="DC19" i="13" s="1"/>
  <c r="DA18" i="13"/>
  <c r="DB18" i="13" s="1"/>
  <c r="DC18" i="13" s="1"/>
  <c r="DD18" i="13" s="1"/>
  <c r="DA17" i="13"/>
  <c r="DB17" i="13" s="1"/>
  <c r="DC17" i="13" s="1"/>
  <c r="DA15" i="13"/>
  <c r="DB15" i="13" s="1"/>
  <c r="DA13" i="13"/>
  <c r="DB13" i="13" s="1"/>
  <c r="DB57" i="2" s="1"/>
  <c r="DA10" i="13"/>
  <c r="DA52" i="2"/>
  <c r="DM20" i="12"/>
  <c r="DE43" i="13"/>
  <c r="DG43" i="13"/>
  <c r="DA48" i="14"/>
  <c r="DA69" i="14" s="1"/>
  <c r="AE149" i="35" s="1"/>
  <c r="DA30" i="12"/>
  <c r="DA36" i="12"/>
  <c r="DA35" i="12" s="1"/>
  <c r="DA48" i="12"/>
  <c r="DA15" i="2"/>
  <c r="DA18" i="2"/>
  <c r="DA20" i="2"/>
  <c r="DA60" i="12" s="1"/>
  <c r="DA23" i="2"/>
  <c r="DA24" i="2" s="1"/>
  <c r="DA25" i="2"/>
  <c r="DA26" i="2"/>
  <c r="DA51" i="2"/>
  <c r="DA56" i="2"/>
  <c r="DA61" i="2"/>
  <c r="DA69" i="2"/>
  <c r="DA88" i="2"/>
  <c r="DA11" i="13" s="1"/>
  <c r="DA95" i="2"/>
  <c r="DA9" i="13" s="1"/>
  <c r="DA102" i="2"/>
  <c r="DA121" i="2"/>
  <c r="DN20" i="12"/>
  <c r="DO20" i="12"/>
  <c r="DP20" i="12"/>
  <c r="DQ20" i="12"/>
  <c r="DR20" i="12" s="1"/>
  <c r="DF43" i="13"/>
  <c r="BU7" i="2"/>
  <c r="BU9" i="2"/>
  <c r="BU14" i="2"/>
  <c r="BU17" i="2"/>
  <c r="BU32" i="2"/>
  <c r="BU34" i="2"/>
  <c r="BU36" i="2"/>
  <c r="BU38" i="2"/>
  <c r="BU49" i="2"/>
  <c r="BU50" i="2"/>
  <c r="BU52" i="2"/>
  <c r="BU53" i="2"/>
  <c r="BU58" i="2"/>
  <c r="BU60" i="2"/>
  <c r="BU69" i="2"/>
  <c r="BU78" i="2"/>
  <c r="BU84" i="2"/>
  <c r="BU85" i="2"/>
  <c r="BU86" i="2"/>
  <c r="BU87" i="2"/>
  <c r="BU91" i="2"/>
  <c r="BU92" i="2"/>
  <c r="BU93" i="2"/>
  <c r="BU94" i="2"/>
  <c r="BU98" i="2"/>
  <c r="BU99" i="2"/>
  <c r="BU100" i="2"/>
  <c r="BU101" i="2"/>
  <c r="BU104" i="2"/>
  <c r="BU123" i="2"/>
  <c r="E72" i="35"/>
  <c r="E66" i="35"/>
  <c r="CG66" i="35" s="1"/>
  <c r="E64" i="35"/>
  <c r="CG64" i="35" s="1"/>
  <c r="E62" i="35"/>
  <c r="CG62" i="35" s="1"/>
  <c r="E60" i="35"/>
  <c r="CG60" i="35" s="1"/>
  <c r="E58" i="35"/>
  <c r="CG58" i="35" s="1"/>
  <c r="E50" i="35"/>
  <c r="E54" i="35"/>
  <c r="CG54" i="35" s="1"/>
  <c r="E49" i="35"/>
  <c r="E53" i="35"/>
  <c r="CG53" i="35" s="1"/>
  <c r="E48" i="35"/>
  <c r="E45" i="35"/>
  <c r="CG45" i="35" s="1"/>
  <c r="E44" i="35"/>
  <c r="CG44" i="35" s="1"/>
  <c r="E43" i="35"/>
  <c r="CG43" i="35" s="1"/>
  <c r="E42" i="35"/>
  <c r="CG42" i="35" s="1"/>
  <c r="E41" i="35"/>
  <c r="CG41" i="35" s="1"/>
  <c r="E40" i="35"/>
  <c r="CG40" i="35" s="1"/>
  <c r="DE63" i="14"/>
  <c r="DC63" i="14"/>
  <c r="DB63" i="14"/>
  <c r="CZ63" i="14"/>
  <c r="CW63" i="14"/>
  <c r="CV63" i="14"/>
  <c r="CU63" i="14"/>
  <c r="CU65" i="14" s="1"/>
  <c r="CS63" i="14"/>
  <c r="CR63" i="14"/>
  <c r="CQ63" i="14"/>
  <c r="CP63" i="14"/>
  <c r="CZ53" i="14"/>
  <c r="CW53" i="14"/>
  <c r="CV53" i="14"/>
  <c r="CU53" i="14"/>
  <c r="CS53" i="14"/>
  <c r="CR53" i="14"/>
  <c r="CQ53" i="14"/>
  <c r="CP53" i="14"/>
  <c r="DG52" i="14"/>
  <c r="DE52" i="14"/>
  <c r="DC52" i="14"/>
  <c r="DB52" i="14"/>
  <c r="CZ52" i="14"/>
  <c r="CX52" i="14"/>
  <c r="CW52" i="14"/>
  <c r="CV52" i="14"/>
  <c r="CU52" i="14"/>
  <c r="CY51" i="14"/>
  <c r="H118" i="45" s="1"/>
  <c r="CT51" i="14"/>
  <c r="G118" i="45" s="1"/>
  <c r="CN51" i="14"/>
  <c r="CM51" i="14"/>
  <c r="CL51" i="14"/>
  <c r="CK51" i="14"/>
  <c r="CD51" i="14"/>
  <c r="CZ48" i="14"/>
  <c r="CX48" i="14"/>
  <c r="CW48" i="14"/>
  <c r="CV48" i="14"/>
  <c r="CU48" i="14"/>
  <c r="CS48" i="14"/>
  <c r="CR48" i="14"/>
  <c r="CQ48" i="14"/>
  <c r="CP48" i="14"/>
  <c r="CN48" i="14"/>
  <c r="CM48" i="14"/>
  <c r="CL48" i="14"/>
  <c r="CK48" i="14"/>
  <c r="CI48" i="14"/>
  <c r="CH48" i="14"/>
  <c r="CG48" i="14"/>
  <c r="CF48" i="14"/>
  <c r="CD48" i="14"/>
  <c r="CC48" i="14"/>
  <c r="CB48" i="14"/>
  <c r="CA48" i="14"/>
  <c r="BY48" i="14"/>
  <c r="BX48" i="14"/>
  <c r="BX45" i="14" s="1"/>
  <c r="BW48" i="14"/>
  <c r="BW45" i="14" s="1"/>
  <c r="BV48" i="14"/>
  <c r="BV45" i="14" s="1"/>
  <c r="BT48" i="14"/>
  <c r="BT45" i="14" s="1"/>
  <c r="BS48" i="14"/>
  <c r="BR48" i="14"/>
  <c r="BQ48" i="14"/>
  <c r="CZ43" i="14"/>
  <c r="CW43" i="14"/>
  <c r="CV43" i="14"/>
  <c r="CU43" i="14"/>
  <c r="CS43" i="14"/>
  <c r="CR43" i="14"/>
  <c r="CQ43" i="14"/>
  <c r="CP43" i="14"/>
  <c r="CN43" i="14"/>
  <c r="CM43" i="14"/>
  <c r="CL43" i="14"/>
  <c r="CK43" i="14"/>
  <c r="CI43" i="14"/>
  <c r="CH43" i="14"/>
  <c r="CG43" i="14"/>
  <c r="CF43" i="14"/>
  <c r="CD43" i="14"/>
  <c r="CC43" i="14"/>
  <c r="CB43" i="14"/>
  <c r="CA43" i="14"/>
  <c r="BY43" i="14"/>
  <c r="BX43" i="14"/>
  <c r="BW43" i="14"/>
  <c r="BV43" i="14"/>
  <c r="DG53" i="14"/>
  <c r="DL55" i="14" s="1"/>
  <c r="CX41" i="14"/>
  <c r="CX31" i="14" s="1"/>
  <c r="CT41" i="14"/>
  <c r="CO41" i="14"/>
  <c r="CJ41" i="14"/>
  <c r="CE41" i="14"/>
  <c r="BZ41" i="14"/>
  <c r="BU41" i="14"/>
  <c r="CW15" i="14"/>
  <c r="CV15" i="14"/>
  <c r="CU15" i="14"/>
  <c r="CS15" i="14"/>
  <c r="CR15" i="14"/>
  <c r="CQ15" i="14"/>
  <c r="CP15" i="14"/>
  <c r="CN15" i="14"/>
  <c r="CM15" i="14"/>
  <c r="CL15" i="14"/>
  <c r="CK15" i="14"/>
  <c r="CI15" i="14"/>
  <c r="CH15" i="14"/>
  <c r="DF14" i="14"/>
  <c r="DG14" i="14" s="1"/>
  <c r="DB12" i="14"/>
  <c r="DA12" i="14"/>
  <c r="CZ12" i="14"/>
  <c r="CZ36" i="14"/>
  <c r="CX36" i="14"/>
  <c r="CW36" i="14"/>
  <c r="CV36" i="14"/>
  <c r="CU36" i="14"/>
  <c r="CS36" i="14"/>
  <c r="CR36" i="14"/>
  <c r="CQ36" i="14"/>
  <c r="CP36" i="14"/>
  <c r="CN36" i="14"/>
  <c r="CM36" i="14"/>
  <c r="CL36" i="14"/>
  <c r="CK36" i="14"/>
  <c r="CI36" i="14"/>
  <c r="CH36" i="14"/>
  <c r="CG36" i="14"/>
  <c r="CF36" i="14"/>
  <c r="CD36" i="14"/>
  <c r="CC36" i="14"/>
  <c r="CB36" i="14"/>
  <c r="CA36" i="14"/>
  <c r="BY36" i="14"/>
  <c r="BX36" i="14"/>
  <c r="BW36" i="14"/>
  <c r="BV36" i="14"/>
  <c r="BT36" i="14"/>
  <c r="BS36" i="14"/>
  <c r="BR36" i="14"/>
  <c r="BQ36" i="14"/>
  <c r="CX34" i="14"/>
  <c r="CS34" i="14"/>
  <c r="CN34" i="14"/>
  <c r="CI34" i="14"/>
  <c r="CD34" i="14"/>
  <c r="BY34" i="14"/>
  <c r="CD31" i="14"/>
  <c r="CX30" i="14"/>
  <c r="CT30" i="14"/>
  <c r="CS30" i="14"/>
  <c r="CO30" i="14"/>
  <c r="CN30" i="14"/>
  <c r="CJ30" i="14"/>
  <c r="CI30" i="14"/>
  <c r="CE30" i="14"/>
  <c r="CD30" i="14"/>
  <c r="BZ30" i="14"/>
  <c r="BY30" i="14"/>
  <c r="BU30" i="14"/>
  <c r="CT28" i="14"/>
  <c r="CO28" i="14"/>
  <c r="CJ28" i="14"/>
  <c r="CE28" i="14"/>
  <c r="BZ28" i="14"/>
  <c r="BU28" i="14"/>
  <c r="CY27" i="14"/>
  <c r="CU27" i="14"/>
  <c r="CU31" i="14" s="1"/>
  <c r="CP27" i="14"/>
  <c r="CP31" i="14" s="1"/>
  <c r="CK27" i="14"/>
  <c r="CK31" i="14" s="1"/>
  <c r="CF27" i="14"/>
  <c r="CF31" i="14" s="1"/>
  <c r="CA27" i="14"/>
  <c r="BV27" i="14"/>
  <c r="CZ18" i="14"/>
  <c r="CX18" i="14"/>
  <c r="CY18" i="14" s="1"/>
  <c r="CW18" i="14"/>
  <c r="CV18" i="14"/>
  <c r="CU18" i="14"/>
  <c r="CS18" i="14"/>
  <c r="CT18" i="14" s="1"/>
  <c r="CR18" i="14"/>
  <c r="CQ18" i="14"/>
  <c r="CP18" i="14"/>
  <c r="CN18" i="14"/>
  <c r="CM18" i="14"/>
  <c r="CL18" i="14"/>
  <c r="CK18" i="14"/>
  <c r="CI18" i="14"/>
  <c r="CJ18" i="14" s="1"/>
  <c r="CH18" i="14"/>
  <c r="CG18" i="14"/>
  <c r="CF18" i="14"/>
  <c r="CD18" i="14"/>
  <c r="CC18" i="14"/>
  <c r="CB18" i="14"/>
  <c r="CA18" i="14"/>
  <c r="BY18" i="14"/>
  <c r="BZ18" i="14" s="1"/>
  <c r="BX18" i="14"/>
  <c r="BW18" i="14"/>
  <c r="BV18" i="14"/>
  <c r="BT18" i="14"/>
  <c r="BU18" i="14" s="1"/>
  <c r="BS18" i="14"/>
  <c r="BR18" i="14"/>
  <c r="BQ18" i="14"/>
  <c r="CZ16" i="14"/>
  <c r="CX16" i="14"/>
  <c r="CW16" i="14"/>
  <c r="CV16" i="14"/>
  <c r="CU16" i="14"/>
  <c r="CS16" i="14"/>
  <c r="CR16" i="14"/>
  <c r="CQ16" i="14"/>
  <c r="CP16" i="14"/>
  <c r="CN16" i="14"/>
  <c r="CM16" i="14"/>
  <c r="CL16" i="14"/>
  <c r="CK16" i="14"/>
  <c r="CI16" i="14"/>
  <c r="CH16" i="14"/>
  <c r="CG16" i="14"/>
  <c r="CF16" i="14"/>
  <c r="CD16" i="14"/>
  <c r="CC16" i="14"/>
  <c r="CB16" i="14"/>
  <c r="CA16" i="14"/>
  <c r="BY16" i="14"/>
  <c r="BX16" i="14"/>
  <c r="BW16" i="14"/>
  <c r="BV16" i="14"/>
  <c r="BT16" i="14"/>
  <c r="BS16" i="14"/>
  <c r="BR16" i="14"/>
  <c r="BQ16" i="14"/>
  <c r="CZ9" i="14"/>
  <c r="CX9" i="14"/>
  <c r="CW9" i="14"/>
  <c r="CV9" i="14"/>
  <c r="CU9" i="14"/>
  <c r="CS9" i="14"/>
  <c r="CR9" i="14"/>
  <c r="CQ9" i="14"/>
  <c r="CP9" i="14"/>
  <c r="CN9" i="14"/>
  <c r="CM9" i="14"/>
  <c r="CL9" i="14"/>
  <c r="CK9" i="14"/>
  <c r="CI9" i="14"/>
  <c r="CH9" i="14"/>
  <c r="CG9" i="14"/>
  <c r="CF9" i="14"/>
  <c r="CD9" i="14"/>
  <c r="CC9" i="14"/>
  <c r="CB9" i="14"/>
  <c r="CA9" i="14"/>
  <c r="BY9" i="14"/>
  <c r="BX9" i="14"/>
  <c r="BW9" i="14"/>
  <c r="BV9" i="14"/>
  <c r="CZ8" i="14"/>
  <c r="CX8" i="14"/>
  <c r="CW8" i="14"/>
  <c r="CV8" i="14"/>
  <c r="CU8" i="14"/>
  <c r="CS8" i="14"/>
  <c r="CR8" i="14"/>
  <c r="CQ8" i="14"/>
  <c r="CP8" i="14"/>
  <c r="CN8" i="14"/>
  <c r="CM8" i="14"/>
  <c r="CL8" i="14"/>
  <c r="CK8" i="14"/>
  <c r="CI8" i="14"/>
  <c r="CH8" i="14"/>
  <c r="CG8" i="14"/>
  <c r="CF8" i="14"/>
  <c r="CD8" i="14"/>
  <c r="CC8" i="14"/>
  <c r="CB8" i="14"/>
  <c r="CA8" i="14"/>
  <c r="BY8" i="14"/>
  <c r="BX8" i="14"/>
  <c r="BW8" i="14"/>
  <c r="BV8" i="14"/>
  <c r="BT8" i="14"/>
  <c r="BS8" i="14"/>
  <c r="BR8" i="14"/>
  <c r="CY7" i="14"/>
  <c r="CY153" i="14" s="1"/>
  <c r="CT7" i="14"/>
  <c r="CT153" i="14" s="1"/>
  <c r="CO7" i="14"/>
  <c r="CO153" i="14" s="1"/>
  <c r="CJ7" i="14"/>
  <c r="CJ153" i="14" s="1"/>
  <c r="CE7" i="14"/>
  <c r="CE153" i="14" s="1"/>
  <c r="BZ7" i="14"/>
  <c r="BZ153" i="14" s="1"/>
  <c r="BU7" i="14"/>
  <c r="BU153" i="14" s="1"/>
  <c r="H4" i="14"/>
  <c r="G4" i="14"/>
  <c r="F4" i="14"/>
  <c r="E4" i="14"/>
  <c r="D4" i="14"/>
  <c r="CO63" i="13"/>
  <c r="CT51" i="13"/>
  <c r="CU51" i="13" s="1"/>
  <c r="CV51" i="13" s="1"/>
  <c r="CW51" i="13" s="1"/>
  <c r="CX51" i="13" s="1"/>
  <c r="CR51" i="13"/>
  <c r="CO51" i="13"/>
  <c r="CJ51" i="13"/>
  <c r="CE51" i="13"/>
  <c r="BZ51" i="13"/>
  <c r="BU51" i="13"/>
  <c r="BQ47" i="13"/>
  <c r="DN45" i="13"/>
  <c r="DI45" i="13"/>
  <c r="DD45" i="13"/>
  <c r="CY45" i="13"/>
  <c r="CT45" i="13"/>
  <c r="CO45" i="13"/>
  <c r="CJ45" i="13"/>
  <c r="CE45" i="13"/>
  <c r="BZ45" i="13"/>
  <c r="BU45" i="13"/>
  <c r="DI44" i="13"/>
  <c r="CV44" i="13"/>
  <c r="CQ44" i="13"/>
  <c r="CR44" i="13" s="1"/>
  <c r="CS44" i="13" s="1"/>
  <c r="CT44" i="13" s="1"/>
  <c r="CL44" i="13"/>
  <c r="CM44" i="13" s="1"/>
  <c r="CN44" i="13" s="1"/>
  <c r="CO44" i="13" s="1"/>
  <c r="CG44" i="13"/>
  <c r="CH44" i="13" s="1"/>
  <c r="CI44" i="13" s="1"/>
  <c r="CB44" i="13"/>
  <c r="CC44" i="13" s="1"/>
  <c r="CD44" i="13" s="1"/>
  <c r="BW44" i="13"/>
  <c r="BX44" i="13" s="1"/>
  <c r="BY44" i="13" s="1"/>
  <c r="BR44" i="13"/>
  <c r="BS44" i="13" s="1"/>
  <c r="BT44" i="13" s="1"/>
  <c r="BU44" i="13" s="1"/>
  <c r="CZ43" i="13"/>
  <c r="DN42" i="13"/>
  <c r="DI42" i="13"/>
  <c r="DD42" i="13"/>
  <c r="CU42" i="13"/>
  <c r="CU43" i="13" s="1"/>
  <c r="CP42" i="13"/>
  <c r="CP43" i="13" s="1"/>
  <c r="CK42" i="13"/>
  <c r="CK43" i="13" s="1"/>
  <c r="CF42" i="13"/>
  <c r="CF43" i="13" s="1"/>
  <c r="CA42" i="13"/>
  <c r="CA43" i="13" s="1"/>
  <c r="BV42" i="13"/>
  <c r="BV43" i="13" s="1"/>
  <c r="BQ42" i="13"/>
  <c r="BQ43" i="13" s="1"/>
  <c r="CV41" i="13"/>
  <c r="CW41" i="13" s="1"/>
  <c r="CQ41" i="13"/>
  <c r="CR41" i="13" s="1"/>
  <c r="CL41" i="13"/>
  <c r="CM41" i="13" s="1"/>
  <c r="CN41" i="13" s="1"/>
  <c r="CO41" i="13" s="1"/>
  <c r="CG41" i="13"/>
  <c r="CH41" i="13" s="1"/>
  <c r="CB41" i="13"/>
  <c r="CC41" i="13" s="1"/>
  <c r="BW41" i="13"/>
  <c r="BX41" i="13" s="1"/>
  <c r="BY41" i="13" s="1"/>
  <c r="BZ41" i="13" s="1"/>
  <c r="BR41" i="13"/>
  <c r="BS41" i="13" s="1"/>
  <c r="CV40" i="13"/>
  <c r="CW40" i="13" s="1"/>
  <c r="CX40" i="13" s="1"/>
  <c r="CQ40" i="13"/>
  <c r="CL40" i="13"/>
  <c r="CM40" i="13" s="1"/>
  <c r="CG40" i="13"/>
  <c r="CH40" i="13" s="1"/>
  <c r="CI40" i="13" s="1"/>
  <c r="CB40" i="13"/>
  <c r="CC40" i="13" s="1"/>
  <c r="BX40" i="13"/>
  <c r="BR40" i="13"/>
  <c r="BS40" i="13" s="1"/>
  <c r="BT40" i="13" s="1"/>
  <c r="BU40" i="13" s="1"/>
  <c r="CV39" i="13"/>
  <c r="CY39" i="13" s="1"/>
  <c r="CR39" i="13"/>
  <c r="CS39" i="13" s="1"/>
  <c r="CT39" i="13" s="1"/>
  <c r="CL39" i="13"/>
  <c r="CJ39" i="13"/>
  <c r="CE39" i="13"/>
  <c r="BZ39" i="13"/>
  <c r="BU39" i="13"/>
  <c r="DN36" i="13"/>
  <c r="CU37" i="13"/>
  <c r="CP37" i="13"/>
  <c r="DN35" i="13"/>
  <c r="CW35" i="13"/>
  <c r="CX35" i="13" s="1"/>
  <c r="CS35" i="13"/>
  <c r="CT35" i="13" s="1"/>
  <c r="CL35" i="13"/>
  <c r="CM35" i="13" s="1"/>
  <c r="CN35" i="13" s="1"/>
  <c r="CO35" i="13" s="1"/>
  <c r="CG35" i="13"/>
  <c r="CH35" i="13" s="1"/>
  <c r="CI35" i="13" s="1"/>
  <c r="CJ35" i="13" s="1"/>
  <c r="CB35" i="13"/>
  <c r="CC35" i="13" s="1"/>
  <c r="CD35" i="13" s="1"/>
  <c r="BW35" i="13"/>
  <c r="BX35" i="13"/>
  <c r="BY35" i="13" s="1"/>
  <c r="BS35" i="13"/>
  <c r="BT35" i="13" s="1"/>
  <c r="BU35" i="13" s="1"/>
  <c r="DN34" i="13"/>
  <c r="DI34" i="13"/>
  <c r="DD34" i="13"/>
  <c r="CV34" i="13"/>
  <c r="CQ34" i="13"/>
  <c r="CR34" i="13" s="1"/>
  <c r="CL34" i="13"/>
  <c r="CM34" i="13" s="1"/>
  <c r="CN34" i="13" s="1"/>
  <c r="CO34" i="13" s="1"/>
  <c r="CG34" i="13"/>
  <c r="CH34" i="13" s="1"/>
  <c r="CB34" i="13"/>
  <c r="BW34" i="13"/>
  <c r="BX34" i="13"/>
  <c r="BY34" i="13" s="1"/>
  <c r="BZ34" i="13" s="1"/>
  <c r="BR34" i="13"/>
  <c r="BS34" i="13" s="1"/>
  <c r="DN28" i="13"/>
  <c r="DN55" i="13" s="1"/>
  <c r="D8" i="21" s="1"/>
  <c r="DI28" i="13"/>
  <c r="DI55" i="13" s="1"/>
  <c r="CV28" i="13"/>
  <c r="CQ28" i="13"/>
  <c r="CR28" i="13" s="1"/>
  <c r="CQ55" i="13"/>
  <c r="CL28" i="13"/>
  <c r="CL55" i="13" s="1"/>
  <c r="CG28" i="13"/>
  <c r="CG55" i="13" s="1"/>
  <c r="CB28" i="13"/>
  <c r="BW28" i="13"/>
  <c r="BR28" i="13"/>
  <c r="CV30" i="13"/>
  <c r="CW30" i="13" s="1"/>
  <c r="CX30" i="13" s="1"/>
  <c r="CY30" i="13" s="1"/>
  <c r="CQ30" i="13"/>
  <c r="CR30" i="13" s="1"/>
  <c r="CS30" i="13" s="1"/>
  <c r="CT30" i="13" s="1"/>
  <c r="CL30" i="13"/>
  <c r="CM30" i="13" s="1"/>
  <c r="CN30" i="13" s="1"/>
  <c r="CG30" i="13"/>
  <c r="CH30" i="13" s="1"/>
  <c r="CB30" i="13"/>
  <c r="CC30" i="13" s="1"/>
  <c r="CD30" i="13" s="1"/>
  <c r="CE30" i="13" s="1"/>
  <c r="BW30" i="13"/>
  <c r="BR30" i="13"/>
  <c r="BS30" i="13" s="1"/>
  <c r="BT30" i="13" s="1"/>
  <c r="BU30" i="13" s="1"/>
  <c r="CV29" i="13"/>
  <c r="CQ29" i="13"/>
  <c r="CR29" i="13" s="1"/>
  <c r="CS29" i="13" s="1"/>
  <c r="CL29" i="13"/>
  <c r="CM29" i="13" s="1"/>
  <c r="CN29" i="13" s="1"/>
  <c r="CO29" i="13" s="1"/>
  <c r="CG29" i="13"/>
  <c r="CH29" i="13" s="1"/>
  <c r="CI29" i="13" s="1"/>
  <c r="CJ29" i="13" s="1"/>
  <c r="CB29" i="13"/>
  <c r="CC29" i="13"/>
  <c r="CD29" i="13" s="1"/>
  <c r="BW29" i="13"/>
  <c r="BX29" i="13" s="1"/>
  <c r="BY29" i="13" s="1"/>
  <c r="BR29" i="13"/>
  <c r="BS29" i="13" s="1"/>
  <c r="CV21" i="13"/>
  <c r="CW21" i="13" s="1"/>
  <c r="CQ21" i="13"/>
  <c r="CL21" i="13"/>
  <c r="CM21" i="13" s="1"/>
  <c r="CN21" i="13" s="1"/>
  <c r="CO21" i="13" s="1"/>
  <c r="CG21" i="13"/>
  <c r="CC21" i="13"/>
  <c r="CE21" i="13" s="1"/>
  <c r="BX21" i="13"/>
  <c r="BZ21" i="13" s="1"/>
  <c r="BS21" i="13"/>
  <c r="BU21" i="13" s="1"/>
  <c r="CV20" i="13"/>
  <c r="CW20" i="13" s="1"/>
  <c r="CQ20" i="13"/>
  <c r="CR20" i="13" s="1"/>
  <c r="CS20" i="13" s="1"/>
  <c r="CT20" i="13" s="1"/>
  <c r="CL20" i="13"/>
  <c r="CM20" i="13" s="1"/>
  <c r="CG20" i="13"/>
  <c r="CB20" i="13"/>
  <c r="BW20" i="13"/>
  <c r="BX20" i="13" s="1"/>
  <c r="BY20" i="13" s="1"/>
  <c r="BZ20" i="13" s="1"/>
  <c r="BR20" i="13"/>
  <c r="BS20" i="13" s="1"/>
  <c r="CV19" i="13"/>
  <c r="CW19" i="13" s="1"/>
  <c r="CQ19" i="13"/>
  <c r="CL19" i="13"/>
  <c r="CM19" i="13" s="1"/>
  <c r="CG19" i="13"/>
  <c r="CB19" i="13"/>
  <c r="CC19" i="13" s="1"/>
  <c r="BW19" i="13"/>
  <c r="BX19" i="13" s="1"/>
  <c r="BY19" i="13" s="1"/>
  <c r="BZ19" i="13" s="1"/>
  <c r="BR19" i="13"/>
  <c r="BU19" i="13" s="1"/>
  <c r="CV18" i="13"/>
  <c r="CW18" i="13" s="1"/>
  <c r="CY18" i="13" s="1"/>
  <c r="CQ18" i="13"/>
  <c r="CL18" i="13"/>
  <c r="CM18" i="13" s="1"/>
  <c r="CN18" i="13" s="1"/>
  <c r="CG18" i="13"/>
  <c r="CB18" i="13"/>
  <c r="CC18" i="13" s="1"/>
  <c r="CD18" i="13" s="1"/>
  <c r="CE18" i="13" s="1"/>
  <c r="BW18" i="13"/>
  <c r="BX18" i="13" s="1"/>
  <c r="BR18" i="13"/>
  <c r="BS18" i="13" s="1"/>
  <c r="CU17" i="13"/>
  <c r="CV17" i="13" s="1"/>
  <c r="CP17" i="13"/>
  <c r="CQ17" i="13" s="1"/>
  <c r="CR17" i="13" s="1"/>
  <c r="CM17" i="13"/>
  <c r="CN17" i="13" s="1"/>
  <c r="CO17" i="13" s="1"/>
  <c r="CF17" i="13"/>
  <c r="CG17" i="13" s="1"/>
  <c r="CH17" i="13" s="1"/>
  <c r="CA17" i="13"/>
  <c r="CB17" i="13" s="1"/>
  <c r="CC17" i="13" s="1"/>
  <c r="CD17" i="13" s="1"/>
  <c r="BV17" i="13"/>
  <c r="BW17" i="13" s="1"/>
  <c r="BX17" i="13" s="1"/>
  <c r="BR17" i="13"/>
  <c r="DI15" i="13"/>
  <c r="CV15" i="13"/>
  <c r="CW15" i="13" s="1"/>
  <c r="CX15" i="13" s="1"/>
  <c r="CQ15" i="13"/>
  <c r="CR15" i="13" s="1"/>
  <c r="CS15" i="13" s="1"/>
  <c r="CT15" i="13" s="1"/>
  <c r="CL15" i="13"/>
  <c r="CJ15" i="13"/>
  <c r="CB15" i="13"/>
  <c r="CE15" i="13" s="1"/>
  <c r="BZ15" i="13"/>
  <c r="BU15" i="13"/>
  <c r="CV13" i="13"/>
  <c r="CW13" i="13" s="1"/>
  <c r="CW57" i="2" s="1"/>
  <c r="CW56" i="2" s="1"/>
  <c r="CQ13" i="13"/>
  <c r="CL13" i="13"/>
  <c r="CH13" i="13"/>
  <c r="CH57" i="2" s="1"/>
  <c r="CB13" i="13"/>
  <c r="CC13" i="13" s="1"/>
  <c r="BX13" i="13"/>
  <c r="BU13" i="13"/>
  <c r="CV10" i="13"/>
  <c r="CQ10" i="13"/>
  <c r="CQ77" i="2" s="1"/>
  <c r="CL10" i="13"/>
  <c r="CL77" i="2" s="1"/>
  <c r="CG10" i="13"/>
  <c r="CB10" i="13"/>
  <c r="BW10" i="13"/>
  <c r="BR10" i="13"/>
  <c r="H4" i="13"/>
  <c r="G4" i="13"/>
  <c r="F4" i="13"/>
  <c r="E4" i="13"/>
  <c r="D4" i="13"/>
  <c r="CZ48" i="12"/>
  <c r="CX48" i="12"/>
  <c r="CW48" i="12"/>
  <c r="CV48" i="12"/>
  <c r="CU48" i="12"/>
  <c r="CS48" i="12"/>
  <c r="CR48" i="12"/>
  <c r="CQ48" i="12"/>
  <c r="CP48" i="12"/>
  <c r="CN48" i="12"/>
  <c r="CM48" i="12"/>
  <c r="CL48" i="12"/>
  <c r="CK48" i="12"/>
  <c r="CI48" i="12"/>
  <c r="CH48" i="12"/>
  <c r="CG48" i="12"/>
  <c r="CF48" i="12"/>
  <c r="CD48" i="12"/>
  <c r="CC48" i="12"/>
  <c r="CB48" i="12"/>
  <c r="CA48" i="12"/>
  <c r="BY48" i="12"/>
  <c r="BX48" i="12"/>
  <c r="BW48" i="12"/>
  <c r="BV48" i="12"/>
  <c r="BT48" i="12"/>
  <c r="BS48" i="12"/>
  <c r="BR48" i="12"/>
  <c r="CZ42" i="12"/>
  <c r="CZ43" i="12"/>
  <c r="CX42" i="12"/>
  <c r="CY42" i="12" s="1"/>
  <c r="CT42" i="12"/>
  <c r="CO42" i="12"/>
  <c r="CJ42" i="12"/>
  <c r="CE42" i="12"/>
  <c r="BZ42" i="12"/>
  <c r="BU42" i="12"/>
  <c r="CY39" i="12"/>
  <c r="CY43" i="12" s="1"/>
  <c r="CS39" i="12"/>
  <c r="CT39" i="12" s="1"/>
  <c r="CN39" i="12"/>
  <c r="CN38" i="12" s="1"/>
  <c r="CO39" i="12"/>
  <c r="CI39" i="12"/>
  <c r="CI38" i="12" s="1"/>
  <c r="CJ38" i="12" s="1"/>
  <c r="CJ43" i="12" s="1"/>
  <c r="CJ39" i="12"/>
  <c r="CD39" i="12"/>
  <c r="CE39" i="12" s="1"/>
  <c r="BY39" i="12"/>
  <c r="BY38" i="12" s="1"/>
  <c r="BZ39" i="12"/>
  <c r="BT39" i="12"/>
  <c r="BT38" i="12" s="1"/>
  <c r="CY38" i="12"/>
  <c r="CR38" i="12"/>
  <c r="CR43" i="12" s="1"/>
  <c r="CQ38" i="12"/>
  <c r="CQ43" i="12" s="1"/>
  <c r="CP38" i="12"/>
  <c r="CP43" i="12"/>
  <c r="CM38" i="12"/>
  <c r="CM43" i="12"/>
  <c r="CL38" i="12"/>
  <c r="CL44" i="12" s="1"/>
  <c r="CK38" i="12"/>
  <c r="CK43" i="12"/>
  <c r="CH38" i="12"/>
  <c r="CH43" i="12" s="1"/>
  <c r="CG38" i="12"/>
  <c r="CG43" i="12" s="1"/>
  <c r="CF38" i="12"/>
  <c r="CF43" i="12"/>
  <c r="CC38" i="12"/>
  <c r="CC43" i="12"/>
  <c r="CB38" i="12"/>
  <c r="CB43" i="12"/>
  <c r="CA38" i="12"/>
  <c r="CA43" i="12" s="1"/>
  <c r="BX38" i="12"/>
  <c r="BX43" i="12" s="1"/>
  <c r="BW38" i="12"/>
  <c r="BW43" i="12" s="1"/>
  <c r="BV38" i="12"/>
  <c r="BV43" i="12" s="1"/>
  <c r="BS38" i="12"/>
  <c r="BS43" i="12"/>
  <c r="BR38" i="12"/>
  <c r="BR43" i="12"/>
  <c r="CY34" i="12"/>
  <c r="CT34" i="12"/>
  <c r="CO34" i="12"/>
  <c r="CJ34" i="12"/>
  <c r="CE34" i="12"/>
  <c r="BZ34" i="12"/>
  <c r="BU34" i="12"/>
  <c r="CY33" i="12"/>
  <c r="CY48" i="12"/>
  <c r="CT33" i="12"/>
  <c r="CT48" i="12"/>
  <c r="CO33" i="12"/>
  <c r="CO48" i="12" s="1"/>
  <c r="CJ33" i="12"/>
  <c r="CJ48" i="12" s="1"/>
  <c r="CE33" i="12"/>
  <c r="CE48" i="12" s="1"/>
  <c r="BZ33" i="12"/>
  <c r="BZ48" i="12" s="1"/>
  <c r="BU33" i="12"/>
  <c r="BU48" i="12"/>
  <c r="CY32" i="12"/>
  <c r="CT32" i="12"/>
  <c r="CO32" i="12"/>
  <c r="CJ32" i="12"/>
  <c r="CE32" i="12"/>
  <c r="BZ32" i="12"/>
  <c r="BU32" i="12"/>
  <c r="CY31" i="12"/>
  <c r="CT31" i="12"/>
  <c r="CO31" i="12"/>
  <c r="CJ31" i="12"/>
  <c r="CE31" i="12"/>
  <c r="BZ31" i="12"/>
  <c r="BU31" i="12"/>
  <c r="CZ30" i="12"/>
  <c r="CZ36" i="12" s="1"/>
  <c r="CX30" i="12"/>
  <c r="CX36" i="12" s="1"/>
  <c r="CW30" i="12"/>
  <c r="CW36" i="12"/>
  <c r="CW44" i="12" s="1"/>
  <c r="CW35" i="12"/>
  <c r="CV30" i="12"/>
  <c r="CV36" i="12"/>
  <c r="CV35" i="12" s="1"/>
  <c r="CU30" i="12"/>
  <c r="CU36" i="12" s="1"/>
  <c r="CS30" i="12"/>
  <c r="CR30" i="12"/>
  <c r="CR36" i="12" s="1"/>
  <c r="CQ30" i="12"/>
  <c r="CQ36" i="12"/>
  <c r="CQ44" i="12" s="1"/>
  <c r="CQ35" i="12"/>
  <c r="CP30" i="12"/>
  <c r="CP36" i="12"/>
  <c r="CP44" i="12" s="1"/>
  <c r="CP35" i="12"/>
  <c r="CN30" i="12"/>
  <c r="CM30" i="12"/>
  <c r="CM36" i="12" s="1"/>
  <c r="CL30" i="12"/>
  <c r="CL36" i="12"/>
  <c r="CL35" i="12" s="1"/>
  <c r="CK30" i="12"/>
  <c r="CK36" i="12"/>
  <c r="CK44" i="12" s="1"/>
  <c r="CK35" i="12"/>
  <c r="CI30" i="12"/>
  <c r="CJ30" i="12" s="1"/>
  <c r="CI36" i="12"/>
  <c r="CI35" i="12" s="1"/>
  <c r="CH30" i="12"/>
  <c r="CH36" i="12" s="1"/>
  <c r="CG30" i="12"/>
  <c r="CG36" i="12" s="1"/>
  <c r="CF30" i="12"/>
  <c r="CF36" i="12"/>
  <c r="CF44" i="12" s="1"/>
  <c r="CD30" i="12"/>
  <c r="CE30" i="12" s="1"/>
  <c r="CD36" i="12"/>
  <c r="CC30" i="12"/>
  <c r="CC36" i="12" s="1"/>
  <c r="CB30" i="12"/>
  <c r="CB36" i="12" s="1"/>
  <c r="CA30" i="12"/>
  <c r="CA36" i="12"/>
  <c r="CA35" i="12"/>
  <c r="BY30" i="12"/>
  <c r="BZ30" i="12" s="1"/>
  <c r="BY36" i="12"/>
  <c r="BY44" i="12" s="1"/>
  <c r="BX30" i="12"/>
  <c r="BX36" i="12" s="1"/>
  <c r="BW30" i="12"/>
  <c r="BW36" i="12" s="1"/>
  <c r="BV30" i="12"/>
  <c r="BV36" i="12"/>
  <c r="BV35" i="12"/>
  <c r="BT30" i="12"/>
  <c r="BT36" i="12" s="1"/>
  <c r="BS30" i="12"/>
  <c r="BS36" i="12" s="1"/>
  <c r="BR30" i="12"/>
  <c r="BR36" i="12" s="1"/>
  <c r="DN29" i="12"/>
  <c r="DI29" i="12"/>
  <c r="DD29" i="12"/>
  <c r="CY29" i="12"/>
  <c r="CT29" i="12"/>
  <c r="CO29" i="12"/>
  <c r="CJ29" i="12"/>
  <c r="CE29" i="12"/>
  <c r="BZ29" i="12"/>
  <c r="BU29" i="12"/>
  <c r="CY28" i="12"/>
  <c r="CT28" i="12"/>
  <c r="CO28" i="12"/>
  <c r="CJ28" i="12"/>
  <c r="CE28" i="12"/>
  <c r="BZ28" i="12"/>
  <c r="BU28" i="12"/>
  <c r="CY27" i="12"/>
  <c r="CT27" i="12"/>
  <c r="CO27" i="12"/>
  <c r="CJ27" i="12"/>
  <c r="CE27" i="12"/>
  <c r="BZ27" i="12"/>
  <c r="BU27" i="12"/>
  <c r="CY26" i="12"/>
  <c r="CT26" i="12"/>
  <c r="CO26" i="12"/>
  <c r="CJ26" i="12"/>
  <c r="CE26" i="12"/>
  <c r="BZ26" i="12"/>
  <c r="BU26" i="12"/>
  <c r="CY25" i="12"/>
  <c r="CT25" i="12"/>
  <c r="CO25" i="12"/>
  <c r="CJ25" i="12"/>
  <c r="CE25" i="12"/>
  <c r="BZ25" i="12"/>
  <c r="BU25" i="12"/>
  <c r="DD21" i="12"/>
  <c r="CY21" i="12"/>
  <c r="CT21" i="12"/>
  <c r="CO21" i="12"/>
  <c r="CJ21" i="12"/>
  <c r="CE21" i="12"/>
  <c r="BZ21" i="12"/>
  <c r="BU21" i="12"/>
  <c r="CY19" i="12"/>
  <c r="CT19" i="12"/>
  <c r="CO19" i="12"/>
  <c r="CJ19" i="12"/>
  <c r="CE19" i="12"/>
  <c r="BZ19" i="12"/>
  <c r="BU19" i="12"/>
  <c r="CY18" i="12"/>
  <c r="CT18" i="12"/>
  <c r="CO18" i="12"/>
  <c r="CJ18" i="12"/>
  <c r="CE18" i="12"/>
  <c r="BZ18" i="12"/>
  <c r="BU18" i="12"/>
  <c r="CY16" i="12"/>
  <c r="CT16" i="12"/>
  <c r="CO16" i="12"/>
  <c r="CJ16" i="12"/>
  <c r="CE16" i="12"/>
  <c r="BZ16" i="12"/>
  <c r="BU16" i="12"/>
  <c r="CY17" i="12"/>
  <c r="CT17" i="12"/>
  <c r="CO17" i="12"/>
  <c r="CJ17" i="12"/>
  <c r="CE17" i="12"/>
  <c r="BZ17" i="12"/>
  <c r="BU17" i="12"/>
  <c r="CY15" i="12"/>
  <c r="CT15" i="12"/>
  <c r="CO15" i="12"/>
  <c r="CJ15" i="12"/>
  <c r="CE15" i="12"/>
  <c r="BZ15" i="12"/>
  <c r="BU15" i="12"/>
  <c r="CY13" i="12"/>
  <c r="CT13" i="12"/>
  <c r="CO13" i="12"/>
  <c r="CJ13" i="12"/>
  <c r="CE13" i="12"/>
  <c r="BZ13" i="12"/>
  <c r="BU13" i="12"/>
  <c r="DD12" i="12"/>
  <c r="CY12" i="12"/>
  <c r="CT12" i="12"/>
  <c r="CO12" i="12"/>
  <c r="CJ12" i="12"/>
  <c r="CE12" i="12"/>
  <c r="BZ12" i="12"/>
  <c r="BU12" i="12"/>
  <c r="CY11" i="12"/>
  <c r="CT11" i="12"/>
  <c r="CO11" i="12"/>
  <c r="CJ11" i="12"/>
  <c r="CE11" i="12"/>
  <c r="BZ11" i="12"/>
  <c r="BU11" i="12"/>
  <c r="CY10" i="12"/>
  <c r="CT10" i="12"/>
  <c r="CO10" i="12"/>
  <c r="CJ10" i="12"/>
  <c r="CE10" i="12"/>
  <c r="BZ10" i="12"/>
  <c r="BU10" i="12"/>
  <c r="CY9" i="12"/>
  <c r="CT9" i="12"/>
  <c r="CO9" i="12"/>
  <c r="CJ9" i="12"/>
  <c r="CE9" i="12"/>
  <c r="BZ9" i="12"/>
  <c r="BU9" i="12"/>
  <c r="H4" i="12"/>
  <c r="G4" i="12"/>
  <c r="F4" i="12"/>
  <c r="E4" i="12"/>
  <c r="D4" i="12"/>
  <c r="BQ147" i="2"/>
  <c r="CY123" i="2"/>
  <c r="CT123" i="2"/>
  <c r="CO123" i="2"/>
  <c r="CJ123" i="2"/>
  <c r="CE123" i="2"/>
  <c r="BZ123" i="2"/>
  <c r="DM121" i="2"/>
  <c r="DH121" i="2"/>
  <c r="CZ121" i="2"/>
  <c r="CX121" i="2"/>
  <c r="CW121" i="2"/>
  <c r="CV121" i="2"/>
  <c r="CU121" i="2"/>
  <c r="CS121" i="2"/>
  <c r="CR121" i="2"/>
  <c r="CQ121" i="2"/>
  <c r="CP121" i="2"/>
  <c r="CN121" i="2"/>
  <c r="CM121" i="2"/>
  <c r="CL121" i="2"/>
  <c r="CK121" i="2"/>
  <c r="CI121" i="2"/>
  <c r="CH121" i="2"/>
  <c r="CG121" i="2"/>
  <c r="CF121" i="2"/>
  <c r="CD121" i="2"/>
  <c r="CC121" i="2"/>
  <c r="CB121" i="2"/>
  <c r="CA121" i="2"/>
  <c r="BY121" i="2"/>
  <c r="BX121" i="2"/>
  <c r="BW121" i="2"/>
  <c r="BV121" i="2"/>
  <c r="BT121" i="2"/>
  <c r="BS121" i="2"/>
  <c r="BR121" i="2"/>
  <c r="BQ121" i="2"/>
  <c r="DM120" i="2"/>
  <c r="CX120" i="2"/>
  <c r="CW120" i="2"/>
  <c r="CV120" i="2"/>
  <c r="CU120" i="2"/>
  <c r="CS120" i="2"/>
  <c r="CR120" i="2"/>
  <c r="CQ120" i="2"/>
  <c r="CP120" i="2"/>
  <c r="CN120" i="2"/>
  <c r="CM120" i="2"/>
  <c r="CL120" i="2"/>
  <c r="CK120" i="2"/>
  <c r="CI120" i="2"/>
  <c r="CH120" i="2"/>
  <c r="CG120" i="2"/>
  <c r="CF120" i="2"/>
  <c r="CD120" i="2"/>
  <c r="CC120" i="2"/>
  <c r="CB120" i="2"/>
  <c r="CA120" i="2"/>
  <c r="BY120" i="2"/>
  <c r="BX120" i="2"/>
  <c r="BW120" i="2"/>
  <c r="BV120" i="2"/>
  <c r="BT120" i="2"/>
  <c r="BS120" i="2"/>
  <c r="BR120" i="2"/>
  <c r="BQ120" i="2"/>
  <c r="DN104" i="2"/>
  <c r="CY104" i="2"/>
  <c r="CT104" i="2"/>
  <c r="CO104" i="2"/>
  <c r="CJ104" i="2"/>
  <c r="CE104" i="2"/>
  <c r="BZ104" i="2"/>
  <c r="CZ102" i="2"/>
  <c r="CX102" i="2"/>
  <c r="CW102" i="2"/>
  <c r="CV102" i="2"/>
  <c r="CU102" i="2"/>
  <c r="CS102" i="2"/>
  <c r="CS118" i="2" s="1"/>
  <c r="CR102" i="2"/>
  <c r="CR118" i="2" s="1"/>
  <c r="CQ102" i="2"/>
  <c r="CQ118" i="2" s="1"/>
  <c r="CP102" i="2"/>
  <c r="CN102" i="2"/>
  <c r="CM102" i="2"/>
  <c r="CL102" i="2"/>
  <c r="CL118" i="2" s="1"/>
  <c r="CK102" i="2"/>
  <c r="CI102" i="2"/>
  <c r="CI118" i="2" s="1"/>
  <c r="CH102" i="2"/>
  <c r="CH118" i="2" s="1"/>
  <c r="CG102" i="2"/>
  <c r="CG118" i="2" s="1"/>
  <c r="CF102" i="2"/>
  <c r="CF118" i="2" s="1"/>
  <c r="CD102" i="2"/>
  <c r="CD118" i="2" s="1"/>
  <c r="CC102" i="2"/>
  <c r="CB102" i="2"/>
  <c r="CA102" i="2"/>
  <c r="CA118" i="2"/>
  <c r="BY102" i="2"/>
  <c r="BY118" i="2" s="1"/>
  <c r="BX102" i="2"/>
  <c r="BX118" i="2" s="1"/>
  <c r="BW102" i="2"/>
  <c r="BW118" i="2" s="1"/>
  <c r="BV102" i="2"/>
  <c r="BT102" i="2"/>
  <c r="BT118" i="2" s="1"/>
  <c r="BS102" i="2"/>
  <c r="BR102" i="2"/>
  <c r="BQ102" i="2"/>
  <c r="BQ118" i="2" s="1"/>
  <c r="CY101" i="2"/>
  <c r="CT101" i="2"/>
  <c r="CO101" i="2"/>
  <c r="CJ101" i="2"/>
  <c r="CE101" i="2"/>
  <c r="BZ101" i="2"/>
  <c r="CY100" i="2"/>
  <c r="CT100" i="2"/>
  <c r="CO100" i="2"/>
  <c r="CJ100" i="2"/>
  <c r="CE100" i="2"/>
  <c r="BZ100" i="2"/>
  <c r="CY99" i="2"/>
  <c r="CT99" i="2"/>
  <c r="CO99" i="2"/>
  <c r="CJ99" i="2"/>
  <c r="CE99" i="2"/>
  <c r="BZ99" i="2"/>
  <c r="CY98" i="2"/>
  <c r="CT98" i="2"/>
  <c r="CO98" i="2"/>
  <c r="CJ98" i="2"/>
  <c r="CE98" i="2"/>
  <c r="BZ98" i="2"/>
  <c r="CZ95" i="2"/>
  <c r="CZ9" i="13" s="1"/>
  <c r="CZ8" i="13" s="1"/>
  <c r="CX95" i="2"/>
  <c r="CX119" i="2" s="1"/>
  <c r="CW95" i="2"/>
  <c r="CW9" i="13" s="1"/>
  <c r="CV95" i="2"/>
  <c r="CU95" i="2"/>
  <c r="CS95" i="2"/>
  <c r="CS119" i="2" s="1"/>
  <c r="CR95" i="2"/>
  <c r="CR9" i="13" s="1"/>
  <c r="CQ95" i="2"/>
  <c r="CQ9" i="13" s="1"/>
  <c r="CP95" i="2"/>
  <c r="CP119" i="2" s="1"/>
  <c r="CN95" i="2"/>
  <c r="CM95" i="2"/>
  <c r="CM9" i="13" s="1"/>
  <c r="CL95" i="2"/>
  <c r="CL9" i="13" s="1"/>
  <c r="CK95" i="2"/>
  <c r="CK9" i="13" s="1"/>
  <c r="CK8" i="13" s="1"/>
  <c r="CI95" i="2"/>
  <c r="CH95" i="2"/>
  <c r="CH9" i="13" s="1"/>
  <c r="CG95" i="2"/>
  <c r="CG9" i="13" s="1"/>
  <c r="CF95" i="2"/>
  <c r="CD95" i="2"/>
  <c r="CD9" i="13" s="1"/>
  <c r="CC95" i="2"/>
  <c r="CC119" i="2" s="1"/>
  <c r="CB95" i="2"/>
  <c r="CB9" i="13" s="1"/>
  <c r="CA95" i="2"/>
  <c r="BY95" i="2"/>
  <c r="BY9" i="13" s="1"/>
  <c r="BX95" i="2"/>
  <c r="BX119" i="2" s="1"/>
  <c r="BW95" i="2"/>
  <c r="BW9" i="13" s="1"/>
  <c r="BV95" i="2"/>
  <c r="BV9" i="13" s="1"/>
  <c r="BV8" i="13" s="1"/>
  <c r="BT95" i="2"/>
  <c r="BS95" i="2"/>
  <c r="BS9" i="13" s="1"/>
  <c r="BR95" i="2"/>
  <c r="BQ95" i="2"/>
  <c r="CY94" i="2"/>
  <c r="CT94" i="2"/>
  <c r="CO94" i="2"/>
  <c r="CJ94" i="2"/>
  <c r="CE94" i="2"/>
  <c r="BZ94" i="2"/>
  <c r="CY93" i="2"/>
  <c r="CT93" i="2"/>
  <c r="CO93" i="2"/>
  <c r="CJ93" i="2"/>
  <c r="CE93" i="2"/>
  <c r="BZ93" i="2"/>
  <c r="CY92" i="2"/>
  <c r="CT92" i="2"/>
  <c r="CO92" i="2"/>
  <c r="CJ92" i="2"/>
  <c r="CE92" i="2"/>
  <c r="BZ92" i="2"/>
  <c r="CY91" i="2"/>
  <c r="CT91" i="2"/>
  <c r="CO91" i="2"/>
  <c r="CJ91" i="2"/>
  <c r="CE91" i="2"/>
  <c r="BZ91" i="2"/>
  <c r="CZ88" i="2"/>
  <c r="CZ117" i="2" s="1"/>
  <c r="CX88" i="2"/>
  <c r="CX11" i="13" s="1"/>
  <c r="CW88" i="2"/>
  <c r="CV88" i="2"/>
  <c r="CV11" i="13" s="1"/>
  <c r="CU88" i="2"/>
  <c r="CS88" i="2"/>
  <c r="CR88" i="2"/>
  <c r="CQ88" i="2"/>
  <c r="CQ11" i="13" s="1"/>
  <c r="CP88" i="2"/>
  <c r="CP117" i="2" s="1"/>
  <c r="CN88" i="2"/>
  <c r="CM88" i="2"/>
  <c r="CM11" i="13" s="1"/>
  <c r="CL88" i="2"/>
  <c r="CK88" i="2"/>
  <c r="CI88" i="2"/>
  <c r="CI11" i="13" s="1"/>
  <c r="CH88" i="2"/>
  <c r="CH11" i="13" s="1"/>
  <c r="CG88" i="2"/>
  <c r="CF88" i="2"/>
  <c r="CF11" i="13" s="1"/>
  <c r="CD88" i="2"/>
  <c r="CD117" i="2" s="1"/>
  <c r="CC88" i="2"/>
  <c r="CC117" i="2" s="1"/>
  <c r="CB88" i="2"/>
  <c r="CA88" i="2"/>
  <c r="CE88" i="2" s="1"/>
  <c r="BY88" i="2"/>
  <c r="BX88" i="2"/>
  <c r="BW88" i="2"/>
  <c r="BW11" i="13" s="1"/>
  <c r="BV88" i="2"/>
  <c r="BT88" i="2"/>
  <c r="BT11" i="13" s="1"/>
  <c r="BS88" i="2"/>
  <c r="BS11" i="13" s="1"/>
  <c r="BR88" i="2"/>
  <c r="BR11" i="13" s="1"/>
  <c r="BQ88" i="2"/>
  <c r="CY87" i="2"/>
  <c r="CT87" i="2"/>
  <c r="CO87" i="2"/>
  <c r="CJ87" i="2"/>
  <c r="CE87" i="2"/>
  <c r="BZ87" i="2"/>
  <c r="CY86" i="2"/>
  <c r="CT86" i="2"/>
  <c r="CO86" i="2"/>
  <c r="CJ86" i="2"/>
  <c r="CE86" i="2"/>
  <c r="BZ86" i="2"/>
  <c r="CY85" i="2"/>
  <c r="CT85" i="2"/>
  <c r="CO85" i="2"/>
  <c r="CJ85" i="2"/>
  <c r="CE85" i="2"/>
  <c r="BZ85" i="2"/>
  <c r="CY84" i="2"/>
  <c r="CT84" i="2"/>
  <c r="CO84" i="2"/>
  <c r="CJ84" i="2"/>
  <c r="CE84" i="2"/>
  <c r="BZ84" i="2"/>
  <c r="DN78" i="2"/>
  <c r="DI78" i="2"/>
  <c r="CY78" i="2"/>
  <c r="CT78" i="2"/>
  <c r="CO78" i="2"/>
  <c r="CJ78" i="2"/>
  <c r="CE78" i="2"/>
  <c r="BZ78" i="2"/>
  <c r="CZ77" i="2"/>
  <c r="CU77" i="2"/>
  <c r="CP77" i="2"/>
  <c r="CK77" i="2"/>
  <c r="CF77" i="2"/>
  <c r="CA77" i="2"/>
  <c r="BV77" i="2"/>
  <c r="BQ77" i="2"/>
  <c r="CZ69" i="2"/>
  <c r="CX69" i="2"/>
  <c r="CW69" i="2"/>
  <c r="CV69" i="2"/>
  <c r="CU69" i="2"/>
  <c r="CS69" i="2"/>
  <c r="CR69" i="2"/>
  <c r="CQ69" i="2"/>
  <c r="CP69" i="2"/>
  <c r="CO69" i="2"/>
  <c r="CN69" i="2"/>
  <c r="CM69" i="2"/>
  <c r="CL69" i="2"/>
  <c r="CK69" i="2"/>
  <c r="CJ69" i="2"/>
  <c r="CI69" i="2"/>
  <c r="CH69" i="2"/>
  <c r="CG69" i="2"/>
  <c r="CF69" i="2"/>
  <c r="CE69" i="2"/>
  <c r="CD69" i="2"/>
  <c r="CC69" i="2"/>
  <c r="CB69" i="2"/>
  <c r="CA69" i="2"/>
  <c r="BZ69" i="2"/>
  <c r="BY69" i="2"/>
  <c r="BX69" i="2"/>
  <c r="BW69" i="2"/>
  <c r="BV69" i="2"/>
  <c r="BT69" i="2"/>
  <c r="BS69" i="2"/>
  <c r="BR69" i="2"/>
  <c r="BQ69" i="2"/>
  <c r="CY68" i="2"/>
  <c r="CY69" i="2" s="1"/>
  <c r="CT68" i="2"/>
  <c r="CY67" i="2"/>
  <c r="CT67" i="2"/>
  <c r="CZ61" i="2"/>
  <c r="CX61" i="2"/>
  <c r="CW61" i="2"/>
  <c r="CV61" i="2"/>
  <c r="CU61" i="2"/>
  <c r="CS61" i="2"/>
  <c r="CR61" i="2"/>
  <c r="CQ61" i="2"/>
  <c r="CP61" i="2"/>
  <c r="CN61" i="2"/>
  <c r="CM61" i="2"/>
  <c r="CL61" i="2"/>
  <c r="CK61" i="2"/>
  <c r="CI61" i="2"/>
  <c r="CH61" i="2"/>
  <c r="CG61" i="2"/>
  <c r="CF61" i="2"/>
  <c r="CD61" i="2"/>
  <c r="CC61" i="2"/>
  <c r="CB61" i="2"/>
  <c r="CA61" i="2"/>
  <c r="BY61" i="2"/>
  <c r="BX61" i="2"/>
  <c r="BW61" i="2"/>
  <c r="BV61" i="2"/>
  <c r="BT61" i="2"/>
  <c r="BS61" i="2"/>
  <c r="BR61" i="2"/>
  <c r="BQ61" i="2"/>
  <c r="DN60" i="2"/>
  <c r="DI60" i="2"/>
  <c r="DD60" i="2"/>
  <c r="CY60" i="2"/>
  <c r="CT60" i="2"/>
  <c r="CO60" i="2"/>
  <c r="CJ60" i="2"/>
  <c r="CE60" i="2"/>
  <c r="BZ60" i="2"/>
  <c r="CY58" i="2"/>
  <c r="CT58" i="2"/>
  <c r="CO58" i="2"/>
  <c r="CJ58" i="2"/>
  <c r="CE58" i="2"/>
  <c r="BZ58" i="2"/>
  <c r="CZ57" i="2"/>
  <c r="CU57" i="2"/>
  <c r="CU56" i="2" s="1"/>
  <c r="CP57" i="2"/>
  <c r="CP56" i="2" s="1"/>
  <c r="CK57" i="2"/>
  <c r="CK56" i="2" s="1"/>
  <c r="CI57" i="2"/>
  <c r="CI56" i="2" s="1"/>
  <c r="CG57" i="2"/>
  <c r="CG56" i="2" s="1"/>
  <c r="CF57" i="2"/>
  <c r="CF56" i="2" s="1"/>
  <c r="CD57" i="2"/>
  <c r="CD56" i="2" s="1"/>
  <c r="CA57" i="2"/>
  <c r="CA56" i="2" s="1"/>
  <c r="BY57" i="2"/>
  <c r="BY56" i="2" s="1"/>
  <c r="BW57" i="2"/>
  <c r="BW56" i="2" s="1"/>
  <c r="BV57" i="2"/>
  <c r="BV56" i="2" s="1"/>
  <c r="BT57" i="2"/>
  <c r="BS57" i="2"/>
  <c r="BS56" i="2" s="1"/>
  <c r="BR57" i="2"/>
  <c r="BR56" i="2" s="1"/>
  <c r="BQ57" i="2"/>
  <c r="BQ56" i="2" s="1"/>
  <c r="CZ56" i="2"/>
  <c r="DN53" i="2"/>
  <c r="CY53" i="2"/>
  <c r="CT53" i="2"/>
  <c r="CO53" i="2"/>
  <c r="CJ53" i="2"/>
  <c r="CE53" i="2"/>
  <c r="BZ53" i="2"/>
  <c r="CZ52" i="2"/>
  <c r="CZ120" i="2" s="1"/>
  <c r="CY52" i="2"/>
  <c r="CT52" i="2"/>
  <c r="CO52" i="2"/>
  <c r="CJ52" i="2"/>
  <c r="CE52" i="2"/>
  <c r="BZ52" i="2"/>
  <c r="CZ51" i="2"/>
  <c r="CX51" i="2"/>
  <c r="CX54" i="2" s="1"/>
  <c r="CW51" i="2"/>
  <c r="CW54" i="2" s="1"/>
  <c r="CV51" i="2"/>
  <c r="CV54" i="2" s="1"/>
  <c r="CU51" i="2"/>
  <c r="CS51" i="2"/>
  <c r="CS54" i="2" s="1"/>
  <c r="CR51" i="2"/>
  <c r="CR54" i="2" s="1"/>
  <c r="CQ51" i="2"/>
  <c r="CQ54" i="2" s="1"/>
  <c r="CP51" i="2"/>
  <c r="CN51" i="2"/>
  <c r="CN54" i="2" s="1"/>
  <c r="CM51" i="2"/>
  <c r="CL51" i="2"/>
  <c r="CL54" i="2" s="1"/>
  <c r="CK51" i="2"/>
  <c r="CK54" i="2" s="1"/>
  <c r="CI51" i="2"/>
  <c r="CI54" i="2" s="1"/>
  <c r="CH51" i="2"/>
  <c r="CH54" i="2" s="1"/>
  <c r="CG51" i="2"/>
  <c r="CG54" i="2" s="1"/>
  <c r="CF51" i="2"/>
  <c r="CF54" i="2" s="1"/>
  <c r="CD51" i="2"/>
  <c r="CD54" i="2" s="1"/>
  <c r="CC51" i="2"/>
  <c r="CC54" i="2" s="1"/>
  <c r="CB51" i="2"/>
  <c r="CB54" i="2" s="1"/>
  <c r="CA51" i="2"/>
  <c r="BY51" i="2"/>
  <c r="BY54" i="2" s="1"/>
  <c r="BX51" i="2"/>
  <c r="BX54" i="2" s="1"/>
  <c r="BW51" i="2"/>
  <c r="BW54" i="2" s="1"/>
  <c r="BV51" i="2"/>
  <c r="BT51" i="2"/>
  <c r="BT54" i="2" s="1"/>
  <c r="BS51" i="2"/>
  <c r="BS54" i="2" s="1"/>
  <c r="BR51" i="2"/>
  <c r="BR54" i="2" s="1"/>
  <c r="BQ51" i="2"/>
  <c r="BQ54" i="2" s="1"/>
  <c r="CY50" i="2"/>
  <c r="CT50" i="2"/>
  <c r="CO50" i="2"/>
  <c r="CJ50" i="2"/>
  <c r="CE50" i="2"/>
  <c r="BZ50" i="2"/>
  <c r="DN49" i="2"/>
  <c r="CY49" i="2"/>
  <c r="CT49" i="2"/>
  <c r="CO49" i="2"/>
  <c r="CJ49" i="2"/>
  <c r="CE49" i="2"/>
  <c r="BZ49" i="2"/>
  <c r="CY38" i="2"/>
  <c r="CT38" i="2"/>
  <c r="CO38" i="2"/>
  <c r="CJ38" i="2"/>
  <c r="CE38" i="2"/>
  <c r="BZ38" i="2"/>
  <c r="CY36" i="2"/>
  <c r="CT36" i="2"/>
  <c r="CO36" i="2"/>
  <c r="CJ36" i="2"/>
  <c r="CE36" i="2"/>
  <c r="BZ36" i="2"/>
  <c r="CY34" i="2"/>
  <c r="CT34" i="2"/>
  <c r="CO34" i="2"/>
  <c r="CJ34" i="2"/>
  <c r="CE34" i="2"/>
  <c r="BZ34" i="2"/>
  <c r="CY32" i="2"/>
  <c r="CT32" i="2"/>
  <c r="CO32" i="2"/>
  <c r="CJ32" i="2"/>
  <c r="CE32" i="2"/>
  <c r="BZ32" i="2"/>
  <c r="CZ25" i="2"/>
  <c r="CZ26" i="2" s="1"/>
  <c r="CX25" i="2"/>
  <c r="CX26" i="2" s="1"/>
  <c r="CW25" i="2"/>
  <c r="CW26" i="2" s="1"/>
  <c r="CV25" i="2"/>
  <c r="CV26" i="2" s="1"/>
  <c r="CU25" i="2"/>
  <c r="CS25" i="2"/>
  <c r="CS26" i="2" s="1"/>
  <c r="CR25" i="2"/>
  <c r="CR26" i="2" s="1"/>
  <c r="CQ25" i="2"/>
  <c r="CQ26" i="2" s="1"/>
  <c r="CP25" i="2"/>
  <c r="CN25" i="2"/>
  <c r="CN26" i="2" s="1"/>
  <c r="CM25" i="2"/>
  <c r="CM26" i="2" s="1"/>
  <c r="CL25" i="2"/>
  <c r="CL26" i="2" s="1"/>
  <c r="CK25" i="2"/>
  <c r="CI25" i="2"/>
  <c r="CI26" i="2" s="1"/>
  <c r="CH25" i="2"/>
  <c r="CH26" i="2" s="1"/>
  <c r="CG25" i="2"/>
  <c r="CG26" i="2" s="1"/>
  <c r="CF25" i="2"/>
  <c r="CD25" i="2"/>
  <c r="CD26" i="2" s="1"/>
  <c r="CC25" i="2"/>
  <c r="CB25" i="2"/>
  <c r="CB26" i="2" s="1"/>
  <c r="CA25" i="2"/>
  <c r="CA26" i="2" s="1"/>
  <c r="BY25" i="2"/>
  <c r="BY26" i="2" s="1"/>
  <c r="BX25" i="2"/>
  <c r="BX26" i="2" s="1"/>
  <c r="BW25" i="2"/>
  <c r="BW26" i="2" s="1"/>
  <c r="BV25" i="2"/>
  <c r="BT25" i="2"/>
  <c r="BT26" i="2" s="1"/>
  <c r="BS25" i="2"/>
  <c r="BS26" i="2" s="1"/>
  <c r="BR25" i="2"/>
  <c r="BR26" i="2" s="1"/>
  <c r="BQ25" i="2"/>
  <c r="CZ23" i="2"/>
  <c r="CZ24" i="2" s="1"/>
  <c r="CX23" i="2"/>
  <c r="CX24" i="2" s="1"/>
  <c r="CW23" i="2"/>
  <c r="CV23" i="2"/>
  <c r="CV24" i="2" s="1"/>
  <c r="CU23" i="2"/>
  <c r="CU24" i="2" s="1"/>
  <c r="CS23" i="2"/>
  <c r="CS24" i="2" s="1"/>
  <c r="CR23" i="2"/>
  <c r="CR24" i="2" s="1"/>
  <c r="CQ23" i="2"/>
  <c r="CQ24" i="2" s="1"/>
  <c r="CP23" i="2"/>
  <c r="CN23" i="2"/>
  <c r="CN24" i="2" s="1"/>
  <c r="CM23" i="2"/>
  <c r="CM24" i="2" s="1"/>
  <c r="CL23" i="2"/>
  <c r="CL24" i="2" s="1"/>
  <c r="CK23" i="2"/>
  <c r="CI23" i="2"/>
  <c r="CI24" i="2" s="1"/>
  <c r="CH23" i="2"/>
  <c r="CG23" i="2"/>
  <c r="CG24" i="2" s="1"/>
  <c r="CF23" i="2"/>
  <c r="CF24" i="2" s="1"/>
  <c r="CD23" i="2"/>
  <c r="CD24" i="2" s="1"/>
  <c r="CC23" i="2"/>
  <c r="CC24" i="2"/>
  <c r="CB23" i="2"/>
  <c r="CB24" i="2" s="1"/>
  <c r="CA23" i="2"/>
  <c r="BY23" i="2"/>
  <c r="BY24" i="2" s="1"/>
  <c r="BX23" i="2"/>
  <c r="BX24" i="2" s="1"/>
  <c r="BW23" i="2"/>
  <c r="BW24" i="2" s="1"/>
  <c r="BV23" i="2"/>
  <c r="BT23" i="2"/>
  <c r="BT24" i="2" s="1"/>
  <c r="BS23" i="2"/>
  <c r="BS24" i="2" s="1"/>
  <c r="BR23" i="2"/>
  <c r="BR24" i="2" s="1"/>
  <c r="BQ23" i="2"/>
  <c r="CZ20" i="2"/>
  <c r="CX20" i="2"/>
  <c r="CW20" i="2"/>
  <c r="CV20" i="2"/>
  <c r="CU20" i="2"/>
  <c r="CS20" i="2"/>
  <c r="CS60" i="12" s="1"/>
  <c r="CR20" i="2"/>
  <c r="CQ20" i="2"/>
  <c r="CP20" i="2"/>
  <c r="CN20" i="2"/>
  <c r="CM20" i="2"/>
  <c r="CL20" i="2"/>
  <c r="CK20" i="2"/>
  <c r="CK60" i="12" s="1"/>
  <c r="CI20" i="2"/>
  <c r="CI60" i="12" s="1"/>
  <c r="CH20" i="2"/>
  <c r="CG20" i="2"/>
  <c r="CG60" i="12" s="1"/>
  <c r="CF20" i="2"/>
  <c r="CF60" i="12"/>
  <c r="CD20" i="2"/>
  <c r="CD60" i="12" s="1"/>
  <c r="CC20" i="2"/>
  <c r="CB20" i="2"/>
  <c r="CB60" i="12" s="1"/>
  <c r="CA20" i="2"/>
  <c r="BY20" i="2"/>
  <c r="BY60" i="12" s="1"/>
  <c r="BX20" i="2"/>
  <c r="BX60" i="12" s="1"/>
  <c r="BW20" i="2"/>
  <c r="BW60" i="12" s="1"/>
  <c r="BV20" i="2"/>
  <c r="BV60" i="12" s="1"/>
  <c r="BT20" i="2"/>
  <c r="BS20" i="2"/>
  <c r="BS60" i="12" s="1"/>
  <c r="BR20" i="2"/>
  <c r="BQ20" i="2"/>
  <c r="CZ18" i="2"/>
  <c r="CX18" i="2"/>
  <c r="CW18" i="2"/>
  <c r="CV18" i="2"/>
  <c r="CU18" i="2"/>
  <c r="CS18" i="2"/>
  <c r="CR18" i="2"/>
  <c r="CQ18" i="2"/>
  <c r="CP18" i="2"/>
  <c r="CN18" i="2"/>
  <c r="CM18" i="2"/>
  <c r="CL18" i="2"/>
  <c r="CK18" i="2"/>
  <c r="CI18" i="2"/>
  <c r="CH18" i="2"/>
  <c r="CG18" i="2"/>
  <c r="CF18" i="2"/>
  <c r="CD18" i="2"/>
  <c r="CC18" i="2"/>
  <c r="CB18" i="2"/>
  <c r="CA18" i="2"/>
  <c r="BY18" i="2"/>
  <c r="BX18" i="2"/>
  <c r="BW18" i="2"/>
  <c r="BV18" i="2"/>
  <c r="BT18" i="2"/>
  <c r="BS18" i="2"/>
  <c r="BR18" i="2"/>
  <c r="BQ18" i="2"/>
  <c r="CY17" i="2"/>
  <c r="CT17" i="2"/>
  <c r="CO17" i="2"/>
  <c r="CJ17" i="2"/>
  <c r="CE17" i="2"/>
  <c r="BZ17" i="2"/>
  <c r="CZ15" i="2"/>
  <c r="CX15" i="2"/>
  <c r="CW15" i="2"/>
  <c r="CV15" i="2"/>
  <c r="CU15" i="2"/>
  <c r="CS15" i="2"/>
  <c r="CR15" i="2"/>
  <c r="CQ15" i="2"/>
  <c r="CP15" i="2"/>
  <c r="CN15" i="2"/>
  <c r="CM15" i="2"/>
  <c r="CL15" i="2"/>
  <c r="CK15" i="2"/>
  <c r="CI15" i="2"/>
  <c r="CH15" i="2"/>
  <c r="CG15" i="2"/>
  <c r="CF15" i="2"/>
  <c r="CD15" i="2"/>
  <c r="CC15" i="2"/>
  <c r="CB15" i="2"/>
  <c r="CA15" i="2"/>
  <c r="BY15" i="2"/>
  <c r="BX15" i="2"/>
  <c r="BW15" i="2"/>
  <c r="BV15" i="2"/>
  <c r="BT15" i="2"/>
  <c r="BS15" i="2"/>
  <c r="BR15" i="2"/>
  <c r="BQ15" i="2"/>
  <c r="CY14" i="2"/>
  <c r="CT14" i="2"/>
  <c r="CO14" i="2"/>
  <c r="CJ14" i="2"/>
  <c r="CE14" i="2"/>
  <c r="BZ14" i="2"/>
  <c r="DA11" i="2"/>
  <c r="CZ11" i="2"/>
  <c r="CX11" i="2"/>
  <c r="CX132" i="2" s="1"/>
  <c r="CW11" i="2"/>
  <c r="CW39" i="2" s="1"/>
  <c r="CV11" i="2"/>
  <c r="CV131" i="2" s="1"/>
  <c r="CU11" i="2"/>
  <c r="CS11" i="2"/>
  <c r="CS35" i="2" s="1"/>
  <c r="CR11" i="2"/>
  <c r="CQ11" i="2"/>
  <c r="CP11" i="2"/>
  <c r="CP131" i="2" s="1"/>
  <c r="CN11" i="2"/>
  <c r="CM11" i="2"/>
  <c r="CL11" i="2"/>
  <c r="CK11" i="2"/>
  <c r="CI11" i="2"/>
  <c r="CH11" i="2"/>
  <c r="CG11" i="2"/>
  <c r="CF11" i="2"/>
  <c r="CD11" i="2"/>
  <c r="CC11" i="2"/>
  <c r="CB11" i="2"/>
  <c r="CB39" i="2" s="1"/>
  <c r="CA11" i="2"/>
  <c r="CA136" i="2" s="1"/>
  <c r="BY11" i="2"/>
  <c r="BX11" i="2"/>
  <c r="BW11" i="2"/>
  <c r="BV11" i="2"/>
  <c r="BT11" i="2"/>
  <c r="BS11" i="2"/>
  <c r="BS57" i="12" s="1"/>
  <c r="BR11" i="2"/>
  <c r="BR57" i="12" s="1"/>
  <c r="BQ11" i="2"/>
  <c r="BQ57" i="12" s="1"/>
  <c r="CY9" i="2"/>
  <c r="CT9" i="2"/>
  <c r="CO9" i="2"/>
  <c r="CJ9" i="2"/>
  <c r="CE9" i="2"/>
  <c r="BZ9" i="2"/>
  <c r="CY7" i="2"/>
  <c r="CM33" i="35" s="1"/>
  <c r="CT7" i="2"/>
  <c r="CL33" i="35" s="1"/>
  <c r="CO7" i="2"/>
  <c r="CJ7" i="2"/>
  <c r="CE7" i="2"/>
  <c r="CI33" i="35" s="1"/>
  <c r="BZ7" i="2"/>
  <c r="CH33" i="35" s="1"/>
  <c r="C2" i="2"/>
  <c r="J12" i="26"/>
  <c r="I12" i="26"/>
  <c r="H12" i="26"/>
  <c r="G12" i="26"/>
  <c r="F12" i="26"/>
  <c r="E4" i="26"/>
  <c r="E2" i="26"/>
  <c r="H18" i="21"/>
  <c r="N12" i="21"/>
  <c r="B2" i="21"/>
  <c r="BV44" i="12"/>
  <c r="DI21" i="12"/>
  <c r="CO30" i="12"/>
  <c r="CN36" i="12"/>
  <c r="CN35" i="12"/>
  <c r="CT30" i="12"/>
  <c r="CS36" i="12"/>
  <c r="CS35" i="12" s="1"/>
  <c r="CS38" i="12"/>
  <c r="CT38" i="12" s="1"/>
  <c r="CY30" i="12"/>
  <c r="CW44" i="13"/>
  <c r="CX44" i="13" s="1"/>
  <c r="CU38" i="12"/>
  <c r="CF117" i="2"/>
  <c r="BQ44" i="2"/>
  <c r="CX52" i="12"/>
  <c r="CM117" i="2"/>
  <c r="CU117" i="2"/>
  <c r="BR147" i="2"/>
  <c r="BS147" i="2" s="1"/>
  <c r="BT147" i="2" s="1"/>
  <c r="BQ11" i="13"/>
  <c r="BQ117" i="2"/>
  <c r="CK119" i="2"/>
  <c r="CL119" i="2"/>
  <c r="CB96" i="2"/>
  <c r="BT117" i="2"/>
  <c r="DG63" i="14"/>
  <c r="DC12" i="14"/>
  <c r="DD17" i="12"/>
  <c r="DD16" i="12"/>
  <c r="DD28" i="12"/>
  <c r="DD32" i="12"/>
  <c r="DD34" i="12"/>
  <c r="DD18" i="12"/>
  <c r="DD78" i="2"/>
  <c r="DD19" i="12"/>
  <c r="DF44" i="12"/>
  <c r="CU43" i="12"/>
  <c r="DM21" i="12"/>
  <c r="DN21" i="12" s="1"/>
  <c r="DO21" i="12" s="1"/>
  <c r="DP21" i="12" s="1"/>
  <c r="DQ21" i="12" s="1"/>
  <c r="DR21" i="12" s="1"/>
  <c r="DS21" i="12" s="1"/>
  <c r="DT21" i="12" s="1"/>
  <c r="DU21" i="12" s="1"/>
  <c r="DV21" i="12" s="1"/>
  <c r="DW21" i="12" s="1"/>
  <c r="DX21" i="12" s="1"/>
  <c r="DY21" i="12" s="1"/>
  <c r="DZ21" i="12" s="1"/>
  <c r="EA21" i="12" s="1"/>
  <c r="EB21" i="12" s="1"/>
  <c r="EC21" i="12" s="1"/>
  <c r="DI16" i="12"/>
  <c r="DM16" i="12"/>
  <c r="DN16" i="12" s="1"/>
  <c r="DO16" i="12" s="1"/>
  <c r="DP16" i="12" s="1"/>
  <c r="DQ16" i="12" s="1"/>
  <c r="DR16" i="12" s="1"/>
  <c r="DS16" i="12" s="1"/>
  <c r="DT16" i="12" s="1"/>
  <c r="DU16" i="12" s="1"/>
  <c r="DV16" i="12" s="1"/>
  <c r="DW16" i="12" s="1"/>
  <c r="DX16" i="12" s="1"/>
  <c r="DY16" i="12" s="1"/>
  <c r="DZ16" i="12" s="1"/>
  <c r="EA16" i="12" s="1"/>
  <c r="EB16" i="12" s="1"/>
  <c r="EC16" i="12" s="1"/>
  <c r="CY36" i="12"/>
  <c r="CY35" i="12" s="1"/>
  <c r="CW38" i="12"/>
  <c r="CW43" i="12" s="1"/>
  <c r="CV38" i="12"/>
  <c r="DI12" i="12"/>
  <c r="DD15" i="12"/>
  <c r="DE12" i="14"/>
  <c r="DM32" i="12"/>
  <c r="DI32" i="12"/>
  <c r="DI34" i="12"/>
  <c r="DM34" i="12"/>
  <c r="DN34" i="12" s="1"/>
  <c r="DO34" i="12" s="1"/>
  <c r="DP34" i="12" s="1"/>
  <c r="DQ34" i="12" s="1"/>
  <c r="DR34" i="12" s="1"/>
  <c r="DS34" i="12" s="1"/>
  <c r="DT34" i="12" s="1"/>
  <c r="DU34" i="12" s="1"/>
  <c r="DV34" i="12" s="1"/>
  <c r="DW34" i="12" s="1"/>
  <c r="DX34" i="12" s="1"/>
  <c r="DY34" i="12" s="1"/>
  <c r="DZ34" i="12" s="1"/>
  <c r="EA34" i="12" s="1"/>
  <c r="EB34" i="12" s="1"/>
  <c r="EC34" i="12" s="1"/>
  <c r="DD33" i="12"/>
  <c r="DD48" i="12"/>
  <c r="DD9" i="12"/>
  <c r="DI19" i="12"/>
  <c r="DM12" i="12"/>
  <c r="DO12" i="12" s="1"/>
  <c r="DP12" i="12" s="1"/>
  <c r="DQ12" i="12" s="1"/>
  <c r="DR12" i="12" s="1"/>
  <c r="DM19" i="12"/>
  <c r="DN19" i="12" s="1"/>
  <c r="DO19" i="12" s="1"/>
  <c r="DP19" i="12" s="1"/>
  <c r="DQ19" i="12" s="1"/>
  <c r="DR19" i="12" s="1"/>
  <c r="DS19" i="12" s="1"/>
  <c r="DT19" i="12" s="1"/>
  <c r="DU19" i="12" s="1"/>
  <c r="DV19" i="12" s="1"/>
  <c r="DW19" i="12" s="1"/>
  <c r="DX19" i="12" s="1"/>
  <c r="DY19" i="12" s="1"/>
  <c r="DZ19" i="12" s="1"/>
  <c r="EA19" i="12" s="1"/>
  <c r="EB19" i="12" s="1"/>
  <c r="EC19" i="12" s="1"/>
  <c r="DI41" i="13"/>
  <c r="DI30" i="13"/>
  <c r="DD69" i="2"/>
  <c r="DM67" i="2"/>
  <c r="DD42" i="2"/>
  <c r="DD58" i="12" s="1"/>
  <c r="CG6" i="25"/>
  <c r="DI29" i="13"/>
  <c r="DH50" i="2"/>
  <c r="DI18" i="12"/>
  <c r="CN6" i="25"/>
  <c r="DI9" i="12"/>
  <c r="DI28" i="12"/>
  <c r="CU6" i="25"/>
  <c r="DI15" i="12"/>
  <c r="DH25" i="2"/>
  <c r="DH26" i="2" s="1"/>
  <c r="DH69" i="2"/>
  <c r="DI33" i="12"/>
  <c r="CU8" i="25"/>
  <c r="DB6" i="25"/>
  <c r="DI48" i="12"/>
  <c r="DM41" i="13"/>
  <c r="DO41" i="13" s="1"/>
  <c r="DM37" i="13"/>
  <c r="DI69" i="2"/>
  <c r="DM18" i="12"/>
  <c r="DN18" i="12" s="1"/>
  <c r="DA16" i="25"/>
  <c r="DA21" i="25"/>
  <c r="DA20" i="25"/>
  <c r="DA22" i="25"/>
  <c r="DA11" i="25"/>
  <c r="DA10" i="25"/>
  <c r="DA23" i="25"/>
  <c r="DA14" i="25"/>
  <c r="DA12" i="25"/>
  <c r="CU5" i="25"/>
  <c r="DI6" i="25"/>
  <c r="DN39" i="12"/>
  <c r="DM13" i="14"/>
  <c r="DN29" i="13"/>
  <c r="DM28" i="12"/>
  <c r="CZ19" i="25"/>
  <c r="DA19" i="25" s="1"/>
  <c r="DA18" i="25"/>
  <c r="DP6" i="25"/>
  <c r="DM8" i="13"/>
  <c r="DO8" i="13" s="1"/>
  <c r="DT8" i="13" s="1"/>
  <c r="DY8" i="13" s="1"/>
  <c r="DE77" i="2"/>
  <c r="DM68" i="2"/>
  <c r="DW6" i="25"/>
  <c r="EE6" i="25"/>
  <c r="EE8" i="25"/>
  <c r="EL10" i="25"/>
  <c r="EL14" i="25"/>
  <c r="EL21" i="25"/>
  <c r="EL23" i="25"/>
  <c r="EL16" i="25"/>
  <c r="EL22" i="25"/>
  <c r="EL11" i="25"/>
  <c r="EL20" i="25"/>
  <c r="EL12" i="25"/>
  <c r="EJ19" i="25"/>
  <c r="EL19" i="25" s="1"/>
  <c r="EL18" i="25"/>
  <c r="DD51" i="14"/>
  <c r="DA52" i="14"/>
  <c r="DF77" i="2"/>
  <c r="DD41" i="14"/>
  <c r="DD220" i="14" s="1"/>
  <c r="CN205" i="35" s="1"/>
  <c r="DA43" i="14"/>
  <c r="DI51" i="14"/>
  <c r="DF52" i="14"/>
  <c r="DA63" i="14"/>
  <c r="DF63" i="14"/>
  <c r="DF65" i="14" s="1"/>
  <c r="DI41" i="14"/>
  <c r="DI220" i="14" s="1"/>
  <c r="DD21" i="13"/>
  <c r="DG77" i="2"/>
  <c r="DD10" i="12"/>
  <c r="DE18" i="13"/>
  <c r="DD13" i="12"/>
  <c r="DD25" i="12"/>
  <c r="DE20" i="13"/>
  <c r="DD7" i="2"/>
  <c r="CN33" i="35" s="1"/>
  <c r="DD9" i="2"/>
  <c r="DD14" i="2"/>
  <c r="DD17" i="2"/>
  <c r="DD32" i="2"/>
  <c r="DD34" i="2"/>
  <c r="DD36" i="2"/>
  <c r="DD38" i="2"/>
  <c r="DD84" i="2"/>
  <c r="DD85" i="2"/>
  <c r="DD86" i="2"/>
  <c r="DD87" i="2"/>
  <c r="DD91" i="2"/>
  <c r="DD92" i="2"/>
  <c r="DD93" i="2"/>
  <c r="DD94" i="2"/>
  <c r="DD98" i="2"/>
  <c r="DD99" i="2"/>
  <c r="DD100" i="2"/>
  <c r="DD101" i="2"/>
  <c r="DD123" i="2"/>
  <c r="DC36" i="14"/>
  <c r="DC48" i="14"/>
  <c r="DD27" i="12"/>
  <c r="DD26" i="12"/>
  <c r="DE21" i="13"/>
  <c r="DD31" i="12"/>
  <c r="DD38" i="12"/>
  <c r="DD11" i="12"/>
  <c r="DE19" i="13" s="1"/>
  <c r="DH11" i="2"/>
  <c r="DH142" i="2" s="1"/>
  <c r="DH23" i="2"/>
  <c r="DI40" i="2"/>
  <c r="DH35" i="2"/>
  <c r="DH138" i="2"/>
  <c r="DI10" i="12"/>
  <c r="DJ18" i="13" s="1"/>
  <c r="DI13" i="12"/>
  <c r="DH20" i="2"/>
  <c r="DH88" i="2"/>
  <c r="DH118" i="2"/>
  <c r="DH95" i="2"/>
  <c r="DH42" i="2"/>
  <c r="DH77" i="2"/>
  <c r="DI31" i="12"/>
  <c r="DI11" i="12"/>
  <c r="DJ19" i="13" s="1"/>
  <c r="DI27" i="12"/>
  <c r="DI17" i="12"/>
  <c r="DR118" i="2"/>
  <c r="DI25" i="12"/>
  <c r="DJ20" i="13" s="1"/>
  <c r="DM118" i="2"/>
  <c r="DI26" i="12"/>
  <c r="DI10" i="13"/>
  <c r="DE36" i="14"/>
  <c r="DE48" i="14"/>
  <c r="DO118" i="2"/>
  <c r="DJ77" i="2"/>
  <c r="DF36" i="14"/>
  <c r="DF48" i="14"/>
  <c r="DP118" i="2"/>
  <c r="DK77" i="2"/>
  <c r="DI7" i="2"/>
  <c r="DI9" i="2"/>
  <c r="DI14" i="2"/>
  <c r="DI17" i="2"/>
  <c r="DI32" i="2"/>
  <c r="DI34" i="2"/>
  <c r="DI36" i="2"/>
  <c r="DI38" i="2"/>
  <c r="DI84" i="2"/>
  <c r="DI85" i="2"/>
  <c r="DI86" i="2"/>
  <c r="DI87" i="2"/>
  <c r="DI91" i="2"/>
  <c r="DI92" i="2"/>
  <c r="DI93" i="2"/>
  <c r="DI94" i="2"/>
  <c r="DG36" i="14"/>
  <c r="DG48" i="14"/>
  <c r="DI38" i="12"/>
  <c r="DQ118" i="2"/>
  <c r="DE57" i="2"/>
  <c r="DG57" i="2"/>
  <c r="DF57" i="2"/>
  <c r="DB8" i="14"/>
  <c r="DB9" i="14"/>
  <c r="DB16" i="14"/>
  <c r="DB18" i="14"/>
  <c r="DD7" i="14"/>
  <c r="DC8" i="14"/>
  <c r="DC9" i="14"/>
  <c r="DC16" i="14"/>
  <c r="DC18" i="14"/>
  <c r="DD18" i="14" s="1"/>
  <c r="DE8" i="14"/>
  <c r="DE9" i="14"/>
  <c r="DE16" i="14"/>
  <c r="DE18" i="14"/>
  <c r="DF8" i="14"/>
  <c r="DF9" i="14"/>
  <c r="DF16" i="14"/>
  <c r="DF18" i="14"/>
  <c r="DG8" i="14"/>
  <c r="DG9" i="14"/>
  <c r="DG16" i="14"/>
  <c r="DL17" i="14" s="1"/>
  <c r="DG18" i="14"/>
  <c r="DL19" i="14" s="1"/>
  <c r="BR8" i="12"/>
  <c r="DA24" i="13"/>
  <c r="DI7" i="14"/>
  <c r="DK12" i="14"/>
  <c r="DL14" i="14"/>
  <c r="DM14" i="14" s="1"/>
  <c r="EE5" i="25"/>
  <c r="DI13" i="13"/>
  <c r="DI24" i="13"/>
  <c r="DI54" i="13" s="1"/>
  <c r="DI123" i="2"/>
  <c r="DB7" i="25"/>
  <c r="DI7" i="25"/>
  <c r="DB8" i="25"/>
  <c r="DI8" i="25"/>
  <c r="CG7" i="25"/>
  <c r="CG8" i="25"/>
  <c r="DP7" i="25"/>
  <c r="CN7" i="25"/>
  <c r="DP8" i="25"/>
  <c r="CN8" i="25"/>
  <c r="DW7" i="25"/>
  <c r="DW8" i="25"/>
  <c r="CF10" i="25"/>
  <c r="CM10" i="25"/>
  <c r="CT10" i="25"/>
  <c r="DH10" i="25"/>
  <c r="DO10" i="25"/>
  <c r="DV10" i="25"/>
  <c r="ED10" i="25"/>
  <c r="CF11" i="25"/>
  <c r="CM11" i="25"/>
  <c r="CT11" i="25"/>
  <c r="DH11" i="25"/>
  <c r="DO11" i="25"/>
  <c r="DV11" i="25"/>
  <c r="ED11" i="25"/>
  <c r="CF12" i="25"/>
  <c r="CM12" i="25"/>
  <c r="CT12" i="25"/>
  <c r="DH12" i="25"/>
  <c r="DO12" i="25"/>
  <c r="DV12" i="25"/>
  <c r="EB13" i="25"/>
  <c r="ED13" i="25" s="1"/>
  <c r="CE13" i="25"/>
  <c r="CF13" i="25" s="1"/>
  <c r="CL13" i="25"/>
  <c r="CM13" i="25" s="1"/>
  <c r="CS13" i="25"/>
  <c r="CT13" i="25" s="1"/>
  <c r="DG13" i="25"/>
  <c r="DH13" i="25" s="1"/>
  <c r="DN13" i="25"/>
  <c r="DO13" i="25" s="1"/>
  <c r="DU13" i="25"/>
  <c r="DV13" i="25" s="1"/>
  <c r="ED12" i="25"/>
  <c r="CF14" i="25"/>
  <c r="CM14" i="25"/>
  <c r="CT14" i="25"/>
  <c r="DH14" i="25"/>
  <c r="DO14" i="25"/>
  <c r="DV14" i="25"/>
  <c r="ED14" i="25"/>
  <c r="CE15" i="25"/>
  <c r="CF15" i="25" s="1"/>
  <c r="CL15" i="25"/>
  <c r="CM15" i="25" s="1"/>
  <c r="CS15" i="25"/>
  <c r="CT15" i="25" s="1"/>
  <c r="DG15" i="25"/>
  <c r="DH15" i="25" s="1"/>
  <c r="DN15" i="25"/>
  <c r="DO15" i="25" s="1"/>
  <c r="DU15" i="25"/>
  <c r="DV15" i="25" s="1"/>
  <c r="EB15" i="25"/>
  <c r="ED15" i="25" s="1"/>
  <c r="CF16" i="25"/>
  <c r="CM16" i="25"/>
  <c r="CT16" i="25"/>
  <c r="DH16" i="25"/>
  <c r="DO16" i="25"/>
  <c r="DV16" i="25"/>
  <c r="CE17" i="25"/>
  <c r="CF17" i="25" s="1"/>
  <c r="CL17" i="25"/>
  <c r="CM17" i="25" s="1"/>
  <c r="CS17" i="25"/>
  <c r="CT17" i="25" s="1"/>
  <c r="DG17" i="25"/>
  <c r="DH17" i="25" s="1"/>
  <c r="DN17" i="25"/>
  <c r="DO17" i="25" s="1"/>
  <c r="DU17" i="25"/>
  <c r="DV17" i="25" s="1"/>
  <c r="EB17" i="25"/>
  <c r="ED17" i="25" s="1"/>
  <c r="ED16" i="25"/>
  <c r="CF18" i="25"/>
  <c r="CM18" i="25"/>
  <c r="CT18" i="25"/>
  <c r="DH18" i="25"/>
  <c r="DO18" i="25"/>
  <c r="DV18" i="25"/>
  <c r="CE19" i="25"/>
  <c r="CF19" i="25" s="1"/>
  <c r="CL19" i="25"/>
  <c r="CM19" i="25" s="1"/>
  <c r="CS19" i="25"/>
  <c r="CT19" i="25" s="1"/>
  <c r="DG19" i="25"/>
  <c r="DH19" i="25" s="1"/>
  <c r="DN19" i="25"/>
  <c r="DO19" i="25" s="1"/>
  <c r="DU19" i="25"/>
  <c r="DV19" i="25" s="1"/>
  <c r="EB19" i="25"/>
  <c r="ED19" i="25" s="1"/>
  <c r="ED18" i="25"/>
  <c r="DH22" i="25"/>
  <c r="DO21" i="25"/>
  <c r="CF22" i="25"/>
  <c r="CT20" i="25"/>
  <c r="DV22" i="25"/>
  <c r="DH21" i="25"/>
  <c r="CM20" i="25"/>
  <c r="CF21" i="25"/>
  <c r="DO22" i="25"/>
  <c r="DV21" i="25"/>
  <c r="CM21" i="25"/>
  <c r="CT22" i="25"/>
  <c r="DO20" i="25"/>
  <c r="CM22" i="25"/>
  <c r="CT21" i="25"/>
  <c r="DH20" i="25"/>
  <c r="CF20" i="25"/>
  <c r="DV20" i="25"/>
  <c r="ED22" i="25"/>
  <c r="ED21" i="25"/>
  <c r="ED20" i="25"/>
  <c r="CF23" i="25"/>
  <c r="CM23" i="25"/>
  <c r="CT23" i="25"/>
  <c r="DH23" i="25"/>
  <c r="DO23" i="25"/>
  <c r="DV23" i="25"/>
  <c r="ED23" i="25"/>
  <c r="DN13" i="13"/>
  <c r="E34" i="42" a="1"/>
  <c r="E35" i="37" a="1"/>
  <c r="E26" i="42" a="1"/>
  <c r="E22" i="42" a="1"/>
  <c r="E25" i="42" a="1"/>
  <c r="E16" i="42" a="1"/>
  <c r="E19" i="37" a="1"/>
  <c r="E15" i="37" a="1"/>
  <c r="E39" i="37" a="1"/>
  <c r="E27" i="37" a="1"/>
  <c r="E23" i="42" a="1"/>
  <c r="E33" i="42" a="1"/>
  <c r="E21" i="37" a="1"/>
  <c r="E14" i="42" a="1"/>
  <c r="E33" i="37" a="1"/>
  <c r="E30" i="37" a="1"/>
  <c r="E24" i="42" a="1"/>
  <c r="E21" i="42" a="1"/>
  <c r="E17" i="37" a="1"/>
  <c r="E14" i="37" a="1"/>
  <c r="E26" i="37" a="1"/>
  <c r="E37" i="37" a="1"/>
  <c r="E16" i="37" a="1"/>
  <c r="E15" i="42" a="1"/>
  <c r="E34" i="37" a="1"/>
  <c r="E36" i="37" a="1"/>
  <c r="E28" i="37" a="1"/>
  <c r="E19" i="42" a="1"/>
  <c r="E31" i="37" a="1"/>
  <c r="E13" i="42" a="1"/>
  <c r="E32" i="37" a="1"/>
  <c r="E35" i="42" a="1"/>
  <c r="E13" i="37" a="1"/>
  <c r="E29" i="37" a="1"/>
  <c r="E28" i="42" a="1"/>
  <c r="E18" i="42" a="1"/>
  <c r="E17" i="42" a="1"/>
  <c r="E38" i="37" a="1"/>
  <c r="E32" i="42" a="1"/>
  <c r="E27" i="42" a="1"/>
  <c r="E20" i="42" a="1"/>
  <c r="E31" i="42" a="1"/>
  <c r="E29" i="42" a="1"/>
  <c r="E18" i="37" a="1"/>
  <c r="E25" i="37" a="1"/>
  <c r="E30" i="42" a="1"/>
  <c r="DK136" i="2" l="1"/>
  <c r="DJ130" i="2"/>
  <c r="DO130" i="2" s="1"/>
  <c r="DT130" i="2" s="1"/>
  <c r="DY130" i="2" s="1"/>
  <c r="CV142" i="2"/>
  <c r="CX142" i="2"/>
  <c r="DH57" i="13"/>
  <c r="BS17" i="13"/>
  <c r="DJ57" i="13"/>
  <c r="CB57" i="2"/>
  <c r="CB56" i="2" s="1"/>
  <c r="DI18" i="13"/>
  <c r="DA37" i="13"/>
  <c r="DA57" i="2"/>
  <c r="DF57" i="13"/>
  <c r="CG42" i="13"/>
  <c r="CG43" i="13" s="1"/>
  <c r="DI35" i="13"/>
  <c r="DK46" i="13"/>
  <c r="DL58" i="13"/>
  <c r="CV57" i="2"/>
  <c r="CV56" i="2" s="1"/>
  <c r="CZ46" i="13"/>
  <c r="CE35" i="13"/>
  <c r="DG57" i="13"/>
  <c r="DL59" i="13" s="1"/>
  <c r="CX89" i="2"/>
  <c r="CB41" i="2"/>
  <c r="CJ121" i="2"/>
  <c r="DJ139" i="2"/>
  <c r="CP143" i="2"/>
  <c r="CA41" i="2"/>
  <c r="DN52" i="2"/>
  <c r="CB89" i="2"/>
  <c r="CQ117" i="2"/>
  <c r="CE120" i="2"/>
  <c r="DK51" i="12"/>
  <c r="DK53" i="12" s="1"/>
  <c r="DP53" i="12" s="1"/>
  <c r="DU53" i="12" s="1"/>
  <c r="DZ53" i="12" s="1"/>
  <c r="DK138" i="2"/>
  <c r="DK21" i="2"/>
  <c r="DK52" i="12"/>
  <c r="CI117" i="2"/>
  <c r="CU16" i="2"/>
  <c r="CG19" i="2"/>
  <c r="DK21" i="25"/>
  <c r="DK145" i="2"/>
  <c r="BY119" i="2"/>
  <c r="CV16" i="2"/>
  <c r="CD21" i="25"/>
  <c r="CR119" i="2"/>
  <c r="CH19" i="2"/>
  <c r="CB119" i="2"/>
  <c r="CW16" i="2"/>
  <c r="CI19" i="2"/>
  <c r="BU88" i="2"/>
  <c r="DK27" i="2"/>
  <c r="DH51" i="2"/>
  <c r="DI51" i="2" s="1"/>
  <c r="DR20" i="25"/>
  <c r="DK139" i="2"/>
  <c r="O5" i="2"/>
  <c r="N74" i="2"/>
  <c r="DH145" i="2"/>
  <c r="BW19" i="2"/>
  <c r="DH41" i="2"/>
  <c r="DH130" i="2"/>
  <c r="DM130" i="2" s="1"/>
  <c r="DR130" i="2" s="1"/>
  <c r="DW130" i="2" s="1"/>
  <c r="EB130" i="2" s="1"/>
  <c r="DH133" i="2"/>
  <c r="DM133" i="2" s="1"/>
  <c r="DR133" i="2" s="1"/>
  <c r="DW133" i="2" s="1"/>
  <c r="EB133" i="2" s="1"/>
  <c r="CX16" i="2"/>
  <c r="DJ138" i="2"/>
  <c r="DH37" i="2"/>
  <c r="DM37" i="2" s="1"/>
  <c r="DR37" i="2" s="1"/>
  <c r="DW37" i="2" s="1"/>
  <c r="EB37" i="2" s="1"/>
  <c r="CA117" i="2"/>
  <c r="CE117" i="2" s="1"/>
  <c r="CD22" i="25"/>
  <c r="DH89" i="2"/>
  <c r="BR117" i="2"/>
  <c r="CX37" i="2"/>
  <c r="DH27" i="2"/>
  <c r="DH45" i="2" s="1"/>
  <c r="DH143" i="2"/>
  <c r="CX9" i="13"/>
  <c r="CX131" i="2"/>
  <c r="CE20" i="2"/>
  <c r="CN16" i="2"/>
  <c r="CA19" i="2"/>
  <c r="CH119" i="2"/>
  <c r="CK19" i="2"/>
  <c r="DH39" i="2"/>
  <c r="CK16" i="2"/>
  <c r="DH56" i="2"/>
  <c r="DH57" i="2" s="1"/>
  <c r="DI57" i="2" s="1"/>
  <c r="CZ119" i="2"/>
  <c r="CX136" i="2"/>
  <c r="DI20" i="2"/>
  <c r="DN12" i="12"/>
  <c r="BS117" i="2"/>
  <c r="DH131" i="2"/>
  <c r="DM131" i="2" s="1"/>
  <c r="DR131" i="2" s="1"/>
  <c r="DW131" i="2" s="1"/>
  <c r="EB131" i="2" s="1"/>
  <c r="CB117" i="2"/>
  <c r="DH52" i="12"/>
  <c r="CB11" i="13"/>
  <c r="CX143" i="2"/>
  <c r="DJ136" i="2"/>
  <c r="BS96" i="2"/>
  <c r="CT15" i="2"/>
  <c r="CC16" i="2"/>
  <c r="CS19" i="2"/>
  <c r="CJ95" i="2"/>
  <c r="K5" i="2"/>
  <c r="J74" i="2"/>
  <c r="H28" i="40"/>
  <c r="V28" i="40"/>
  <c r="CI183" i="35"/>
  <c r="DB16" i="2"/>
  <c r="CP20" i="25"/>
  <c r="DF20" i="25"/>
  <c r="DK55" i="12"/>
  <c r="DP55" i="12" s="1"/>
  <c r="DU55" i="12" s="1"/>
  <c r="DZ55" i="12" s="1"/>
  <c r="F5" i="2"/>
  <c r="DI8" i="2"/>
  <c r="CO33" i="35"/>
  <c r="CO183" i="35" s="1"/>
  <c r="CV145" i="2"/>
  <c r="CJ15" i="2"/>
  <c r="CJ33" i="35"/>
  <c r="CJ183" i="35" s="1"/>
  <c r="CH63" i="12"/>
  <c r="P35" i="35"/>
  <c r="P5" i="35"/>
  <c r="P9" i="35" s="1"/>
  <c r="CH57" i="12"/>
  <c r="CW37" i="2"/>
  <c r="AB35" i="35"/>
  <c r="AB5" i="35"/>
  <c r="AB9" i="35" s="1"/>
  <c r="CW57" i="12"/>
  <c r="CV139" i="2"/>
  <c r="CO15" i="2"/>
  <c r="CK33" i="35"/>
  <c r="CL183" i="35" s="1"/>
  <c r="BT138" i="2"/>
  <c r="BT57" i="12"/>
  <c r="Q5" i="35"/>
  <c r="Q9" i="35" s="1"/>
  <c r="Q35" i="35"/>
  <c r="CI57" i="12"/>
  <c r="CX139" i="2"/>
  <c r="AC35" i="35"/>
  <c r="AC5" i="35"/>
  <c r="CX57" i="12"/>
  <c r="AF5" i="35"/>
  <c r="AF9" i="35" s="1"/>
  <c r="AF35" i="35"/>
  <c r="DB57" i="12"/>
  <c r="AJ5" i="35"/>
  <c r="AJ9" i="35" s="1"/>
  <c r="AJ35" i="35"/>
  <c r="DG57" i="12"/>
  <c r="CZ41" i="2"/>
  <c r="AD35" i="35"/>
  <c r="AD5" i="35"/>
  <c r="AD9" i="35" s="1"/>
  <c r="CZ57" i="12"/>
  <c r="CO120" i="2"/>
  <c r="DK22" i="25"/>
  <c r="CV132" i="2"/>
  <c r="F35" i="35"/>
  <c r="F5" i="35"/>
  <c r="F9" i="35" s="1"/>
  <c r="BV57" i="12"/>
  <c r="CV130" i="2"/>
  <c r="CM183" i="35"/>
  <c r="G5" i="35"/>
  <c r="G9" i="35" s="1"/>
  <c r="G35" i="35"/>
  <c r="BW57" i="12"/>
  <c r="S5" i="35"/>
  <c r="S9" i="35" s="1"/>
  <c r="S35" i="35"/>
  <c r="CL57" i="12"/>
  <c r="DA41" i="2"/>
  <c r="AE35" i="35"/>
  <c r="AE5" i="35"/>
  <c r="AE9" i="35" s="1"/>
  <c r="DA57" i="12"/>
  <c r="BZ120" i="2"/>
  <c r="DE16" i="2"/>
  <c r="R5" i="35"/>
  <c r="R9" i="35" s="1"/>
  <c r="R35" i="35"/>
  <c r="CK57" i="12"/>
  <c r="CH132" i="2"/>
  <c r="CL16" i="2"/>
  <c r="BX19" i="2"/>
  <c r="DH63" i="12"/>
  <c r="AK35" i="35"/>
  <c r="AK5" i="35"/>
  <c r="AK9" i="35" s="1"/>
  <c r="DH57" i="12"/>
  <c r="BQ89" i="2"/>
  <c r="BS119" i="2"/>
  <c r="CP9" i="13"/>
  <c r="CP8" i="13" s="1"/>
  <c r="CV55" i="12"/>
  <c r="CH61" i="12"/>
  <c r="CX145" i="2"/>
  <c r="BZ18" i="2"/>
  <c r="CH34" i="35"/>
  <c r="CH11" i="35"/>
  <c r="BX12" i="2"/>
  <c r="H5" i="35"/>
  <c r="H9" i="35" s="1"/>
  <c r="H35" i="35"/>
  <c r="BX57" i="12"/>
  <c r="T5" i="35"/>
  <c r="T9" i="35" s="1"/>
  <c r="T35" i="35"/>
  <c r="CM57" i="12"/>
  <c r="BZ20" i="2"/>
  <c r="CM16" i="2"/>
  <c r="BY19" i="2"/>
  <c r="BU61" i="2"/>
  <c r="CY61" i="2"/>
  <c r="CJ88" i="2"/>
  <c r="DK137" i="2"/>
  <c r="DK133" i="2"/>
  <c r="DP133" i="2" s="1"/>
  <c r="DU133" i="2" s="1"/>
  <c r="DZ133" i="2" s="1"/>
  <c r="DI10" i="2"/>
  <c r="CO11" i="35"/>
  <c r="CO34" i="35"/>
  <c r="CV133" i="2"/>
  <c r="CI34" i="35"/>
  <c r="CI11" i="35"/>
  <c r="CD12" i="2"/>
  <c r="I5" i="35"/>
  <c r="I9" i="35" s="1"/>
  <c r="I35" i="35"/>
  <c r="BY57" i="12"/>
  <c r="U5" i="35"/>
  <c r="U9" i="35" s="1"/>
  <c r="U35" i="35"/>
  <c r="CN57" i="12"/>
  <c r="DD18" i="2"/>
  <c r="CV138" i="2"/>
  <c r="CX63" i="12"/>
  <c r="BR41" i="2"/>
  <c r="CJ10" i="2"/>
  <c r="CJ34" i="35"/>
  <c r="CJ11" i="35"/>
  <c r="J5" i="35"/>
  <c r="J9" i="35" s="1"/>
  <c r="J35" i="35"/>
  <c r="CA57" i="12"/>
  <c r="CP145" i="2"/>
  <c r="V5" i="35"/>
  <c r="V9" i="35" s="1"/>
  <c r="V35" i="35"/>
  <c r="CP57" i="12"/>
  <c r="CA16" i="2"/>
  <c r="CQ19" i="2"/>
  <c r="DC51" i="2"/>
  <c r="DD51" i="2" s="1"/>
  <c r="CU43" i="2"/>
  <c r="CU58" i="12"/>
  <c r="CU59" i="12" s="1"/>
  <c r="DJ9" i="13"/>
  <c r="DJ8" i="13" s="1"/>
  <c r="DN8" i="13" s="1"/>
  <c r="DQ33" i="2"/>
  <c r="DV33" i="2" s="1"/>
  <c r="EA33" i="2" s="1"/>
  <c r="DH43" i="2"/>
  <c r="DH58" i="12"/>
  <c r="DH59" i="12" s="1"/>
  <c r="CV51" i="12"/>
  <c r="CV61" i="12" s="1"/>
  <c r="CT10" i="2"/>
  <c r="CK34" i="35"/>
  <c r="CK11" i="35"/>
  <c r="K5" i="35"/>
  <c r="K9" i="35" s="1"/>
  <c r="K35" i="35"/>
  <c r="CB57" i="12"/>
  <c r="CQ41" i="2"/>
  <c r="W5" i="35"/>
  <c r="W9" i="35" s="1"/>
  <c r="W35" i="35"/>
  <c r="CQ57" i="12"/>
  <c r="CB16" i="2"/>
  <c r="CT18" i="2"/>
  <c r="CR19" i="2"/>
  <c r="AG5" i="35"/>
  <c r="AG9" i="35" s="1"/>
  <c r="AG35" i="35"/>
  <c r="DC57" i="12"/>
  <c r="AL35" i="35"/>
  <c r="AL5" i="35"/>
  <c r="AL9" i="35" s="1"/>
  <c r="DJ57" i="12"/>
  <c r="CN34" i="35"/>
  <c r="CN11" i="35"/>
  <c r="CQ119" i="2"/>
  <c r="CX96" i="2"/>
  <c r="CM12" i="2"/>
  <c r="CY10" i="2"/>
  <c r="CL34" i="35"/>
  <c r="CL184" i="35" s="1"/>
  <c r="CL11" i="35"/>
  <c r="L5" i="35"/>
  <c r="L9" i="35" s="1"/>
  <c r="L35" i="35"/>
  <c r="CC57" i="12"/>
  <c r="CR96" i="2"/>
  <c r="X5" i="35"/>
  <c r="X9" i="35" s="1"/>
  <c r="X35" i="35"/>
  <c r="CR57" i="12"/>
  <c r="CO61" i="2"/>
  <c r="CN96" i="2"/>
  <c r="AH5" i="35"/>
  <c r="AH9" i="35" s="1"/>
  <c r="AH35" i="35"/>
  <c r="DE57" i="12"/>
  <c r="AA35" i="35"/>
  <c r="AA5" i="35"/>
  <c r="AA9" i="35" s="1"/>
  <c r="CV57" i="12"/>
  <c r="DI18" i="2"/>
  <c r="DI19" i="2" s="1"/>
  <c r="CN183" i="35"/>
  <c r="CV144" i="2"/>
  <c r="BT37" i="2"/>
  <c r="CE10" i="2"/>
  <c r="CM34" i="35"/>
  <c r="CM11" i="35"/>
  <c r="CD133" i="2"/>
  <c r="M35" i="35"/>
  <c r="M5" i="35"/>
  <c r="M9" i="35" s="1"/>
  <c r="CD57" i="12"/>
  <c r="CS33" i="2"/>
  <c r="Y35" i="35"/>
  <c r="Y5" i="35"/>
  <c r="Y9" i="35" s="1"/>
  <c r="CS57" i="12"/>
  <c r="CD16" i="2"/>
  <c r="CU19" i="2"/>
  <c r="CP21" i="25"/>
  <c r="DJ89" i="2"/>
  <c r="AM35" i="35"/>
  <c r="AM5" i="35"/>
  <c r="AM9" i="35" s="1"/>
  <c r="DK57" i="12"/>
  <c r="CV136" i="2"/>
  <c r="N35" i="35"/>
  <c r="N5" i="35"/>
  <c r="N9" i="35" s="1"/>
  <c r="CF57" i="12"/>
  <c r="Z35" i="35"/>
  <c r="Z5" i="35"/>
  <c r="Z9" i="35" s="1"/>
  <c r="CU57" i="12"/>
  <c r="BU120" i="2"/>
  <c r="AI5" i="35"/>
  <c r="AI9" i="35" s="1"/>
  <c r="AI35" i="35"/>
  <c r="DF57" i="12"/>
  <c r="DR21" i="25"/>
  <c r="DK89" i="2"/>
  <c r="CG37" i="2"/>
  <c r="O35" i="35"/>
  <c r="O5" i="35"/>
  <c r="O9" i="35" s="1"/>
  <c r="CG57" i="12"/>
  <c r="CY20" i="13"/>
  <c r="BT20" i="13"/>
  <c r="BU20" i="13" s="1"/>
  <c r="DN121" i="2"/>
  <c r="BZ102" i="2"/>
  <c r="AN99" i="35"/>
  <c r="AN98" i="35"/>
  <c r="AN97" i="35"/>
  <c r="AN96" i="35"/>
  <c r="DL239" i="14"/>
  <c r="CR21" i="14"/>
  <c r="CR20" i="14" s="1"/>
  <c r="CV21" i="14"/>
  <c r="CV20" i="14" s="1"/>
  <c r="CW21" i="14"/>
  <c r="CW20" i="14" s="1"/>
  <c r="CO205" i="35"/>
  <c r="DI221" i="14"/>
  <c r="C2" i="13"/>
  <c r="Q4" i="37"/>
  <c r="I118" i="45"/>
  <c r="DD218" i="14"/>
  <c r="J118" i="45"/>
  <c r="DI218" i="14"/>
  <c r="DK237" i="14"/>
  <c r="DK231" i="14"/>
  <c r="DK235" i="14"/>
  <c r="DK233" i="14"/>
  <c r="DJ237" i="14"/>
  <c r="DJ231" i="14"/>
  <c r="DJ235" i="14"/>
  <c r="DJ233" i="14"/>
  <c r="DH237" i="14"/>
  <c r="DH235" i="14"/>
  <c r="DH231" i="14"/>
  <c r="DH233" i="14"/>
  <c r="DB237" i="14"/>
  <c r="AF99" i="35" s="1"/>
  <c r="DB235" i="14"/>
  <c r="AF98" i="35" s="1"/>
  <c r="DB233" i="14"/>
  <c r="AF97" i="35" s="1"/>
  <c r="DB231" i="14"/>
  <c r="AF96" i="35" s="1"/>
  <c r="DC237" i="14"/>
  <c r="AG99" i="35" s="1"/>
  <c r="DC231" i="14"/>
  <c r="AG96" i="35" s="1"/>
  <c r="DC233" i="14"/>
  <c r="AG97" i="35" s="1"/>
  <c r="DC235" i="14"/>
  <c r="AG98" i="35" s="1"/>
  <c r="DE237" i="14"/>
  <c r="DE233" i="14"/>
  <c r="DE231" i="14"/>
  <c r="DE235" i="14"/>
  <c r="DF237" i="14"/>
  <c r="AI99" i="35" s="1"/>
  <c r="DF233" i="14"/>
  <c r="AI97" i="35" s="1"/>
  <c r="DF231" i="14"/>
  <c r="AI96" i="35" s="1"/>
  <c r="DF235" i="14"/>
  <c r="AI98" i="35" s="1"/>
  <c r="DG237" i="14"/>
  <c r="DG233" i="14"/>
  <c r="DL234" i="14" s="1"/>
  <c r="DG231" i="14"/>
  <c r="DL232" i="14" s="1"/>
  <c r="DG235" i="14"/>
  <c r="DL236" i="14" s="1"/>
  <c r="CN21" i="14"/>
  <c r="CN20" i="14" s="1"/>
  <c r="DB21" i="14"/>
  <c r="DB20" i="14" s="1"/>
  <c r="CQ21" i="14"/>
  <c r="I117" i="45"/>
  <c r="J117" i="45"/>
  <c r="CS21" i="14"/>
  <c r="CS20" i="14" s="1"/>
  <c r="BZ31" i="14"/>
  <c r="C117" i="45"/>
  <c r="CU21" i="14"/>
  <c r="CU20" i="14" s="1"/>
  <c r="CE31" i="14"/>
  <c r="D117" i="45"/>
  <c r="CJ31" i="14"/>
  <c r="E117" i="45"/>
  <c r="CO44" i="14"/>
  <c r="CO31" i="14"/>
  <c r="F117" i="45"/>
  <c r="CT44" i="14"/>
  <c r="CT31" i="14"/>
  <c r="G117" i="45"/>
  <c r="CP21" i="14"/>
  <c r="CP20" i="14" s="1"/>
  <c r="CZ21" i="14"/>
  <c r="CZ20" i="14" s="1"/>
  <c r="R29" i="40"/>
  <c r="N28" i="40"/>
  <c r="R28" i="40"/>
  <c r="AF28" i="40"/>
  <c r="S29" i="40"/>
  <c r="L28" i="40"/>
  <c r="I29" i="40"/>
  <c r="CM21" i="14"/>
  <c r="CM20" i="14" s="1"/>
  <c r="CL21" i="14"/>
  <c r="CL20" i="14" s="1"/>
  <c r="CK21" i="14"/>
  <c r="CK20" i="14" s="1"/>
  <c r="DF21" i="14"/>
  <c r="DF20" i="14" s="1"/>
  <c r="CI21" i="14"/>
  <c r="CI20" i="14" s="1"/>
  <c r="CH21" i="14"/>
  <c r="CH20" i="14" s="1"/>
  <c r="BX21" i="14"/>
  <c r="BW21" i="14"/>
  <c r="BW20" i="14" s="1"/>
  <c r="BV21" i="14"/>
  <c r="BV39" i="14" s="1"/>
  <c r="BT21" i="14"/>
  <c r="BT20" i="14" s="1"/>
  <c r="BS21" i="14"/>
  <c r="BS20" i="14" s="1"/>
  <c r="BR21" i="14"/>
  <c r="BR20" i="14" s="1"/>
  <c r="BQ21" i="14"/>
  <c r="DE21" i="14"/>
  <c r="DE20" i="14" s="1"/>
  <c r="DH21" i="14"/>
  <c r="DH20" i="14" s="1"/>
  <c r="DA21" i="14"/>
  <c r="DA20" i="14" s="1"/>
  <c r="CG21" i="14"/>
  <c r="CG39" i="14" s="1"/>
  <c r="CF21" i="14"/>
  <c r="CD21" i="14"/>
  <c r="CD20" i="14" s="1"/>
  <c r="CC21" i="14"/>
  <c r="CB21" i="14"/>
  <c r="CB20" i="14" s="1"/>
  <c r="CA21" i="14"/>
  <c r="CA20" i="14" s="1"/>
  <c r="DG21" i="14"/>
  <c r="DC21" i="14"/>
  <c r="DC20" i="14" s="1"/>
  <c r="CX32" i="14"/>
  <c r="CX21" i="14"/>
  <c r="CX20" i="14" s="1"/>
  <c r="BY32" i="14"/>
  <c r="BY21" i="14"/>
  <c r="BY20" i="14" s="1"/>
  <c r="DO13" i="14"/>
  <c r="AO80" i="35"/>
  <c r="AC7" i="35"/>
  <c r="CX44" i="14"/>
  <c r="DD141" i="14"/>
  <c r="I50" i="45" s="1"/>
  <c r="CA143" i="14"/>
  <c r="CA146" i="14" s="1"/>
  <c r="CA150" i="14" s="1"/>
  <c r="CA151" i="14" s="1"/>
  <c r="CA152" i="14" s="1"/>
  <c r="CA153" i="14" s="1"/>
  <c r="CA44" i="14"/>
  <c r="BU141" i="14"/>
  <c r="BU131" i="14" s="1"/>
  <c r="BU134" i="14" s="1"/>
  <c r="BU133" i="14" s="1"/>
  <c r="BU44" i="14"/>
  <c r="CF143" i="14"/>
  <c r="CF146" i="14" s="1"/>
  <c r="CF150" i="14" s="1"/>
  <c r="CF151" i="14" s="1"/>
  <c r="CF152" i="14" s="1"/>
  <c r="CF153" i="14" s="1"/>
  <c r="CF44" i="14"/>
  <c r="BZ141" i="14"/>
  <c r="BZ44" i="14"/>
  <c r="BV143" i="14"/>
  <c r="BV146" i="14" s="1"/>
  <c r="BV150" i="14" s="1"/>
  <c r="BV151" i="14" s="1"/>
  <c r="BV152" i="14" s="1"/>
  <c r="BV153" i="14" s="1"/>
  <c r="BV44" i="14"/>
  <c r="CK143" i="14"/>
  <c r="CK146" i="14" s="1"/>
  <c r="CK44" i="14"/>
  <c r="CE141" i="14"/>
  <c r="CE44" i="14"/>
  <c r="CP143" i="14"/>
  <c r="CP146" i="14" s="1"/>
  <c r="CP150" i="14" s="1"/>
  <c r="CP44" i="14"/>
  <c r="CJ141" i="14"/>
  <c r="CJ44" i="14"/>
  <c r="CU143" i="14"/>
  <c r="CU44" i="14"/>
  <c r="W29" i="40"/>
  <c r="Z28" i="40"/>
  <c r="AE28" i="40"/>
  <c r="DR53" i="14"/>
  <c r="DW53" i="14" s="1"/>
  <c r="EB53" i="14" s="1"/>
  <c r="DM51" i="14"/>
  <c r="DM218" i="14" s="1"/>
  <c r="DM219" i="14" s="1"/>
  <c r="DT53" i="14"/>
  <c r="DY53" i="14" s="1"/>
  <c r="DO54" i="14"/>
  <c r="DP54" i="14"/>
  <c r="DM54" i="14"/>
  <c r="CS54" i="14"/>
  <c r="CU55" i="14"/>
  <c r="CU54" i="14"/>
  <c r="DH54" i="14"/>
  <c r="DH55" i="14"/>
  <c r="DJ54" i="14"/>
  <c r="DJ55" i="14"/>
  <c r="CV55" i="14"/>
  <c r="CV54" i="14"/>
  <c r="CW55" i="14"/>
  <c r="CW54" i="14"/>
  <c r="DK54" i="14"/>
  <c r="DK55" i="14"/>
  <c r="CZ55" i="14"/>
  <c r="DC54" i="14"/>
  <c r="DQ54" i="14"/>
  <c r="DB55" i="14"/>
  <c r="DB54" i="14"/>
  <c r="CQ54" i="14"/>
  <c r="DA54" i="14"/>
  <c r="DA55" i="14"/>
  <c r="DE55" i="14"/>
  <c r="DE54" i="14"/>
  <c r="DG54" i="14"/>
  <c r="DG55" i="14"/>
  <c r="CR54" i="14"/>
  <c r="DF54" i="14"/>
  <c r="DF55" i="14"/>
  <c r="DL54" i="14"/>
  <c r="CL7" i="35"/>
  <c r="CT141" i="14"/>
  <c r="G50" i="45" s="1"/>
  <c r="CO7" i="35"/>
  <c r="DI141" i="14"/>
  <c r="CK7" i="35"/>
  <c r="CO141" i="14"/>
  <c r="E29" i="40"/>
  <c r="M29" i="40"/>
  <c r="U29" i="40"/>
  <c r="U28" i="40"/>
  <c r="AJ28" i="40"/>
  <c r="AG28" i="40"/>
  <c r="CY156" i="14"/>
  <c r="CY192" i="14"/>
  <c r="CY180" i="14"/>
  <c r="CY168" i="14"/>
  <c r="CU179" i="14"/>
  <c r="CU182" i="14" s="1"/>
  <c r="CU191" i="14"/>
  <c r="CU155" i="14"/>
  <c r="CU158" i="14" s="1"/>
  <c r="CU167" i="14"/>
  <c r="CP179" i="14"/>
  <c r="CP182" i="14" s="1"/>
  <c r="CP186" i="14" s="1"/>
  <c r="CP187" i="14" s="1"/>
  <c r="CP188" i="14" s="1"/>
  <c r="CP189" i="14" s="1"/>
  <c r="CP191" i="14"/>
  <c r="CP167" i="14"/>
  <c r="CP155" i="14"/>
  <c r="CK179" i="14"/>
  <c r="CK182" i="14" s="1"/>
  <c r="CK186" i="14" s="1"/>
  <c r="CK187" i="14" s="1"/>
  <c r="CK188" i="14" s="1"/>
  <c r="CK189" i="14" s="1"/>
  <c r="CK191" i="14"/>
  <c r="CK194" i="14" s="1"/>
  <c r="CK198" i="14" s="1"/>
  <c r="CK199" i="14" s="1"/>
  <c r="CK200" i="14" s="1"/>
  <c r="CK201" i="14" s="1"/>
  <c r="CK155" i="14"/>
  <c r="CK167" i="14"/>
  <c r="CF191" i="14"/>
  <c r="CF194" i="14" s="1"/>
  <c r="CF198" i="14" s="1"/>
  <c r="CF199" i="14" s="1"/>
  <c r="CF200" i="14" s="1"/>
  <c r="CF201" i="14" s="1"/>
  <c r="CF167" i="14"/>
  <c r="CF170" i="14" s="1"/>
  <c r="CF155" i="14"/>
  <c r="CA191" i="14"/>
  <c r="CA194" i="14" s="1"/>
  <c r="CA198" i="14" s="1"/>
  <c r="CA199" i="14" s="1"/>
  <c r="CA200" i="14" s="1"/>
  <c r="CA201" i="14" s="1"/>
  <c r="CA167" i="14"/>
  <c r="CA170" i="14" s="1"/>
  <c r="CA174" i="14" s="1"/>
  <c r="CA175" i="14" s="1"/>
  <c r="CA176" i="14" s="1"/>
  <c r="CA177" i="14" s="1"/>
  <c r="CA155" i="14"/>
  <c r="BV179" i="14"/>
  <c r="BV182" i="14" s="1"/>
  <c r="BV186" i="14" s="1"/>
  <c r="BV187" i="14" s="1"/>
  <c r="BV188" i="14" s="1"/>
  <c r="BV189" i="14" s="1"/>
  <c r="BV167" i="14"/>
  <c r="BV155" i="14"/>
  <c r="BV191" i="14"/>
  <c r="CY201" i="14"/>
  <c r="CY165" i="14"/>
  <c r="CY189" i="14"/>
  <c r="CY177" i="14"/>
  <c r="CT201" i="14"/>
  <c r="CT165" i="14"/>
  <c r="CT189" i="14"/>
  <c r="CT177" i="14"/>
  <c r="CO165" i="14"/>
  <c r="CO201" i="14"/>
  <c r="CO177" i="14"/>
  <c r="CO189" i="14"/>
  <c r="CJ189" i="14"/>
  <c r="CJ165" i="14"/>
  <c r="CJ177" i="14"/>
  <c r="CJ201" i="14"/>
  <c r="CE201" i="14"/>
  <c r="CE165" i="14"/>
  <c r="CE189" i="14"/>
  <c r="CE177" i="14"/>
  <c r="BZ165" i="14"/>
  <c r="BZ177" i="14"/>
  <c r="BZ201" i="14"/>
  <c r="BZ189" i="14"/>
  <c r="BU201" i="14"/>
  <c r="BU177" i="14"/>
  <c r="BU165" i="14"/>
  <c r="BU189" i="14"/>
  <c r="CF34" i="14"/>
  <c r="CF179" i="14"/>
  <c r="CA34" i="14"/>
  <c r="CA179" i="14"/>
  <c r="CM119" i="35"/>
  <c r="CL119" i="35"/>
  <c r="CJ7" i="35"/>
  <c r="CI7" i="35"/>
  <c r="CH7" i="35"/>
  <c r="CN119" i="35"/>
  <c r="CN7" i="35"/>
  <c r="CO119" i="35"/>
  <c r="P3" i="35"/>
  <c r="DG19" i="14"/>
  <c r="DG17" i="14"/>
  <c r="G29" i="40"/>
  <c r="Q28" i="40"/>
  <c r="AA29" i="40"/>
  <c r="H29" i="40"/>
  <c r="AI28" i="40"/>
  <c r="I28" i="40"/>
  <c r="S28" i="40"/>
  <c r="V29" i="40"/>
  <c r="AA28" i="40"/>
  <c r="CP63" i="12"/>
  <c r="CP51" i="12"/>
  <c r="CP61" i="12" s="1"/>
  <c r="CU12" i="2"/>
  <c r="DC19" i="2"/>
  <c r="DX118" i="2"/>
  <c r="EC120" i="2"/>
  <c r="DM39" i="2"/>
  <c r="DO39" i="2" s="1"/>
  <c r="DP39" i="2" s="1"/>
  <c r="DQ39" i="2" s="1"/>
  <c r="DR39" i="2" s="1"/>
  <c r="DT39" i="2" s="1"/>
  <c r="DU39" i="2" s="1"/>
  <c r="DV39" i="2" s="1"/>
  <c r="DW39" i="2" s="1"/>
  <c r="DY39" i="2" s="1"/>
  <c r="DZ39" i="2" s="1"/>
  <c r="EA39" i="2" s="1"/>
  <c r="EB39" i="2" s="1"/>
  <c r="CE8" i="2"/>
  <c r="CP33" i="2"/>
  <c r="CP132" i="2"/>
  <c r="CP55" i="12"/>
  <c r="BU121" i="2"/>
  <c r="CE121" i="2"/>
  <c r="DC16" i="2"/>
  <c r="CP136" i="2"/>
  <c r="CO10" i="2"/>
  <c r="DH55" i="12"/>
  <c r="CZ96" i="2"/>
  <c r="CP35" i="2"/>
  <c r="CP52" i="12"/>
  <c r="CP144" i="2"/>
  <c r="CS12" i="2"/>
  <c r="CY8" i="2"/>
  <c r="BU11" i="2"/>
  <c r="BU57" i="12" s="1"/>
  <c r="CJ20" i="2"/>
  <c r="BZ23" i="2"/>
  <c r="BZ24" i="2" s="1"/>
  <c r="BZ121" i="2"/>
  <c r="CT121" i="2"/>
  <c r="CH117" i="2"/>
  <c r="CP37" i="2"/>
  <c r="CP137" i="2"/>
  <c r="CO20" i="2"/>
  <c r="DB59" i="12"/>
  <c r="CP138" i="2"/>
  <c r="CT11" i="2"/>
  <c r="CT33" i="2" s="1"/>
  <c r="BX9" i="13"/>
  <c r="BZ9" i="13" s="1"/>
  <c r="DH61" i="2"/>
  <c r="DI61" i="2" s="1"/>
  <c r="DS118" i="2"/>
  <c r="DH144" i="2"/>
  <c r="CW119" i="2"/>
  <c r="CP39" i="2"/>
  <c r="CP130" i="2"/>
  <c r="CP142" i="2"/>
  <c r="CP41" i="2"/>
  <c r="CX27" i="2"/>
  <c r="CX45" i="2" s="1"/>
  <c r="CT95" i="2"/>
  <c r="BU102" i="2"/>
  <c r="BU103" i="2" s="1"/>
  <c r="CE102" i="2"/>
  <c r="EC118" i="2"/>
  <c r="CG119" i="2"/>
  <c r="CP139" i="2"/>
  <c r="CP133" i="2"/>
  <c r="CW12" i="2"/>
  <c r="BZ88" i="2"/>
  <c r="CO95" i="2"/>
  <c r="CY95" i="2"/>
  <c r="BW22" i="25"/>
  <c r="AS21" i="25"/>
  <c r="DX49" i="2"/>
  <c r="L29" i="40"/>
  <c r="T28" i="40"/>
  <c r="X28" i="40"/>
  <c r="Z29" i="40"/>
  <c r="K29" i="40"/>
  <c r="X29" i="40"/>
  <c r="F29" i="40"/>
  <c r="J29" i="40"/>
  <c r="N29" i="40"/>
  <c r="W28" i="40"/>
  <c r="O28" i="40"/>
  <c r="T29" i="40"/>
  <c r="AD28" i="40"/>
  <c r="AH28" i="40"/>
  <c r="DA66" i="14"/>
  <c r="G4" i="40"/>
  <c r="H4" i="40" s="1"/>
  <c r="I4" i="40" s="1"/>
  <c r="J4" i="40" s="1"/>
  <c r="K4" i="40" s="1"/>
  <c r="L4" i="40" s="1"/>
  <c r="M4" i="40" s="1"/>
  <c r="N4" i="40" s="1"/>
  <c r="O4" i="40" s="1"/>
  <c r="P4" i="40" s="1"/>
  <c r="Q4" i="40" s="1"/>
  <c r="R4" i="40" s="1"/>
  <c r="S4" i="40" s="1"/>
  <c r="T4" i="40" s="1"/>
  <c r="U4" i="40" s="1"/>
  <c r="V4" i="40" s="1"/>
  <c r="W4" i="40" s="1"/>
  <c r="X4" i="40" s="1"/>
  <c r="Y4" i="40" s="1"/>
  <c r="Z4" i="40" s="1"/>
  <c r="AA4" i="40" s="1"/>
  <c r="BS31" i="37"/>
  <c r="CD59" i="14"/>
  <c r="CD69" i="14"/>
  <c r="M149" i="35" s="1"/>
  <c r="CJ8" i="2"/>
  <c r="CQ43" i="2"/>
  <c r="CH51" i="12"/>
  <c r="CH53" i="12" s="1"/>
  <c r="DH19" i="2"/>
  <c r="DL49" i="14"/>
  <c r="AN156" i="35" s="1"/>
  <c r="DH60" i="12"/>
  <c r="DH137" i="2"/>
  <c r="DH139" i="2"/>
  <c r="DD49" i="2"/>
  <c r="CN9" i="13"/>
  <c r="CO9" i="13" s="1"/>
  <c r="CH139" i="2"/>
  <c r="CH144" i="2"/>
  <c r="BV11" i="13"/>
  <c r="DA12" i="2"/>
  <c r="CT20" i="2"/>
  <c r="BX16" i="2"/>
  <c r="CH16" i="2"/>
  <c r="CR16" i="2"/>
  <c r="CD19" i="2"/>
  <c r="CN19" i="2"/>
  <c r="CX19" i="2"/>
  <c r="CO36" i="14"/>
  <c r="CZ38" i="14"/>
  <c r="CA69" i="14"/>
  <c r="J149" i="35" s="1"/>
  <c r="CA59" i="14"/>
  <c r="CK45" i="14"/>
  <c r="CK69" i="14"/>
  <c r="R149" i="35" s="1"/>
  <c r="CU69" i="14"/>
  <c r="Z149" i="35" s="1"/>
  <c r="CB43" i="2"/>
  <c r="DJ21" i="2"/>
  <c r="DK45" i="14"/>
  <c r="DP45" i="14" s="1"/>
  <c r="CR69" i="14"/>
  <c r="X149" i="35" s="1"/>
  <c r="CK59" i="14"/>
  <c r="CP69" i="14"/>
  <c r="V149" i="35" s="1"/>
  <c r="DC61" i="2"/>
  <c r="DD61" i="2" s="1"/>
  <c r="DH16" i="2"/>
  <c r="BW117" i="2"/>
  <c r="CH131" i="2"/>
  <c r="CH55" i="12"/>
  <c r="CG12" i="2"/>
  <c r="CT8" i="2"/>
  <c r="BY16" i="2"/>
  <c r="CI16" i="2"/>
  <c r="CS16" i="2"/>
  <c r="BV19" i="2"/>
  <c r="CF19" i="2"/>
  <c r="CP19" i="2"/>
  <c r="CZ19" i="2"/>
  <c r="CJ25" i="2"/>
  <c r="CJ26" i="2" s="1"/>
  <c r="CC11" i="13"/>
  <c r="CJ102" i="2"/>
  <c r="CO9" i="14"/>
  <c r="BU16" i="14"/>
  <c r="BW49" i="14"/>
  <c r="CB69" i="14"/>
  <c r="K149" i="35" s="1"/>
  <c r="CB59" i="14"/>
  <c r="CL45" i="14"/>
  <c r="CL69" i="14"/>
  <c r="S149" i="35" s="1"/>
  <c r="CV69" i="14"/>
  <c r="AA149" i="35" s="1"/>
  <c r="BU18" i="2"/>
  <c r="CC43" i="2"/>
  <c r="CM43" i="2"/>
  <c r="DH17" i="14"/>
  <c r="U11" i="37"/>
  <c r="CL59" i="14"/>
  <c r="CN45" i="14"/>
  <c r="CN69" i="14"/>
  <c r="U149" i="35" s="1"/>
  <c r="CZ69" i="14"/>
  <c r="AD149" i="35" s="1"/>
  <c r="BW43" i="2"/>
  <c r="CD11" i="13"/>
  <c r="CH43" i="2"/>
  <c r="DC69" i="14"/>
  <c r="AG149" i="35" s="1"/>
  <c r="CH136" i="2"/>
  <c r="CM44" i="2"/>
  <c r="BZ15" i="2"/>
  <c r="CV27" i="2"/>
  <c r="CV28" i="2" s="1"/>
  <c r="BV24" i="2"/>
  <c r="DC19" i="14"/>
  <c r="CC69" i="14"/>
  <c r="L149" i="35" s="1"/>
  <c r="CC59" i="14"/>
  <c r="DA19" i="2"/>
  <c r="DB19" i="2"/>
  <c r="CN43" i="2"/>
  <c r="EA21" i="25"/>
  <c r="DJ59" i="12"/>
  <c r="AB11" i="37"/>
  <c r="O29" i="40"/>
  <c r="AZ22" i="25"/>
  <c r="J28" i="40"/>
  <c r="M28" i="40"/>
  <c r="BW6" i="37"/>
  <c r="Y28" i="40"/>
  <c r="Y29" i="40"/>
  <c r="DF69" i="14"/>
  <c r="AI149" i="35" s="1"/>
  <c r="DK70" i="14"/>
  <c r="AM150" i="35" s="1"/>
  <c r="N34" i="42"/>
  <c r="T34" i="42"/>
  <c r="P28" i="40"/>
  <c r="DA16" i="2"/>
  <c r="DF45" i="14"/>
  <c r="CG43" i="2"/>
  <c r="CP89" i="2"/>
  <c r="CG41" i="2"/>
  <c r="CC12" i="2"/>
  <c r="CQ69" i="14"/>
  <c r="W149" i="35" s="1"/>
  <c r="CR43" i="2"/>
  <c r="DI50" i="2"/>
  <c r="DJ50" i="2" s="1"/>
  <c r="CH89" i="2"/>
  <c r="CX117" i="2"/>
  <c r="CN119" i="2"/>
  <c r="CH52" i="12"/>
  <c r="BV117" i="2"/>
  <c r="CG39" i="2"/>
  <c r="BV16" i="2"/>
  <c r="CF16" i="2"/>
  <c r="CP16" i="2"/>
  <c r="CZ16" i="2"/>
  <c r="CB19" i="2"/>
  <c r="CL19" i="2"/>
  <c r="CV19" i="2"/>
  <c r="CZ42" i="14"/>
  <c r="CX42" i="14"/>
  <c r="CH59" i="14"/>
  <c r="CH69" i="14"/>
  <c r="P149" i="35" s="1"/>
  <c r="DG64" i="14"/>
  <c r="DF16" i="2"/>
  <c r="BY43" i="2"/>
  <c r="CI43" i="2"/>
  <c r="CS43" i="2"/>
  <c r="DH69" i="14"/>
  <c r="AK149" i="35" s="1"/>
  <c r="DJ69" i="14"/>
  <c r="AL149" i="35" s="1"/>
  <c r="CX69" i="14"/>
  <c r="AC149" i="35" s="1"/>
  <c r="CF59" i="14"/>
  <c r="CF69" i="14"/>
  <c r="N149" i="35" s="1"/>
  <c r="CE15" i="2"/>
  <c r="CG59" i="14"/>
  <c r="CG69" i="14"/>
  <c r="O149" i="35" s="1"/>
  <c r="DI15" i="2"/>
  <c r="DH33" i="2"/>
  <c r="DH132" i="2"/>
  <c r="DM132" i="2" s="1"/>
  <c r="DR132" i="2" s="1"/>
  <c r="DW132" i="2" s="1"/>
  <c r="EB132" i="2" s="1"/>
  <c r="DD25" i="2"/>
  <c r="DD26" i="2" s="1"/>
  <c r="BU117" i="2"/>
  <c r="BV118" i="2"/>
  <c r="BZ118" i="2" s="1"/>
  <c r="CH35" i="2"/>
  <c r="BW16" i="2"/>
  <c r="CG16" i="2"/>
  <c r="CQ16" i="2"/>
  <c r="CC19" i="2"/>
  <c r="CM19" i="2"/>
  <c r="CW19" i="2"/>
  <c r="CJ51" i="2"/>
  <c r="BZ61" i="2"/>
  <c r="CJ61" i="2"/>
  <c r="CT61" i="2"/>
  <c r="CE9" i="14"/>
  <c r="CI45" i="14"/>
  <c r="CI69" i="14"/>
  <c r="Q149" i="35" s="1"/>
  <c r="CI59" i="14"/>
  <c r="CS69" i="14"/>
  <c r="Y149" i="35" s="1"/>
  <c r="DE19" i="2"/>
  <c r="DF19" i="2"/>
  <c r="CA43" i="2"/>
  <c r="DS120" i="2"/>
  <c r="AS20" i="25"/>
  <c r="DL54" i="12"/>
  <c r="DE69" i="14"/>
  <c r="AH149" i="35" s="1"/>
  <c r="CM69" i="14"/>
  <c r="T149" i="35" s="1"/>
  <c r="DZ49" i="2"/>
  <c r="DE57" i="13"/>
  <c r="DJ59" i="13" s="1"/>
  <c r="CB36" i="13"/>
  <c r="CB37" i="13" s="1"/>
  <c r="DV37" i="13"/>
  <c r="DH46" i="13"/>
  <c r="BW42" i="13"/>
  <c r="BW43" i="13" s="1"/>
  <c r="BX42" i="13" s="1"/>
  <c r="BX43" i="13" s="1"/>
  <c r="CG8" i="13"/>
  <c r="DI19" i="13"/>
  <c r="DI57" i="13"/>
  <c r="DI60" i="13" s="1"/>
  <c r="CS34" i="13"/>
  <c r="CT34" i="13" s="1"/>
  <c r="CW28" i="13"/>
  <c r="CW55" i="13" s="1"/>
  <c r="CV55" i="13"/>
  <c r="CR55" i="13"/>
  <c r="CS28" i="13"/>
  <c r="BW55" i="13"/>
  <c r="BX28" i="13"/>
  <c r="BS28" i="13"/>
  <c r="BS55" i="13" s="1"/>
  <c r="BR55" i="13"/>
  <c r="BX30" i="13"/>
  <c r="BY30" i="13" s="1"/>
  <c r="CH21" i="13"/>
  <c r="CJ21" i="13" s="1"/>
  <c r="BY18" i="13"/>
  <c r="BZ18" i="13" s="1"/>
  <c r="CR13" i="13"/>
  <c r="CR57" i="2" s="1"/>
  <c r="CR56" i="2" s="1"/>
  <c r="CQ57" i="2"/>
  <c r="CQ56" i="2" s="1"/>
  <c r="CE13" i="13"/>
  <c r="CC57" i="2"/>
  <c r="CC56" i="2" s="1"/>
  <c r="CE56" i="2" s="1"/>
  <c r="DM19" i="2"/>
  <c r="DM16" i="2"/>
  <c r="DS121" i="2"/>
  <c r="DG44" i="2"/>
  <c r="DG54" i="2"/>
  <c r="DG59" i="12"/>
  <c r="CU89" i="2"/>
  <c r="CG103" i="2"/>
  <c r="CF27" i="2"/>
  <c r="CF45" i="2" s="1"/>
  <c r="CD21" i="2"/>
  <c r="CB21" i="2"/>
  <c r="BX27" i="2"/>
  <c r="BX45" i="2" s="1"/>
  <c r="DD10" i="2"/>
  <c r="DD8" i="2"/>
  <c r="DK119" i="2"/>
  <c r="DK96" i="2"/>
  <c r="DK19" i="2"/>
  <c r="DK16" i="2"/>
  <c r="DK66" i="13"/>
  <c r="DK143" i="2"/>
  <c r="DK33" i="2"/>
  <c r="DK130" i="2"/>
  <c r="DP130" i="2" s="1"/>
  <c r="DU130" i="2" s="1"/>
  <c r="DZ130" i="2" s="1"/>
  <c r="DK142" i="2"/>
  <c r="DK131" i="2"/>
  <c r="DP131" i="2" s="1"/>
  <c r="DU131" i="2" s="1"/>
  <c r="DZ131" i="2" s="1"/>
  <c r="DK35" i="2"/>
  <c r="DP35" i="2" s="1"/>
  <c r="DU35" i="2" s="1"/>
  <c r="DZ35" i="2" s="1"/>
  <c r="DK37" i="2"/>
  <c r="DP37" i="2" s="1"/>
  <c r="DU37" i="2" s="1"/>
  <c r="DZ37" i="2" s="1"/>
  <c r="DK132" i="2"/>
  <c r="DP132" i="2" s="1"/>
  <c r="DU132" i="2" s="1"/>
  <c r="DZ132" i="2" s="1"/>
  <c r="DK144" i="2"/>
  <c r="DK39" i="2"/>
  <c r="DK28" i="2"/>
  <c r="DK45" i="2"/>
  <c r="DK76" i="2" s="1"/>
  <c r="DK105" i="2" s="1"/>
  <c r="DJ19" i="2"/>
  <c r="DJ16" i="2"/>
  <c r="BV43" i="2"/>
  <c r="BV44" i="2"/>
  <c r="DL19" i="2"/>
  <c r="DG19" i="2"/>
  <c r="DL16" i="2"/>
  <c r="DG16" i="2"/>
  <c r="CC118" i="2"/>
  <c r="CC103" i="2"/>
  <c r="CB103" i="2"/>
  <c r="CB118" i="2"/>
  <c r="BS118" i="2"/>
  <c r="BS103" i="2"/>
  <c r="CV119" i="2"/>
  <c r="CV9" i="13"/>
  <c r="CV8" i="13" s="1"/>
  <c r="CI9" i="13"/>
  <c r="CI96" i="2"/>
  <c r="CI119" i="2"/>
  <c r="BQ96" i="2"/>
  <c r="BQ119" i="2"/>
  <c r="BQ9" i="13"/>
  <c r="BQ8" i="13" s="1"/>
  <c r="CG11" i="13"/>
  <c r="CJ11" i="13" s="1"/>
  <c r="CG89" i="2"/>
  <c r="CG117" i="2"/>
  <c r="BY11" i="13"/>
  <c r="BY117" i="2"/>
  <c r="CT25" i="2"/>
  <c r="CT26" i="2" s="1"/>
  <c r="CP26" i="2"/>
  <c r="BZ25" i="2"/>
  <c r="BZ26" i="2" s="1"/>
  <c r="BV26" i="2"/>
  <c r="CP24" i="2"/>
  <c r="CT23" i="2"/>
  <c r="CT24" i="2" s="1"/>
  <c r="CV137" i="2"/>
  <c r="CV143" i="2"/>
  <c r="CV63" i="12"/>
  <c r="CV52" i="12"/>
  <c r="CU51" i="12"/>
  <c r="CU54" i="12" s="1"/>
  <c r="CU143" i="2"/>
  <c r="CU63" i="12"/>
  <c r="CU52" i="12"/>
  <c r="CU145" i="2"/>
  <c r="CN137" i="2"/>
  <c r="CN52" i="12"/>
  <c r="CN143" i="2"/>
  <c r="CN145" i="2"/>
  <c r="CN142" i="2"/>
  <c r="CN55" i="12"/>
  <c r="CN136" i="2"/>
  <c r="CN131" i="2"/>
  <c r="CN138" i="2"/>
  <c r="CN133" i="2"/>
  <c r="CN51" i="12"/>
  <c r="CN144" i="2"/>
  <c r="CN130" i="2"/>
  <c r="CN132" i="2"/>
  <c r="CN139" i="2"/>
  <c r="CN63" i="12"/>
  <c r="CK51" i="12"/>
  <c r="CF139" i="2"/>
  <c r="CF130" i="2"/>
  <c r="CF133" i="2"/>
  <c r="CF138" i="2"/>
  <c r="CF145" i="2"/>
  <c r="CF55" i="12"/>
  <c r="CF131" i="2"/>
  <c r="CF142" i="2"/>
  <c r="CF136" i="2"/>
  <c r="CF61" i="12"/>
  <c r="CF63" i="12"/>
  <c r="CF144" i="2"/>
  <c r="CF132" i="2"/>
  <c r="CF51" i="12"/>
  <c r="CF53" i="12" s="1"/>
  <c r="CF52" i="12"/>
  <c r="CF143" i="2"/>
  <c r="CC137" i="2"/>
  <c r="CC143" i="2"/>
  <c r="CC61" i="12"/>
  <c r="CC63" i="12"/>
  <c r="CC144" i="2"/>
  <c r="CC52" i="12"/>
  <c r="CC139" i="2"/>
  <c r="CC131" i="2"/>
  <c r="CC132" i="2"/>
  <c r="CC130" i="2"/>
  <c r="CC55" i="12"/>
  <c r="CC133" i="2"/>
  <c r="CC142" i="2"/>
  <c r="CC136" i="2"/>
  <c r="CC145" i="2"/>
  <c r="BX139" i="2"/>
  <c r="BX132" i="2"/>
  <c r="BX130" i="2"/>
  <c r="BX133" i="2"/>
  <c r="BX61" i="12"/>
  <c r="DN118" i="2"/>
  <c r="DK43" i="2"/>
  <c r="DE43" i="2"/>
  <c r="DJ43" i="2"/>
  <c r="DF43" i="2"/>
  <c r="CJ118" i="2"/>
  <c r="CE61" i="2"/>
  <c r="CU96" i="2"/>
  <c r="BS89" i="2"/>
  <c r="DG120" i="2"/>
  <c r="DH52" i="2"/>
  <c r="DH54" i="2" s="1"/>
  <c r="CK43" i="2"/>
  <c r="CO42" i="2"/>
  <c r="CO58" i="12" s="1"/>
  <c r="CF43" i="2"/>
  <c r="CJ42" i="2"/>
  <c r="CJ58" i="12" s="1"/>
  <c r="CD43" i="2"/>
  <c r="CI44" i="2"/>
  <c r="BQ43" i="2"/>
  <c r="BU42" i="2"/>
  <c r="DB120" i="2"/>
  <c r="DB54" i="2"/>
  <c r="DG9" i="13"/>
  <c r="DG8" i="13" s="1"/>
  <c r="DG119" i="2"/>
  <c r="DG35" i="2"/>
  <c r="DG33" i="2"/>
  <c r="DF119" i="2"/>
  <c r="DF96" i="2"/>
  <c r="DF117" i="2"/>
  <c r="DF89" i="2"/>
  <c r="DF21" i="2"/>
  <c r="DF60" i="12"/>
  <c r="DF59" i="12"/>
  <c r="DF41" i="2"/>
  <c r="DK12" i="2"/>
  <c r="DF145" i="2"/>
  <c r="DF142" i="2"/>
  <c r="DF130" i="2"/>
  <c r="DF139" i="2"/>
  <c r="DF131" i="2"/>
  <c r="DF63" i="12"/>
  <c r="DF52" i="12"/>
  <c r="DF143" i="2"/>
  <c r="DF51" i="12"/>
  <c r="DF62" i="12" s="1"/>
  <c r="DF33" i="2"/>
  <c r="DF136" i="2"/>
  <c r="DF55" i="12"/>
  <c r="DF138" i="2"/>
  <c r="DF39" i="2"/>
  <c r="DF132" i="2"/>
  <c r="DF27" i="2"/>
  <c r="DF137" i="2"/>
  <c r="DE96" i="2"/>
  <c r="DE9" i="13"/>
  <c r="DE8" i="13" s="1"/>
  <c r="DE60" i="12"/>
  <c r="DE59" i="12"/>
  <c r="DE51" i="12"/>
  <c r="DE62" i="12" s="1"/>
  <c r="DE52" i="12"/>
  <c r="DJ12" i="2"/>
  <c r="DE145" i="2"/>
  <c r="DC33" i="2"/>
  <c r="DC132" i="2"/>
  <c r="DC41" i="2"/>
  <c r="DC139" i="2"/>
  <c r="DC55" i="12"/>
  <c r="DC52" i="12"/>
  <c r="DC60" i="12"/>
  <c r="DC59" i="12"/>
  <c r="DC117" i="2"/>
  <c r="DC11" i="13"/>
  <c r="DC118" i="2"/>
  <c r="DC103" i="2"/>
  <c r="CU118" i="2"/>
  <c r="CU103" i="2"/>
  <c r="CM119" i="2"/>
  <c r="CM96" i="2"/>
  <c r="CR89" i="2"/>
  <c r="CR117" i="2"/>
  <c r="CR11" i="13"/>
  <c r="CY25" i="2"/>
  <c r="CY26" i="2" s="1"/>
  <c r="CU26" i="2"/>
  <c r="CA24" i="2"/>
  <c r="CE23" i="2"/>
  <c r="CE24" i="2" s="1"/>
  <c r="CU60" i="12"/>
  <c r="CQ59" i="12"/>
  <c r="CQ60" i="12"/>
  <c r="CP60" i="12"/>
  <c r="CP27" i="2"/>
  <c r="CP28" i="2" s="1"/>
  <c r="CN21" i="2"/>
  <c r="CN27" i="2"/>
  <c r="CN45" i="2" s="1"/>
  <c r="CM60" i="12"/>
  <c r="CM59" i="12"/>
  <c r="CL21" i="2"/>
  <c r="CL59" i="12"/>
  <c r="CL60" i="12"/>
  <c r="CH60" i="12"/>
  <c r="CH27" i="2"/>
  <c r="CA21" i="2"/>
  <c r="CA60" i="12"/>
  <c r="BR21" i="2"/>
  <c r="BR60" i="12"/>
  <c r="CU131" i="2"/>
  <c r="CU132" i="2"/>
  <c r="CU137" i="2"/>
  <c r="CU142" i="2"/>
  <c r="CU139" i="2"/>
  <c r="CU136" i="2"/>
  <c r="CU144" i="2"/>
  <c r="CU133" i="2"/>
  <c r="CU138" i="2"/>
  <c r="CU27" i="2"/>
  <c r="CU45" i="2" s="1"/>
  <c r="CM144" i="2"/>
  <c r="CM27" i="2"/>
  <c r="CM28" i="2" s="1"/>
  <c r="BX143" i="2"/>
  <c r="BX55" i="12"/>
  <c r="BX145" i="2"/>
  <c r="BX142" i="2"/>
  <c r="BX144" i="2"/>
  <c r="BX131" i="2"/>
  <c r="BX136" i="2"/>
  <c r="BX52" i="12"/>
  <c r="BX63" i="12"/>
  <c r="BX39" i="2"/>
  <c r="BX138" i="2"/>
  <c r="CR44" i="2"/>
  <c r="CH44" i="2"/>
  <c r="CN44" i="2"/>
  <c r="CF44" i="2"/>
  <c r="CC44" i="2"/>
  <c r="DX120" i="2"/>
  <c r="CQ44" i="2"/>
  <c r="CG44" i="2"/>
  <c r="CB44" i="2"/>
  <c r="BY44" i="2"/>
  <c r="DA21" i="2"/>
  <c r="DA54" i="2"/>
  <c r="BZ8" i="2"/>
  <c r="BZ10" i="2"/>
  <c r="BU33" i="2"/>
  <c r="BU37" i="2"/>
  <c r="CJ18" i="2"/>
  <c r="CO18" i="2"/>
  <c r="CS103" i="2"/>
  <c r="DD95" i="2"/>
  <c r="CE18" i="2"/>
  <c r="CO8" i="2"/>
  <c r="BU54" i="2"/>
  <c r="CV21" i="2"/>
  <c r="CM21" i="2"/>
  <c r="BX21" i="2"/>
  <c r="BQ21" i="2"/>
  <c r="DI77" i="2"/>
  <c r="CD44" i="2"/>
  <c r="DL44" i="2"/>
  <c r="DG43" i="2"/>
  <c r="CT42" i="2"/>
  <c r="CT58" i="12" s="1"/>
  <c r="CP43" i="2"/>
  <c r="CP44" i="2"/>
  <c r="CP59" i="12"/>
  <c r="CL43" i="2"/>
  <c r="CL44" i="2"/>
  <c r="BX44" i="2"/>
  <c r="BX43" i="2"/>
  <c r="BT44" i="2"/>
  <c r="BT43" i="2"/>
  <c r="BS44" i="2"/>
  <c r="BS43" i="2"/>
  <c r="BR44" i="2"/>
  <c r="BR43" i="2"/>
  <c r="CX43" i="2"/>
  <c r="CX44" i="2"/>
  <c r="CW44" i="2"/>
  <c r="CW43" i="2"/>
  <c r="CV44" i="2"/>
  <c r="CV43" i="2"/>
  <c r="CZ44" i="2"/>
  <c r="CZ43" i="2"/>
  <c r="DA44" i="2"/>
  <c r="DA43" i="2"/>
  <c r="DB44" i="2"/>
  <c r="DB43" i="2"/>
  <c r="DH44" i="2"/>
  <c r="DC44" i="2"/>
  <c r="DC43" i="2"/>
  <c r="DF66" i="13"/>
  <c r="DF58" i="13" s="1"/>
  <c r="DF133" i="2"/>
  <c r="DF37" i="2"/>
  <c r="DF144" i="2"/>
  <c r="DF35" i="2"/>
  <c r="DE133" i="2"/>
  <c r="DE137" i="2"/>
  <c r="DE138" i="2"/>
  <c r="DE35" i="2"/>
  <c r="DB12" i="2"/>
  <c r="DB144" i="2"/>
  <c r="DB143" i="2"/>
  <c r="DB132" i="2"/>
  <c r="DB60" i="12"/>
  <c r="DB21" i="2"/>
  <c r="DF53" i="12"/>
  <c r="CP118" i="2"/>
  <c r="CT118" i="2" s="1"/>
  <c r="CT102" i="2"/>
  <c r="CT103" i="2" s="1"/>
  <c r="CP103" i="2"/>
  <c r="CS9" i="13"/>
  <c r="CS96" i="2"/>
  <c r="CX60" i="12"/>
  <c r="CX59" i="12"/>
  <c r="CW60" i="12"/>
  <c r="CW59" i="12"/>
  <c r="CV60" i="12"/>
  <c r="CV59" i="12"/>
  <c r="CN59" i="12"/>
  <c r="CN60" i="12"/>
  <c r="BT60" i="12"/>
  <c r="BT21" i="2"/>
  <c r="CZ27" i="2"/>
  <c r="CZ89" i="2"/>
  <c r="CZ39" i="2"/>
  <c r="CW55" i="12"/>
  <c r="CW96" i="2"/>
  <c r="CW27" i="2"/>
  <c r="CW130" i="2"/>
  <c r="CW137" i="2"/>
  <c r="CW139" i="2"/>
  <c r="CW143" i="2"/>
  <c r="CW136" i="2"/>
  <c r="CW63" i="12"/>
  <c r="CW52" i="12"/>
  <c r="CW145" i="2"/>
  <c r="CW142" i="2"/>
  <c r="CW144" i="2"/>
  <c r="CW131" i="2"/>
  <c r="CW51" i="12"/>
  <c r="CW138" i="2"/>
  <c r="CW133" i="2"/>
  <c r="CS145" i="2"/>
  <c r="CS41" i="2"/>
  <c r="CS39" i="2"/>
  <c r="CS89" i="2"/>
  <c r="CR41" i="2"/>
  <c r="CR133" i="2"/>
  <c r="CR37" i="2"/>
  <c r="CR131" i="2"/>
  <c r="CR33" i="2"/>
  <c r="CR39" i="2"/>
  <c r="CR35" i="2"/>
  <c r="CR103" i="2"/>
  <c r="CR130" i="2"/>
  <c r="CR137" i="2"/>
  <c r="CR132" i="2"/>
  <c r="CR139" i="2"/>
  <c r="CR136" i="2"/>
  <c r="CR145" i="2"/>
  <c r="CR142" i="2"/>
  <c r="CR138" i="2"/>
  <c r="CQ103" i="2"/>
  <c r="CQ21" i="2"/>
  <c r="CP66" i="13"/>
  <c r="CP21" i="2"/>
  <c r="CP96" i="2"/>
  <c r="CL133" i="2"/>
  <c r="CL96" i="2"/>
  <c r="CI21" i="2"/>
  <c r="CI103" i="2"/>
  <c r="CH21" i="2"/>
  <c r="CH103" i="2"/>
  <c r="CG144" i="2"/>
  <c r="CG145" i="2"/>
  <c r="CG55" i="12"/>
  <c r="CG52" i="12"/>
  <c r="CG131" i="2"/>
  <c r="CG137" i="2"/>
  <c r="CG142" i="2"/>
  <c r="CG138" i="2"/>
  <c r="CG61" i="12"/>
  <c r="CG133" i="2"/>
  <c r="CG27" i="2"/>
  <c r="CG51" i="12"/>
  <c r="CG53" i="12" s="1"/>
  <c r="CG139" i="2"/>
  <c r="CG63" i="12"/>
  <c r="CG130" i="2"/>
  <c r="CG96" i="2"/>
  <c r="CG136" i="2"/>
  <c r="CF39" i="2"/>
  <c r="CF41" i="2"/>
  <c r="CF103" i="2"/>
  <c r="CF89" i="2"/>
  <c r="CF137" i="2"/>
  <c r="CB66" i="13"/>
  <c r="CB144" i="2"/>
  <c r="CB63" i="12"/>
  <c r="CB52" i="12"/>
  <c r="CB61" i="12"/>
  <c r="CB143" i="2"/>
  <c r="CB55" i="12"/>
  <c r="CB130" i="2"/>
  <c r="CB137" i="2"/>
  <c r="CB131" i="2"/>
  <c r="CB33" i="2"/>
  <c r="CB35" i="2"/>
  <c r="CB133" i="2"/>
  <c r="CB138" i="2"/>
  <c r="CB136" i="2"/>
  <c r="CB27" i="2"/>
  <c r="CB142" i="2"/>
  <c r="CB145" i="2"/>
  <c r="CB139" i="2"/>
  <c r="CB132" i="2"/>
  <c r="CB37" i="2"/>
  <c r="CA27" i="2"/>
  <c r="CA103" i="2"/>
  <c r="BY139" i="2"/>
  <c r="BY136" i="2"/>
  <c r="BY103" i="2"/>
  <c r="BY132" i="2"/>
  <c r="BY27" i="2"/>
  <c r="BY142" i="2"/>
  <c r="BY96" i="2"/>
  <c r="BY137" i="2"/>
  <c r="BY61" i="12"/>
  <c r="BY130" i="2"/>
  <c r="BY133" i="2"/>
  <c r="BY138" i="2"/>
  <c r="BY131" i="2"/>
  <c r="BY143" i="2"/>
  <c r="BY144" i="2"/>
  <c r="BY63" i="12"/>
  <c r="BY145" i="2"/>
  <c r="BY55" i="12"/>
  <c r="BY52" i="12"/>
  <c r="BY21" i="2"/>
  <c r="BY39" i="2"/>
  <c r="BY41" i="2"/>
  <c r="BX37" i="2"/>
  <c r="BX96" i="2"/>
  <c r="BX103" i="2"/>
  <c r="BW103" i="2"/>
  <c r="BW130" i="2"/>
  <c r="BV89" i="2"/>
  <c r="BV96" i="2"/>
  <c r="BV39" i="2"/>
  <c r="BY12" i="2"/>
  <c r="BT137" i="2"/>
  <c r="BT132" i="2"/>
  <c r="BT103" i="2"/>
  <c r="BT139" i="2"/>
  <c r="BT33" i="2"/>
  <c r="BT142" i="2"/>
  <c r="BT89" i="2"/>
  <c r="BQ132" i="2"/>
  <c r="BQ138" i="2"/>
  <c r="BQ131" i="2"/>
  <c r="BQ136" i="2"/>
  <c r="BQ137" i="2"/>
  <c r="BQ130" i="2"/>
  <c r="BQ142" i="2"/>
  <c r="BQ143" i="2"/>
  <c r="BQ144" i="2"/>
  <c r="BQ145" i="2"/>
  <c r="BQ41" i="2"/>
  <c r="BQ27" i="2"/>
  <c r="BQ39" i="2"/>
  <c r="BQ103" i="2"/>
  <c r="BQ133" i="2"/>
  <c r="BQ37" i="2"/>
  <c r="CT133" i="2"/>
  <c r="CT35" i="2"/>
  <c r="CT39" i="2"/>
  <c r="CU62" i="12"/>
  <c r="BY27" i="37"/>
  <c r="BY37" i="37"/>
  <c r="U15" i="37"/>
  <c r="U17" i="37"/>
  <c r="K6" i="37"/>
  <c r="U13" i="37"/>
  <c r="AS6" i="37"/>
  <c r="AH17" i="37"/>
  <c r="AH15" i="37"/>
  <c r="AH27" i="37"/>
  <c r="AH13" i="37"/>
  <c r="AH32" i="37"/>
  <c r="DK44" i="2"/>
  <c r="CC89" i="2"/>
  <c r="CZ54" i="2"/>
  <c r="CY121" i="2"/>
  <c r="CC96" i="2"/>
  <c r="CD89" i="2"/>
  <c r="BR89" i="2"/>
  <c r="BU11" i="13"/>
  <c r="CO121" i="2"/>
  <c r="CT120" i="2"/>
  <c r="CW103" i="2"/>
  <c r="CN103" i="2"/>
  <c r="CD103" i="2"/>
  <c r="BU51" i="2"/>
  <c r="CE25" i="2"/>
  <c r="CE26" i="2" s="1"/>
  <c r="DD23" i="2"/>
  <c r="DD24" i="2" s="1"/>
  <c r="CU21" i="2"/>
  <c r="CQ27" i="2"/>
  <c r="CG21" i="2"/>
  <c r="CF21" i="2"/>
  <c r="CD27" i="2"/>
  <c r="CD28" i="2" s="1"/>
  <c r="BV21" i="2"/>
  <c r="CY18" i="2"/>
  <c r="CY15" i="2"/>
  <c r="CI12" i="2"/>
  <c r="DD20" i="2"/>
  <c r="DI42" i="2"/>
  <c r="DI58" i="12" s="1"/>
  <c r="DF121" i="2"/>
  <c r="DI121" i="2" s="1"/>
  <c r="DI104" i="2"/>
  <c r="CS44" i="2"/>
  <c r="CS59" i="12"/>
  <c r="CK44" i="2"/>
  <c r="CK59" i="12"/>
  <c r="CE42" i="2"/>
  <c r="CE58" i="12" s="1"/>
  <c r="CA44" i="2"/>
  <c r="BZ42" i="2"/>
  <c r="BZ58" i="12" s="1"/>
  <c r="BW44" i="2"/>
  <c r="CU44" i="2"/>
  <c r="CY42" i="2"/>
  <c r="CY58" i="12" s="1"/>
  <c r="DJ44" i="2"/>
  <c r="DE44" i="2"/>
  <c r="DC56" i="2"/>
  <c r="DD56" i="2" s="1"/>
  <c r="DD58" i="2"/>
  <c r="DB121" i="2"/>
  <c r="DD121" i="2" s="1"/>
  <c r="DD104" i="2"/>
  <c r="DE26" i="2"/>
  <c r="DI25" i="2"/>
  <c r="DI26" i="2" s="1"/>
  <c r="DE12" i="2"/>
  <c r="DI11" i="2"/>
  <c r="DH12" i="2"/>
  <c r="DC12" i="2"/>
  <c r="DA117" i="2"/>
  <c r="DA89" i="2"/>
  <c r="DA119" i="2"/>
  <c r="DA96" i="2"/>
  <c r="DA103" i="2"/>
  <c r="DD102" i="2"/>
  <c r="DA118" i="2"/>
  <c r="BU15" i="2"/>
  <c r="BU20" i="2"/>
  <c r="CK118" i="2"/>
  <c r="CK103" i="2"/>
  <c r="BR118" i="2"/>
  <c r="BR103" i="2"/>
  <c r="CU9" i="13"/>
  <c r="CU119" i="2"/>
  <c r="CA96" i="2"/>
  <c r="CA119" i="2"/>
  <c r="CA9" i="13"/>
  <c r="CA8" i="13" s="1"/>
  <c r="CE95" i="2"/>
  <c r="BW96" i="2"/>
  <c r="BW119" i="2"/>
  <c r="BV119" i="2"/>
  <c r="BZ95" i="2"/>
  <c r="BR119" i="2"/>
  <c r="BR9" i="13"/>
  <c r="BR96" i="2"/>
  <c r="CZ11" i="13"/>
  <c r="DD88" i="2"/>
  <c r="CS11" i="13"/>
  <c r="CS117" i="2"/>
  <c r="CP11" i="13"/>
  <c r="CT88" i="2"/>
  <c r="BX89" i="2"/>
  <c r="BX11" i="13"/>
  <c r="BX117" i="2"/>
  <c r="CT69" i="2"/>
  <c r="CA54" i="2"/>
  <c r="CE54" i="2" s="1"/>
  <c r="CE51" i="2"/>
  <c r="BV54" i="2"/>
  <c r="BZ54" i="2" s="1"/>
  <c r="BZ51" i="2"/>
  <c r="BQ26" i="2"/>
  <c r="BU25" i="2"/>
  <c r="BU26" i="2" s="1"/>
  <c r="CK24" i="2"/>
  <c r="CO23" i="2"/>
  <c r="CO24" i="2" s="1"/>
  <c r="BQ24" i="2"/>
  <c r="BU23" i="2"/>
  <c r="BU24" i="2" s="1"/>
  <c r="CZ60" i="12"/>
  <c r="CZ59" i="12"/>
  <c r="CC60" i="12"/>
  <c r="CC21" i="2"/>
  <c r="DA66" i="13"/>
  <c r="DA52" i="12"/>
  <c r="DA137" i="2"/>
  <c r="DA136" i="2"/>
  <c r="DA51" i="12"/>
  <c r="DA130" i="2"/>
  <c r="DA35" i="2"/>
  <c r="DA143" i="2"/>
  <c r="DA131" i="2"/>
  <c r="DA133" i="2"/>
  <c r="DA142" i="2"/>
  <c r="DA145" i="2"/>
  <c r="DA138" i="2"/>
  <c r="DA39" i="2"/>
  <c r="DA33" i="2"/>
  <c r="DA132" i="2"/>
  <c r="DA27" i="2"/>
  <c r="DA37" i="2"/>
  <c r="DA63" i="12"/>
  <c r="DA139" i="2"/>
  <c r="DA55" i="12"/>
  <c r="DA144" i="2"/>
  <c r="CZ66" i="13"/>
  <c r="CZ21" i="2"/>
  <c r="DD11" i="2"/>
  <c r="CZ35" i="2"/>
  <c r="CZ144" i="2"/>
  <c r="CZ51" i="12"/>
  <c r="CZ55" i="12"/>
  <c r="CZ143" i="2"/>
  <c r="CZ130" i="2"/>
  <c r="CZ137" i="2"/>
  <c r="CZ52" i="12"/>
  <c r="CZ132" i="2"/>
  <c r="CZ145" i="2"/>
  <c r="CZ142" i="2"/>
  <c r="CZ139" i="2"/>
  <c r="CZ63" i="12"/>
  <c r="CZ136" i="2"/>
  <c r="CZ138" i="2"/>
  <c r="CZ133" i="2"/>
  <c r="CZ37" i="2"/>
  <c r="CZ131" i="2"/>
  <c r="CZ33" i="2"/>
  <c r="CW132" i="2"/>
  <c r="CW35" i="2"/>
  <c r="CV66" i="13"/>
  <c r="CV37" i="2"/>
  <c r="CV39" i="2"/>
  <c r="CV41" i="2"/>
  <c r="CV33" i="2"/>
  <c r="CV35" i="2"/>
  <c r="CV96" i="2"/>
  <c r="CU66" i="13"/>
  <c r="CU39" i="2"/>
  <c r="CU55" i="12"/>
  <c r="CU33" i="2"/>
  <c r="CU41" i="2"/>
  <c r="CU35" i="2"/>
  <c r="CU37" i="2"/>
  <c r="CS66" i="13"/>
  <c r="CS138" i="2"/>
  <c r="CS133" i="2"/>
  <c r="CS142" i="2"/>
  <c r="CS144" i="2"/>
  <c r="CS55" i="12"/>
  <c r="CS51" i="12"/>
  <c r="CS143" i="2"/>
  <c r="CS63" i="12"/>
  <c r="CS52" i="12"/>
  <c r="CS137" i="2"/>
  <c r="CS37" i="2"/>
  <c r="CS139" i="2"/>
  <c r="CS131" i="2"/>
  <c r="CS136" i="2"/>
  <c r="CS132" i="2"/>
  <c r="CS130" i="2"/>
  <c r="CR66" i="13"/>
  <c r="CR144" i="2"/>
  <c r="CR55" i="12"/>
  <c r="CR51" i="12"/>
  <c r="CR143" i="2"/>
  <c r="CR63" i="12"/>
  <c r="CR52" i="12"/>
  <c r="CQ66" i="13"/>
  <c r="CQ145" i="2"/>
  <c r="CQ138" i="2"/>
  <c r="CQ39" i="2"/>
  <c r="CQ37" i="2"/>
  <c r="CQ89" i="2"/>
  <c r="CQ35" i="2"/>
  <c r="CQ33" i="2"/>
  <c r="CQ136" i="2"/>
  <c r="CQ137" i="2"/>
  <c r="CQ52" i="12"/>
  <c r="CQ139" i="2"/>
  <c r="CQ133" i="2"/>
  <c r="CQ142" i="2"/>
  <c r="CQ144" i="2"/>
  <c r="CQ55" i="12"/>
  <c r="CQ51" i="12"/>
  <c r="CQ130" i="2"/>
  <c r="CQ63" i="12"/>
  <c r="CQ96" i="2"/>
  <c r="CQ143" i="2"/>
  <c r="CQ132" i="2"/>
  <c r="CQ131" i="2"/>
  <c r="CN66" i="13"/>
  <c r="CN35" i="2"/>
  <c r="CN41" i="2"/>
  <c r="CN33" i="2"/>
  <c r="CN39" i="2"/>
  <c r="CN37" i="2"/>
  <c r="CM138" i="2"/>
  <c r="CM89" i="2"/>
  <c r="CM55" i="12"/>
  <c r="CM137" i="2"/>
  <c r="CM132" i="2"/>
  <c r="CM39" i="2"/>
  <c r="CM41" i="2"/>
  <c r="CM33" i="2"/>
  <c r="CM133" i="2"/>
  <c r="CM37" i="2"/>
  <c r="CM51" i="12"/>
  <c r="CM63" i="12"/>
  <c r="CM52" i="12"/>
  <c r="CM143" i="2"/>
  <c r="CM142" i="2"/>
  <c r="CM139" i="2"/>
  <c r="CM136" i="2"/>
  <c r="CM131" i="2"/>
  <c r="CL41" i="2"/>
  <c r="CL103" i="2"/>
  <c r="CL143" i="2"/>
  <c r="CL145" i="2"/>
  <c r="CL132" i="2"/>
  <c r="CL139" i="2"/>
  <c r="CL136" i="2"/>
  <c r="CL138" i="2"/>
  <c r="CL55" i="12"/>
  <c r="CL144" i="2"/>
  <c r="CL130" i="2"/>
  <c r="CL27" i="2"/>
  <c r="CL137" i="2"/>
  <c r="CL51" i="12"/>
  <c r="CL35" i="2"/>
  <c r="CL39" i="2"/>
  <c r="CL52" i="12"/>
  <c r="CO11" i="2"/>
  <c r="CK63" i="12"/>
  <c r="CK130" i="2"/>
  <c r="CK96" i="2"/>
  <c r="CK37" i="2"/>
  <c r="CK52" i="12"/>
  <c r="CK145" i="2"/>
  <c r="CK133" i="2"/>
  <c r="CK139" i="2"/>
  <c r="CK132" i="2"/>
  <c r="CK143" i="2"/>
  <c r="CI52" i="12"/>
  <c r="CI63" i="12"/>
  <c r="CI144" i="2"/>
  <c r="CI37" i="2"/>
  <c r="CI51" i="12"/>
  <c r="CI53" i="12" s="1"/>
  <c r="CI139" i="2"/>
  <c r="CI131" i="2"/>
  <c r="CI39" i="2"/>
  <c r="CI138" i="2"/>
  <c r="CG66" i="13"/>
  <c r="CG132" i="2"/>
  <c r="CG35" i="2"/>
  <c r="CG33" i="2"/>
  <c r="CG143" i="2"/>
  <c r="CF66" i="13"/>
  <c r="CF33" i="2"/>
  <c r="CF37" i="2"/>
  <c r="CF35" i="2"/>
  <c r="CD66" i="13"/>
  <c r="CD142" i="2"/>
  <c r="CD131" i="2"/>
  <c r="CD138" i="2"/>
  <c r="CD137" i="2"/>
  <c r="CD136" i="2"/>
  <c r="CD37" i="2"/>
  <c r="CD39" i="2"/>
  <c r="CD130" i="2"/>
  <c r="CD41" i="2"/>
  <c r="CD35" i="2"/>
  <c r="CD33" i="2"/>
  <c r="CD63" i="12"/>
  <c r="CD52" i="12"/>
  <c r="CD61" i="12"/>
  <c r="CD143" i="2"/>
  <c r="CD145" i="2"/>
  <c r="CD55" i="12"/>
  <c r="CD132" i="2"/>
  <c r="CD144" i="2"/>
  <c r="CD139" i="2"/>
  <c r="CC66" i="13"/>
  <c r="CC39" i="2"/>
  <c r="CC35" i="2"/>
  <c r="CC33" i="2"/>
  <c r="CC41" i="2"/>
  <c r="CC37" i="2"/>
  <c r="CC138" i="2"/>
  <c r="CC27" i="2"/>
  <c r="CA66" i="13"/>
  <c r="CA55" i="12"/>
  <c r="CA139" i="2"/>
  <c r="CA143" i="2"/>
  <c r="CA131" i="2"/>
  <c r="CA39" i="2"/>
  <c r="CA137" i="2"/>
  <c r="CA130" i="2"/>
  <c r="CA132" i="2"/>
  <c r="CA133" i="2"/>
  <c r="CA61" i="12"/>
  <c r="CA52" i="12"/>
  <c r="CA63" i="12"/>
  <c r="CA144" i="2"/>
  <c r="CA142" i="2"/>
  <c r="CA138" i="2"/>
  <c r="CE11" i="2"/>
  <c r="CA33" i="2"/>
  <c r="CA35" i="2"/>
  <c r="CA37" i="2"/>
  <c r="CA145" i="2"/>
  <c r="BY66" i="13"/>
  <c r="BY35" i="2"/>
  <c r="BY33" i="2"/>
  <c r="BY89" i="2"/>
  <c r="BY37" i="2"/>
  <c r="BW131" i="2"/>
  <c r="BW144" i="2"/>
  <c r="BW89" i="2"/>
  <c r="BW61" i="12"/>
  <c r="BW133" i="2"/>
  <c r="BW137" i="2"/>
  <c r="BW52" i="12"/>
  <c r="BW37" i="2"/>
  <c r="BW27" i="2"/>
  <c r="BW132" i="2"/>
  <c r="BW143" i="2"/>
  <c r="BW55" i="12"/>
  <c r="BW145" i="2"/>
  <c r="BW142" i="2"/>
  <c r="BW139" i="2"/>
  <c r="BW63" i="12"/>
  <c r="BW136" i="2"/>
  <c r="BV41" i="2"/>
  <c r="BV137" i="2"/>
  <c r="BV37" i="2"/>
  <c r="BZ11" i="2"/>
  <c r="BZ103" i="2" s="1"/>
  <c r="BV142" i="2"/>
  <c r="BV130" i="2"/>
  <c r="BV138" i="2"/>
  <c r="BV144" i="2"/>
  <c r="BV63" i="12"/>
  <c r="BV139" i="2"/>
  <c r="BV132" i="2"/>
  <c r="BV133" i="2"/>
  <c r="BV55" i="12"/>
  <c r="BV143" i="2"/>
  <c r="BV61" i="12"/>
  <c r="BS21" i="2"/>
  <c r="BS55" i="12"/>
  <c r="BS33" i="2"/>
  <c r="BS142" i="2"/>
  <c r="BS137" i="2"/>
  <c r="BS41" i="2"/>
  <c r="BS35" i="2"/>
  <c r="BS143" i="2"/>
  <c r="BS130" i="2"/>
  <c r="BR66" i="13"/>
  <c r="BR61" i="12"/>
  <c r="BR144" i="2"/>
  <c r="BR52" i="12"/>
  <c r="BR63" i="12"/>
  <c r="BR142" i="2"/>
  <c r="BR136" i="2"/>
  <c r="BR39" i="2"/>
  <c r="BR27" i="2"/>
  <c r="BR37" i="2"/>
  <c r="BR55" i="12"/>
  <c r="BR130" i="2"/>
  <c r="BR35" i="2"/>
  <c r="BR33" i="2"/>
  <c r="BR143" i="2"/>
  <c r="BR138" i="2"/>
  <c r="BR133" i="2"/>
  <c r="BR145" i="2"/>
  <c r="BR131" i="2"/>
  <c r="BR139" i="2"/>
  <c r="BR132" i="2"/>
  <c r="BR137" i="2"/>
  <c r="BQ66" i="13"/>
  <c r="BQ35" i="2"/>
  <c r="BQ33" i="2"/>
  <c r="BQ139" i="2"/>
  <c r="CT66" i="13"/>
  <c r="CT137" i="2"/>
  <c r="BU147" i="2"/>
  <c r="BV147" i="2" s="1"/>
  <c r="BW147" i="2" s="1"/>
  <c r="BX147" i="2" s="1"/>
  <c r="BY147" i="2" s="1"/>
  <c r="DK19" i="14"/>
  <c r="DK17" i="14"/>
  <c r="DD53" i="14"/>
  <c r="CN17" i="14"/>
  <c r="DF17" i="14"/>
  <c r="DF19" i="14"/>
  <c r="CT9" i="14"/>
  <c r="CW17" i="14"/>
  <c r="BZ9" i="14"/>
  <c r="DH19" i="14"/>
  <c r="CD63" i="14"/>
  <c r="CD65" i="14" s="1"/>
  <c r="DF12" i="14"/>
  <c r="CY30" i="14"/>
  <c r="CZ27" i="14"/>
  <c r="CZ31" i="14" s="1"/>
  <c r="CU28" i="14"/>
  <c r="CU34" i="14"/>
  <c r="CU17" i="14"/>
  <c r="BW17" i="14"/>
  <c r="CT53" i="14"/>
  <c r="CM17" i="14"/>
  <c r="CY52" i="14"/>
  <c r="CO43" i="14"/>
  <c r="CK192" i="35" s="1"/>
  <c r="CL17" i="14"/>
  <c r="DB64" i="14"/>
  <c r="CI17" i="14"/>
  <c r="CZ37" i="14"/>
  <c r="CV37" i="14"/>
  <c r="CM37" i="14"/>
  <c r="CF37" i="14"/>
  <c r="BY38" i="14"/>
  <c r="BW38" i="14"/>
  <c r="CS35" i="14"/>
  <c r="CN35" i="14"/>
  <c r="CI35" i="14"/>
  <c r="CD35" i="14"/>
  <c r="CZ19" i="14"/>
  <c r="CU19" i="14"/>
  <c r="CR19" i="14"/>
  <c r="CG19" i="14"/>
  <c r="CF19" i="14"/>
  <c r="CA19" i="14"/>
  <c r="BY19" i="14"/>
  <c r="BX19" i="14"/>
  <c r="BV19" i="14"/>
  <c r="DD19" i="14"/>
  <c r="CT43" i="14"/>
  <c r="CL192" i="35" s="1"/>
  <c r="CS17" i="14"/>
  <c r="CG17" i="14"/>
  <c r="CH17" i="14"/>
  <c r="DE38" i="14"/>
  <c r="S5" i="14"/>
  <c r="O5" i="14"/>
  <c r="P5" i="14" s="1"/>
  <c r="Q5" i="14" s="1"/>
  <c r="DK65" i="14"/>
  <c r="DK37" i="14"/>
  <c r="CS49" i="14"/>
  <c r="Y156" i="35" s="1"/>
  <c r="CQ49" i="14"/>
  <c r="W156" i="35" s="1"/>
  <c r="CN49" i="14"/>
  <c r="U156" i="35" s="1"/>
  <c r="CD49" i="14"/>
  <c r="CV38" i="14"/>
  <c r="CU32" i="14"/>
  <c r="CS38" i="14"/>
  <c r="BZ36" i="14"/>
  <c r="CX35" i="14"/>
  <c r="CX19" i="14"/>
  <c r="CY19" i="14"/>
  <c r="CM19" i="14"/>
  <c r="CL19" i="14"/>
  <c r="CK19" i="14"/>
  <c r="CC19" i="14"/>
  <c r="CB19" i="14"/>
  <c r="CX17" i="14"/>
  <c r="CR17" i="14"/>
  <c r="CC17" i="14"/>
  <c r="BX17" i="14"/>
  <c r="DB17" i="14"/>
  <c r="DI19" i="14"/>
  <c r="DA17" i="14"/>
  <c r="DD52" i="14"/>
  <c r="DA19" i="14"/>
  <c r="DD9" i="14"/>
  <c r="R5" i="14"/>
  <c r="W5" i="14" s="1"/>
  <c r="AB5" i="14" s="1"/>
  <c r="AG5" i="14" s="1"/>
  <c r="AL5" i="14" s="1"/>
  <c r="AQ5" i="14" s="1"/>
  <c r="AV5" i="14" s="1"/>
  <c r="BA5" i="14" s="1"/>
  <c r="BF5" i="14" s="1"/>
  <c r="BK5" i="14" s="1"/>
  <c r="BP5" i="14" s="1"/>
  <c r="BU5" i="14" s="1"/>
  <c r="BZ5" i="14" s="1"/>
  <c r="CE5" i="14" s="1"/>
  <c r="CJ5" i="14" s="1"/>
  <c r="CO5" i="14" s="1"/>
  <c r="CT5" i="14" s="1"/>
  <c r="CY5" i="14" s="1"/>
  <c r="DD5" i="14" s="1"/>
  <c r="DI5" i="14" s="1"/>
  <c r="DN5" i="14" s="1"/>
  <c r="DS5" i="14" s="1"/>
  <c r="DX5" i="14" s="1"/>
  <c r="EC5" i="14" s="1"/>
  <c r="CZ65" i="14"/>
  <c r="DD63" i="14"/>
  <c r="CZ64" i="14"/>
  <c r="CW65" i="14"/>
  <c r="CV64" i="14"/>
  <c r="CV65" i="14"/>
  <c r="CS65" i="14"/>
  <c r="CW64" i="14"/>
  <c r="CR65" i="14"/>
  <c r="CN53" i="14"/>
  <c r="CP54" i="14" s="1"/>
  <c r="CN63" i="14"/>
  <c r="CI51" i="14"/>
  <c r="CI63" i="14" s="1"/>
  <c r="CH51" i="14"/>
  <c r="CH63" i="14" s="1"/>
  <c r="CM53" i="14"/>
  <c r="CM63" i="14"/>
  <c r="CM45" i="14"/>
  <c r="CM49" i="14"/>
  <c r="T156" i="35" s="1"/>
  <c r="DC43" i="14"/>
  <c r="CX43" i="14"/>
  <c r="CX63" i="14"/>
  <c r="DC64" i="14" s="1"/>
  <c r="CX53" i="14"/>
  <c r="CZ54" i="14" s="1"/>
  <c r="CY41" i="14"/>
  <c r="CJ43" i="14"/>
  <c r="CJ192" i="35" s="1"/>
  <c r="CE43" i="14"/>
  <c r="CP37" i="14"/>
  <c r="CN32" i="14"/>
  <c r="CN37" i="14"/>
  <c r="CB37" i="14"/>
  <c r="CA32" i="14"/>
  <c r="BV37" i="14"/>
  <c r="BV32" i="14"/>
  <c r="BV38" i="14"/>
  <c r="BU36" i="14"/>
  <c r="CK34" i="14"/>
  <c r="CK28" i="14"/>
  <c r="CL27" i="14"/>
  <c r="CL31" i="14" s="1"/>
  <c r="CK30" i="14"/>
  <c r="CF28" i="14"/>
  <c r="CG27" i="14"/>
  <c r="CG31" i="14" s="1"/>
  <c r="CF30" i="14"/>
  <c r="CA31" i="14"/>
  <c r="CA28" i="14"/>
  <c r="CB27" i="14"/>
  <c r="BV34" i="14"/>
  <c r="BV28" i="14"/>
  <c r="BV30" i="14"/>
  <c r="CV19" i="14"/>
  <c r="CQ19" i="14"/>
  <c r="CS19" i="14"/>
  <c r="CN19" i="14"/>
  <c r="CZ17" i="14"/>
  <c r="DD16" i="14"/>
  <c r="CP17" i="14"/>
  <c r="CT16" i="14"/>
  <c r="CO16" i="14"/>
  <c r="CK17" i="14"/>
  <c r="CF17" i="14"/>
  <c r="CJ16" i="14"/>
  <c r="CE16" i="14"/>
  <c r="CA17" i="14"/>
  <c r="CD17" i="14"/>
  <c r="BY17" i="14"/>
  <c r="BZ16" i="14"/>
  <c r="BV17" i="14"/>
  <c r="CY9" i="14"/>
  <c r="DA8" i="14"/>
  <c r="DL64" i="14"/>
  <c r="DG65" i="14"/>
  <c r="M16" i="26"/>
  <c r="DJ8" i="14"/>
  <c r="DI9" i="14"/>
  <c r="DT45" i="14"/>
  <c r="N11" i="42"/>
  <c r="N12" i="42"/>
  <c r="T12" i="42"/>
  <c r="T11" i="42"/>
  <c r="N33" i="42"/>
  <c r="P29" i="40"/>
  <c r="Q29" i="40"/>
  <c r="AO17" i="37"/>
  <c r="AO32" i="37"/>
  <c r="AO13" i="37"/>
  <c r="U9" i="37"/>
  <c r="AO29" i="37"/>
  <c r="AO25" i="37"/>
  <c r="AO27" i="37"/>
  <c r="AO37" i="37"/>
  <c r="AO19" i="37"/>
  <c r="AO31" i="37"/>
  <c r="AO15" i="37"/>
  <c r="AH9" i="37"/>
  <c r="AB9" i="37"/>
  <c r="AO9" i="37"/>
  <c r="BS9" i="37"/>
  <c r="H6" i="42"/>
  <c r="V9" i="42"/>
  <c r="U19" i="37"/>
  <c r="U29" i="37"/>
  <c r="AH37" i="37"/>
  <c r="AH25" i="37"/>
  <c r="AH31" i="37"/>
  <c r="AH19" i="37"/>
  <c r="AH29" i="37"/>
  <c r="U25" i="37"/>
  <c r="U27" i="37"/>
  <c r="U32" i="37"/>
  <c r="U37" i="37"/>
  <c r="U31" i="37"/>
  <c r="CO38" i="12"/>
  <c r="CN43" i="12"/>
  <c r="CG44" i="12"/>
  <c r="CG35" i="12"/>
  <c r="CN44" i="12"/>
  <c r="CR44" i="12"/>
  <c r="CR35" i="12"/>
  <c r="DG22" i="13"/>
  <c r="DA44" i="12"/>
  <c r="CX43" i="12"/>
  <c r="CE36" i="12"/>
  <c r="DI43" i="12"/>
  <c r="CF35" i="12"/>
  <c r="CV44" i="12"/>
  <c r="CJ36" i="12"/>
  <c r="CT36" i="12"/>
  <c r="CT44" i="12" s="1"/>
  <c r="CT43" i="12"/>
  <c r="BU30" i="12"/>
  <c r="BU36" i="12" s="1"/>
  <c r="BU35" i="12" s="1"/>
  <c r="DH44" i="12"/>
  <c r="DJ21" i="13"/>
  <c r="DJ22" i="13" s="1"/>
  <c r="DG44" i="12"/>
  <c r="CA44" i="12"/>
  <c r="CV43" i="12"/>
  <c r="CS43" i="12"/>
  <c r="DD42" i="12"/>
  <c r="DD43" i="12" s="1"/>
  <c r="BZ36" i="12"/>
  <c r="BZ35" i="12" s="1"/>
  <c r="CO36" i="12"/>
  <c r="CO44" i="12" s="1"/>
  <c r="CL43" i="12"/>
  <c r="CD38" i="12"/>
  <c r="CO43" i="12"/>
  <c r="DC35" i="12"/>
  <c r="DC44" i="12"/>
  <c r="BW44" i="12"/>
  <c r="BW35" i="12"/>
  <c r="BU38" i="12"/>
  <c r="BU43" i="12" s="1"/>
  <c r="BT43" i="12"/>
  <c r="BX35" i="12"/>
  <c r="BX44" i="12"/>
  <c r="CH35" i="12"/>
  <c r="CH44" i="12"/>
  <c r="BR44" i="12"/>
  <c r="BR35" i="12"/>
  <c r="DJ44" i="12"/>
  <c r="DJ35" i="12"/>
  <c r="BS44" i="12"/>
  <c r="BS35" i="12"/>
  <c r="CB35" i="12"/>
  <c r="CB44" i="12"/>
  <c r="CJ35" i="12"/>
  <c r="CJ44" i="12"/>
  <c r="CT35" i="12"/>
  <c r="BT44" i="12"/>
  <c r="BT35" i="12"/>
  <c r="CC44" i="12"/>
  <c r="CC35" i="12"/>
  <c r="CX44" i="12"/>
  <c r="CX35" i="12"/>
  <c r="CE35" i="12"/>
  <c r="CZ35" i="12"/>
  <c r="CZ44" i="12"/>
  <c r="CM35" i="12"/>
  <c r="CM44" i="12"/>
  <c r="CU44" i="12"/>
  <c r="CU35" i="12"/>
  <c r="BZ38" i="12"/>
  <c r="BZ43" i="12" s="1"/>
  <c r="BY43" i="12"/>
  <c r="CV53" i="12"/>
  <c r="CS44" i="12"/>
  <c r="DD30" i="12"/>
  <c r="DD36" i="12" s="1"/>
  <c r="CI44" i="12"/>
  <c r="BY35" i="12"/>
  <c r="CD35" i="12"/>
  <c r="BU39" i="12"/>
  <c r="DE35" i="12"/>
  <c r="DE43" i="12"/>
  <c r="DK22" i="13"/>
  <c r="DI44" i="12"/>
  <c r="CY44" i="12"/>
  <c r="CI43" i="12"/>
  <c r="S5" i="12"/>
  <c r="CP30" i="14"/>
  <c r="CP28" i="14"/>
  <c r="CP34" i="14"/>
  <c r="CQ27" i="14"/>
  <c r="CQ31" i="14" s="1"/>
  <c r="CC37" i="14"/>
  <c r="CH38" i="14"/>
  <c r="DG12" i="14"/>
  <c r="CG51" i="14"/>
  <c r="CG63" i="14" s="1"/>
  <c r="CL63" i="14"/>
  <c r="CQ64" i="14" s="1"/>
  <c r="CL53" i="14"/>
  <c r="CQ55" i="14" s="1"/>
  <c r="CT63" i="14"/>
  <c r="CU64" i="14"/>
  <c r="CP65" i="14"/>
  <c r="DE64" i="14"/>
  <c r="DE65" i="14"/>
  <c r="DI63" i="14"/>
  <c r="DJ64" i="14"/>
  <c r="DH65" i="14"/>
  <c r="DH64" i="14"/>
  <c r="DO14" i="14"/>
  <c r="DM12" i="14"/>
  <c r="DI48" i="14"/>
  <c r="DI45" i="14" s="1"/>
  <c r="DE45" i="14"/>
  <c r="DE49" i="14"/>
  <c r="AH156" i="35" s="1"/>
  <c r="CD32" i="14"/>
  <c r="CD38" i="14"/>
  <c r="CD37" i="14"/>
  <c r="CR49" i="14"/>
  <c r="X156" i="35" s="1"/>
  <c r="CR45" i="14"/>
  <c r="CQ65" i="14"/>
  <c r="DA38" i="14"/>
  <c r="DE17" i="14"/>
  <c r="DI16" i="14"/>
  <c r="DJ17" i="14"/>
  <c r="DE19" i="14"/>
  <c r="DJ19" i="14"/>
  <c r="BY45" i="14"/>
  <c r="BY46" i="14" s="1"/>
  <c r="BZ48" i="14"/>
  <c r="BZ45" i="14" s="1"/>
  <c r="DB65" i="14"/>
  <c r="CW19" i="14"/>
  <c r="DB19" i="14"/>
  <c r="DA64" i="14"/>
  <c r="DA65" i="14"/>
  <c r="BZ19" i="14"/>
  <c r="DI52" i="14"/>
  <c r="DI53" i="14"/>
  <c r="CF51" i="14"/>
  <c r="CF63" i="14" s="1"/>
  <c r="CK53" i="14"/>
  <c r="CP55" i="14" s="1"/>
  <c r="CO51" i="14"/>
  <c r="F118" i="45" s="1"/>
  <c r="CK63" i="14"/>
  <c r="CP64" i="14" s="1"/>
  <c r="CP32" i="14"/>
  <c r="CQ38" i="14"/>
  <c r="CT36" i="14"/>
  <c r="CQ37" i="14"/>
  <c r="DH14" i="14"/>
  <c r="CT48" i="14"/>
  <c r="CT45" i="14" s="1"/>
  <c r="DC65" i="14"/>
  <c r="DK21" i="14"/>
  <c r="DI43" i="14"/>
  <c r="CO192" i="35" s="1"/>
  <c r="CG37" i="14"/>
  <c r="DC17" i="14"/>
  <c r="DF64" i="14"/>
  <c r="CJ9" i="14"/>
  <c r="CH37" i="14"/>
  <c r="CL49" i="14"/>
  <c r="S156" i="35" s="1"/>
  <c r="CG45" i="14"/>
  <c r="BW19" i="14"/>
  <c r="CS45" i="14"/>
  <c r="CO18" i="14"/>
  <c r="CO19" i="14" s="1"/>
  <c r="DC38" i="14"/>
  <c r="DH38" i="14"/>
  <c r="CV49" i="14"/>
  <c r="AA156" i="35" s="1"/>
  <c r="DF38" i="14"/>
  <c r="DK64" i="14"/>
  <c r="CU30" i="14"/>
  <c r="BW27" i="14"/>
  <c r="CA30" i="14"/>
  <c r="BZ43" i="14"/>
  <c r="CZ49" i="14"/>
  <c r="AD156" i="35" s="1"/>
  <c r="BT37" i="14"/>
  <c r="CY16" i="14"/>
  <c r="CP19" i="14"/>
  <c r="CH19" i="14"/>
  <c r="CB17" i="14"/>
  <c r="CV17" i="14"/>
  <c r="CQ17" i="14"/>
  <c r="CD19" i="14"/>
  <c r="CI19" i="14"/>
  <c r="CE18" i="14"/>
  <c r="N16" i="26"/>
  <c r="CU37" i="14"/>
  <c r="CU38" i="14"/>
  <c r="CD45" i="14"/>
  <c r="CV27" i="14"/>
  <c r="CV31" i="14" s="1"/>
  <c r="CV45" i="14"/>
  <c r="CE36" i="14"/>
  <c r="CL38" i="14"/>
  <c r="CO48" i="14"/>
  <c r="CO45" i="14" s="1"/>
  <c r="DC49" i="14"/>
  <c r="AG156" i="35" s="1"/>
  <c r="DC45" i="14"/>
  <c r="CF49" i="14"/>
  <c r="N156" i="35" s="1"/>
  <c r="CR37" i="14"/>
  <c r="CA49" i="14"/>
  <c r="CP45" i="14"/>
  <c r="CE48" i="14"/>
  <c r="BR77" i="2"/>
  <c r="BS10" i="13"/>
  <c r="BR37" i="14"/>
  <c r="CJ36" i="14"/>
  <c r="CF38" i="14"/>
  <c r="CS32" i="14"/>
  <c r="CQ45" i="14"/>
  <c r="DB38" i="14"/>
  <c r="DK38" i="14"/>
  <c r="CA45" i="14"/>
  <c r="CG38" i="14"/>
  <c r="CY36" i="14"/>
  <c r="DB49" i="14"/>
  <c r="AF156" i="35" s="1"/>
  <c r="DE37" i="14"/>
  <c r="CI32" i="14"/>
  <c r="CI38" i="14"/>
  <c r="CN38" i="14"/>
  <c r="BU48" i="14"/>
  <c r="CF45" i="14"/>
  <c r="CK49" i="14"/>
  <c r="R156" i="35" s="1"/>
  <c r="CU49" i="14"/>
  <c r="Z156" i="35" s="1"/>
  <c r="CU45" i="14"/>
  <c r="CY48" i="14"/>
  <c r="BU20" i="25"/>
  <c r="BW20" i="25"/>
  <c r="DD48" i="14"/>
  <c r="BW37" i="14"/>
  <c r="CB38" i="14"/>
  <c r="CS37" i="14"/>
  <c r="CI37" i="14"/>
  <c r="CW38" i="14"/>
  <c r="BX37" i="14"/>
  <c r="CC38" i="14"/>
  <c r="CL37" i="14"/>
  <c r="CX37" i="14"/>
  <c r="CX38" i="14"/>
  <c r="BS45" i="14"/>
  <c r="BT46" i="14" s="1"/>
  <c r="CH45" i="14"/>
  <c r="CW49" i="14"/>
  <c r="AB156" i="35" s="1"/>
  <c r="CW45" i="14"/>
  <c r="BX49" i="14"/>
  <c r="CW37" i="14"/>
  <c r="BS37" i="14"/>
  <c r="CR38" i="14"/>
  <c r="CJ48" i="14"/>
  <c r="CV77" i="2"/>
  <c r="CW10" i="13"/>
  <c r="CP49" i="14"/>
  <c r="V156" i="35" s="1"/>
  <c r="CB49" i="14"/>
  <c r="BX38" i="14"/>
  <c r="BY37" i="14"/>
  <c r="BV46" i="14"/>
  <c r="EC20" i="25"/>
  <c r="EA20" i="25"/>
  <c r="CP38" i="14"/>
  <c r="CK37" i="14"/>
  <c r="CK38" i="14"/>
  <c r="DH49" i="14"/>
  <c r="AK156" i="35" s="1"/>
  <c r="DB37" i="14"/>
  <c r="CH49" i="14"/>
  <c r="P156" i="35" s="1"/>
  <c r="CB45" i="14"/>
  <c r="CB47" i="14" s="1"/>
  <c r="CF32" i="14"/>
  <c r="CK32" i="14"/>
  <c r="DB45" i="14"/>
  <c r="DF22" i="25"/>
  <c r="DD22" i="25"/>
  <c r="DY21" i="25"/>
  <c r="CG49" i="14"/>
  <c r="O156" i="35" s="1"/>
  <c r="DJ38" i="14"/>
  <c r="BR45" i="14"/>
  <c r="BQ45" i="14"/>
  <c r="DM20" i="25"/>
  <c r="DA37" i="14"/>
  <c r="CM38" i="14"/>
  <c r="CI49" i="14"/>
  <c r="Q156" i="35" s="1"/>
  <c r="DY22" i="25"/>
  <c r="BV49" i="14"/>
  <c r="CX49" i="14"/>
  <c r="AC156" i="35" s="1"/>
  <c r="EC22" i="25"/>
  <c r="DC37" i="14"/>
  <c r="CC49" i="14"/>
  <c r="CX45" i="14"/>
  <c r="CA37" i="14"/>
  <c r="CA38" i="14"/>
  <c r="CC45" i="14"/>
  <c r="CC47" i="14" s="1"/>
  <c r="BY49" i="14"/>
  <c r="CZ45" i="14"/>
  <c r="BG21" i="25"/>
  <c r="DD36" i="14"/>
  <c r="DK49" i="14"/>
  <c r="AM156" i="35" s="1"/>
  <c r="DF49" i="14"/>
  <c r="AI156" i="35" s="1"/>
  <c r="DH96" i="2"/>
  <c r="DH119" i="2"/>
  <c r="DI95" i="2"/>
  <c r="DH9" i="13"/>
  <c r="DH8" i="13" s="1"/>
  <c r="DA45" i="14"/>
  <c r="DF37" i="14"/>
  <c r="DJ49" i="14"/>
  <c r="AL156" i="35" s="1"/>
  <c r="DI23" i="2"/>
  <c r="DI24" i="2" s="1"/>
  <c r="DH24" i="2"/>
  <c r="DL38" i="14"/>
  <c r="DH37" i="14"/>
  <c r="DG38" i="14"/>
  <c r="DG37" i="14"/>
  <c r="DA49" i="14"/>
  <c r="AE156" i="35" s="1"/>
  <c r="DI36" i="14"/>
  <c r="DH66" i="13"/>
  <c r="DH58" i="13" s="1"/>
  <c r="DH51" i="12"/>
  <c r="DH136" i="2"/>
  <c r="DD15" i="2"/>
  <c r="BW46" i="14"/>
  <c r="BX46" i="14"/>
  <c r="DG49" i="14"/>
  <c r="AJ156" i="35" s="1"/>
  <c r="DG45" i="14"/>
  <c r="DL47" i="14" s="1"/>
  <c r="DH21" i="2"/>
  <c r="CY88" i="2"/>
  <c r="CU11" i="13"/>
  <c r="DH117" i="2"/>
  <c r="DI88" i="2"/>
  <c r="CV117" i="2"/>
  <c r="CV89" i="2"/>
  <c r="CJ54" i="2"/>
  <c r="CO88" i="2"/>
  <c r="CK11" i="13"/>
  <c r="CK117" i="2"/>
  <c r="CK89" i="2"/>
  <c r="CW117" i="2"/>
  <c r="CW11" i="13"/>
  <c r="CW89" i="2"/>
  <c r="CP54" i="2"/>
  <c r="CT54" i="2" s="1"/>
  <c r="CT51" i="2"/>
  <c r="CL89" i="2"/>
  <c r="CL11" i="13"/>
  <c r="CL117" i="2"/>
  <c r="CF119" i="2"/>
  <c r="CF96" i="2"/>
  <c r="CF9" i="13"/>
  <c r="CZ103" i="2"/>
  <c r="CZ118" i="2"/>
  <c r="CB8" i="13"/>
  <c r="CB77" i="2"/>
  <c r="CC10" i="13"/>
  <c r="CO51" i="2"/>
  <c r="CM54" i="2"/>
  <c r="CG77" i="2"/>
  <c r="CH10" i="13"/>
  <c r="DA120" i="2"/>
  <c r="DC52" i="2"/>
  <c r="DE89" i="2"/>
  <c r="DE11" i="13"/>
  <c r="DI11" i="13" s="1"/>
  <c r="DE117" i="2"/>
  <c r="CC26" i="2"/>
  <c r="CV118" i="2"/>
  <c r="CY102" i="2"/>
  <c r="CV103" i="2"/>
  <c r="CW118" i="2"/>
  <c r="CR27" i="2"/>
  <c r="CR60" i="12"/>
  <c r="CR21" i="2"/>
  <c r="CR59" i="12"/>
  <c r="CO102" i="2"/>
  <c r="CM118" i="2"/>
  <c r="CM103" i="2"/>
  <c r="CJ120" i="2"/>
  <c r="CY120" i="2"/>
  <c r="DN120" i="2"/>
  <c r="CS21" i="2"/>
  <c r="CS27" i="2"/>
  <c r="BT96" i="2"/>
  <c r="BU95" i="2"/>
  <c r="BT119" i="2"/>
  <c r="BT9" i="13"/>
  <c r="CD96" i="2"/>
  <c r="CD119" i="2"/>
  <c r="CN118" i="2"/>
  <c r="CX118" i="2"/>
  <c r="CX103" i="2"/>
  <c r="BS131" i="2"/>
  <c r="CY23" i="2"/>
  <c r="CY24" i="2" s="1"/>
  <c r="CW24" i="2"/>
  <c r="CC9" i="13"/>
  <c r="CB20" i="25"/>
  <c r="CD20" i="25"/>
  <c r="CO25" i="2"/>
  <c r="CO26" i="2" s="1"/>
  <c r="CK26" i="2"/>
  <c r="BW8" i="13"/>
  <c r="DG66" i="13"/>
  <c r="DG145" i="2"/>
  <c r="DG52" i="12"/>
  <c r="DG137" i="2"/>
  <c r="DG132" i="2"/>
  <c r="DG144" i="2"/>
  <c r="DG96" i="2"/>
  <c r="DG139" i="2"/>
  <c r="DG37" i="2"/>
  <c r="DG138" i="2"/>
  <c r="DG133" i="2"/>
  <c r="DG21" i="2"/>
  <c r="DG63" i="12"/>
  <c r="DG130" i="2"/>
  <c r="DG103" i="2"/>
  <c r="DG51" i="12"/>
  <c r="DG55" i="12"/>
  <c r="DG27" i="2"/>
  <c r="DL30" i="2" s="1"/>
  <c r="DG131" i="2"/>
  <c r="DL12" i="2"/>
  <c r="DG41" i="2"/>
  <c r="DG143" i="2"/>
  <c r="DG39" i="2"/>
  <c r="DG136" i="2"/>
  <c r="DG142" i="2"/>
  <c r="DG117" i="2"/>
  <c r="DG89" i="2"/>
  <c r="AZ21" i="25"/>
  <c r="BB21" i="25"/>
  <c r="BS66" i="13"/>
  <c r="BS136" i="2"/>
  <c r="BS63" i="12"/>
  <c r="BS138" i="2"/>
  <c r="BS52" i="12"/>
  <c r="BS145" i="2"/>
  <c r="BS39" i="2"/>
  <c r="BS144" i="2"/>
  <c r="BS133" i="2"/>
  <c r="BS27" i="2"/>
  <c r="BS61" i="12"/>
  <c r="BS37" i="2"/>
  <c r="BS132" i="2"/>
  <c r="BS139" i="2"/>
  <c r="CH66" i="13"/>
  <c r="CH133" i="2"/>
  <c r="CH33" i="2"/>
  <c r="CH130" i="2"/>
  <c r="CH145" i="2"/>
  <c r="CH137" i="2"/>
  <c r="CH142" i="2"/>
  <c r="CH143" i="2"/>
  <c r="CH12" i="2"/>
  <c r="CH39" i="2"/>
  <c r="CH41" i="2"/>
  <c r="CJ11" i="2"/>
  <c r="CH96" i="2"/>
  <c r="CH138" i="2"/>
  <c r="CH37" i="2"/>
  <c r="CA89" i="2"/>
  <c r="CA11" i="13"/>
  <c r="CE11" i="13" s="1"/>
  <c r="BT66" i="13"/>
  <c r="BT144" i="2"/>
  <c r="BT145" i="2"/>
  <c r="BT27" i="2"/>
  <c r="BT61" i="12"/>
  <c r="BT133" i="2"/>
  <c r="BT41" i="2"/>
  <c r="BT143" i="2"/>
  <c r="BT130" i="2"/>
  <c r="BT39" i="2"/>
  <c r="BT55" i="12"/>
  <c r="BT35" i="2"/>
  <c r="BT63" i="12"/>
  <c r="BT136" i="2"/>
  <c r="BT52" i="12"/>
  <c r="BT131" i="2"/>
  <c r="CI66" i="13"/>
  <c r="CI130" i="2"/>
  <c r="CI89" i="2"/>
  <c r="CI41" i="2"/>
  <c r="CI145" i="2"/>
  <c r="CI136" i="2"/>
  <c r="CI27" i="2"/>
  <c r="CI137" i="2"/>
  <c r="CI142" i="2"/>
  <c r="CI143" i="2"/>
  <c r="CI55" i="12"/>
  <c r="CI132" i="2"/>
  <c r="CN12" i="2"/>
  <c r="CI61" i="12"/>
  <c r="CI35" i="2"/>
  <c r="CI133" i="2"/>
  <c r="CI33" i="2"/>
  <c r="CW66" i="13"/>
  <c r="CW21" i="2"/>
  <c r="CY11" i="2"/>
  <c r="CW33" i="2"/>
  <c r="CW41" i="2"/>
  <c r="BW21" i="2"/>
  <c r="CH24" i="2"/>
  <c r="CJ23" i="2"/>
  <c r="CJ24" i="2" s="1"/>
  <c r="BV103" i="2"/>
  <c r="BV66" i="13"/>
  <c r="CA12" i="2"/>
  <c r="BV136" i="2"/>
  <c r="BV131" i="2"/>
  <c r="BV27" i="2"/>
  <c r="BV145" i="2"/>
  <c r="BV35" i="2"/>
  <c r="BV52" i="12"/>
  <c r="CK66" i="13"/>
  <c r="CP12" i="2"/>
  <c r="CK33" i="2"/>
  <c r="CK55" i="12"/>
  <c r="CK136" i="2"/>
  <c r="CK144" i="2"/>
  <c r="CK131" i="2"/>
  <c r="CK39" i="2"/>
  <c r="CK142" i="2"/>
  <c r="CK27" i="2"/>
  <c r="CK138" i="2"/>
  <c r="CK41" i="2"/>
  <c r="CK21" i="2"/>
  <c r="CK35" i="2"/>
  <c r="CK137" i="2"/>
  <c r="CN117" i="2"/>
  <c r="CN11" i="13"/>
  <c r="CN89" i="2"/>
  <c r="BB20" i="25"/>
  <c r="AZ20" i="25"/>
  <c r="BV33" i="2"/>
  <c r="BW66" i="13"/>
  <c r="BW39" i="2"/>
  <c r="BW33" i="2"/>
  <c r="BW41" i="2"/>
  <c r="BW138" i="2"/>
  <c r="CB12" i="2"/>
  <c r="BW35" i="2"/>
  <c r="CL66" i="13"/>
  <c r="CL37" i="2"/>
  <c r="CL63" i="12"/>
  <c r="CL142" i="2"/>
  <c r="CL33" i="2"/>
  <c r="CL131" i="2"/>
  <c r="CX66" i="13"/>
  <c r="CX41" i="2"/>
  <c r="CX51" i="12"/>
  <c r="CX138" i="2"/>
  <c r="CX35" i="2"/>
  <c r="CX133" i="2"/>
  <c r="CX33" i="2"/>
  <c r="CX130" i="2"/>
  <c r="CX137" i="2"/>
  <c r="CX144" i="2"/>
  <c r="CX12" i="2"/>
  <c r="CX21" i="2"/>
  <c r="CX55" i="12"/>
  <c r="CX39" i="2"/>
  <c r="CY51" i="2"/>
  <c r="CU54" i="2"/>
  <c r="CF26" i="2"/>
  <c r="CY20" i="2"/>
  <c r="CQ12" i="2"/>
  <c r="BX66" i="13"/>
  <c r="BX41" i="2"/>
  <c r="BX35" i="2"/>
  <c r="BX33" i="2"/>
  <c r="BX137" i="2"/>
  <c r="CM66" i="13"/>
  <c r="CM130" i="2"/>
  <c r="CM145" i="2"/>
  <c r="CR12" i="2"/>
  <c r="CM35" i="2"/>
  <c r="DB11" i="13"/>
  <c r="DB89" i="2"/>
  <c r="DX121" i="2"/>
  <c r="DH60" i="13"/>
  <c r="DJ60" i="13"/>
  <c r="CU130" i="2"/>
  <c r="BW12" i="2"/>
  <c r="CK12" i="2"/>
  <c r="DC66" i="13"/>
  <c r="DC51" i="12"/>
  <c r="DC39" i="2"/>
  <c r="DC143" i="2"/>
  <c r="DC138" i="2"/>
  <c r="DC131" i="2"/>
  <c r="DC27" i="2"/>
  <c r="DC145" i="2"/>
  <c r="DC142" i="2"/>
  <c r="DC133" i="2"/>
  <c r="DC130" i="2"/>
  <c r="DC35" i="2"/>
  <c r="DC144" i="2"/>
  <c r="DC63" i="12"/>
  <c r="DC137" i="2"/>
  <c r="DC136" i="2"/>
  <c r="DC21" i="2"/>
  <c r="DC89" i="2"/>
  <c r="DC37" i="2"/>
  <c r="DF103" i="2"/>
  <c r="DF118" i="2"/>
  <c r="DH45" i="14"/>
  <c r="DM45" i="14" s="1"/>
  <c r="DM48" i="14" s="1"/>
  <c r="DJ37" i="14"/>
  <c r="DL37" i="14"/>
  <c r="CZ12" i="2"/>
  <c r="DF12" i="2"/>
  <c r="DE66" i="13"/>
  <c r="DE58" i="13" s="1"/>
  <c r="DE21" i="2"/>
  <c r="DE130" i="2"/>
  <c r="DE63" i="12"/>
  <c r="DE142" i="2"/>
  <c r="DE55" i="12"/>
  <c r="DE136" i="2"/>
  <c r="DE131" i="2"/>
  <c r="DE27" i="2"/>
  <c r="DE143" i="2"/>
  <c r="DE33" i="2"/>
  <c r="DE144" i="2"/>
  <c r="DE41" i="2"/>
  <c r="DE103" i="2"/>
  <c r="DE139" i="2"/>
  <c r="DE39" i="2"/>
  <c r="CK20" i="25"/>
  <c r="DD21" i="25"/>
  <c r="DJ66" i="13"/>
  <c r="DJ58" i="13" s="1"/>
  <c r="DJ145" i="2"/>
  <c r="DJ51" i="12"/>
  <c r="DJ143" i="2"/>
  <c r="DJ37" i="2"/>
  <c r="DO37" i="2" s="1"/>
  <c r="DT37" i="2" s="1"/>
  <c r="DY37" i="2" s="1"/>
  <c r="DJ132" i="2"/>
  <c r="DO132" i="2" s="1"/>
  <c r="DT132" i="2" s="1"/>
  <c r="DY132" i="2" s="1"/>
  <c r="DJ52" i="12"/>
  <c r="DJ144" i="2"/>
  <c r="DJ55" i="12"/>
  <c r="DO55" i="12" s="1"/>
  <c r="DT55" i="12" s="1"/>
  <c r="DY55" i="12" s="1"/>
  <c r="DJ137" i="2"/>
  <c r="DJ33" i="2"/>
  <c r="DJ27" i="2"/>
  <c r="DJ133" i="2"/>
  <c r="DO133" i="2" s="1"/>
  <c r="DT133" i="2" s="1"/>
  <c r="DY133" i="2" s="1"/>
  <c r="DJ96" i="2"/>
  <c r="DJ41" i="2"/>
  <c r="DJ35" i="2"/>
  <c r="DO35" i="2" s="1"/>
  <c r="DT35" i="2" s="1"/>
  <c r="DY35" i="2" s="1"/>
  <c r="DJ142" i="2"/>
  <c r="DJ63" i="12"/>
  <c r="DJ131" i="2"/>
  <c r="DO131" i="2" s="1"/>
  <c r="DT131" i="2" s="1"/>
  <c r="DY131" i="2" s="1"/>
  <c r="DC96" i="2"/>
  <c r="DC9" i="13"/>
  <c r="DJ21" i="14"/>
  <c r="DK59" i="12"/>
  <c r="AU22" i="25"/>
  <c r="BU21" i="25"/>
  <c r="CF12" i="2"/>
  <c r="CV12" i="2"/>
  <c r="DE37" i="2"/>
  <c r="DB96" i="2"/>
  <c r="DB119" i="2"/>
  <c r="DB9" i="13"/>
  <c r="DA59" i="12"/>
  <c r="DF44" i="2"/>
  <c r="CI21" i="25"/>
  <c r="EC121" i="2"/>
  <c r="BV12" i="2"/>
  <c r="CL12" i="2"/>
  <c r="DE132" i="2"/>
  <c r="DB117" i="2"/>
  <c r="DB66" i="13"/>
  <c r="DB55" i="12"/>
  <c r="DB103" i="2"/>
  <c r="DB33" i="2"/>
  <c r="DB133" i="2"/>
  <c r="DB142" i="2"/>
  <c r="DB63" i="12"/>
  <c r="DB130" i="2"/>
  <c r="DB52" i="12"/>
  <c r="DB137" i="2"/>
  <c r="DB37" i="2"/>
  <c r="DB51" i="12"/>
  <c r="DB138" i="2"/>
  <c r="DB136" i="2"/>
  <c r="DB145" i="2"/>
  <c r="DB139" i="2"/>
  <c r="DB131" i="2"/>
  <c r="DG12" i="2"/>
  <c r="DB35" i="2"/>
  <c r="DB27" i="2"/>
  <c r="DB39" i="2"/>
  <c r="CR22" i="25"/>
  <c r="S5" i="2"/>
  <c r="S74" i="2" s="1"/>
  <c r="CK22" i="25"/>
  <c r="DT22" i="25"/>
  <c r="BI22" i="25"/>
  <c r="BI20" i="25"/>
  <c r="DF60" i="13"/>
  <c r="I3" i="35"/>
  <c r="CL3" i="35"/>
  <c r="V8" i="42"/>
  <c r="H5" i="42"/>
  <c r="H7" i="42"/>
  <c r="N22" i="42"/>
  <c r="N13" i="42"/>
  <c r="N14" i="42"/>
  <c r="N17" i="42"/>
  <c r="N24" i="42"/>
  <c r="N16" i="42"/>
  <c r="N31" i="42"/>
  <c r="N23" i="42"/>
  <c r="N19" i="42"/>
  <c r="N29" i="42"/>
  <c r="T27" i="42"/>
  <c r="T29" i="42"/>
  <c r="T22" i="42"/>
  <c r="T17" i="42"/>
  <c r="T16" i="42"/>
  <c r="T20" i="42"/>
  <c r="T13" i="42"/>
  <c r="T19" i="42"/>
  <c r="T26" i="42"/>
  <c r="T21" i="42"/>
  <c r="T31" i="42"/>
  <c r="T15" i="42"/>
  <c r="T25" i="42"/>
  <c r="T23" i="42"/>
  <c r="T14" i="42"/>
  <c r="T33" i="42"/>
  <c r="T24" i="42"/>
  <c r="T18" i="42"/>
  <c r="X15" i="42"/>
  <c r="X33" i="42"/>
  <c r="X27" i="42"/>
  <c r="K8" i="42"/>
  <c r="X26" i="42"/>
  <c r="X25" i="42"/>
  <c r="X31" i="42"/>
  <c r="X22" i="42"/>
  <c r="N26" i="42"/>
  <c r="X19" i="42"/>
  <c r="N15" i="42"/>
  <c r="X21" i="42"/>
  <c r="N18" i="42"/>
  <c r="N20" i="42"/>
  <c r="X14" i="42"/>
  <c r="X16" i="42"/>
  <c r="X13" i="42"/>
  <c r="R9" i="42"/>
  <c r="X18" i="42"/>
  <c r="X23" i="42"/>
  <c r="N27" i="42"/>
  <c r="X24" i="42"/>
  <c r="X17" i="42"/>
  <c r="N21" i="42"/>
  <c r="N25" i="42"/>
  <c r="M12" i="21"/>
  <c r="L12" i="21" s="1"/>
  <c r="K12" i="21" s="1"/>
  <c r="O12" i="21"/>
  <c r="P12" i="21" s="1"/>
  <c r="Q12" i="21" s="1"/>
  <c r="DM15" i="12"/>
  <c r="DN15" i="12" s="1"/>
  <c r="DL12" i="14"/>
  <c r="DQ45" i="14"/>
  <c r="DV45" i="14" s="1"/>
  <c r="DL21" i="14"/>
  <c r="DL20" i="14" s="1"/>
  <c r="DO32" i="12"/>
  <c r="DP32" i="12" s="1"/>
  <c r="DQ32" i="12" s="1"/>
  <c r="DR32" i="12" s="1"/>
  <c r="DN32" i="12"/>
  <c r="DO28" i="12"/>
  <c r="DP28" i="12" s="1"/>
  <c r="DQ28" i="12" s="1"/>
  <c r="DR28" i="12" s="1"/>
  <c r="DS28" i="12" s="1"/>
  <c r="DN28" i="12"/>
  <c r="DS20" i="12"/>
  <c r="DT20" i="12"/>
  <c r="DU20" i="12" s="1"/>
  <c r="DV20" i="12" s="1"/>
  <c r="DW20" i="12" s="1"/>
  <c r="DS32" i="12"/>
  <c r="DT32" i="12"/>
  <c r="DU32" i="12" s="1"/>
  <c r="DV32" i="12" s="1"/>
  <c r="DW32" i="12" s="1"/>
  <c r="DS12" i="12"/>
  <c r="DT12" i="12"/>
  <c r="DU12" i="12" s="1"/>
  <c r="DV12" i="12" s="1"/>
  <c r="DW12" i="12" s="1"/>
  <c r="DM69" i="2"/>
  <c r="DN68" i="2"/>
  <c r="DO68" i="2"/>
  <c r="DO67" i="2"/>
  <c r="DP67" i="2" s="1"/>
  <c r="DQ67" i="2" s="1"/>
  <c r="DN67" i="2"/>
  <c r="DL45" i="2"/>
  <c r="DL28" i="2"/>
  <c r="CS41" i="13"/>
  <c r="CT41" i="13" s="1"/>
  <c r="CI34" i="13"/>
  <c r="CJ34" i="13" s="1"/>
  <c r="DD17" i="13"/>
  <c r="CV42" i="13"/>
  <c r="CV43" i="13" s="1"/>
  <c r="CW42" i="13" s="1"/>
  <c r="CQ36" i="13"/>
  <c r="CQ37" i="13" s="1"/>
  <c r="CR36" i="13" s="1"/>
  <c r="CR37" i="13" s="1"/>
  <c r="DB29" i="13"/>
  <c r="DC29" i="13" s="1"/>
  <c r="DD29" i="13" s="1"/>
  <c r="BZ44" i="13"/>
  <c r="EA37" i="13"/>
  <c r="CQ8" i="13"/>
  <c r="BW37" i="13"/>
  <c r="BR42" i="13"/>
  <c r="BR43" i="13" s="1"/>
  <c r="BS42" i="13" s="1"/>
  <c r="BS43" i="13" s="1"/>
  <c r="DI17" i="13"/>
  <c r="DM33" i="12"/>
  <c r="CY15" i="13"/>
  <c r="CB55" i="13"/>
  <c r="BT34" i="13"/>
  <c r="DI43" i="13"/>
  <c r="BR36" i="13"/>
  <c r="BR37" i="13" s="1"/>
  <c r="DG46" i="13"/>
  <c r="DR37" i="13"/>
  <c r="EB37" i="13"/>
  <c r="DU37" i="13"/>
  <c r="DX37" i="13" s="1"/>
  <c r="CY44" i="13"/>
  <c r="CC28" i="13"/>
  <c r="DI20" i="13"/>
  <c r="DM21" i="13"/>
  <c r="DN41" i="13"/>
  <c r="CH19" i="13"/>
  <c r="CI19" i="13" s="1"/>
  <c r="CJ19" i="13" s="1"/>
  <c r="CB42" i="13"/>
  <c r="CB43" i="13" s="1"/>
  <c r="CC42" i="13" s="1"/>
  <c r="BZ29" i="13"/>
  <c r="DO43" i="13"/>
  <c r="DP41" i="13"/>
  <c r="CD19" i="13"/>
  <c r="CE19" i="13" s="1"/>
  <c r="CI17" i="13"/>
  <c r="CJ17" i="13" s="1"/>
  <c r="CT29" i="13"/>
  <c r="DM43" i="13"/>
  <c r="DN43" i="13" s="1"/>
  <c r="DN26" i="12"/>
  <c r="DO26" i="12" s="1"/>
  <c r="DP26" i="12" s="1"/>
  <c r="DD19" i="13"/>
  <c r="CO18" i="13"/>
  <c r="BX55" i="13"/>
  <c r="BT28" i="13"/>
  <c r="CY35" i="13"/>
  <c r="CJ13" i="13"/>
  <c r="CR10" i="13"/>
  <c r="CM28" i="13"/>
  <c r="DX30" i="13"/>
  <c r="CM10" i="13"/>
  <c r="CG36" i="13"/>
  <c r="CG37" i="13" s="1"/>
  <c r="DN37" i="13"/>
  <c r="DM9" i="12"/>
  <c r="DN9" i="12" s="1"/>
  <c r="DO9" i="12" s="1"/>
  <c r="DP9" i="12" s="1"/>
  <c r="DQ9" i="12" s="1"/>
  <c r="DR9" i="12" s="1"/>
  <c r="DS9" i="12" s="1"/>
  <c r="DT9" i="12" s="1"/>
  <c r="DU9" i="12" s="1"/>
  <c r="DV9" i="12" s="1"/>
  <c r="DW9" i="12" s="1"/>
  <c r="DX9" i="12" s="1"/>
  <c r="DY9" i="12" s="1"/>
  <c r="DZ9" i="12" s="1"/>
  <c r="EA9" i="12" s="1"/>
  <c r="EB9" i="12" s="1"/>
  <c r="EC9" i="12" s="1"/>
  <c r="CH20" i="13"/>
  <c r="CI20" i="13" s="1"/>
  <c r="CH28" i="13"/>
  <c r="BT29" i="13"/>
  <c r="BU29" i="13" s="1"/>
  <c r="DB10" i="13"/>
  <c r="DK57" i="13"/>
  <c r="DI37" i="13"/>
  <c r="BU28" i="13"/>
  <c r="BU55" i="13" s="1"/>
  <c r="DA77" i="2"/>
  <c r="CJ40" i="13"/>
  <c r="BZ35" i="13"/>
  <c r="BU34" i="13"/>
  <c r="BT18" i="13"/>
  <c r="BU18" i="13" s="1"/>
  <c r="DI36" i="13"/>
  <c r="DB28" i="13"/>
  <c r="DB55" i="13" s="1"/>
  <c r="CZ57" i="13"/>
  <c r="DO18" i="12"/>
  <c r="DP18" i="12" s="1"/>
  <c r="DQ18" i="12" s="1"/>
  <c r="DR18" i="12" s="1"/>
  <c r="CR18" i="13"/>
  <c r="CT18" i="13" s="1"/>
  <c r="BT17" i="13"/>
  <c r="BU17" i="13" s="1"/>
  <c r="DA8" i="13"/>
  <c r="DI21" i="13"/>
  <c r="DE46" i="13"/>
  <c r="DJ46" i="13"/>
  <c r="CH42" i="13"/>
  <c r="CH43" i="13" s="1"/>
  <c r="DD20" i="13"/>
  <c r="DF22" i="13"/>
  <c r="DA54" i="13"/>
  <c r="DA57" i="13" s="1"/>
  <c r="DB24" i="13"/>
  <c r="DE22" i="13"/>
  <c r="BR7" i="12"/>
  <c r="BR47" i="12"/>
  <c r="BR49" i="12" s="1"/>
  <c r="BR14" i="12"/>
  <c r="CS17" i="13"/>
  <c r="CT17" i="13" s="1"/>
  <c r="CN40" i="13"/>
  <c r="CO40" i="13" s="1"/>
  <c r="CE17" i="13"/>
  <c r="CR19" i="13"/>
  <c r="CE29" i="13"/>
  <c r="CY34" i="13"/>
  <c r="BZ13" i="13"/>
  <c r="BX57" i="2"/>
  <c r="CM15" i="13"/>
  <c r="CN15" i="13" s="1"/>
  <c r="CC34" i="13"/>
  <c r="CQ42" i="13"/>
  <c r="CQ43" i="13" s="1"/>
  <c r="CR40" i="13"/>
  <c r="CE44" i="13"/>
  <c r="CZ51" i="13"/>
  <c r="DA51" i="13" s="1"/>
  <c r="DB51" i="13" s="1"/>
  <c r="DC51" i="13" s="1"/>
  <c r="CY51" i="13"/>
  <c r="DC13" i="13"/>
  <c r="DK60" i="13"/>
  <c r="DK59" i="13"/>
  <c r="BW77" i="2"/>
  <c r="BX10" i="13"/>
  <c r="CR21" i="13"/>
  <c r="CS21" i="13" s="1"/>
  <c r="CJ44" i="13"/>
  <c r="DC28" i="13"/>
  <c r="DD28" i="13" s="1"/>
  <c r="DD55" i="13" s="1"/>
  <c r="CL8" i="13"/>
  <c r="CI30" i="13"/>
  <c r="CJ30" i="13" s="1"/>
  <c r="BT41" i="13"/>
  <c r="BU41" i="13" s="1"/>
  <c r="DC15" i="13"/>
  <c r="DD15" i="13" s="1"/>
  <c r="DB41" i="13"/>
  <c r="DA43" i="13"/>
  <c r="DA46" i="13" s="1"/>
  <c r="CH18" i="13"/>
  <c r="CL36" i="13"/>
  <c r="CL37" i="13" s="1"/>
  <c r="CO30" i="13"/>
  <c r="DC44" i="13"/>
  <c r="DD44" i="13" s="1"/>
  <c r="T5" i="13"/>
  <c r="U5" i="13" s="1"/>
  <c r="V5" i="13" s="1"/>
  <c r="X5" i="13"/>
  <c r="CZ60" i="13"/>
  <c r="BY17" i="13"/>
  <c r="BZ17" i="13" s="1"/>
  <c r="CJ57" i="2"/>
  <c r="CH56" i="2"/>
  <c r="CJ56" i="2" s="1"/>
  <c r="CW17" i="13"/>
  <c r="CC20" i="13"/>
  <c r="BY40" i="13"/>
  <c r="BY42" i="13" s="1"/>
  <c r="BZ42" i="13" s="1"/>
  <c r="CL57" i="2"/>
  <c r="CM13" i="13"/>
  <c r="CO39" i="13"/>
  <c r="CD40" i="13"/>
  <c r="CE40" i="13" s="1"/>
  <c r="CD41" i="13"/>
  <c r="CE41" i="13" s="1"/>
  <c r="DC30" i="13"/>
  <c r="DD30" i="13" s="1"/>
  <c r="CX13" i="13"/>
  <c r="CL42" i="13"/>
  <c r="BT56" i="2"/>
  <c r="BU56" i="2" s="1"/>
  <c r="BU57" i="2"/>
  <c r="CN19" i="13"/>
  <c r="CO19" i="13" s="1"/>
  <c r="CN20" i="13"/>
  <c r="CO20" i="13" s="1"/>
  <c r="CW29" i="13"/>
  <c r="CX29" i="13" s="1"/>
  <c r="CV36" i="13"/>
  <c r="CV37" i="13" s="1"/>
  <c r="CI41" i="13"/>
  <c r="CJ41" i="13" s="1"/>
  <c r="DF46" i="13"/>
  <c r="DS32" i="13"/>
  <c r="DO37" i="13"/>
  <c r="DY37" i="13"/>
  <c r="EC32" i="13"/>
  <c r="DS30" i="13"/>
  <c r="DQ37" i="13"/>
  <c r="CY19" i="13"/>
  <c r="CY21" i="13"/>
  <c r="O5" i="13"/>
  <c r="P5" i="13" s="1"/>
  <c r="Q5" i="13" s="1"/>
  <c r="CY40" i="13"/>
  <c r="CX41" i="13"/>
  <c r="CY41" i="13" s="1"/>
  <c r="T3" i="35"/>
  <c r="L3" i="35"/>
  <c r="E35" i="37"/>
  <c r="E38" i="37"/>
  <c r="E30" i="42"/>
  <c r="E34" i="37"/>
  <c r="E39" i="37"/>
  <c r="E29" i="37"/>
  <c r="E31" i="37"/>
  <c r="E26" i="37"/>
  <c r="E33" i="37"/>
  <c r="E32" i="42"/>
  <c r="E37" i="37"/>
  <c r="E35" i="42"/>
  <c r="E28" i="37"/>
  <c r="E36" i="37"/>
  <c r="E30" i="37"/>
  <c r="E28" i="42"/>
  <c r="E34" i="42"/>
  <c r="E22" i="42"/>
  <c r="E24" i="42"/>
  <c r="E27" i="37"/>
  <c r="E25" i="37"/>
  <c r="E21" i="37"/>
  <c r="E13" i="37"/>
  <c r="E32" i="37"/>
  <c r="E29" i="42"/>
  <c r="E25" i="42"/>
  <c r="E15" i="37"/>
  <c r="E21" i="42"/>
  <c r="E17" i="42"/>
  <c r="E18" i="42"/>
  <c r="E20" i="42"/>
  <c r="E16" i="42"/>
  <c r="E26" i="42"/>
  <c r="E16" i="37"/>
  <c r="E27" i="42"/>
  <c r="E31" i="42"/>
  <c r="E14" i="37"/>
  <c r="E19" i="42"/>
  <c r="E23" i="42"/>
  <c r="E17" i="37"/>
  <c r="E14" i="42"/>
  <c r="E15" i="42"/>
  <c r="E18" i="37"/>
  <c r="E13" i="42"/>
  <c r="E33" i="42"/>
  <c r="E19" i="37"/>
  <c r="AM22" i="37"/>
  <c r="BW22" i="37"/>
  <c r="CL176" i="35" a="1"/>
  <c r="Q22" i="37"/>
  <c r="AS22" i="37"/>
  <c r="CI176" i="35" a="1"/>
  <c r="BK22" i="37"/>
  <c r="AY22" i="37"/>
  <c r="CK176" i="35" a="1"/>
  <c r="Z22" i="37"/>
  <c r="BQ22" i="37"/>
  <c r="S22" i="37"/>
  <c r="CH176" i="35" a="1"/>
  <c r="AF22" i="37"/>
  <c r="BE22" i="37"/>
  <c r="CC22" i="37"/>
  <c r="CJ176" i="35" a="1"/>
  <c r="CO75" i="35" a="1"/>
  <c r="CU30" i="2" l="1"/>
  <c r="CT16" i="2"/>
  <c r="CF28" i="2"/>
  <c r="CE19" i="2"/>
  <c r="CD45" i="2"/>
  <c r="CD55" i="2" s="1"/>
  <c r="CD30" i="2"/>
  <c r="BZ130" i="2"/>
  <c r="BZ30" i="13"/>
  <c r="CH36" i="13"/>
  <c r="CH37" i="13" s="1"/>
  <c r="CT9" i="13"/>
  <c r="CS36" i="13"/>
  <c r="CS37" i="13" s="1"/>
  <c r="CT37" i="13" s="1"/>
  <c r="CO75" i="35"/>
  <c r="CS13" i="13"/>
  <c r="DB37" i="13"/>
  <c r="DG58" i="13"/>
  <c r="DE59" i="13"/>
  <c r="DE60" i="13"/>
  <c r="DE61" i="13" s="1"/>
  <c r="CX28" i="13"/>
  <c r="DG60" i="13"/>
  <c r="DL61" i="13" s="1"/>
  <c r="DI56" i="2"/>
  <c r="BZ144" i="2"/>
  <c r="DK47" i="2"/>
  <c r="DI52" i="2"/>
  <c r="BU89" i="2"/>
  <c r="BZ119" i="2"/>
  <c r="CT51" i="12"/>
  <c r="BU137" i="2"/>
  <c r="CT136" i="2"/>
  <c r="DK54" i="12"/>
  <c r="DP54" i="12" s="1"/>
  <c r="DU54" i="12" s="1"/>
  <c r="DZ54" i="12" s="1"/>
  <c r="CV54" i="12"/>
  <c r="CT142" i="2"/>
  <c r="BU136" i="2"/>
  <c r="BU66" i="13"/>
  <c r="CJ117" i="2"/>
  <c r="CN184" i="35"/>
  <c r="BZ131" i="2"/>
  <c r="BZ145" i="2"/>
  <c r="BZ39" i="2"/>
  <c r="BU39" i="2"/>
  <c r="CT21" i="2"/>
  <c r="BZ66" i="13"/>
  <c r="CT131" i="2"/>
  <c r="BU133" i="2"/>
  <c r="CT119" i="2"/>
  <c r="CT89" i="2"/>
  <c r="CY16" i="2"/>
  <c r="CT138" i="2"/>
  <c r="CO16" i="2"/>
  <c r="DK62" i="12"/>
  <c r="DP62" i="12" s="1"/>
  <c r="DU62" i="12" s="1"/>
  <c r="DZ62" i="12" s="1"/>
  <c r="DH28" i="2"/>
  <c r="CV62" i="12"/>
  <c r="CT145" i="2"/>
  <c r="BU132" i="2"/>
  <c r="BZ133" i="2"/>
  <c r="CT37" i="2"/>
  <c r="CT132" i="2"/>
  <c r="BU35" i="2"/>
  <c r="DK61" i="12"/>
  <c r="DP61" i="12" s="1"/>
  <c r="DU61" i="12" s="1"/>
  <c r="DZ61" i="12" s="1"/>
  <c r="BZ139" i="2"/>
  <c r="CT139" i="2"/>
  <c r="BU131" i="2"/>
  <c r="CT41" i="2"/>
  <c r="CO119" i="2"/>
  <c r="DK30" i="2"/>
  <c r="CJ184" i="35"/>
  <c r="L5" i="2"/>
  <c r="L74" i="2" s="1"/>
  <c r="K74" i="2"/>
  <c r="DA30" i="2"/>
  <c r="CP53" i="12"/>
  <c r="G5" i="2"/>
  <c r="F74" i="2"/>
  <c r="CT117" i="2"/>
  <c r="BU96" i="2"/>
  <c r="CP54" i="12"/>
  <c r="BZ138" i="2"/>
  <c r="CM45" i="2"/>
  <c r="CM47" i="2" s="1"/>
  <c r="CP62" i="12"/>
  <c r="CT27" i="2"/>
  <c r="CT28" i="2" s="1"/>
  <c r="DF28" i="2"/>
  <c r="BU145" i="2"/>
  <c r="CE16" i="2"/>
  <c r="CU28" i="2"/>
  <c r="CU29" i="2" s="1"/>
  <c r="CT130" i="2"/>
  <c r="BZ19" i="2"/>
  <c r="BZ41" i="2"/>
  <c r="CT143" i="2"/>
  <c r="CR39" i="14"/>
  <c r="CY119" i="2"/>
  <c r="BX28" i="2"/>
  <c r="CP45" i="2"/>
  <c r="CP47" i="2" s="1"/>
  <c r="DF45" i="2"/>
  <c r="DF47" i="2" s="1"/>
  <c r="BU144" i="2"/>
  <c r="BU143" i="2"/>
  <c r="BU41" i="2"/>
  <c r="CJ119" i="2"/>
  <c r="BZ35" i="2"/>
  <c r="CT144" i="2"/>
  <c r="BU139" i="2"/>
  <c r="BU130" i="2"/>
  <c r="DI54" i="2"/>
  <c r="BZ16" i="2"/>
  <c r="CT96" i="2"/>
  <c r="CV45" i="2"/>
  <c r="CV76" i="2" s="1"/>
  <c r="BU138" i="2"/>
  <c r="BU142" i="2"/>
  <c r="CV39" i="14"/>
  <c r="P5" i="2"/>
  <c r="O74" i="2"/>
  <c r="CI184" i="35"/>
  <c r="CK184" i="35"/>
  <c r="CO184" i="35"/>
  <c r="CM184" i="35"/>
  <c r="CK183" i="35"/>
  <c r="DF76" i="2"/>
  <c r="DO33" i="2"/>
  <c r="DT33" i="2" s="1"/>
  <c r="DY33" i="2" s="1"/>
  <c r="CY138" i="2"/>
  <c r="CM5" i="35"/>
  <c r="CM35" i="35"/>
  <c r="CY57" i="12"/>
  <c r="CJ35" i="35"/>
  <c r="CJ5" i="35"/>
  <c r="CJ9" i="35" s="1"/>
  <c r="CJ57" i="12"/>
  <c r="BZ21" i="2"/>
  <c r="CH35" i="35"/>
  <c r="CH5" i="35"/>
  <c r="CH9" i="35" s="1"/>
  <c r="BZ57" i="12"/>
  <c r="CI35" i="35"/>
  <c r="CI5" i="35"/>
  <c r="CE57" i="12"/>
  <c r="CK35" i="35"/>
  <c r="CK5" i="35"/>
  <c r="CK9" i="35" s="1"/>
  <c r="CO57" i="12"/>
  <c r="DD43" i="2"/>
  <c r="CN5" i="35"/>
  <c r="CN9" i="35" s="1"/>
  <c r="CN35" i="35"/>
  <c r="DD57" i="12"/>
  <c r="CO5" i="35"/>
  <c r="CO9" i="35" s="1"/>
  <c r="CO35" i="35"/>
  <c r="DI57" i="12"/>
  <c r="BU44" i="2"/>
  <c r="BU58" i="12"/>
  <c r="DP33" i="2"/>
  <c r="DU33" i="2" s="1"/>
  <c r="DZ33" i="2" s="1"/>
  <c r="DM54" i="12"/>
  <c r="DR54" i="12" s="1"/>
  <c r="DW54" i="12" s="1"/>
  <c r="EB54" i="12" s="1"/>
  <c r="DQ54" i="12"/>
  <c r="DV54" i="12" s="1"/>
  <c r="EA54" i="12" s="1"/>
  <c r="CL35" i="35"/>
  <c r="CL5" i="35"/>
  <c r="CL9" i="35" s="1"/>
  <c r="CT57" i="12"/>
  <c r="AL99" i="35"/>
  <c r="DJ239" i="14"/>
  <c r="DJ238" i="14"/>
  <c r="AM96" i="35"/>
  <c r="DK232" i="14"/>
  <c r="AK97" i="35"/>
  <c r="DH234" i="14"/>
  <c r="AH97" i="35"/>
  <c r="DI233" i="14"/>
  <c r="AK98" i="35"/>
  <c r="DH236" i="14"/>
  <c r="AH98" i="35"/>
  <c r="DI235" i="14"/>
  <c r="AH99" i="35"/>
  <c r="DI237" i="14"/>
  <c r="CO212" i="35" s="1"/>
  <c r="CO218" i="35" s="1"/>
  <c r="AK99" i="35"/>
  <c r="DH238" i="14"/>
  <c r="AM99" i="35"/>
  <c r="DK239" i="14"/>
  <c r="DK238" i="14"/>
  <c r="AJ98" i="35"/>
  <c r="DG236" i="14"/>
  <c r="AL97" i="35"/>
  <c r="DJ234" i="14"/>
  <c r="AJ99" i="35"/>
  <c r="DG238" i="14"/>
  <c r="AM97" i="35"/>
  <c r="DK234" i="14"/>
  <c r="AM98" i="35"/>
  <c r="DK236" i="14"/>
  <c r="AH96" i="35"/>
  <c r="DI231" i="14"/>
  <c r="AK96" i="35"/>
  <c r="DH232" i="14"/>
  <c r="AJ96" i="35"/>
  <c r="DG232" i="14"/>
  <c r="AL98" i="35"/>
  <c r="DJ236" i="14"/>
  <c r="DL238" i="14"/>
  <c r="AJ97" i="35"/>
  <c r="DG234" i="14"/>
  <c r="AL96" i="35"/>
  <c r="DJ232" i="14"/>
  <c r="DI219" i="14"/>
  <c r="DD139" i="14"/>
  <c r="I48" i="45" s="1"/>
  <c r="CP39" i="14"/>
  <c r="CQ20" i="14"/>
  <c r="CQ39" i="14"/>
  <c r="DD131" i="14"/>
  <c r="DD134" i="14" s="1"/>
  <c r="DD137" i="14"/>
  <c r="I46" i="45" s="1"/>
  <c r="DD21" i="14"/>
  <c r="CJ21" i="14"/>
  <c r="CJ20" i="14" s="1"/>
  <c r="BU21" i="14"/>
  <c r="BV20" i="14"/>
  <c r="CE21" i="14"/>
  <c r="CE20" i="14" s="1"/>
  <c r="BQ20" i="14"/>
  <c r="CT21" i="14"/>
  <c r="CL176" i="35"/>
  <c r="CI176" i="35"/>
  <c r="CK176" i="35"/>
  <c r="CH176" i="35"/>
  <c r="CJ176" i="35"/>
  <c r="CY44" i="14"/>
  <c r="CY31" i="14"/>
  <c r="H117" i="45"/>
  <c r="DI21" i="14"/>
  <c r="DI20" i="14" s="1"/>
  <c r="CY21" i="14"/>
  <c r="CJ131" i="14"/>
  <c r="E50" i="45"/>
  <c r="F122" i="45"/>
  <c r="F121" i="45"/>
  <c r="CO131" i="14"/>
  <c r="F50" i="45"/>
  <c r="CG20" i="14"/>
  <c r="BZ131" i="14"/>
  <c r="C50" i="45"/>
  <c r="DI131" i="14"/>
  <c r="J40" i="45" s="1"/>
  <c r="J50" i="45"/>
  <c r="AC9" i="35"/>
  <c r="AC8" i="35"/>
  <c r="AG8" i="35"/>
  <c r="AG83" i="35" s="1"/>
  <c r="BZ21" i="14"/>
  <c r="CO21" i="14"/>
  <c r="CO20" i="14" s="1"/>
  <c r="E121" i="45"/>
  <c r="E122" i="45"/>
  <c r="J121" i="45"/>
  <c r="J122" i="45"/>
  <c r="CE131" i="14"/>
  <c r="D50" i="45"/>
  <c r="I121" i="45"/>
  <c r="I122" i="45"/>
  <c r="G121" i="45"/>
  <c r="G122" i="45"/>
  <c r="CD33" i="14"/>
  <c r="BX20" i="14"/>
  <c r="BX39" i="14"/>
  <c r="DG20" i="14"/>
  <c r="DG39" i="14"/>
  <c r="AP80" i="35"/>
  <c r="DP13" i="14"/>
  <c r="CU146" i="14"/>
  <c r="CU150" i="14" s="1"/>
  <c r="CU151" i="14" s="1"/>
  <c r="CU152" i="14" s="1"/>
  <c r="CU153" i="14" s="1"/>
  <c r="CF20" i="14"/>
  <c r="CF39" i="14"/>
  <c r="CC20" i="14"/>
  <c r="CC39" i="14"/>
  <c r="CF71" i="14"/>
  <c r="N151" i="35" s="1"/>
  <c r="N155" i="35" s="1"/>
  <c r="DK39" i="14"/>
  <c r="DK20" i="14"/>
  <c r="DJ20" i="14"/>
  <c r="CJ8" i="35"/>
  <c r="CL8" i="35"/>
  <c r="CK8" i="35"/>
  <c r="CI8" i="35"/>
  <c r="CO8" i="35"/>
  <c r="CG143" i="14"/>
  <c r="CG146" i="14" s="1"/>
  <c r="CG150" i="14" s="1"/>
  <c r="CG44" i="14"/>
  <c r="CZ143" i="14"/>
  <c r="CZ146" i="14" s="1"/>
  <c r="CZ150" i="14" s="1"/>
  <c r="CZ151" i="14" s="1"/>
  <c r="CZ152" i="14" s="1"/>
  <c r="CZ153" i="14" s="1"/>
  <c r="CZ44" i="14"/>
  <c r="BW143" i="14"/>
  <c r="BW146" i="14" s="1"/>
  <c r="BW150" i="14" s="1"/>
  <c r="BW151" i="14" s="1"/>
  <c r="BW152" i="14" s="1"/>
  <c r="BW153" i="14" s="1"/>
  <c r="BW44" i="14"/>
  <c r="CQ143" i="14"/>
  <c r="CQ146" i="14" s="1"/>
  <c r="CQ150" i="14" s="1"/>
  <c r="CQ151" i="14" s="1"/>
  <c r="CQ152" i="14" s="1"/>
  <c r="CQ153" i="14" s="1"/>
  <c r="CQ44" i="14"/>
  <c r="CB143" i="14"/>
  <c r="CB146" i="14" s="1"/>
  <c r="CB150" i="14" s="1"/>
  <c r="CB44" i="14"/>
  <c r="CL143" i="14"/>
  <c r="CL146" i="14" s="1"/>
  <c r="CL150" i="14" s="1"/>
  <c r="CL44" i="14"/>
  <c r="CK150" i="14"/>
  <c r="CK151" i="14" s="1"/>
  <c r="CK152" i="14" s="1"/>
  <c r="CK153" i="14" s="1"/>
  <c r="CV143" i="14"/>
  <c r="CV146" i="14" s="1"/>
  <c r="CV150" i="14" s="1"/>
  <c r="CV151" i="14" s="1"/>
  <c r="CV152" i="14" s="1"/>
  <c r="CV153" i="14" s="1"/>
  <c r="CV44" i="14"/>
  <c r="CI71" i="14"/>
  <c r="Q151" i="35" s="1"/>
  <c r="Q155" i="35" s="1"/>
  <c r="CM71" i="14"/>
  <c r="T151" i="35" s="1"/>
  <c r="T155" i="35" s="1"/>
  <c r="CG71" i="14"/>
  <c r="O151" i="35" s="1"/>
  <c r="O155" i="35" s="1"/>
  <c r="CN71" i="14"/>
  <c r="U151" i="35" s="1"/>
  <c r="U155" i="35" s="1"/>
  <c r="CL71" i="14"/>
  <c r="S151" i="35" s="1"/>
  <c r="S155" i="35" s="1"/>
  <c r="CK71" i="14"/>
  <c r="R151" i="35" s="1"/>
  <c r="R155" i="35" s="1"/>
  <c r="CT139" i="14"/>
  <c r="G48" i="45" s="1"/>
  <c r="CT137" i="14"/>
  <c r="G46" i="45" s="1"/>
  <c r="CT131" i="14"/>
  <c r="CH71" i="14"/>
  <c r="P151" i="35" s="1"/>
  <c r="P155" i="35" s="1"/>
  <c r="CO69" i="14"/>
  <c r="DI55" i="14"/>
  <c r="DM63" i="14"/>
  <c r="CM54" i="14"/>
  <c r="CX54" i="14"/>
  <c r="CX55" i="14"/>
  <c r="DR54" i="14"/>
  <c r="CN54" i="14"/>
  <c r="CR55" i="14"/>
  <c r="CL54" i="14"/>
  <c r="DC55" i="14"/>
  <c r="CS55" i="14"/>
  <c r="DI137" i="14"/>
  <c r="J46" i="45" s="1"/>
  <c r="DI139" i="14"/>
  <c r="J48" i="45" s="1"/>
  <c r="CM7" i="35"/>
  <c r="CY141" i="14"/>
  <c r="H50" i="45" s="1"/>
  <c r="AO26" i="37"/>
  <c r="CU186" i="14"/>
  <c r="CU187" i="14" s="1"/>
  <c r="CU188" i="14" s="1"/>
  <c r="CU189" i="14" s="1"/>
  <c r="CP151" i="14"/>
  <c r="CP152" i="14" s="1"/>
  <c r="CP153" i="14" s="1"/>
  <c r="CN120" i="35"/>
  <c r="CU194" i="14"/>
  <c r="CU198" i="14" s="1"/>
  <c r="CU199" i="14" s="1"/>
  <c r="CU200" i="14" s="1"/>
  <c r="CU201" i="14" s="1"/>
  <c r="CU162" i="14"/>
  <c r="CU163" i="14" s="1"/>
  <c r="CU164" i="14" s="1"/>
  <c r="CU165" i="14" s="1"/>
  <c r="CU170" i="14"/>
  <c r="CU174" i="14" s="1"/>
  <c r="CU175" i="14" s="1"/>
  <c r="CU176" i="14" s="1"/>
  <c r="CU177" i="14" s="1"/>
  <c r="CP194" i="14"/>
  <c r="CP198" i="14" s="1"/>
  <c r="CP199" i="14" s="1"/>
  <c r="CP200" i="14" s="1"/>
  <c r="CP201" i="14" s="1"/>
  <c r="CP170" i="14"/>
  <c r="CP174" i="14" s="1"/>
  <c r="CP175" i="14" s="1"/>
  <c r="CP176" i="14" s="1"/>
  <c r="CP177" i="14" s="1"/>
  <c r="CP158" i="14"/>
  <c r="CP162" i="14" s="1"/>
  <c r="CK158" i="14"/>
  <c r="CK162" i="14" s="1"/>
  <c r="CK170" i="14"/>
  <c r="CK174" i="14" s="1"/>
  <c r="CK175" i="14" s="1"/>
  <c r="CK176" i="14" s="1"/>
  <c r="CK177" i="14" s="1"/>
  <c r="CF174" i="14"/>
  <c r="CF175" i="14" s="1"/>
  <c r="CF176" i="14" s="1"/>
  <c r="CF177" i="14" s="1"/>
  <c r="CF158" i="14"/>
  <c r="CF162" i="14" s="1"/>
  <c r="CF163" i="14" s="1"/>
  <c r="CF164" i="14" s="1"/>
  <c r="CF165" i="14" s="1"/>
  <c r="CA158" i="14"/>
  <c r="CA162" i="14" s="1"/>
  <c r="CA163" i="14" s="1"/>
  <c r="CA164" i="14" s="1"/>
  <c r="CA165" i="14" s="1"/>
  <c r="BV170" i="14"/>
  <c r="BV174" i="14" s="1"/>
  <c r="BV158" i="14"/>
  <c r="BV162" i="14" s="1"/>
  <c r="BV163" i="14" s="1"/>
  <c r="BV164" i="14" s="1"/>
  <c r="BV165" i="14" s="1"/>
  <c r="BV194" i="14"/>
  <c r="BV198" i="14" s="1"/>
  <c r="BV199" i="14" s="1"/>
  <c r="BV200" i="14" s="1"/>
  <c r="BV201" i="14" s="1"/>
  <c r="CZ191" i="14"/>
  <c r="CZ155" i="14"/>
  <c r="CZ167" i="14"/>
  <c r="CL179" i="14"/>
  <c r="CL182" i="14" s="1"/>
  <c r="CL186" i="14" s="1"/>
  <c r="CL187" i="14" s="1"/>
  <c r="CL188" i="14" s="1"/>
  <c r="CL189" i="14" s="1"/>
  <c r="CL191" i="14"/>
  <c r="CL155" i="14"/>
  <c r="CL167" i="14"/>
  <c r="CL170" i="14" s="1"/>
  <c r="CL174" i="14" s="1"/>
  <c r="CL175" i="14" s="1"/>
  <c r="CL176" i="14" s="1"/>
  <c r="CL177" i="14" s="1"/>
  <c r="CG191" i="14"/>
  <c r="CG194" i="14" s="1"/>
  <c r="CG167" i="14"/>
  <c r="CG155" i="14"/>
  <c r="CB191" i="14"/>
  <c r="CB194" i="14" s="1"/>
  <c r="CB155" i="14"/>
  <c r="CB158" i="14" s="1"/>
  <c r="CB167" i="14"/>
  <c r="CQ155" i="14"/>
  <c r="CQ191" i="14"/>
  <c r="CQ194" i="14" s="1"/>
  <c r="CQ198" i="14" s="1"/>
  <c r="CQ199" i="14" s="1"/>
  <c r="CQ200" i="14" s="1"/>
  <c r="CQ201" i="14" s="1"/>
  <c r="CQ167" i="14"/>
  <c r="BW191" i="14"/>
  <c r="BW194" i="14" s="1"/>
  <c r="BW167" i="14"/>
  <c r="BW155" i="14"/>
  <c r="CV179" i="14"/>
  <c r="CV182" i="14" s="1"/>
  <c r="CV186" i="14" s="1"/>
  <c r="CV187" i="14" s="1"/>
  <c r="CV188" i="14" s="1"/>
  <c r="CV189" i="14" s="1"/>
  <c r="CV191" i="14"/>
  <c r="CV194" i="14" s="1"/>
  <c r="CV167" i="14"/>
  <c r="CV155" i="14"/>
  <c r="CF35" i="14"/>
  <c r="CA35" i="14"/>
  <c r="CK35" i="14"/>
  <c r="CF182" i="14"/>
  <c r="CF186" i="14" s="1"/>
  <c r="CA182" i="14"/>
  <c r="CA186" i="14" s="1"/>
  <c r="CZ179" i="14"/>
  <c r="CG32" i="14"/>
  <c r="CG179" i="14"/>
  <c r="CB32" i="14"/>
  <c r="CB179" i="14"/>
  <c r="CB182" i="14" s="1"/>
  <c r="CB186" i="14" s="1"/>
  <c r="CB187" i="14" s="1"/>
  <c r="CB188" i="14" s="1"/>
  <c r="CB189" i="14" s="1"/>
  <c r="CQ32" i="14"/>
  <c r="CQ179" i="14"/>
  <c r="CQ182" i="14" s="1"/>
  <c r="CQ186" i="14" s="1"/>
  <c r="CQ187" i="14" s="1"/>
  <c r="CQ188" i="14" s="1"/>
  <c r="CQ189" i="14" s="1"/>
  <c r="BW32" i="14"/>
  <c r="BW179" i="14"/>
  <c r="BW182" i="14" s="1"/>
  <c r="BW186" i="14" s="1"/>
  <c r="BW187" i="14" s="1"/>
  <c r="BW188" i="14" s="1"/>
  <c r="BW189" i="14" s="1"/>
  <c r="BZ17" i="14"/>
  <c r="CO38" i="14"/>
  <c r="CI46" i="14"/>
  <c r="DF47" i="14"/>
  <c r="DU45" i="14"/>
  <c r="DP46" i="14"/>
  <c r="CK119" i="35"/>
  <c r="Q3" i="35"/>
  <c r="CL120" i="35"/>
  <c r="CO120" i="35"/>
  <c r="CG23" i="14"/>
  <c r="CZ71" i="14"/>
  <c r="AD151" i="35" s="1"/>
  <c r="AD155" i="35" s="1"/>
  <c r="BW22" i="14"/>
  <c r="CK33" i="14"/>
  <c r="CN47" i="14"/>
  <c r="CU35" i="14"/>
  <c r="CA33" i="14"/>
  <c r="CZ30" i="14"/>
  <c r="CZ32" i="14"/>
  <c r="CZ33" i="14" s="1"/>
  <c r="CE57" i="2"/>
  <c r="BY25" i="37"/>
  <c r="X34" i="42"/>
  <c r="AB37" i="37"/>
  <c r="AB29" i="37"/>
  <c r="AB19" i="37"/>
  <c r="BS13" i="37"/>
  <c r="AO36" i="37"/>
  <c r="BY29" i="37"/>
  <c r="AB34" i="42"/>
  <c r="BS17" i="37"/>
  <c r="BS18" i="37" s="1"/>
  <c r="AO28" i="37"/>
  <c r="AF34" i="42"/>
  <c r="AB32" i="37"/>
  <c r="AB13" i="37"/>
  <c r="BS37" i="37"/>
  <c r="BS19" i="37"/>
  <c r="BS20" i="37" s="1"/>
  <c r="AB15" i="37"/>
  <c r="BY19" i="37"/>
  <c r="AB25" i="37"/>
  <c r="CX76" i="2"/>
  <c r="CX105" i="2" s="1"/>
  <c r="CX108" i="2" s="1"/>
  <c r="CX47" i="2"/>
  <c r="CX55" i="2"/>
  <c r="CX59" i="2" s="1"/>
  <c r="DK46" i="14"/>
  <c r="CE118" i="2"/>
  <c r="DL46" i="14"/>
  <c r="BU118" i="2"/>
  <c r="CO44" i="2"/>
  <c r="DC30" i="2"/>
  <c r="CX28" i="2"/>
  <c r="DK47" i="14"/>
  <c r="CZ30" i="2"/>
  <c r="CM30" i="2"/>
  <c r="CG22" i="14"/>
  <c r="DM33" i="2"/>
  <c r="DR33" i="2" s="1"/>
  <c r="DW33" i="2" s="1"/>
  <c r="EB33" i="2" s="1"/>
  <c r="CK46" i="14"/>
  <c r="CJ19" i="2"/>
  <c r="AO39" i="37"/>
  <c r="BZ37" i="2"/>
  <c r="BZ136" i="2"/>
  <c r="CN28" i="2"/>
  <c r="DH120" i="2"/>
  <c r="DI120" i="2" s="1"/>
  <c r="BY31" i="37"/>
  <c r="BY32" i="37"/>
  <c r="BU43" i="2"/>
  <c r="CJ69" i="14"/>
  <c r="CF66" i="14"/>
  <c r="CF73" i="14"/>
  <c r="CF78" i="14" s="1"/>
  <c r="CB73" i="14"/>
  <c r="CB78" i="14" s="1"/>
  <c r="BZ33" i="2"/>
  <c r="BZ142" i="2"/>
  <c r="BZ132" i="2"/>
  <c r="AO21" i="37"/>
  <c r="AH36" i="37"/>
  <c r="BY13" i="37"/>
  <c r="BY28" i="37" s="1"/>
  <c r="BY17" i="37"/>
  <c r="CI61" i="14"/>
  <c r="CI56" i="14"/>
  <c r="CI62" i="14"/>
  <c r="CG66" i="14"/>
  <c r="CG73" i="14"/>
  <c r="CG78" i="14" s="1"/>
  <c r="DJ66" i="14"/>
  <c r="DO66" i="14" s="1"/>
  <c r="DT66" i="14" s="1"/>
  <c r="CQ66" i="14"/>
  <c r="DK69" i="14"/>
  <c r="CM59" i="14"/>
  <c r="CM73" i="14" s="1"/>
  <c r="CM78" i="14" s="1"/>
  <c r="CV66" i="14"/>
  <c r="DA68" i="14" s="1"/>
  <c r="CP66" i="14"/>
  <c r="CT69" i="14"/>
  <c r="CK66" i="14"/>
  <c r="CK73" i="14"/>
  <c r="CK78" i="14" s="1"/>
  <c r="AB27" i="37"/>
  <c r="BS27" i="37"/>
  <c r="BS29" i="37"/>
  <c r="BS30" i="37" s="1"/>
  <c r="DO15" i="12"/>
  <c r="CG65" i="14"/>
  <c r="DD43" i="14"/>
  <c r="CN192" i="35" s="1"/>
  <c r="CC23" i="14"/>
  <c r="CI66" i="14"/>
  <c r="CI73" i="14"/>
  <c r="CI78" i="14" s="1"/>
  <c r="CF61" i="14"/>
  <c r="CJ59" i="14"/>
  <c r="CF56" i="14"/>
  <c r="DF66" i="14"/>
  <c r="CC62" i="14"/>
  <c r="CL62" i="14"/>
  <c r="CL56" i="14"/>
  <c r="CL61" i="14"/>
  <c r="BU119" i="2"/>
  <c r="BY15" i="37"/>
  <c r="CG56" i="14"/>
  <c r="CG61" i="14"/>
  <c r="CG62" i="14"/>
  <c r="DH66" i="14"/>
  <c r="DM66" i="14" s="1"/>
  <c r="CH66" i="14"/>
  <c r="CH73" i="14"/>
  <c r="CH78" i="14" s="1"/>
  <c r="CZ66" i="14"/>
  <c r="DA67" i="14" s="1"/>
  <c r="U23" i="37"/>
  <c r="U24" i="37"/>
  <c r="CL66" i="14"/>
  <c r="CL73" i="14"/>
  <c r="CL78" i="14" s="1"/>
  <c r="CE59" i="14"/>
  <c r="CD73" i="14"/>
  <c r="CD78" i="14" s="1"/>
  <c r="CD66" i="14"/>
  <c r="CY21" i="2"/>
  <c r="BZ137" i="2"/>
  <c r="BZ12" i="2"/>
  <c r="CH6" i="35" s="1"/>
  <c r="CL46" i="14"/>
  <c r="BY9" i="37"/>
  <c r="BY10" i="37" s="1"/>
  <c r="CH65" i="14"/>
  <c r="BZ96" i="2"/>
  <c r="CC6" i="37"/>
  <c r="CM66" i="14"/>
  <c r="AO23" i="37"/>
  <c r="CC73" i="14"/>
  <c r="CC78" i="14" s="1"/>
  <c r="CK56" i="14"/>
  <c r="CK61" i="14"/>
  <c r="CA73" i="14"/>
  <c r="CA78" i="14" s="1"/>
  <c r="CD56" i="14"/>
  <c r="CD62" i="14"/>
  <c r="BS25" i="37"/>
  <c r="CI65" i="14"/>
  <c r="CI64" i="14"/>
  <c r="CY43" i="2"/>
  <c r="DE66" i="14"/>
  <c r="CH56" i="14"/>
  <c r="CH61" i="14"/>
  <c r="CH62" i="14"/>
  <c r="BS23" i="37"/>
  <c r="CR66" i="14"/>
  <c r="BS15" i="37"/>
  <c r="BS16" i="37" s="1"/>
  <c r="AB17" i="37"/>
  <c r="AB31" i="37"/>
  <c r="CX66" i="14"/>
  <c r="DJ51" i="2"/>
  <c r="DJ54" i="2" s="1"/>
  <c r="DK50" i="2"/>
  <c r="DC66" i="14"/>
  <c r="CW69" i="14"/>
  <c r="AB149" i="35" s="1"/>
  <c r="CU66" i="14"/>
  <c r="CJ16" i="2"/>
  <c r="BS32" i="37"/>
  <c r="BS33" i="37" s="1"/>
  <c r="CY103" i="2"/>
  <c r="CF65" i="14"/>
  <c r="CJ63" i="14"/>
  <c r="AU9" i="37"/>
  <c r="AU11" i="37"/>
  <c r="CS66" i="14"/>
  <c r="CN66" i="14"/>
  <c r="CB62" i="14"/>
  <c r="EA49" i="2"/>
  <c r="EB49" i="2" s="1"/>
  <c r="AH28" i="37"/>
  <c r="DK58" i="13"/>
  <c r="CT11" i="13"/>
  <c r="DA58" i="13"/>
  <c r="CZ58" i="13"/>
  <c r="BS36" i="13"/>
  <c r="BS37" i="13" s="1"/>
  <c r="BT36" i="13" s="1"/>
  <c r="BU36" i="13" s="1"/>
  <c r="DN21" i="13"/>
  <c r="CS55" i="13"/>
  <c r="CT28" i="13"/>
  <c r="CT55" i="13" s="1"/>
  <c r="BY28" i="13"/>
  <c r="BX37" i="13"/>
  <c r="CF30" i="2"/>
  <c r="BZ11" i="13"/>
  <c r="BZ117" i="2"/>
  <c r="DI8" i="13"/>
  <c r="DI119" i="2"/>
  <c r="DD118" i="2"/>
  <c r="CE119" i="2"/>
  <c r="CE9" i="13"/>
  <c r="CU53" i="12"/>
  <c r="CU61" i="12"/>
  <c r="CN62" i="12"/>
  <c r="CN61" i="12"/>
  <c r="CN54" i="12"/>
  <c r="CN53" i="12"/>
  <c r="CP22" i="14"/>
  <c r="CN39" i="14"/>
  <c r="CK53" i="12"/>
  <c r="CK61" i="12"/>
  <c r="CK54" i="12"/>
  <c r="CK62" i="12"/>
  <c r="CK23" i="14"/>
  <c r="CP23" i="14"/>
  <c r="CK39" i="14"/>
  <c r="DF54" i="12"/>
  <c r="DF61" i="12"/>
  <c r="DE54" i="12"/>
  <c r="DE61" i="12"/>
  <c r="DE53" i="12"/>
  <c r="CO19" i="2"/>
  <c r="CT19" i="2"/>
  <c r="CW39" i="14"/>
  <c r="CW22" i="14"/>
  <c r="CW53" i="12"/>
  <c r="CW54" i="12"/>
  <c r="CW62" i="12"/>
  <c r="CW61" i="12"/>
  <c r="BY22" i="14"/>
  <c r="BY39" i="14"/>
  <c r="CY19" i="2"/>
  <c r="DD19" i="2"/>
  <c r="BU21" i="2"/>
  <c r="BU27" i="2"/>
  <c r="BU28" i="2" s="1"/>
  <c r="DD16" i="2"/>
  <c r="DI16" i="2"/>
  <c r="CH45" i="2"/>
  <c r="CH28" i="2"/>
  <c r="CO118" i="2"/>
  <c r="CE12" i="2"/>
  <c r="DI96" i="2"/>
  <c r="BV30" i="2"/>
  <c r="DD11" i="13"/>
  <c r="DD119" i="2"/>
  <c r="DD9" i="13"/>
  <c r="DD117" i="2"/>
  <c r="DK29" i="2"/>
  <c r="BQ22" i="14"/>
  <c r="BQ39" i="14"/>
  <c r="BV23" i="14"/>
  <c r="BQ28" i="2"/>
  <c r="BQ45" i="2"/>
  <c r="CU46" i="2"/>
  <c r="BX55" i="2"/>
  <c r="BX47" i="2"/>
  <c r="BX76" i="2"/>
  <c r="BX105" i="2" s="1"/>
  <c r="CC46" i="2"/>
  <c r="CE43" i="2"/>
  <c r="CJ44" i="2"/>
  <c r="CE44" i="2"/>
  <c r="DI27" i="2"/>
  <c r="DI28" i="2" s="1"/>
  <c r="DI51" i="12"/>
  <c r="DI53" i="12" s="1"/>
  <c r="DI21" i="2"/>
  <c r="BX22" i="14"/>
  <c r="BW39" i="14"/>
  <c r="CS46" i="2"/>
  <c r="CN55" i="2"/>
  <c r="CN47" i="2"/>
  <c r="CN76" i="2"/>
  <c r="CN105" i="2" s="1"/>
  <c r="CN108" i="2" s="1"/>
  <c r="CT44" i="2"/>
  <c r="CT43" i="2"/>
  <c r="CZ45" i="2"/>
  <c r="CZ46" i="2" s="1"/>
  <c r="CZ28" i="2"/>
  <c r="CW28" i="2"/>
  <c r="CW45" i="2"/>
  <c r="CB45" i="2"/>
  <c r="CB28" i="2"/>
  <c r="CG30" i="2"/>
  <c r="CA45" i="2"/>
  <c r="CA28" i="2"/>
  <c r="CB23" i="14"/>
  <c r="CO103" i="2"/>
  <c r="CY11" i="13"/>
  <c r="DI89" i="2"/>
  <c r="CO89" i="2"/>
  <c r="BV22" i="14"/>
  <c r="CL30" i="2"/>
  <c r="CG28" i="2"/>
  <c r="CG45" i="2"/>
  <c r="CB39" i="14"/>
  <c r="CC22" i="14"/>
  <c r="BY45" i="2"/>
  <c r="BY28" i="2"/>
  <c r="DI44" i="2"/>
  <c r="DI43" i="2"/>
  <c r="BZ44" i="2"/>
  <c r="BZ43" i="2"/>
  <c r="DI66" i="13"/>
  <c r="DI58" i="13" s="1"/>
  <c r="DI143" i="2"/>
  <c r="CU8" i="13"/>
  <c r="CY9" i="13"/>
  <c r="DA61" i="12"/>
  <c r="DA53" i="12"/>
  <c r="DA62" i="12"/>
  <c r="DA54" i="12"/>
  <c r="CV22" i="14"/>
  <c r="CU39" i="14"/>
  <c r="CU23" i="14"/>
  <c r="CU22" i="14"/>
  <c r="CQ61" i="12"/>
  <c r="CQ54" i="12"/>
  <c r="CM22" i="14"/>
  <c r="CM39" i="14"/>
  <c r="CN22" i="14"/>
  <c r="CM53" i="12"/>
  <c r="CM62" i="12"/>
  <c r="CM54" i="12"/>
  <c r="CM61" i="12"/>
  <c r="CL39" i="14"/>
  <c r="CL23" i="14"/>
  <c r="CL22" i="14"/>
  <c r="CL62" i="12"/>
  <c r="CL53" i="12"/>
  <c r="CL54" i="12"/>
  <c r="CL61" i="12"/>
  <c r="CO131" i="2"/>
  <c r="CO130" i="2"/>
  <c r="CO37" i="2"/>
  <c r="CO144" i="2"/>
  <c r="CO138" i="2"/>
  <c r="CO132" i="2"/>
  <c r="CO51" i="12"/>
  <c r="CO27" i="2"/>
  <c r="CO39" i="2"/>
  <c r="CO41" i="2"/>
  <c r="CO139" i="2"/>
  <c r="CO35" i="2"/>
  <c r="CO21" i="2"/>
  <c r="CO145" i="2"/>
  <c r="CO142" i="2"/>
  <c r="CO143" i="2"/>
  <c r="CO66" i="13"/>
  <c r="CO96" i="2"/>
  <c r="CT12" i="2"/>
  <c r="CO33" i="2"/>
  <c r="CO137" i="2"/>
  <c r="CO136" i="2"/>
  <c r="CO133" i="2"/>
  <c r="CO43" i="2"/>
  <c r="CD23" i="14"/>
  <c r="CD39" i="14"/>
  <c r="CD22" i="14"/>
  <c r="CF22" i="14"/>
  <c r="CB22" i="14"/>
  <c r="CA23" i="14"/>
  <c r="CF23" i="14"/>
  <c r="CA39" i="14"/>
  <c r="CA22" i="14"/>
  <c r="CJ139" i="2"/>
  <c r="CJ43" i="2"/>
  <c r="CE25" i="37"/>
  <c r="CE37" i="37"/>
  <c r="CE13" i="37"/>
  <c r="CE27" i="37"/>
  <c r="CE29" i="37"/>
  <c r="CE30" i="37" s="1"/>
  <c r="CE17" i="37"/>
  <c r="CE15" i="37"/>
  <c r="CE31" i="37"/>
  <c r="CE32" i="37"/>
  <c r="CE19" i="37"/>
  <c r="J6" i="37"/>
  <c r="L6" i="37"/>
  <c r="AU19" i="37"/>
  <c r="AU20" i="37" s="1"/>
  <c r="AU13" i="37"/>
  <c r="AU14" i="37" s="1"/>
  <c r="AU17" i="37"/>
  <c r="AU18" i="37" s="1"/>
  <c r="AU27" i="37"/>
  <c r="AU15" i="37"/>
  <c r="AU16" i="37" s="1"/>
  <c r="AU31" i="37"/>
  <c r="AY6" i="37"/>
  <c r="AU32" i="37"/>
  <c r="AU33" i="37" s="1"/>
  <c r="AU29" i="37"/>
  <c r="AU30" i="37" s="1"/>
  <c r="AU25" i="37"/>
  <c r="AU37" i="37"/>
  <c r="U21" i="37"/>
  <c r="U36" i="37"/>
  <c r="U39" i="37"/>
  <c r="AH39" i="37"/>
  <c r="AH21" i="37"/>
  <c r="U26" i="37"/>
  <c r="AH26" i="37"/>
  <c r="U28" i="37"/>
  <c r="CQ45" i="2"/>
  <c r="CQ28" i="2"/>
  <c r="CV30" i="2"/>
  <c r="CQ30" i="2"/>
  <c r="DD21" i="2"/>
  <c r="DD27" i="2"/>
  <c r="CY44" i="2"/>
  <c r="DD44" i="2"/>
  <c r="DI145" i="2"/>
  <c r="DI144" i="2"/>
  <c r="DI142" i="2"/>
  <c r="DI139" i="2"/>
  <c r="DI138" i="2"/>
  <c r="DI137" i="2"/>
  <c r="DI136" i="2"/>
  <c r="DI133" i="2"/>
  <c r="DI132" i="2"/>
  <c r="DI131" i="2"/>
  <c r="DI130" i="2"/>
  <c r="DI39" i="2"/>
  <c r="DI37" i="2"/>
  <c r="DI35" i="2"/>
  <c r="DI33" i="2"/>
  <c r="DI41" i="2"/>
  <c r="DF79" i="2"/>
  <c r="DF105" i="2"/>
  <c r="DA45" i="2"/>
  <c r="DA28" i="2"/>
  <c r="DA29" i="2" s="1"/>
  <c r="DF30" i="2"/>
  <c r="DD96" i="2"/>
  <c r="DD41" i="2"/>
  <c r="DD51" i="12"/>
  <c r="DD53" i="12" s="1"/>
  <c r="DI12" i="2"/>
  <c r="DD145" i="2"/>
  <c r="DD144" i="2"/>
  <c r="DD143" i="2"/>
  <c r="DD142" i="2"/>
  <c r="DD139" i="2"/>
  <c r="DD138" i="2"/>
  <c r="DD137" i="2"/>
  <c r="DD136" i="2"/>
  <c r="DD133" i="2"/>
  <c r="DD132" i="2"/>
  <c r="DD131" i="2"/>
  <c r="DD130" i="2"/>
  <c r="DD39" i="2"/>
  <c r="DD37" i="2"/>
  <c r="DD35" i="2"/>
  <c r="DD33" i="2"/>
  <c r="DD66" i="13"/>
  <c r="CS54" i="12"/>
  <c r="CS61" i="12"/>
  <c r="CW23" i="14"/>
  <c r="CR23" i="14"/>
  <c r="CR22" i="14"/>
  <c r="CV23" i="14"/>
  <c r="CQ23" i="14"/>
  <c r="CQ22" i="14"/>
  <c r="CQ53" i="12"/>
  <c r="CQ62" i="12"/>
  <c r="CL45" i="2"/>
  <c r="CL28" i="2"/>
  <c r="CC30" i="2"/>
  <c r="CC45" i="2"/>
  <c r="CC28" i="2"/>
  <c r="CH30" i="2"/>
  <c r="CE139" i="2"/>
  <c r="CE133" i="2"/>
  <c r="CE103" i="2"/>
  <c r="CE131" i="2"/>
  <c r="CE41" i="2"/>
  <c r="CE21" i="2"/>
  <c r="CE35" i="2"/>
  <c r="CE33" i="2"/>
  <c r="CE27" i="2"/>
  <c r="CE28" i="2" s="1"/>
  <c r="CE130" i="2"/>
  <c r="CE132" i="2"/>
  <c r="CE51" i="12"/>
  <c r="CE37" i="2"/>
  <c r="CE137" i="2"/>
  <c r="CE39" i="2"/>
  <c r="CE136" i="2"/>
  <c r="CE138" i="2"/>
  <c r="CE142" i="2"/>
  <c r="CE145" i="2"/>
  <c r="CE143" i="2"/>
  <c r="CE144" i="2"/>
  <c r="CE89" i="2"/>
  <c r="CE66" i="13"/>
  <c r="BW45" i="2"/>
  <c r="BW28" i="2"/>
  <c r="CB30" i="2"/>
  <c r="BZ27" i="2"/>
  <c r="BZ143" i="2"/>
  <c r="BZ89" i="2"/>
  <c r="BR28" i="2"/>
  <c r="BR45" i="2"/>
  <c r="BW30" i="2"/>
  <c r="CU76" i="2"/>
  <c r="CU47" i="2"/>
  <c r="DD103" i="2"/>
  <c r="CE96" i="2"/>
  <c r="DD89" i="2"/>
  <c r="DE47" i="14"/>
  <c r="DK61" i="13"/>
  <c r="CY117" i="2"/>
  <c r="CO11" i="13"/>
  <c r="BR8" i="13"/>
  <c r="BU9" i="13"/>
  <c r="CZ53" i="12"/>
  <c r="CZ54" i="12"/>
  <c r="CZ61" i="12"/>
  <c r="CZ62" i="12"/>
  <c r="CS39" i="14"/>
  <c r="CS22" i="14"/>
  <c r="CS23" i="14"/>
  <c r="CS62" i="12"/>
  <c r="CS53" i="12"/>
  <c r="CR53" i="12"/>
  <c r="CR61" i="12"/>
  <c r="CR54" i="12"/>
  <c r="CR62" i="12"/>
  <c r="BR22" i="14"/>
  <c r="BR39" i="14"/>
  <c r="BW23" i="14"/>
  <c r="CW8" i="13"/>
  <c r="CW77" i="2"/>
  <c r="CX10" i="13"/>
  <c r="CF8" i="13"/>
  <c r="CJ9" i="13"/>
  <c r="CH77" i="2"/>
  <c r="CI10" i="13"/>
  <c r="CH8" i="13"/>
  <c r="DP8" i="13"/>
  <c r="CP33" i="14"/>
  <c r="CT17" i="14"/>
  <c r="CE17" i="14"/>
  <c r="CZ28" i="14"/>
  <c r="DA27" i="14"/>
  <c r="DA31" i="14" s="1"/>
  <c r="CZ34" i="14"/>
  <c r="CZ35" i="14" s="1"/>
  <c r="T5" i="14"/>
  <c r="X5" i="14"/>
  <c r="CH53" i="14"/>
  <c r="CM55" i="14" s="1"/>
  <c r="CC51" i="14"/>
  <c r="CC56" i="14" s="1"/>
  <c r="CY17" i="14"/>
  <c r="CE38" i="14"/>
  <c r="CS33" i="14"/>
  <c r="CG46" i="14"/>
  <c r="CL30" i="14"/>
  <c r="CP72" i="14"/>
  <c r="V152" i="35" s="1"/>
  <c r="CN46" i="14"/>
  <c r="CM46" i="14"/>
  <c r="CY63" i="14"/>
  <c r="CX65" i="14"/>
  <c r="CX64" i="14"/>
  <c r="BZ38" i="14"/>
  <c r="CR47" i="14"/>
  <c r="CR46" i="14"/>
  <c r="CT38" i="14"/>
  <c r="CG47" i="14"/>
  <c r="CL47" i="14"/>
  <c r="CX23" i="14"/>
  <c r="CX39" i="14"/>
  <c r="CV72" i="14"/>
  <c r="AA152" i="35" s="1"/>
  <c r="CU72" i="14"/>
  <c r="Z152" i="35" s="1"/>
  <c r="CY43" i="14"/>
  <c r="CM192" i="35" s="1"/>
  <c r="CY53" i="14"/>
  <c r="CY55" i="14" s="1"/>
  <c r="CM27" i="14"/>
  <c r="CM31" i="14" s="1"/>
  <c r="CL28" i="14"/>
  <c r="CL34" i="14"/>
  <c r="CL32" i="14"/>
  <c r="CC27" i="14"/>
  <c r="CB28" i="14"/>
  <c r="CB31" i="14"/>
  <c r="CB34" i="14"/>
  <c r="CO17" i="14"/>
  <c r="CJ17" i="14"/>
  <c r="CT47" i="14"/>
  <c r="DI17" i="14"/>
  <c r="DC22" i="14"/>
  <c r="CF33" i="14"/>
  <c r="DD38" i="14"/>
  <c r="DD65" i="14"/>
  <c r="CN65" i="14"/>
  <c r="CS64" i="14"/>
  <c r="CN64" i="14"/>
  <c r="CI53" i="14"/>
  <c r="CN55" i="14" s="1"/>
  <c r="CR71" i="14"/>
  <c r="X151" i="35" s="1"/>
  <c r="X155" i="35" s="1"/>
  <c r="CM65" i="14"/>
  <c r="CR64" i="14"/>
  <c r="CG34" i="14"/>
  <c r="CG28" i="14"/>
  <c r="CG30" i="14"/>
  <c r="CH27" i="14"/>
  <c r="CH31" i="14" s="1"/>
  <c r="DY45" i="14"/>
  <c r="DP14" i="14"/>
  <c r="DO12" i="14"/>
  <c r="CI47" i="14"/>
  <c r="CD47" i="14"/>
  <c r="CE45" i="14"/>
  <c r="CE47" i="14" s="1"/>
  <c r="CE49" i="14"/>
  <c r="DB23" i="14"/>
  <c r="DB39" i="14"/>
  <c r="DI49" i="14"/>
  <c r="CO191" i="35" s="1"/>
  <c r="DD45" i="14"/>
  <c r="BW47" i="14"/>
  <c r="BS46" i="14"/>
  <c r="Z9" i="42"/>
  <c r="Z8" i="42"/>
  <c r="X29" i="42"/>
  <c r="X12" i="42"/>
  <c r="X11" i="42"/>
  <c r="BS10" i="37"/>
  <c r="CE38" i="12"/>
  <c r="CD43" i="12"/>
  <c r="CO35" i="12"/>
  <c r="CD44" i="12"/>
  <c r="DT28" i="12"/>
  <c r="DU28" i="12" s="1"/>
  <c r="DV28" i="12" s="1"/>
  <c r="DW28" i="12" s="1"/>
  <c r="BZ44" i="12"/>
  <c r="X5" i="12"/>
  <c r="T5" i="12"/>
  <c r="U5" i="12" s="1"/>
  <c r="V5" i="12" s="1"/>
  <c r="DI22" i="13"/>
  <c r="DI23" i="13" s="1"/>
  <c r="BU44" i="12"/>
  <c r="DD44" i="12"/>
  <c r="DD35" i="12"/>
  <c r="DE71" i="14"/>
  <c r="AH151" i="35" s="1"/>
  <c r="AH155" i="35" s="1"/>
  <c r="DE72" i="14"/>
  <c r="AH152" i="35" s="1"/>
  <c r="CS46" i="14"/>
  <c r="CS47" i="14"/>
  <c r="DF71" i="14"/>
  <c r="AI151" i="35" s="1"/>
  <c r="AI155" i="35" s="1"/>
  <c r="DF72" i="14"/>
  <c r="AI152" i="35" s="1"/>
  <c r="BY47" i="14"/>
  <c r="CZ39" i="14"/>
  <c r="CT49" i="14"/>
  <c r="CL191" i="35" s="1"/>
  <c r="CU71" i="14"/>
  <c r="Z151" i="35" s="1"/>
  <c r="Z155" i="35" s="1"/>
  <c r="BX47" i="14"/>
  <c r="CR27" i="14"/>
  <c r="CR31" i="14" s="1"/>
  <c r="CQ34" i="14"/>
  <c r="CQ28" i="14"/>
  <c r="CQ30" i="14"/>
  <c r="CP35" i="14"/>
  <c r="CK65" i="14"/>
  <c r="CO63" i="14"/>
  <c r="CP71" i="14"/>
  <c r="V151" i="35" s="1"/>
  <c r="V155" i="35" s="1"/>
  <c r="CV71" i="14"/>
  <c r="AA151" i="35" s="1"/>
  <c r="AA155" i="35" s="1"/>
  <c r="CQ72" i="14"/>
  <c r="W152" i="35" s="1"/>
  <c r="CS72" i="14"/>
  <c r="Y152" i="35" s="1"/>
  <c r="CR72" i="14"/>
  <c r="X152" i="35" s="1"/>
  <c r="CT65" i="14"/>
  <c r="CZ23" i="14"/>
  <c r="DD49" i="14"/>
  <c r="CN191" i="35" s="1"/>
  <c r="DH12" i="14"/>
  <c r="CL65" i="14"/>
  <c r="DD17" i="14"/>
  <c r="DJ71" i="14"/>
  <c r="AL151" i="35" s="1"/>
  <c r="AL155" i="35" s="1"/>
  <c r="CJ38" i="14"/>
  <c r="CJ19" i="14"/>
  <c r="CE19" i="14"/>
  <c r="CT52" i="14"/>
  <c r="CO53" i="14"/>
  <c r="CL64" i="14"/>
  <c r="CG53" i="14"/>
  <c r="CL55" i="14" s="1"/>
  <c r="CB51" i="14"/>
  <c r="CB56" i="14" s="1"/>
  <c r="DF46" i="14"/>
  <c r="DJ47" i="14"/>
  <c r="DC39" i="14"/>
  <c r="CT19" i="14"/>
  <c r="DA71" i="14"/>
  <c r="AE151" i="35" s="1"/>
  <c r="AE155" i="35" s="1"/>
  <c r="DA72" i="14"/>
  <c r="AE152" i="35" s="1"/>
  <c r="DI65" i="14"/>
  <c r="DI64" i="14"/>
  <c r="CV34" i="14"/>
  <c r="CV30" i="14"/>
  <c r="CV28" i="14"/>
  <c r="CW27" i="14"/>
  <c r="CW31" i="14" s="1"/>
  <c r="CV32" i="14"/>
  <c r="G9" i="26"/>
  <c r="F9" i="26" s="1"/>
  <c r="I9" i="26"/>
  <c r="J9" i="26" s="1"/>
  <c r="CZ22" i="14"/>
  <c r="CU33" i="14"/>
  <c r="CX22" i="14"/>
  <c r="BR46" i="14"/>
  <c r="BX27" i="14"/>
  <c r="BW28" i="14"/>
  <c r="BW30" i="14"/>
  <c r="CB30" i="14"/>
  <c r="BW34" i="14"/>
  <c r="CK64" i="14"/>
  <c r="CA51" i="14"/>
  <c r="CA56" i="14" s="1"/>
  <c r="CF53" i="14"/>
  <c r="CJ51" i="14"/>
  <c r="DH71" i="14"/>
  <c r="AK151" i="35" s="1"/>
  <c r="AK155" i="35" s="1"/>
  <c r="DI9" i="13"/>
  <c r="CW46" i="14"/>
  <c r="CW47" i="14"/>
  <c r="CP47" i="14"/>
  <c r="CP46" i="14"/>
  <c r="BV47" i="14"/>
  <c r="CF46" i="14"/>
  <c r="CF47" i="14"/>
  <c r="CK47" i="14"/>
  <c r="CA46" i="14"/>
  <c r="CA47" i="14"/>
  <c r="BS8" i="13"/>
  <c r="BS77" i="2"/>
  <c r="M19" i="26"/>
  <c r="CC46" i="14"/>
  <c r="BT10" i="13"/>
  <c r="DB47" i="14"/>
  <c r="CH46" i="14"/>
  <c r="CM47" i="14"/>
  <c r="CH47" i="14"/>
  <c r="CJ45" i="14"/>
  <c r="CO47" i="14" s="1"/>
  <c r="CO49" i="14"/>
  <c r="CK191" i="35" s="1"/>
  <c r="CY38" i="14"/>
  <c r="CQ47" i="14"/>
  <c r="CQ46" i="14"/>
  <c r="CV47" i="14"/>
  <c r="DC46" i="14"/>
  <c r="DC47" i="14"/>
  <c r="CJ49" i="14"/>
  <c r="CJ191" i="35" s="1"/>
  <c r="BU45" i="14"/>
  <c r="BZ47" i="14" s="1"/>
  <c r="BZ49" i="14"/>
  <c r="CZ47" i="14"/>
  <c r="CZ46" i="14"/>
  <c r="CX47" i="14"/>
  <c r="CX46" i="14"/>
  <c r="CY45" i="14"/>
  <c r="CY47" i="14" s="1"/>
  <c r="CY49" i="14"/>
  <c r="CM191" i="35" s="1"/>
  <c r="CN33" i="14"/>
  <c r="CI33" i="14"/>
  <c r="CB46" i="14"/>
  <c r="CD46" i="14"/>
  <c r="CU46" i="14"/>
  <c r="CU47" i="14"/>
  <c r="CV46" i="14"/>
  <c r="DC23" i="14"/>
  <c r="CX33" i="14"/>
  <c r="DJ22" i="14"/>
  <c r="DJ23" i="14"/>
  <c r="DK22" i="14"/>
  <c r="DJ39" i="14"/>
  <c r="CH22" i="14"/>
  <c r="CH39" i="14"/>
  <c r="CM23" i="14"/>
  <c r="CH23" i="14"/>
  <c r="DA23" i="14"/>
  <c r="DB22" i="14"/>
  <c r="DA39" i="14"/>
  <c r="CP30" i="2"/>
  <c r="CK45" i="2"/>
  <c r="CK28" i="2"/>
  <c r="CK30" i="2"/>
  <c r="DK23" i="14"/>
  <c r="DF22" i="14"/>
  <c r="DF23" i="14"/>
  <c r="DH47" i="2"/>
  <c r="DH76" i="2"/>
  <c r="DH55" i="2"/>
  <c r="DF39" i="14"/>
  <c r="X5" i="2"/>
  <c r="X74" i="2" s="1"/>
  <c r="T5" i="2"/>
  <c r="DC53" i="12"/>
  <c r="DC54" i="12"/>
  <c r="DC61" i="12"/>
  <c r="DC62" i="12"/>
  <c r="BT22" i="14"/>
  <c r="BT39" i="14"/>
  <c r="CV47" i="2"/>
  <c r="CV55" i="2"/>
  <c r="DK108" i="2"/>
  <c r="DG30" i="2"/>
  <c r="DB28" i="2"/>
  <c r="DB45" i="2"/>
  <c r="DB30" i="2"/>
  <c r="DJ28" i="2"/>
  <c r="DJ45" i="2"/>
  <c r="CD10" i="13"/>
  <c r="CC8" i="13"/>
  <c r="CC77" i="2"/>
  <c r="DH53" i="12"/>
  <c r="DH61" i="12"/>
  <c r="DH62" i="12"/>
  <c r="DH54" i="12"/>
  <c r="CF55" i="2"/>
  <c r="CF47" i="2"/>
  <c r="CF76" i="2"/>
  <c r="CK46" i="2"/>
  <c r="CY118" i="2"/>
  <c r="CO54" i="2"/>
  <c r="CJ66" i="13"/>
  <c r="CJ138" i="2"/>
  <c r="CJ12" i="2"/>
  <c r="CJ142" i="2"/>
  <c r="CJ133" i="2"/>
  <c r="CJ143" i="2"/>
  <c r="CJ136" i="2"/>
  <c r="CJ41" i="2"/>
  <c r="CJ33" i="2"/>
  <c r="CJ21" i="2"/>
  <c r="CJ130" i="2"/>
  <c r="CJ144" i="2"/>
  <c r="CJ51" i="12"/>
  <c r="CJ145" i="2"/>
  <c r="CO12" i="2"/>
  <c r="CJ35" i="2"/>
  <c r="CJ89" i="2"/>
  <c r="CJ39" i="2"/>
  <c r="CJ103" i="2"/>
  <c r="CJ132" i="2"/>
  <c r="CJ131" i="2"/>
  <c r="CJ37" i="2"/>
  <c r="CJ27" i="2"/>
  <c r="CR28" i="2"/>
  <c r="CR29" i="2" s="1"/>
  <c r="CR45" i="2"/>
  <c r="CW30" i="2"/>
  <c r="CR30" i="2"/>
  <c r="CJ137" i="2"/>
  <c r="BZ147" i="2"/>
  <c r="CA147" i="2" s="1"/>
  <c r="N17" i="26"/>
  <c r="DH46" i="14"/>
  <c r="DJ46" i="14"/>
  <c r="DH47" i="14"/>
  <c r="DI118" i="2"/>
  <c r="BT28" i="2"/>
  <c r="BY30" i="2"/>
  <c r="BT45" i="2"/>
  <c r="DI117" i="2"/>
  <c r="CJ96" i="2"/>
  <c r="DE23" i="14"/>
  <c r="DE39" i="14"/>
  <c r="DE22" i="14"/>
  <c r="DI38" i="14"/>
  <c r="CY54" i="2"/>
  <c r="CU55" i="2"/>
  <c r="BS22" i="14"/>
  <c r="BX23" i="14"/>
  <c r="BS39" i="14"/>
  <c r="CI46" i="2"/>
  <c r="CD47" i="2"/>
  <c r="CD76" i="2"/>
  <c r="DB54" i="12"/>
  <c r="DB61" i="12"/>
  <c r="DB53" i="12"/>
  <c r="DB62" i="12"/>
  <c r="DC45" i="2"/>
  <c r="DC28" i="2"/>
  <c r="DH30" i="2"/>
  <c r="CX61" i="12"/>
  <c r="CX54" i="12"/>
  <c r="CX62" i="12"/>
  <c r="CX53" i="12"/>
  <c r="CY66" i="13"/>
  <c r="CY137" i="2"/>
  <c r="CY133" i="2"/>
  <c r="CY143" i="2"/>
  <c r="CY139" i="2"/>
  <c r="CY33" i="2"/>
  <c r="DD12" i="2"/>
  <c r="CY41" i="2"/>
  <c r="CY27" i="2"/>
  <c r="CY96" i="2"/>
  <c r="CY35" i="2"/>
  <c r="CY39" i="2"/>
  <c r="CY37" i="2"/>
  <c r="CY132" i="2"/>
  <c r="CY136" i="2"/>
  <c r="CY130" i="2"/>
  <c r="CY142" i="2"/>
  <c r="CY131" i="2"/>
  <c r="CY12" i="2"/>
  <c r="CY51" i="12"/>
  <c r="CY53" i="12" s="1"/>
  <c r="CY144" i="2"/>
  <c r="CY145" i="2"/>
  <c r="DG28" i="2"/>
  <c r="DG45" i="2"/>
  <c r="DL46" i="2" s="1"/>
  <c r="CY89" i="2"/>
  <c r="DG46" i="14"/>
  <c r="DG47" i="14"/>
  <c r="DG23" i="14"/>
  <c r="DG22" i="14"/>
  <c r="CA30" i="2"/>
  <c r="BV28" i="2"/>
  <c r="BV45" i="2"/>
  <c r="DJ54" i="12"/>
  <c r="DO54" i="12" s="1"/>
  <c r="DT54" i="12" s="1"/>
  <c r="DY54" i="12" s="1"/>
  <c r="DJ62" i="12"/>
  <c r="DO62" i="12" s="1"/>
  <c r="DT62" i="12" s="1"/>
  <c r="DY62" i="12" s="1"/>
  <c r="DJ61" i="12"/>
  <c r="DO61" i="12" s="1"/>
  <c r="DT61" i="12" s="1"/>
  <c r="DY61" i="12" s="1"/>
  <c r="DJ53" i="12"/>
  <c r="DO53" i="12" s="1"/>
  <c r="DT53" i="12" s="1"/>
  <c r="DY53" i="12" s="1"/>
  <c r="CN23" i="14"/>
  <c r="CI39" i="14"/>
  <c r="CI22" i="14"/>
  <c r="CI23" i="14"/>
  <c r="CK22" i="14"/>
  <c r="DC54" i="2"/>
  <c r="DD54" i="2" s="1"/>
  <c r="DC120" i="2"/>
  <c r="DD120" i="2" s="1"/>
  <c r="DD52" i="2"/>
  <c r="DK79" i="2"/>
  <c r="DA47" i="14"/>
  <c r="DA46" i="14"/>
  <c r="DB46" i="14"/>
  <c r="DH39" i="14"/>
  <c r="DH22" i="14"/>
  <c r="DH23" i="14"/>
  <c r="DJ30" i="2"/>
  <c r="DE30" i="2"/>
  <c r="DE28" i="2"/>
  <c r="DE45" i="2"/>
  <c r="CN30" i="2"/>
  <c r="CI30" i="2"/>
  <c r="CI28" i="2"/>
  <c r="CI45" i="2"/>
  <c r="BY23" i="14"/>
  <c r="BX30" i="2"/>
  <c r="BS45" i="2"/>
  <c r="BS28" i="2"/>
  <c r="DG54" i="12"/>
  <c r="DG62" i="12"/>
  <c r="DG53" i="12"/>
  <c r="DG61" i="12"/>
  <c r="CS45" i="2"/>
  <c r="CX30" i="2"/>
  <c r="CS30" i="2"/>
  <c r="CS28" i="2"/>
  <c r="CO117" i="2"/>
  <c r="CM3" i="35"/>
  <c r="X20" i="42"/>
  <c r="AB18" i="42"/>
  <c r="AB14" i="42"/>
  <c r="DQ46" i="14"/>
  <c r="EA45" i="14"/>
  <c r="DL23" i="14"/>
  <c r="DL22" i="14"/>
  <c r="DL39" i="14"/>
  <c r="DY20" i="12"/>
  <c r="DZ20" i="12" s="1"/>
  <c r="EA20" i="12" s="1"/>
  <c r="EB20" i="12" s="1"/>
  <c r="EC20" i="12" s="1"/>
  <c r="DX20" i="12"/>
  <c r="DX32" i="12"/>
  <c r="DY32" i="12"/>
  <c r="DZ32" i="12" s="1"/>
  <c r="EA32" i="12" s="1"/>
  <c r="EB32" i="12" s="1"/>
  <c r="EC32" i="12" s="1"/>
  <c r="DY12" i="12"/>
  <c r="DZ12" i="12" s="1"/>
  <c r="EA12" i="12" s="1"/>
  <c r="EB12" i="12" s="1"/>
  <c r="EC12" i="12" s="1"/>
  <c r="DX12" i="12"/>
  <c r="DY28" i="12"/>
  <c r="DZ28" i="12" s="1"/>
  <c r="EA28" i="12" s="1"/>
  <c r="EB28" i="12" s="1"/>
  <c r="EC28" i="12" s="1"/>
  <c r="DX28" i="12"/>
  <c r="DN33" i="12"/>
  <c r="DM48" i="12"/>
  <c r="DN69" i="2"/>
  <c r="DP68" i="2"/>
  <c r="DO69" i="2"/>
  <c r="DL47" i="2"/>
  <c r="DL76" i="2"/>
  <c r="DL105" i="2" s="1"/>
  <c r="DR67" i="2"/>
  <c r="DT67" i="2" s="1"/>
  <c r="DU67" i="2" s="1"/>
  <c r="DI46" i="13"/>
  <c r="DS12" i="13"/>
  <c r="DB8" i="13"/>
  <c r="CC55" i="13"/>
  <c r="CD28" i="13"/>
  <c r="CD55" i="13" s="1"/>
  <c r="CT36" i="13"/>
  <c r="CE28" i="13"/>
  <c r="CE55" i="13" s="1"/>
  <c r="EC37" i="13"/>
  <c r="CH55" i="13"/>
  <c r="CI28" i="13"/>
  <c r="DQ41" i="13"/>
  <c r="DP43" i="13"/>
  <c r="BT55" i="13"/>
  <c r="BZ40" i="13"/>
  <c r="DS18" i="12"/>
  <c r="DT18" i="12"/>
  <c r="DU18" i="12" s="1"/>
  <c r="DV18" i="12" s="1"/>
  <c r="DW18" i="12" s="1"/>
  <c r="DO21" i="13"/>
  <c r="CJ20" i="13"/>
  <c r="CN28" i="13"/>
  <c r="CN55" i="13" s="1"/>
  <c r="CM55" i="13"/>
  <c r="CO15" i="13"/>
  <c r="DB77" i="2"/>
  <c r="DC10" i="13"/>
  <c r="CN10" i="13"/>
  <c r="CM8" i="13"/>
  <c r="CM77" i="2"/>
  <c r="CS10" i="13"/>
  <c r="CR77" i="2"/>
  <c r="CR8" i="13"/>
  <c r="CW36" i="13"/>
  <c r="CW37" i="13" s="1"/>
  <c r="CY29" i="13"/>
  <c r="CM36" i="13"/>
  <c r="CM37" i="13" s="1"/>
  <c r="DC41" i="13"/>
  <c r="DC43" i="13" s="1"/>
  <c r="DB43" i="13"/>
  <c r="BX8" i="13"/>
  <c r="BY10" i="13"/>
  <c r="BZ10" i="13" s="1"/>
  <c r="BX77" i="2"/>
  <c r="CR42" i="13"/>
  <c r="DS37" i="13"/>
  <c r="CX57" i="2"/>
  <c r="CY13" i="13"/>
  <c r="BR22" i="12"/>
  <c r="BR23" i="12" s="1"/>
  <c r="CC43" i="13"/>
  <c r="BY43" i="13"/>
  <c r="BZ43" i="13" s="1"/>
  <c r="CW43" i="13"/>
  <c r="DD13" i="13"/>
  <c r="DC57" i="2"/>
  <c r="DD57" i="2" s="1"/>
  <c r="DC37" i="13"/>
  <c r="DD37" i="13" s="1"/>
  <c r="DC55" i="13"/>
  <c r="CD34" i="13"/>
  <c r="DB54" i="13"/>
  <c r="DB57" i="13" s="1"/>
  <c r="DB58" i="13" s="1"/>
  <c r="DC24" i="13"/>
  <c r="DD24" i="13" s="1"/>
  <c r="DD54" i="13" s="1"/>
  <c r="CI42" i="13"/>
  <c r="CJ42" i="13" s="1"/>
  <c r="CL43" i="13"/>
  <c r="CD20" i="13"/>
  <c r="BT42" i="13"/>
  <c r="BU42" i="13" s="1"/>
  <c r="DD51" i="13"/>
  <c r="DE51" i="13"/>
  <c r="DF51" i="13" s="1"/>
  <c r="DG51" i="13" s="1"/>
  <c r="DH51" i="13" s="1"/>
  <c r="DI51" i="13" s="1"/>
  <c r="DJ51" i="13" s="1"/>
  <c r="DK51" i="13" s="1"/>
  <c r="DL51" i="13" s="1"/>
  <c r="DM51" i="13" s="1"/>
  <c r="DF59" i="13"/>
  <c r="DA60" i="13"/>
  <c r="CC36" i="13"/>
  <c r="CS19" i="13"/>
  <c r="CN13" i="13"/>
  <c r="CM57" i="2"/>
  <c r="CM56" i="2" s="1"/>
  <c r="AC5" i="13"/>
  <c r="Y5" i="13"/>
  <c r="Z5" i="13" s="1"/>
  <c r="AA5" i="13" s="1"/>
  <c r="CT21" i="13"/>
  <c r="DQ26" i="12"/>
  <c r="DP21" i="13"/>
  <c r="CL56" i="2"/>
  <c r="CX17" i="13"/>
  <c r="CY17" i="13" s="1"/>
  <c r="CI18" i="13"/>
  <c r="CS40" i="13"/>
  <c r="CT40" i="13" s="1"/>
  <c r="BX56" i="2"/>
  <c r="BZ56" i="2" s="1"/>
  <c r="BZ57" i="2"/>
  <c r="U3" i="35"/>
  <c r="M3" i="35"/>
  <c r="C17" i="37"/>
  <c r="D17" i="37"/>
  <c r="B17" i="37"/>
  <c r="B16" i="42"/>
  <c r="C16" i="42"/>
  <c r="D16" i="42"/>
  <c r="D32" i="37"/>
  <c r="B32" i="37"/>
  <c r="C32" i="37"/>
  <c r="D28" i="42"/>
  <c r="C28" i="42"/>
  <c r="B28" i="42"/>
  <c r="C26" i="37"/>
  <c r="D26" i="37"/>
  <c r="B26" i="37"/>
  <c r="D23" i="42"/>
  <c r="B23" i="42"/>
  <c r="C23" i="42"/>
  <c r="D20" i="42"/>
  <c r="C20" i="42"/>
  <c r="B20" i="42"/>
  <c r="D13" i="37"/>
  <c r="C13" i="37"/>
  <c r="B13" i="37"/>
  <c r="F8" i="37" s="1"/>
  <c r="D30" i="37"/>
  <c r="B30" i="37"/>
  <c r="C30" i="37"/>
  <c r="C31" i="37"/>
  <c r="B31" i="37"/>
  <c r="D31" i="37"/>
  <c r="D19" i="37"/>
  <c r="C19" i="37"/>
  <c r="B19" i="37"/>
  <c r="B19" i="42"/>
  <c r="C19" i="42"/>
  <c r="D19" i="42"/>
  <c r="C18" i="42"/>
  <c r="D18" i="42"/>
  <c r="B18" i="42"/>
  <c r="C21" i="37"/>
  <c r="B21" i="37"/>
  <c r="D21" i="37"/>
  <c r="B36" i="37"/>
  <c r="D36" i="37"/>
  <c r="C36" i="37"/>
  <c r="B29" i="37"/>
  <c r="D29" i="37"/>
  <c r="C29" i="37"/>
  <c r="B33" i="42"/>
  <c r="C33" i="42"/>
  <c r="D33" i="42"/>
  <c r="D14" i="37"/>
  <c r="B14" i="37"/>
  <c r="C14" i="37"/>
  <c r="C17" i="42"/>
  <c r="D17" i="42"/>
  <c r="B17" i="42"/>
  <c r="B25" i="37"/>
  <c r="C25" i="37"/>
  <c r="D25" i="37"/>
  <c r="B28" i="37"/>
  <c r="C28" i="37"/>
  <c r="D28" i="37"/>
  <c r="B39" i="37"/>
  <c r="C39" i="37"/>
  <c r="D39" i="37"/>
  <c r="D13" i="42"/>
  <c r="C13" i="42"/>
  <c r="B13" i="42"/>
  <c r="D31" i="42"/>
  <c r="B31" i="42"/>
  <c r="C31" i="42"/>
  <c r="B21" i="42"/>
  <c r="C21" i="42"/>
  <c r="D21" i="42"/>
  <c r="D27" i="37"/>
  <c r="C27" i="37"/>
  <c r="B27" i="37"/>
  <c r="C35" i="42"/>
  <c r="D35" i="42"/>
  <c r="B35" i="42"/>
  <c r="C34" i="37"/>
  <c r="B34" i="37"/>
  <c r="D34" i="37"/>
  <c r="B18" i="37"/>
  <c r="C18" i="37"/>
  <c r="D18" i="37"/>
  <c r="B27" i="42"/>
  <c r="C27" i="42"/>
  <c r="D27" i="42"/>
  <c r="B15" i="37"/>
  <c r="C15" i="37"/>
  <c r="D15" i="37"/>
  <c r="B24" i="42"/>
  <c r="C24" i="42"/>
  <c r="D24" i="42"/>
  <c r="D37" i="37"/>
  <c r="B37" i="37"/>
  <c r="C37" i="37"/>
  <c r="C30" i="42"/>
  <c r="B30" i="42"/>
  <c r="D30" i="42"/>
  <c r="B15" i="42"/>
  <c r="C15" i="42"/>
  <c r="D15" i="42"/>
  <c r="D16" i="37"/>
  <c r="B16" i="37"/>
  <c r="C16" i="37"/>
  <c r="C25" i="42"/>
  <c r="B25" i="42"/>
  <c r="D25" i="42"/>
  <c r="B22" i="42"/>
  <c r="D22" i="42"/>
  <c r="C22" i="42"/>
  <c r="B32" i="42"/>
  <c r="C32" i="42"/>
  <c r="D32" i="42"/>
  <c r="C38" i="37"/>
  <c r="D38" i="37"/>
  <c r="B38" i="37"/>
  <c r="D14" i="42"/>
  <c r="B14" i="42"/>
  <c r="C14" i="42"/>
  <c r="B26" i="42"/>
  <c r="C26" i="42"/>
  <c r="D26" i="42"/>
  <c r="C29" i="42"/>
  <c r="D29" i="42"/>
  <c r="B29" i="42"/>
  <c r="C34" i="42"/>
  <c r="B34" i="42"/>
  <c r="D34" i="42"/>
  <c r="D33" i="37"/>
  <c r="B33" i="37"/>
  <c r="C33" i="37"/>
  <c r="C35" i="37"/>
  <c r="B35" i="37"/>
  <c r="D35" i="37"/>
  <c r="CM176" i="35" a="1"/>
  <c r="AF34" i="37"/>
  <c r="CL29" i="2" l="1"/>
  <c r="DA46" i="2"/>
  <c r="CY45" i="2"/>
  <c r="CV46" i="2"/>
  <c r="DJ61" i="13"/>
  <c r="CY28" i="13"/>
  <c r="CY55" i="13" s="1"/>
  <c r="CX55" i="13"/>
  <c r="BY55" i="13"/>
  <c r="BZ28" i="13"/>
  <c r="BZ55" i="13" s="1"/>
  <c r="BY37" i="13"/>
  <c r="CT13" i="13"/>
  <c r="CS57" i="2"/>
  <c r="BZ37" i="13"/>
  <c r="CM55" i="2"/>
  <c r="CM59" i="2" s="1"/>
  <c r="CM76" i="2"/>
  <c r="CM105" i="2" s="1"/>
  <c r="CN107" i="2" s="1"/>
  <c r="CI6" i="35"/>
  <c r="CI170" i="35" s="1"/>
  <c r="CP76" i="2"/>
  <c r="CP55" i="2"/>
  <c r="CM6" i="35"/>
  <c r="CM170" i="35" s="1"/>
  <c r="Q5" i="2"/>
  <c r="Q74" i="2" s="1"/>
  <c r="P74" i="2"/>
  <c r="BX29" i="2"/>
  <c r="H5" i="2"/>
  <c r="G74" i="2"/>
  <c r="BZ30" i="2"/>
  <c r="CZ29" i="2"/>
  <c r="CR46" i="2"/>
  <c r="CC29" i="2"/>
  <c r="DK46" i="2"/>
  <c r="DF55" i="2"/>
  <c r="DB29" i="2"/>
  <c r="CK6" i="35"/>
  <c r="CK170" i="35" s="1"/>
  <c r="CI9" i="35"/>
  <c r="CJ6" i="35"/>
  <c r="CJ170" i="35" s="1"/>
  <c r="T74" i="2"/>
  <c r="CX63" i="2"/>
  <c r="CL6" i="35"/>
  <c r="CL170" i="35" s="1"/>
  <c r="CN6" i="35"/>
  <c r="CN170" i="35" s="1"/>
  <c r="CO76" i="35"/>
  <c r="CO6" i="35"/>
  <c r="CO170" i="35" s="1"/>
  <c r="DI227" i="14"/>
  <c r="CO209" i="35"/>
  <c r="CO215" i="35" s="1"/>
  <c r="DI223" i="14"/>
  <c r="CO211" i="35"/>
  <c r="CO217" i="35" s="1"/>
  <c r="DI225" i="14"/>
  <c r="CO210" i="35"/>
  <c r="CO216" i="35" s="1"/>
  <c r="DD135" i="14"/>
  <c r="I44" i="45" s="1"/>
  <c r="I40" i="45"/>
  <c r="I54" i="45" s="1"/>
  <c r="CT20" i="14"/>
  <c r="CT39" i="14"/>
  <c r="CY20" i="14"/>
  <c r="DA22" i="14"/>
  <c r="DD20" i="14"/>
  <c r="DD39" i="14"/>
  <c r="BU20" i="14"/>
  <c r="BU39" i="14"/>
  <c r="BZ20" i="14"/>
  <c r="BZ39" i="14"/>
  <c r="AQ80" i="35"/>
  <c r="DQ13" i="14"/>
  <c r="AR80" i="35" s="1"/>
  <c r="DK71" i="14"/>
  <c r="AM151" i="35" s="1"/>
  <c r="AM155" i="35" s="1"/>
  <c r="AM149" i="35"/>
  <c r="BZ23" i="14"/>
  <c r="DI134" i="14"/>
  <c r="DI133" i="14" s="1"/>
  <c r="J42" i="45" s="1"/>
  <c r="CJ177" i="35"/>
  <c r="CM176" i="35"/>
  <c r="CM177" i="35" s="1"/>
  <c r="H121" i="45"/>
  <c r="H122" i="45"/>
  <c r="CJ119" i="35"/>
  <c r="E118" i="45"/>
  <c r="D40" i="45"/>
  <c r="CE134" i="14"/>
  <c r="CO134" i="14"/>
  <c r="F40" i="45"/>
  <c r="CT134" i="14"/>
  <c r="G40" i="45"/>
  <c r="J53" i="45"/>
  <c r="J54" i="45"/>
  <c r="DD133" i="14"/>
  <c r="I42" i="45" s="1"/>
  <c r="I43" i="45"/>
  <c r="CJ134" i="14"/>
  <c r="E40" i="45"/>
  <c r="CK177" i="35"/>
  <c r="BZ134" i="14"/>
  <c r="C40" i="45"/>
  <c r="CI177" i="35"/>
  <c r="CL177" i="35"/>
  <c r="BY38" i="37"/>
  <c r="BS38" i="37"/>
  <c r="CM9" i="35"/>
  <c r="CM8" i="35"/>
  <c r="CN8" i="35"/>
  <c r="BX143" i="14"/>
  <c r="BX146" i="14" s="1"/>
  <c r="BX150" i="14" s="1"/>
  <c r="BX151" i="14" s="1"/>
  <c r="BX152" i="14" s="1"/>
  <c r="BX153" i="14" s="1"/>
  <c r="BX44" i="14"/>
  <c r="CH143" i="14"/>
  <c r="CH146" i="14" s="1"/>
  <c r="CH150" i="14" s="1"/>
  <c r="CH44" i="14"/>
  <c r="CC143" i="14"/>
  <c r="CC146" i="14" s="1"/>
  <c r="CC150" i="14" s="1"/>
  <c r="CC151" i="14" s="1"/>
  <c r="CC152" i="14" s="1"/>
  <c r="CC153" i="14" s="1"/>
  <c r="CC44" i="14"/>
  <c r="CR143" i="14"/>
  <c r="CR146" i="14" s="1"/>
  <c r="CR150" i="14" s="1"/>
  <c r="CR44" i="14"/>
  <c r="CW143" i="14"/>
  <c r="CW146" i="14" s="1"/>
  <c r="CW150" i="14" s="1"/>
  <c r="CW151" i="14" s="1"/>
  <c r="CW152" i="14" s="1"/>
  <c r="CW153" i="14" s="1"/>
  <c r="CW44" i="14"/>
  <c r="CM143" i="14"/>
  <c r="CM146" i="14" s="1"/>
  <c r="CM150" i="14" s="1"/>
  <c r="CM44" i="14"/>
  <c r="DA143" i="14"/>
  <c r="DA146" i="14" s="1"/>
  <c r="DA150" i="14" s="1"/>
  <c r="DA44" i="14"/>
  <c r="CO71" i="14"/>
  <c r="CK190" i="35" s="1"/>
  <c r="CY139" i="14"/>
  <c r="H48" i="45" s="1"/>
  <c r="CY131" i="14"/>
  <c r="H40" i="45" s="1"/>
  <c r="CY137" i="14"/>
  <c r="H46" i="45" s="1"/>
  <c r="CT135" i="14"/>
  <c r="G44" i="45" s="1"/>
  <c r="DI135" i="14"/>
  <c r="J44" i="45" s="1"/>
  <c r="DY66" i="14"/>
  <c r="DM69" i="14"/>
  <c r="AO149" i="35" s="1"/>
  <c r="DR66" i="14"/>
  <c r="DW66" i="14" s="1"/>
  <c r="EB66" i="14" s="1"/>
  <c r="CF54" i="14"/>
  <c r="DT54" i="14"/>
  <c r="DD55" i="14"/>
  <c r="CK54" i="14"/>
  <c r="CK55" i="14"/>
  <c r="CT55" i="14"/>
  <c r="CG54" i="14"/>
  <c r="CI55" i="14"/>
  <c r="CI54" i="14"/>
  <c r="CH54" i="14"/>
  <c r="CG151" i="14"/>
  <c r="CG152" i="14" s="1"/>
  <c r="CG153" i="14" s="1"/>
  <c r="CL151" i="14"/>
  <c r="CL152" i="14" s="1"/>
  <c r="CL153" i="14" s="1"/>
  <c r="CB151" i="14"/>
  <c r="CB152" i="14" s="1"/>
  <c r="CB153" i="14" s="1"/>
  <c r="CK120" i="35"/>
  <c r="CZ194" i="14"/>
  <c r="CZ198" i="14" s="1"/>
  <c r="CZ158" i="14"/>
  <c r="CZ162" i="14" s="1"/>
  <c r="CZ170" i="14"/>
  <c r="CZ174" i="14" s="1"/>
  <c r="CZ175" i="14" s="1"/>
  <c r="CZ176" i="14" s="1"/>
  <c r="CZ177" i="14" s="1"/>
  <c r="CL194" i="14"/>
  <c r="CL198" i="14" s="1"/>
  <c r="CL199" i="14" s="1"/>
  <c r="CL200" i="14" s="1"/>
  <c r="CL201" i="14" s="1"/>
  <c r="CL158" i="14"/>
  <c r="CL162" i="14" s="1"/>
  <c r="CG198" i="14"/>
  <c r="CG199" i="14" s="1"/>
  <c r="CG200" i="14" s="1"/>
  <c r="CG201" i="14" s="1"/>
  <c r="CG170" i="14"/>
  <c r="CG174" i="14" s="1"/>
  <c r="CG158" i="14"/>
  <c r="CG162" i="14" s="1"/>
  <c r="CG163" i="14" s="1"/>
  <c r="CG164" i="14" s="1"/>
  <c r="CG165" i="14" s="1"/>
  <c r="CB198" i="14"/>
  <c r="CB199" i="14" s="1"/>
  <c r="CB200" i="14" s="1"/>
  <c r="CB201" i="14" s="1"/>
  <c r="CB162" i="14"/>
  <c r="CB163" i="14" s="1"/>
  <c r="CB164" i="14" s="1"/>
  <c r="CB165" i="14" s="1"/>
  <c r="CB170" i="14"/>
  <c r="CB174" i="14" s="1"/>
  <c r="CB175" i="14" s="1"/>
  <c r="CB176" i="14" s="1"/>
  <c r="CB177" i="14" s="1"/>
  <c r="CQ158" i="14"/>
  <c r="CQ162" i="14" s="1"/>
  <c r="CQ170" i="14"/>
  <c r="CQ174" i="14" s="1"/>
  <c r="CQ175" i="14" s="1"/>
  <c r="CQ176" i="14" s="1"/>
  <c r="CQ177" i="14" s="1"/>
  <c r="BW198" i="14"/>
  <c r="BW199" i="14" s="1"/>
  <c r="BW200" i="14" s="1"/>
  <c r="BW201" i="14" s="1"/>
  <c r="BW170" i="14"/>
  <c r="BW174" i="14" s="1"/>
  <c r="BW158" i="14"/>
  <c r="BW162" i="14" s="1"/>
  <c r="BW163" i="14" s="1"/>
  <c r="BW164" i="14" s="1"/>
  <c r="BW165" i="14" s="1"/>
  <c r="CV198" i="14"/>
  <c r="CV199" i="14" s="1"/>
  <c r="CV200" i="14" s="1"/>
  <c r="CV201" i="14" s="1"/>
  <c r="CV170" i="14"/>
  <c r="CV174" i="14" s="1"/>
  <c r="CV175" i="14" s="1"/>
  <c r="CV176" i="14" s="1"/>
  <c r="CV177" i="14" s="1"/>
  <c r="CV158" i="14"/>
  <c r="CV162" i="14" s="1"/>
  <c r="CV163" i="14" s="1"/>
  <c r="CV164" i="14" s="1"/>
  <c r="CV165" i="14" s="1"/>
  <c r="CP163" i="14"/>
  <c r="CP164" i="14" s="1"/>
  <c r="CP165" i="14" s="1"/>
  <c r="CK163" i="14"/>
  <c r="CK164" i="14" s="1"/>
  <c r="CK165" i="14" s="1"/>
  <c r="BV175" i="14"/>
  <c r="BV176" i="14" s="1"/>
  <c r="BV177" i="14" s="1"/>
  <c r="DA179" i="14"/>
  <c r="DA191" i="14"/>
  <c r="DA194" i="14" s="1"/>
  <c r="DA198" i="14" s="1"/>
  <c r="DA199" i="14" s="1"/>
  <c r="DA200" i="14" s="1"/>
  <c r="DA201" i="14" s="1"/>
  <c r="DA167" i="14"/>
  <c r="DA155" i="14"/>
  <c r="CM179" i="14"/>
  <c r="CM182" i="14" s="1"/>
  <c r="CM186" i="14" s="1"/>
  <c r="CM187" i="14" s="1"/>
  <c r="CM188" i="14" s="1"/>
  <c r="CM189" i="14" s="1"/>
  <c r="CM191" i="14"/>
  <c r="CM167" i="14"/>
  <c r="CM170" i="14" s="1"/>
  <c r="CM174" i="14" s="1"/>
  <c r="CM175" i="14" s="1"/>
  <c r="CM176" i="14" s="1"/>
  <c r="CM177" i="14" s="1"/>
  <c r="CM155" i="14"/>
  <c r="CC179" i="14"/>
  <c r="CC182" i="14" s="1"/>
  <c r="CC186" i="14" s="1"/>
  <c r="CC187" i="14" s="1"/>
  <c r="CC188" i="14" s="1"/>
  <c r="CC189" i="14" s="1"/>
  <c r="CC167" i="14"/>
  <c r="CC191" i="14"/>
  <c r="CC194" i="14" s="1"/>
  <c r="CC198" i="14" s="1"/>
  <c r="CC199" i="14" s="1"/>
  <c r="CC200" i="14" s="1"/>
  <c r="CC201" i="14" s="1"/>
  <c r="CC155" i="14"/>
  <c r="CC158" i="14" s="1"/>
  <c r="CH179" i="14"/>
  <c r="CH191" i="14"/>
  <c r="CH155" i="14"/>
  <c r="CH158" i="14" s="1"/>
  <c r="CH167" i="14"/>
  <c r="CR179" i="14"/>
  <c r="CR191" i="14"/>
  <c r="CR167" i="14"/>
  <c r="CR155" i="14"/>
  <c r="CR158" i="14" s="1"/>
  <c r="CW179" i="14"/>
  <c r="CW182" i="14" s="1"/>
  <c r="CW186" i="14" s="1"/>
  <c r="CW187" i="14" s="1"/>
  <c r="CW188" i="14" s="1"/>
  <c r="CW189" i="14" s="1"/>
  <c r="CW155" i="14"/>
  <c r="CW167" i="14"/>
  <c r="CW191" i="14"/>
  <c r="CW194" i="14" s="1"/>
  <c r="CW198" i="14" s="1"/>
  <c r="CW199" i="14" s="1"/>
  <c r="CW200" i="14" s="1"/>
  <c r="CW201" i="14" s="1"/>
  <c r="BX179" i="14"/>
  <c r="BX182" i="14" s="1"/>
  <c r="BX186" i="14" s="1"/>
  <c r="BX187" i="14" s="1"/>
  <c r="BX188" i="14" s="1"/>
  <c r="BX189" i="14" s="1"/>
  <c r="BX155" i="14"/>
  <c r="BX167" i="14"/>
  <c r="BX170" i="14" s="1"/>
  <c r="BX174" i="14" s="1"/>
  <c r="BX175" i="14" s="1"/>
  <c r="BX176" i="14" s="1"/>
  <c r="BX177" i="14" s="1"/>
  <c r="BX191" i="14"/>
  <c r="BX194" i="14" s="1"/>
  <c r="CG33" i="14"/>
  <c r="CB33" i="14"/>
  <c r="CV33" i="14"/>
  <c r="CZ182" i="14"/>
  <c r="CZ186" i="14" s="1"/>
  <c r="CZ187" i="14" s="1"/>
  <c r="CZ188" i="14" s="1"/>
  <c r="CZ189" i="14" s="1"/>
  <c r="CG182" i="14"/>
  <c r="CG186" i="14" s="1"/>
  <c r="CG187" i="14" s="1"/>
  <c r="CG188" i="14" s="1"/>
  <c r="CG189" i="14" s="1"/>
  <c r="CF187" i="14"/>
  <c r="CF188" i="14" s="1"/>
  <c r="CF189" i="14" s="1"/>
  <c r="CA187" i="14"/>
  <c r="CA188" i="14" s="1"/>
  <c r="CA189" i="14" s="1"/>
  <c r="DZ45" i="14"/>
  <c r="DU46" i="14"/>
  <c r="DV46" i="14"/>
  <c r="CY69" i="14"/>
  <c r="CY70" i="14" s="1"/>
  <c r="CW72" i="14"/>
  <c r="AB152" i="35" s="1"/>
  <c r="CW71" i="14"/>
  <c r="AB151" i="35" s="1"/>
  <c r="AB155" i="35" s="1"/>
  <c r="CA57" i="14"/>
  <c r="CM120" i="35"/>
  <c r="CN67" i="14"/>
  <c r="CB57" i="14"/>
  <c r="CM67" i="14"/>
  <c r="CH67" i="14"/>
  <c r="BS14" i="37"/>
  <c r="BS36" i="37"/>
  <c r="BS26" i="37"/>
  <c r="BS28" i="37"/>
  <c r="AU28" i="37"/>
  <c r="CE33" i="37"/>
  <c r="AB36" i="37"/>
  <c r="CE14" i="37"/>
  <c r="BY36" i="37"/>
  <c r="BY26" i="37"/>
  <c r="BY18" i="37"/>
  <c r="BS21" i="37"/>
  <c r="BY20" i="37"/>
  <c r="BY39" i="37"/>
  <c r="AB26" i="37"/>
  <c r="AB24" i="37"/>
  <c r="AB21" i="37"/>
  <c r="AB39" i="37"/>
  <c r="AB28" i="37"/>
  <c r="BY21" i="37"/>
  <c r="BS39" i="37"/>
  <c r="AB23" i="37"/>
  <c r="CL67" i="14"/>
  <c r="CI67" i="14"/>
  <c r="CD57" i="14"/>
  <c r="CG67" i="14"/>
  <c r="CG29" i="2"/>
  <c r="CH58" i="14"/>
  <c r="CH57" i="14"/>
  <c r="CL58" i="14"/>
  <c r="CL57" i="14"/>
  <c r="CG57" i="14"/>
  <c r="CG58" i="14"/>
  <c r="CI58" i="14"/>
  <c r="CI57" i="14"/>
  <c r="CK58" i="14"/>
  <c r="CK57" i="14"/>
  <c r="CF57" i="14"/>
  <c r="CF58" i="14"/>
  <c r="CC57" i="14"/>
  <c r="EC49" i="2"/>
  <c r="BY30" i="37"/>
  <c r="CE16" i="37"/>
  <c r="BY35" i="37"/>
  <c r="BY14" i="37"/>
  <c r="U5" i="14"/>
  <c r="CB29" i="2"/>
  <c r="BS35" i="37"/>
  <c r="CD81" i="14"/>
  <c r="CD79" i="14"/>
  <c r="CD82" i="14"/>
  <c r="CV68" i="14"/>
  <c r="CV67" i="14"/>
  <c r="CB82" i="14"/>
  <c r="CB81" i="14"/>
  <c r="CB79" i="14"/>
  <c r="CJ60" i="14"/>
  <c r="CJ56" i="14"/>
  <c r="CZ67" i="14"/>
  <c r="CZ68" i="14"/>
  <c r="CI79" i="14"/>
  <c r="CI82" i="14"/>
  <c r="CI81" i="14"/>
  <c r="CK82" i="14"/>
  <c r="CK79" i="14"/>
  <c r="CN59" i="14"/>
  <c r="CO52" i="14"/>
  <c r="DF29" i="2"/>
  <c r="CJ65" i="14"/>
  <c r="CU68" i="14"/>
  <c r="CU67" i="14"/>
  <c r="DK51" i="2"/>
  <c r="DK54" i="2" s="1"/>
  <c r="DK55" i="2" s="1"/>
  <c r="DK63" i="2" s="1"/>
  <c r="DL50" i="2"/>
  <c r="CM81" i="14"/>
  <c r="CM82" i="14"/>
  <c r="CM79" i="14"/>
  <c r="CE60" i="14"/>
  <c r="CO70" i="14"/>
  <c r="CM62" i="14"/>
  <c r="CM56" i="14"/>
  <c r="CM61" i="14"/>
  <c r="CG81" i="14"/>
  <c r="CG82" i="14"/>
  <c r="CG79" i="14"/>
  <c r="CF82" i="14"/>
  <c r="CJ78" i="14"/>
  <c r="CF79" i="14"/>
  <c r="CW29" i="2"/>
  <c r="CS68" i="14"/>
  <c r="CS67" i="14"/>
  <c r="DB69" i="14"/>
  <c r="CL82" i="14"/>
  <c r="CL79" i="14"/>
  <c r="CL81" i="14"/>
  <c r="BY16" i="37"/>
  <c r="DF68" i="14"/>
  <c r="DF67" i="14"/>
  <c r="CO66" i="14"/>
  <c r="DK66" i="14"/>
  <c r="DP66" i="14" s="1"/>
  <c r="DU66" i="14" s="1"/>
  <c r="DZ66" i="14" s="1"/>
  <c r="DK72" i="14"/>
  <c r="AM152" i="35" s="1"/>
  <c r="CJ66" i="14"/>
  <c r="CG35" i="14"/>
  <c r="CE18" i="37"/>
  <c r="CW66" i="14"/>
  <c r="CX67" i="14" s="1"/>
  <c r="CE9" i="37"/>
  <c r="CE10" i="37" s="1"/>
  <c r="CH79" i="14"/>
  <c r="CH81" i="14"/>
  <c r="CH82" i="14"/>
  <c r="CT70" i="14"/>
  <c r="CJ70" i="14"/>
  <c r="CJ73" i="14"/>
  <c r="DH68" i="14"/>
  <c r="DJ68" i="14"/>
  <c r="DC68" i="14"/>
  <c r="CX68" i="14"/>
  <c r="CR67" i="14"/>
  <c r="CR68" i="14"/>
  <c r="CC82" i="14"/>
  <c r="CC81" i="14"/>
  <c r="CC79" i="14"/>
  <c r="BA11" i="37"/>
  <c r="BA12" i="37" s="1"/>
  <c r="H6" i="37"/>
  <c r="I6" i="37" s="1"/>
  <c r="AU24" i="37"/>
  <c r="AU23" i="37"/>
  <c r="DE67" i="14"/>
  <c r="DE68" i="14"/>
  <c r="CA79" i="14"/>
  <c r="CA82" i="14"/>
  <c r="CE78" i="14"/>
  <c r="CT66" i="14"/>
  <c r="CP67" i="14"/>
  <c r="CP68" i="14"/>
  <c r="CQ68" i="14"/>
  <c r="CQ67" i="14"/>
  <c r="BY33" i="37"/>
  <c r="AU26" i="37"/>
  <c r="AU21" i="37"/>
  <c r="CE21" i="37"/>
  <c r="CE20" i="37"/>
  <c r="BW29" i="2"/>
  <c r="BV29" i="2"/>
  <c r="BQ47" i="2"/>
  <c r="BQ55" i="2"/>
  <c r="BQ59" i="2" s="1"/>
  <c r="BQ76" i="2"/>
  <c r="BQ79" i="2" s="1"/>
  <c r="BV46" i="2"/>
  <c r="BX63" i="2"/>
  <c r="BX7" i="13" s="1"/>
  <c r="BX25" i="13" s="1"/>
  <c r="BX59" i="2"/>
  <c r="CH76" i="2"/>
  <c r="CH55" i="2"/>
  <c r="CM46" i="2"/>
  <c r="CH47" i="2"/>
  <c r="CM29" i="2"/>
  <c r="CH29" i="2"/>
  <c r="BX79" i="2"/>
  <c r="CP63" i="2"/>
  <c r="CP59" i="2"/>
  <c r="CC106" i="2"/>
  <c r="BX108" i="2"/>
  <c r="CN59" i="2"/>
  <c r="CN63" i="2"/>
  <c r="CA29" i="2"/>
  <c r="CF29" i="2"/>
  <c r="BY29" i="2"/>
  <c r="CD29" i="2"/>
  <c r="CV29" i="2"/>
  <c r="CQ29" i="2"/>
  <c r="CK29" i="2"/>
  <c r="CP29" i="2"/>
  <c r="DJ29" i="2"/>
  <c r="DC29" i="2"/>
  <c r="DH29" i="2"/>
  <c r="DG29" i="2"/>
  <c r="DL29" i="2"/>
  <c r="DE29" i="2"/>
  <c r="CI29" i="2"/>
  <c r="CN29" i="2"/>
  <c r="CS29" i="2"/>
  <c r="CX29" i="2"/>
  <c r="CZ55" i="2"/>
  <c r="CZ47" i="2"/>
  <c r="CZ76" i="2"/>
  <c r="DE46" i="2"/>
  <c r="CW76" i="2"/>
  <c r="CY76" i="2" s="1"/>
  <c r="CW55" i="2"/>
  <c r="CY55" i="2" s="1"/>
  <c r="CY59" i="2" s="1"/>
  <c r="CW47" i="2"/>
  <c r="DB46" i="2"/>
  <c r="CG46" i="2"/>
  <c r="CB47" i="2"/>
  <c r="CB55" i="2"/>
  <c r="CB76" i="2"/>
  <c r="CA55" i="2"/>
  <c r="CA47" i="2"/>
  <c r="CF46" i="2"/>
  <c r="CA76" i="2"/>
  <c r="CT23" i="14"/>
  <c r="CO39" i="14"/>
  <c r="CO23" i="14"/>
  <c r="CL46" i="2"/>
  <c r="CG55" i="2"/>
  <c r="CG59" i="2" s="1"/>
  <c r="CG76" i="2"/>
  <c r="CG47" i="2"/>
  <c r="BY55" i="2"/>
  <c r="BY59" i="2" s="1"/>
  <c r="BY47" i="2"/>
  <c r="BY76" i="2"/>
  <c r="BY105" i="2" s="1"/>
  <c r="BY107" i="2" s="1"/>
  <c r="CD46" i="2"/>
  <c r="DI39" i="14"/>
  <c r="DI23" i="14"/>
  <c r="CO28" i="2"/>
  <c r="CT30" i="2"/>
  <c r="CE23" i="14"/>
  <c r="CE39" i="14"/>
  <c r="CI77" i="2"/>
  <c r="CJ77" i="2" s="1"/>
  <c r="CJ10" i="13"/>
  <c r="CI8" i="13"/>
  <c r="CJ8" i="13" s="1"/>
  <c r="DQ8" i="13"/>
  <c r="DP15" i="12"/>
  <c r="CE38" i="37"/>
  <c r="CE39" i="37"/>
  <c r="CE35" i="37"/>
  <c r="CE36" i="37"/>
  <c r="N6" i="37"/>
  <c r="M6" i="37"/>
  <c r="BA9" i="37"/>
  <c r="BA10" i="37" s="1"/>
  <c r="BA29" i="37"/>
  <c r="BA30" i="37" s="1"/>
  <c r="BA15" i="37"/>
  <c r="BA16" i="37" s="1"/>
  <c r="BA25" i="37"/>
  <c r="BA19" i="37"/>
  <c r="BA20" i="37" s="1"/>
  <c r="BE6" i="37"/>
  <c r="BA17" i="37"/>
  <c r="BA18" i="37" s="1"/>
  <c r="BA27" i="37"/>
  <c r="BA13" i="37"/>
  <c r="BA14" i="37" s="1"/>
  <c r="BA31" i="37"/>
  <c r="BA32" i="37"/>
  <c r="BA33" i="37" s="1"/>
  <c r="BA37" i="37"/>
  <c r="AU36" i="37"/>
  <c r="AU35" i="37"/>
  <c r="AU38" i="37"/>
  <c r="AU39" i="37"/>
  <c r="CE26" i="37"/>
  <c r="CQ76" i="2"/>
  <c r="CQ47" i="2"/>
  <c r="CQ55" i="2"/>
  <c r="DG82" i="2"/>
  <c r="DK81" i="2"/>
  <c r="DF110" i="2"/>
  <c r="DF67" i="13" s="1"/>
  <c r="DF62" i="13" s="1"/>
  <c r="DF80" i="2"/>
  <c r="DK106" i="2"/>
  <c r="DF108" i="2"/>
  <c r="DF46" i="2"/>
  <c r="DA76" i="2"/>
  <c r="DA55" i="2"/>
  <c r="DA47" i="2"/>
  <c r="CL47" i="2"/>
  <c r="CL76" i="2"/>
  <c r="CQ46" i="2"/>
  <c r="CL55" i="2"/>
  <c r="CC47" i="2"/>
  <c r="CC55" i="2"/>
  <c r="CE45" i="2"/>
  <c r="CC76" i="2"/>
  <c r="CH46" i="2"/>
  <c r="BW55" i="2"/>
  <c r="BW76" i="2"/>
  <c r="BW47" i="2"/>
  <c r="CB46" i="2"/>
  <c r="CE30" i="2"/>
  <c r="BZ28" i="2"/>
  <c r="BR47" i="2"/>
  <c r="BR55" i="2"/>
  <c r="BW46" i="2"/>
  <c r="BR76" i="2"/>
  <c r="CU79" i="2"/>
  <c r="CU105" i="2"/>
  <c r="BU45" i="2"/>
  <c r="DD28" i="2"/>
  <c r="DI30" i="2"/>
  <c r="CM108" i="2"/>
  <c r="CX77" i="2"/>
  <c r="CY10" i="13"/>
  <c r="CX8" i="13"/>
  <c r="CY8" i="13" s="1"/>
  <c r="DA32" i="14"/>
  <c r="DA33" i="14" s="1"/>
  <c r="DA28" i="14"/>
  <c r="DB27" i="14"/>
  <c r="DB31" i="14" s="1"/>
  <c r="DA30" i="14"/>
  <c r="DA34" i="14"/>
  <c r="DA35" i="14" s="1"/>
  <c r="AC5" i="14"/>
  <c r="AH5" i="14" s="1"/>
  <c r="Y5" i="14"/>
  <c r="Z5" i="14" s="1"/>
  <c r="CM64" i="14"/>
  <c r="CC63" i="14"/>
  <c r="CC53" i="14"/>
  <c r="CH55" i="14" s="1"/>
  <c r="CY65" i="14"/>
  <c r="CY64" i="14"/>
  <c r="DD64" i="14"/>
  <c r="CX71" i="14"/>
  <c r="AC151" i="35" s="1"/>
  <c r="AC155" i="35" s="1"/>
  <c r="CZ72" i="14"/>
  <c r="AD152" i="35" s="1"/>
  <c r="DC71" i="14"/>
  <c r="AG151" i="35" s="1"/>
  <c r="AG155" i="35" s="1"/>
  <c r="CQ35" i="14"/>
  <c r="CB35" i="14"/>
  <c r="CN72" i="14"/>
  <c r="U152" i="35" s="1"/>
  <c r="CS71" i="14"/>
  <c r="Y151" i="35" s="1"/>
  <c r="Y155" i="35" s="1"/>
  <c r="CX72" i="14"/>
  <c r="AC152" i="35" s="1"/>
  <c r="DQ14" i="14"/>
  <c r="DR14" i="14" s="1"/>
  <c r="DT14" i="14" s="1"/>
  <c r="DU14" i="14" s="1"/>
  <c r="DV14" i="14" s="1"/>
  <c r="DW14" i="14" s="1"/>
  <c r="DY14" i="14" s="1"/>
  <c r="DZ14" i="14" s="1"/>
  <c r="EA14" i="14" s="1"/>
  <c r="EB14" i="14" s="1"/>
  <c r="DP12" i="14"/>
  <c r="CN29" i="14"/>
  <c r="CM28" i="14"/>
  <c r="CN28" i="14"/>
  <c r="CM32" i="14"/>
  <c r="CO32" i="14" s="1"/>
  <c r="CM34" i="14"/>
  <c r="CO34" i="14" s="1"/>
  <c r="CL35" i="14"/>
  <c r="CL33" i="14"/>
  <c r="CQ33" i="14"/>
  <c r="CC31" i="14"/>
  <c r="CD28" i="14"/>
  <c r="CC34" i="14"/>
  <c r="CD29" i="14"/>
  <c r="CC32" i="14"/>
  <c r="CC28" i="14"/>
  <c r="CD77" i="14"/>
  <c r="CD74" i="14"/>
  <c r="CH32" i="14"/>
  <c r="CJ32" i="14" s="1"/>
  <c r="CH28" i="14"/>
  <c r="CH30" i="14"/>
  <c r="CH34" i="14"/>
  <c r="CI28" i="14"/>
  <c r="CI29" i="14"/>
  <c r="CM30" i="14"/>
  <c r="DD47" i="14"/>
  <c r="M17" i="26"/>
  <c r="DE46" i="14"/>
  <c r="DI47" i="14"/>
  <c r="AB25" i="42"/>
  <c r="AB16" i="42"/>
  <c r="AB24" i="42"/>
  <c r="AB20" i="42"/>
  <c r="AD8" i="42"/>
  <c r="AB11" i="42"/>
  <c r="AB12" i="42"/>
  <c r="AB22" i="42"/>
  <c r="AB31" i="42"/>
  <c r="AB29" i="42"/>
  <c r="AB27" i="42"/>
  <c r="AB17" i="42"/>
  <c r="AB33" i="42"/>
  <c r="AB15" i="42"/>
  <c r="AB19" i="42"/>
  <c r="AB23" i="42"/>
  <c r="AB21" i="42"/>
  <c r="AB26" i="42"/>
  <c r="AB13" i="42"/>
  <c r="CE44" i="12"/>
  <c r="CE43" i="12"/>
  <c r="Y5" i="12"/>
  <c r="Z5" i="12" s="1"/>
  <c r="AA5" i="12" s="1"/>
  <c r="AC5" i="12"/>
  <c r="CO65" i="14"/>
  <c r="CL72" i="14"/>
  <c r="S152" i="35" s="1"/>
  <c r="CM72" i="14"/>
  <c r="T152" i="35" s="1"/>
  <c r="CJ47" i="14"/>
  <c r="CB63" i="14"/>
  <c r="CB53" i="14"/>
  <c r="CG55" i="14" s="1"/>
  <c r="CJ53" i="14"/>
  <c r="CO55" i="14" s="1"/>
  <c r="CQ71" i="14"/>
  <c r="W151" i="35" s="1"/>
  <c r="W155" i="35" s="1"/>
  <c r="CV35" i="14"/>
  <c r="CH72" i="14"/>
  <c r="P152" i="35" s="1"/>
  <c r="CA63" i="14"/>
  <c r="CE51" i="14"/>
  <c r="D118" i="45" s="1"/>
  <c r="CA53" i="14"/>
  <c r="CA54" i="14" s="1"/>
  <c r="BY29" i="14"/>
  <c r="BY28" i="14"/>
  <c r="BX34" i="14"/>
  <c r="BX28" i="14"/>
  <c r="BX30" i="14"/>
  <c r="CC30" i="14"/>
  <c r="BX32" i="14"/>
  <c r="CT64" i="14"/>
  <c r="CS29" i="14"/>
  <c r="CR28" i="14"/>
  <c r="CR34" i="14"/>
  <c r="CR30" i="14"/>
  <c r="CS28" i="14"/>
  <c r="CR32" i="14"/>
  <c r="CW30" i="14"/>
  <c r="CW34" i="14"/>
  <c r="CX28" i="14"/>
  <c r="CX29" i="14"/>
  <c r="CW28" i="14"/>
  <c r="CW32" i="14"/>
  <c r="BU10" i="13"/>
  <c r="BT77" i="2"/>
  <c r="BU77" i="2" s="1"/>
  <c r="BT8" i="13"/>
  <c r="BU8" i="13" s="1"/>
  <c r="CI76" i="2"/>
  <c r="CN46" i="2"/>
  <c r="CI55" i="2"/>
  <c r="CI47" i="2"/>
  <c r="DD30" i="2"/>
  <c r="CY28" i="2"/>
  <c r="CY30" i="2"/>
  <c r="CD63" i="2"/>
  <c r="CD59" i="2"/>
  <c r="DH63" i="2"/>
  <c r="DH59" i="2"/>
  <c r="CJ45" i="2"/>
  <c r="DH105" i="2"/>
  <c r="DH79" i="2"/>
  <c r="CF79" i="2"/>
  <c r="CF105" i="2"/>
  <c r="CS55" i="2"/>
  <c r="CS76" i="2"/>
  <c r="CS105" i="2" s="1"/>
  <c r="CS47" i="2"/>
  <c r="CX46" i="2"/>
  <c r="DJ46" i="2"/>
  <c r="DE76" i="2"/>
  <c r="DE55" i="2"/>
  <c r="DE47" i="2"/>
  <c r="DI45" i="2"/>
  <c r="DR45" i="14"/>
  <c r="DM46" i="14"/>
  <c r="CR76" i="2"/>
  <c r="CR79" i="2" s="1"/>
  <c r="CW46" i="2"/>
  <c r="CR55" i="2"/>
  <c r="CR47" i="2"/>
  <c r="CT45" i="2"/>
  <c r="CF63" i="2"/>
  <c r="CF59" i="2"/>
  <c r="CU59" i="2"/>
  <c r="CU63" i="2"/>
  <c r="CY47" i="2"/>
  <c r="CK76" i="2"/>
  <c r="CO45" i="2"/>
  <c r="CK47" i="2"/>
  <c r="CK55" i="2"/>
  <c r="CP46" i="2"/>
  <c r="CO30" i="2"/>
  <c r="CJ28" i="2"/>
  <c r="CJ29" i="2" s="1"/>
  <c r="CJ30" i="2"/>
  <c r="CV63" i="2"/>
  <c r="CV59" i="2"/>
  <c r="DG55" i="2"/>
  <c r="DG47" i="2"/>
  <c r="DG76" i="2"/>
  <c r="CB147" i="2"/>
  <c r="DJ76" i="2"/>
  <c r="DJ47" i="2"/>
  <c r="DJ55" i="2"/>
  <c r="DC76" i="2"/>
  <c r="DC105" i="2" s="1"/>
  <c r="DH46" i="2"/>
  <c r="DC47" i="2"/>
  <c r="DC55" i="2"/>
  <c r="DC46" i="2"/>
  <c r="BS47" i="2"/>
  <c r="BS76" i="2"/>
  <c r="BX46" i="2"/>
  <c r="BS55" i="2"/>
  <c r="BV76" i="2"/>
  <c r="CA46" i="2"/>
  <c r="BZ45" i="2"/>
  <c r="BV55" i="2"/>
  <c r="BV47" i="2"/>
  <c r="CV105" i="2"/>
  <c r="CV79" i="2"/>
  <c r="U5" i="2"/>
  <c r="U74" i="2" s="1"/>
  <c r="BT47" i="2"/>
  <c r="BT55" i="2"/>
  <c r="BY46" i="2"/>
  <c r="BT76" i="2"/>
  <c r="CY23" i="14"/>
  <c r="CY39" i="14"/>
  <c r="DD23" i="14"/>
  <c r="CD105" i="2"/>
  <c r="CJ39" i="14"/>
  <c r="CJ23" i="14"/>
  <c r="CD77" i="2"/>
  <c r="CE77" i="2" s="1"/>
  <c r="CD8" i="13"/>
  <c r="CE8" i="13" s="1"/>
  <c r="CE10" i="13"/>
  <c r="AC5" i="2"/>
  <c r="AC74" i="2" s="1"/>
  <c r="Y5" i="2"/>
  <c r="DS67" i="2"/>
  <c r="DK110" i="2"/>
  <c r="DK67" i="13" s="1"/>
  <c r="DK62" i="13" s="1"/>
  <c r="DK80" i="2"/>
  <c r="DG46" i="2"/>
  <c r="DB55" i="2"/>
  <c r="DB76" i="2"/>
  <c r="DB79" i="2" s="1"/>
  <c r="DB80" i="2" s="1"/>
  <c r="DB47" i="2"/>
  <c r="DD45" i="2"/>
  <c r="V3" i="35"/>
  <c r="CN3" i="35"/>
  <c r="DN48" i="12"/>
  <c r="DO33" i="12"/>
  <c r="DP69" i="2"/>
  <c r="DQ68" i="2"/>
  <c r="D29" i="21"/>
  <c r="D30" i="21"/>
  <c r="H13" i="21" s="1"/>
  <c r="DL107" i="2"/>
  <c r="DL108" i="2"/>
  <c r="DV67" i="2"/>
  <c r="DD41" i="13"/>
  <c r="CS77" i="2"/>
  <c r="CS79" i="2" s="1"/>
  <c r="CS8" i="13"/>
  <c r="CT8" i="13" s="1"/>
  <c r="DD43" i="13"/>
  <c r="CN36" i="13"/>
  <c r="CN77" i="2"/>
  <c r="CN79" i="2" s="1"/>
  <c r="CN8" i="13"/>
  <c r="CO8" i="13" s="1"/>
  <c r="CO10" i="13"/>
  <c r="DY18" i="12"/>
  <c r="DZ18" i="12" s="1"/>
  <c r="EA18" i="12" s="1"/>
  <c r="EB18" i="12" s="1"/>
  <c r="EC18" i="12" s="1"/>
  <c r="DX18" i="12"/>
  <c r="DC8" i="13"/>
  <c r="DD8" i="13" s="1"/>
  <c r="DC77" i="2"/>
  <c r="DD10" i="13"/>
  <c r="DR41" i="13"/>
  <c r="DQ43" i="13"/>
  <c r="CT10" i="13"/>
  <c r="CI55" i="13"/>
  <c r="CJ28" i="13"/>
  <c r="CJ55" i="13" s="1"/>
  <c r="BT37" i="13"/>
  <c r="BU37" i="13" s="1"/>
  <c r="DX12" i="13"/>
  <c r="CI36" i="13"/>
  <c r="CO28" i="13"/>
  <c r="CO55" i="13" s="1"/>
  <c r="CX36" i="13"/>
  <c r="CX37" i="13" s="1"/>
  <c r="CY37" i="13" s="1"/>
  <c r="DD57" i="13"/>
  <c r="DF61" i="13"/>
  <c r="CX56" i="2"/>
  <c r="CY56" i="2" s="1"/>
  <c r="CY57" i="2"/>
  <c r="CN57" i="2"/>
  <c r="AD5" i="13"/>
  <c r="AH5" i="13"/>
  <c r="DG59" i="13"/>
  <c r="DB60" i="13"/>
  <c r="BT43" i="13"/>
  <c r="BU43" i="13" s="1"/>
  <c r="CX42" i="13"/>
  <c r="CI43" i="13"/>
  <c r="CJ43" i="13" s="1"/>
  <c r="DC46" i="13"/>
  <c r="DC54" i="13"/>
  <c r="DC57" i="13" s="1"/>
  <c r="DC58" i="13" s="1"/>
  <c r="CE20" i="13"/>
  <c r="DQ21" i="13"/>
  <c r="DR26" i="12"/>
  <c r="DN51" i="13"/>
  <c r="DO51" i="13"/>
  <c r="DP51" i="13" s="1"/>
  <c r="DQ51" i="13" s="1"/>
  <c r="DR51" i="13" s="1"/>
  <c r="CR43" i="13"/>
  <c r="CM42" i="13"/>
  <c r="DB46" i="13"/>
  <c r="BY77" i="2"/>
  <c r="BY8" i="13"/>
  <c r="BZ8" i="13" s="1"/>
  <c r="CE34" i="13"/>
  <c r="CO13" i="13"/>
  <c r="CD42" i="13"/>
  <c r="CT19" i="13"/>
  <c r="CJ18" i="13"/>
  <c r="CC37" i="13"/>
  <c r="J34" i="37"/>
  <c r="G34" i="37"/>
  <c r="Q34" i="37"/>
  <c r="BQ34" i="37"/>
  <c r="AM34" i="37"/>
  <c r="M34" i="37"/>
  <c r="I34" i="37"/>
  <c r="K34" i="37"/>
  <c r="S34" i="37"/>
  <c r="N34" i="37"/>
  <c r="BE34" i="37"/>
  <c r="BK34" i="37"/>
  <c r="CC34" i="37"/>
  <c r="CN75" i="35" a="1"/>
  <c r="H34" i="37"/>
  <c r="L34" i="37"/>
  <c r="AY34" i="37"/>
  <c r="BW34" i="37"/>
  <c r="O34" i="37"/>
  <c r="AS34" i="37"/>
  <c r="Z34" i="37"/>
  <c r="DK59" i="2" l="1"/>
  <c r="BQ63" i="2"/>
  <c r="CM79" i="2"/>
  <c r="CM63" i="2"/>
  <c r="J41" i="45"/>
  <c r="J58" i="45" s="1"/>
  <c r="I53" i="45"/>
  <c r="CS56" i="2"/>
  <c r="CT56" i="2" s="1"/>
  <c r="CT57" i="2"/>
  <c r="CM7" i="13"/>
  <c r="CM25" i="13" s="1"/>
  <c r="CP79" i="2"/>
  <c r="CP105" i="2"/>
  <c r="G6" i="37"/>
  <c r="BY63" i="2"/>
  <c r="BY7" i="13" s="1"/>
  <c r="BY25" i="13" s="1"/>
  <c r="M5" i="2"/>
  <c r="H74" i="2"/>
  <c r="DF59" i="2"/>
  <c r="DF63" i="2"/>
  <c r="Z5" i="2"/>
  <c r="Y74" i="2"/>
  <c r="CE55" i="2"/>
  <c r="BQ105" i="2"/>
  <c r="BQ108" i="2" s="1"/>
  <c r="CX7" i="13"/>
  <c r="CX25" i="13" s="1"/>
  <c r="CX70" i="12"/>
  <c r="CX116" i="2"/>
  <c r="CX65" i="2"/>
  <c r="CX70" i="2"/>
  <c r="DC71" i="2" s="1"/>
  <c r="DC64" i="2"/>
  <c r="CN75" i="35"/>
  <c r="CN76" i="35" s="1"/>
  <c r="DD58" i="13"/>
  <c r="DR13" i="14"/>
  <c r="AS80" i="35" s="1"/>
  <c r="DD69" i="14"/>
  <c r="DD71" i="14" s="1"/>
  <c r="CN190" i="35" s="1"/>
  <c r="AF149" i="35"/>
  <c r="J43" i="45"/>
  <c r="BZ133" i="14"/>
  <c r="C42" i="45" s="1"/>
  <c r="C43" i="45"/>
  <c r="H41" i="45"/>
  <c r="H58" i="45" s="1"/>
  <c r="H53" i="45"/>
  <c r="H54" i="45"/>
  <c r="E41" i="45"/>
  <c r="E58" i="45" s="1"/>
  <c r="E53" i="45"/>
  <c r="E54" i="45"/>
  <c r="C53" i="45"/>
  <c r="C54" i="45"/>
  <c r="D41" i="45"/>
  <c r="D58" i="45" s="1"/>
  <c r="D53" i="45"/>
  <c r="D54" i="45"/>
  <c r="CJ133" i="14"/>
  <c r="E42" i="45" s="1"/>
  <c r="E43" i="45"/>
  <c r="I41" i="45"/>
  <c r="I58" i="45" s="1"/>
  <c r="G41" i="45"/>
  <c r="G58" i="45" s="1"/>
  <c r="G53" i="45"/>
  <c r="G54" i="45"/>
  <c r="F41" i="45"/>
  <c r="F58" i="45" s="1"/>
  <c r="F53" i="45"/>
  <c r="F54" i="45"/>
  <c r="CT133" i="14"/>
  <c r="G42" i="45" s="1"/>
  <c r="G43" i="45"/>
  <c r="CO133" i="14"/>
  <c r="F42" i="45" s="1"/>
  <c r="F43" i="45"/>
  <c r="CE133" i="14"/>
  <c r="D42" i="45" s="1"/>
  <c r="D43" i="45"/>
  <c r="DB143" i="14"/>
  <c r="DB146" i="14" s="1"/>
  <c r="DB44" i="14"/>
  <c r="CY135" i="14"/>
  <c r="H44" i="45" s="1"/>
  <c r="CY134" i="14"/>
  <c r="H43" i="45" s="1"/>
  <c r="CB54" i="14"/>
  <c r="DU54" i="14"/>
  <c r="CD54" i="14"/>
  <c r="CC54" i="14"/>
  <c r="CF55" i="14"/>
  <c r="CH151" i="14"/>
  <c r="CH152" i="14" s="1"/>
  <c r="CH153" i="14" s="1"/>
  <c r="CR151" i="14"/>
  <c r="CR152" i="14" s="1"/>
  <c r="CR153" i="14" s="1"/>
  <c r="DA151" i="14"/>
  <c r="DA152" i="14" s="1"/>
  <c r="DA153" i="14" s="1"/>
  <c r="CM151" i="14"/>
  <c r="CM152" i="14" s="1"/>
  <c r="CM153" i="14" s="1"/>
  <c r="DA182" i="14"/>
  <c r="DA186" i="14" s="1"/>
  <c r="DA187" i="14" s="1"/>
  <c r="DA188" i="14" s="1"/>
  <c r="DA189" i="14" s="1"/>
  <c r="CH182" i="14"/>
  <c r="CH186" i="14" s="1"/>
  <c r="CH187" i="14" s="1"/>
  <c r="CH188" i="14" s="1"/>
  <c r="CH189" i="14" s="1"/>
  <c r="CR182" i="14"/>
  <c r="CR186" i="14" s="1"/>
  <c r="CR187" i="14" s="1"/>
  <c r="CR188" i="14" s="1"/>
  <c r="CR189" i="14" s="1"/>
  <c r="DA170" i="14"/>
  <c r="DA174" i="14" s="1"/>
  <c r="DA175" i="14" s="1"/>
  <c r="DA176" i="14" s="1"/>
  <c r="DA177" i="14" s="1"/>
  <c r="DA158" i="14"/>
  <c r="DA162" i="14" s="1"/>
  <c r="DA163" i="14" s="1"/>
  <c r="DA164" i="14" s="1"/>
  <c r="DA165" i="14" s="1"/>
  <c r="CM194" i="14"/>
  <c r="CM198" i="14" s="1"/>
  <c r="CM158" i="14"/>
  <c r="CM162" i="14" s="1"/>
  <c r="CC170" i="14"/>
  <c r="CC174" i="14" s="1"/>
  <c r="CC175" i="14" s="1"/>
  <c r="CC176" i="14" s="1"/>
  <c r="CC177" i="14" s="1"/>
  <c r="CC162" i="14"/>
  <c r="CC163" i="14" s="1"/>
  <c r="CC164" i="14" s="1"/>
  <c r="CC165" i="14" s="1"/>
  <c r="CH194" i="14"/>
  <c r="CH198" i="14" s="1"/>
  <c r="CH162" i="14"/>
  <c r="CH163" i="14" s="1"/>
  <c r="CH164" i="14" s="1"/>
  <c r="CH165" i="14" s="1"/>
  <c r="CH170" i="14"/>
  <c r="CH174" i="14" s="1"/>
  <c r="CH175" i="14" s="1"/>
  <c r="CH176" i="14" s="1"/>
  <c r="CH177" i="14" s="1"/>
  <c r="CR194" i="14"/>
  <c r="CR198" i="14" s="1"/>
  <c r="CR170" i="14"/>
  <c r="CR174" i="14" s="1"/>
  <c r="CR175" i="14" s="1"/>
  <c r="CR176" i="14" s="1"/>
  <c r="CR177" i="14" s="1"/>
  <c r="CR162" i="14"/>
  <c r="CR163" i="14" s="1"/>
  <c r="CR164" i="14" s="1"/>
  <c r="CR165" i="14" s="1"/>
  <c r="CW158" i="14"/>
  <c r="CW162" i="14" s="1"/>
  <c r="CW170" i="14"/>
  <c r="CW174" i="14" s="1"/>
  <c r="CW175" i="14" s="1"/>
  <c r="CW176" i="14" s="1"/>
  <c r="CW177" i="14" s="1"/>
  <c r="BX158" i="14"/>
  <c r="BX162" i="14" s="1"/>
  <c r="BX198" i="14"/>
  <c r="BX199" i="14" s="1"/>
  <c r="BX200" i="14" s="1"/>
  <c r="BX201" i="14" s="1"/>
  <c r="CZ199" i="14"/>
  <c r="CZ200" i="14" s="1"/>
  <c r="CZ201" i="14" s="1"/>
  <c r="CZ163" i="14"/>
  <c r="CZ164" i="14" s="1"/>
  <c r="CZ165" i="14" s="1"/>
  <c r="CL163" i="14"/>
  <c r="CL164" i="14" s="1"/>
  <c r="CL165" i="14" s="1"/>
  <c r="BW175" i="14"/>
  <c r="BW176" i="14" s="1"/>
  <c r="BW177" i="14" s="1"/>
  <c r="CQ163" i="14"/>
  <c r="CQ164" i="14" s="1"/>
  <c r="CQ165" i="14" s="1"/>
  <c r="CG175" i="14"/>
  <c r="CG176" i="14" s="1"/>
  <c r="CG177" i="14" s="1"/>
  <c r="DB191" i="14"/>
  <c r="DB167" i="14"/>
  <c r="DB155" i="14"/>
  <c r="DB158" i="14" s="1"/>
  <c r="DB162" i="14" s="1"/>
  <c r="DB163" i="14" s="1"/>
  <c r="DB164" i="14" s="1"/>
  <c r="DB165" i="14" s="1"/>
  <c r="DB34" i="14"/>
  <c r="DB35" i="14" s="1"/>
  <c r="DB179" i="14"/>
  <c r="DB182" i="14" s="1"/>
  <c r="DZ46" i="14"/>
  <c r="EA46" i="14"/>
  <c r="CE56" i="14"/>
  <c r="CJ58" i="14" s="1"/>
  <c r="CI120" i="35"/>
  <c r="CI119" i="35"/>
  <c r="W3" i="35"/>
  <c r="CJ120" i="35"/>
  <c r="DQ12" i="14"/>
  <c r="AD5" i="14"/>
  <c r="AE5" i="14" s="1"/>
  <c r="AF5" i="14" s="1"/>
  <c r="CT68" i="14"/>
  <c r="BX116" i="2"/>
  <c r="BX122" i="2" s="1"/>
  <c r="BX65" i="2"/>
  <c r="CM58" i="14"/>
  <c r="CM57" i="14"/>
  <c r="BX70" i="2"/>
  <c r="CC71" i="2" s="1"/>
  <c r="CD106" i="2"/>
  <c r="CC64" i="2"/>
  <c r="BY108" i="2"/>
  <c r="CJ79" i="14"/>
  <c r="CJ82" i="14"/>
  <c r="DM50" i="2"/>
  <c r="DN50" i="2" s="1"/>
  <c r="DL51" i="2"/>
  <c r="DL54" i="2" s="1"/>
  <c r="DL55" i="2" s="1"/>
  <c r="CH64" i="14"/>
  <c r="CC66" i="14"/>
  <c r="DB30" i="14"/>
  <c r="CW68" i="14"/>
  <c r="CW67" i="14"/>
  <c r="DB66" i="14"/>
  <c r="DC72" i="14"/>
  <c r="AG152" i="35" s="1"/>
  <c r="DB71" i="14"/>
  <c r="AF151" i="35" s="1"/>
  <c r="AF155" i="35" s="1"/>
  <c r="DB72" i="14"/>
  <c r="AF152" i="35" s="1"/>
  <c r="BG11" i="37"/>
  <c r="BG12" i="37" s="1"/>
  <c r="DB28" i="14"/>
  <c r="DL70" i="14"/>
  <c r="AN150" i="35" s="1"/>
  <c r="DG69" i="14"/>
  <c r="AJ149" i="35" s="1"/>
  <c r="CN62" i="14"/>
  <c r="CN56" i="14"/>
  <c r="CN61" i="14"/>
  <c r="CN73" i="14"/>
  <c r="CO59" i="14"/>
  <c r="CA66" i="14"/>
  <c r="CF64" i="14"/>
  <c r="BA23" i="37"/>
  <c r="BA24" i="37"/>
  <c r="CP59" i="14"/>
  <c r="DB32" i="14"/>
  <c r="DB33" i="14" s="1"/>
  <c r="CE82" i="14"/>
  <c r="CE79" i="14"/>
  <c r="CY66" i="14"/>
  <c r="CY68" i="14" s="1"/>
  <c r="V5" i="14"/>
  <c r="DC27" i="14"/>
  <c r="DC31" i="14" s="1"/>
  <c r="O6" i="37"/>
  <c r="CG64" i="14"/>
  <c r="CB66" i="14"/>
  <c r="DK68" i="14"/>
  <c r="DK67" i="14"/>
  <c r="BA28" i="37"/>
  <c r="DQ15" i="12"/>
  <c r="BX80" i="2"/>
  <c r="BY82" i="2"/>
  <c r="CC81" i="2"/>
  <c r="BX110" i="2"/>
  <c r="CG63" i="2"/>
  <c r="CG65" i="2" s="1"/>
  <c r="CJ55" i="2"/>
  <c r="CJ59" i="2" s="1"/>
  <c r="CG79" i="2"/>
  <c r="CG105" i="2"/>
  <c r="CG107" i="2" s="1"/>
  <c r="CX79" i="2"/>
  <c r="CY77" i="2"/>
  <c r="CH79" i="2"/>
  <c r="CH105" i="2"/>
  <c r="CH63" i="2"/>
  <c r="CH59" i="2"/>
  <c r="CJ76" i="2"/>
  <c r="CP7" i="13"/>
  <c r="CP65" i="2"/>
  <c r="CP70" i="2"/>
  <c r="CU71" i="2" s="1"/>
  <c r="CP116" i="2"/>
  <c r="CP122" i="2" s="1"/>
  <c r="CU64" i="2"/>
  <c r="CN116" i="2"/>
  <c r="CN122" i="2" s="1"/>
  <c r="CN70" i="2"/>
  <c r="CN65" i="2"/>
  <c r="CN7" i="13"/>
  <c r="CN25" i="13" s="1"/>
  <c r="CO29" i="2"/>
  <c r="CT29" i="2"/>
  <c r="DR8" i="13"/>
  <c r="BZ29" i="2"/>
  <c r="CE29" i="2"/>
  <c r="DD29" i="2"/>
  <c r="DI29" i="2"/>
  <c r="CY29" i="2"/>
  <c r="CC147" i="2"/>
  <c r="CD147" i="2" s="1"/>
  <c r="CZ59" i="2"/>
  <c r="CZ63" i="2"/>
  <c r="CZ64" i="2" s="1"/>
  <c r="CZ105" i="2"/>
  <c r="CZ106" i="2" s="1"/>
  <c r="CZ79" i="2"/>
  <c r="CZ81" i="2" s="1"/>
  <c r="CW79" i="2"/>
  <c r="CW105" i="2"/>
  <c r="CW59" i="2"/>
  <c r="CW63" i="2"/>
  <c r="CY63" i="2" s="1"/>
  <c r="CB63" i="2"/>
  <c r="CB59" i="2"/>
  <c r="CB79" i="2"/>
  <c r="CB105" i="2"/>
  <c r="CA59" i="2"/>
  <c r="CA63" i="2"/>
  <c r="CA105" i="2"/>
  <c r="CA79" i="2"/>
  <c r="BU76" i="2"/>
  <c r="BU47" i="2"/>
  <c r="BZ46" i="2"/>
  <c r="BA35" i="37"/>
  <c r="BA36" i="37"/>
  <c r="BG25" i="37"/>
  <c r="BG27" i="37"/>
  <c r="BG15" i="37"/>
  <c r="BG16" i="37" s="1"/>
  <c r="BG37" i="37"/>
  <c r="BG19" i="37"/>
  <c r="BG20" i="37" s="1"/>
  <c r="BG29" i="37"/>
  <c r="BG30" i="37" s="1"/>
  <c r="BG17" i="37"/>
  <c r="BG18" i="37" s="1"/>
  <c r="BG9" i="37"/>
  <c r="BG10" i="37" s="1"/>
  <c r="BG32" i="37"/>
  <c r="BG33" i="37" s="1"/>
  <c r="BG31" i="37"/>
  <c r="BG13" i="37"/>
  <c r="BG14" i="37" s="1"/>
  <c r="BK6" i="37"/>
  <c r="BA39" i="37"/>
  <c r="BA38" i="37"/>
  <c r="BA21" i="37"/>
  <c r="BA26" i="37"/>
  <c r="CQ79" i="2"/>
  <c r="CQ105" i="2"/>
  <c r="CV106" i="2" s="1"/>
  <c r="CQ63" i="2"/>
  <c r="CQ59" i="2"/>
  <c r="DF113" i="2"/>
  <c r="DA79" i="2"/>
  <c r="DA81" i="2" s="1"/>
  <c r="DA105" i="2"/>
  <c r="DA63" i="2"/>
  <c r="DA64" i="2" s="1"/>
  <c r="DA59" i="2"/>
  <c r="CL79" i="2"/>
  <c r="CL105" i="2"/>
  <c r="CL63" i="2"/>
  <c r="CL59" i="2"/>
  <c r="CC59" i="2"/>
  <c r="CC63" i="2"/>
  <c r="CE47" i="2"/>
  <c r="CJ46" i="2"/>
  <c r="CE76" i="2"/>
  <c r="CC79" i="2"/>
  <c r="CC105" i="2"/>
  <c r="CD107" i="2" s="1"/>
  <c r="BW59" i="2"/>
  <c r="BW63" i="2"/>
  <c r="BW79" i="2"/>
  <c r="BW105" i="2"/>
  <c r="BR63" i="2"/>
  <c r="BR59" i="2"/>
  <c r="BR79" i="2"/>
  <c r="BR105" i="2"/>
  <c r="CU80" i="2"/>
  <c r="CU110" i="2"/>
  <c r="CU67" i="13" s="1"/>
  <c r="CU108" i="2"/>
  <c r="BY70" i="2"/>
  <c r="CD71" i="2" s="1"/>
  <c r="CO33" i="14"/>
  <c r="CC65" i="14"/>
  <c r="CI72" i="14"/>
  <c r="Q152" i="35" s="1"/>
  <c r="CH35" i="14"/>
  <c r="CW35" i="14"/>
  <c r="CY71" i="14"/>
  <c r="CM190" i="35" s="1"/>
  <c r="CE53" i="14"/>
  <c r="CJ55" i="14" s="1"/>
  <c r="CJ52" i="14"/>
  <c r="CY28" i="14"/>
  <c r="CM35" i="14"/>
  <c r="CM33" i="14"/>
  <c r="CE32" i="14"/>
  <c r="CJ33" i="14" s="1"/>
  <c r="CH33" i="14"/>
  <c r="CM77" i="14"/>
  <c r="CM74" i="14"/>
  <c r="CC35" i="14"/>
  <c r="AF27" i="42"/>
  <c r="AF13" i="42"/>
  <c r="AF24" i="42"/>
  <c r="AF18" i="42"/>
  <c r="AF20" i="42"/>
  <c r="AF16" i="42"/>
  <c r="AF23" i="42"/>
  <c r="AD9" i="42"/>
  <c r="AF33" i="42"/>
  <c r="AF25" i="42"/>
  <c r="AF31" i="42"/>
  <c r="AF29" i="42"/>
  <c r="AF15" i="42"/>
  <c r="AF26" i="42"/>
  <c r="AF17" i="42"/>
  <c r="AF19" i="42"/>
  <c r="AF22" i="42"/>
  <c r="AF21" i="42"/>
  <c r="AF14" i="42"/>
  <c r="AF11" i="42"/>
  <c r="AF12" i="42"/>
  <c r="AH5" i="12"/>
  <c r="AD5" i="12"/>
  <c r="AE5" i="12" s="1"/>
  <c r="AF5" i="12" s="1"/>
  <c r="CH74" i="14"/>
  <c r="CH77" i="14"/>
  <c r="CB65" i="14"/>
  <c r="CK77" i="14"/>
  <c r="CK74" i="14"/>
  <c r="CG72" i="14"/>
  <c r="O152" i="35" s="1"/>
  <c r="AM5" i="14"/>
  <c r="AI5" i="14"/>
  <c r="AJ5" i="14" s="1"/>
  <c r="AK5" i="14" s="1"/>
  <c r="CC33" i="14"/>
  <c r="BZ32" i="14"/>
  <c r="CD72" i="14"/>
  <c r="M152" i="35" s="1"/>
  <c r="CT71" i="14"/>
  <c r="CL190" i="35" s="1"/>
  <c r="CR35" i="14"/>
  <c r="CT34" i="14"/>
  <c r="CO64" i="14"/>
  <c r="CR33" i="14"/>
  <c r="CT32" i="14"/>
  <c r="CT33" i="14" s="1"/>
  <c r="CY34" i="14"/>
  <c r="CW33" i="14"/>
  <c r="AA5" i="14"/>
  <c r="CL74" i="14"/>
  <c r="CL76" i="14"/>
  <c r="CL77" i="14"/>
  <c r="CM76" i="14"/>
  <c r="CY32" i="14"/>
  <c r="CE63" i="14"/>
  <c r="CA65" i="14"/>
  <c r="CS108" i="2"/>
  <c r="CX106" i="2"/>
  <c r="CU107" i="2"/>
  <c r="CS106" i="2"/>
  <c r="CJ47" i="2"/>
  <c r="CO46" i="2"/>
  <c r="BV64" i="2"/>
  <c r="BQ70" i="2"/>
  <c r="BV71" i="2" s="1"/>
  <c r="BQ7" i="13"/>
  <c r="BQ116" i="2"/>
  <c r="BQ122" i="2" s="1"/>
  <c r="BQ65" i="2"/>
  <c r="BT63" i="2"/>
  <c r="BT59" i="2"/>
  <c r="DC59" i="2"/>
  <c r="DC63" i="2"/>
  <c r="CS63" i="2"/>
  <c r="CS59" i="2"/>
  <c r="CI59" i="2"/>
  <c r="CI63" i="2"/>
  <c r="CF7" i="13"/>
  <c r="CK64" i="2"/>
  <c r="CF70" i="2"/>
  <c r="CK71" i="2" s="1"/>
  <c r="CF116" i="2"/>
  <c r="CF122" i="2" s="1"/>
  <c r="CF65" i="2"/>
  <c r="CI105" i="2"/>
  <c r="CI79" i="2"/>
  <c r="DI46" i="2"/>
  <c r="DD47" i="2"/>
  <c r="DB105" i="2"/>
  <c r="DD76" i="2"/>
  <c r="AH5" i="2"/>
  <c r="AH74" i="2" s="1"/>
  <c r="AD5" i="2"/>
  <c r="DK70" i="2"/>
  <c r="DK116" i="2"/>
  <c r="DK122" i="2" s="1"/>
  <c r="DK7" i="13"/>
  <c r="DK25" i="13" s="1"/>
  <c r="DK26" i="13" s="1"/>
  <c r="DK65" i="2"/>
  <c r="DK70" i="12"/>
  <c r="BS105" i="2"/>
  <c r="BS79" i="2"/>
  <c r="DH106" i="2"/>
  <c r="DC108" i="2"/>
  <c r="DC106" i="2"/>
  <c r="DG105" i="2"/>
  <c r="DG79" i="2"/>
  <c r="CV65" i="2"/>
  <c r="CV70" i="12"/>
  <c r="CV70" i="2"/>
  <c r="CV116" i="2"/>
  <c r="CV122" i="2" s="1"/>
  <c r="CV7" i="13"/>
  <c r="CV25" i="13" s="1"/>
  <c r="CY46" i="2"/>
  <c r="CT47" i="2"/>
  <c r="DB63" i="2"/>
  <c r="DB59" i="2"/>
  <c r="DD55" i="2"/>
  <c r="DD59" i="2" s="1"/>
  <c r="DJ59" i="2"/>
  <c r="DJ63" i="2"/>
  <c r="CK63" i="2"/>
  <c r="CO55" i="2"/>
  <c r="CO59" i="2" s="1"/>
  <c r="CK59" i="2"/>
  <c r="DI47" i="2"/>
  <c r="DN46" i="2"/>
  <c r="CF108" i="2"/>
  <c r="CK106" i="2"/>
  <c r="CF107" i="2"/>
  <c r="BS59" i="2"/>
  <c r="BS63" i="2"/>
  <c r="BV81" i="2"/>
  <c r="BQ80" i="2"/>
  <c r="BQ110" i="2"/>
  <c r="BQ67" i="13" s="1"/>
  <c r="BR82" i="2"/>
  <c r="DG63" i="2"/>
  <c r="DG59" i="2"/>
  <c r="CR59" i="2"/>
  <c r="CR63" i="2"/>
  <c r="CT55" i="2"/>
  <c r="CT59" i="2" s="1"/>
  <c r="CF80" i="2"/>
  <c r="CG82" i="2"/>
  <c r="CF110" i="2"/>
  <c r="CF67" i="13" s="1"/>
  <c r="CK81" i="2"/>
  <c r="DJ105" i="2"/>
  <c r="DJ79" i="2"/>
  <c r="DJ82" i="2" s="1"/>
  <c r="CO47" i="2"/>
  <c r="CT46" i="2"/>
  <c r="DE59" i="2"/>
  <c r="DE63" i="2"/>
  <c r="DI55" i="2"/>
  <c r="DI59" i="2" s="1"/>
  <c r="H20" i="21" s="1"/>
  <c r="CU116" i="2"/>
  <c r="CU122" i="2" s="1"/>
  <c r="CU65" i="2"/>
  <c r="CU70" i="12"/>
  <c r="CU7" i="13"/>
  <c r="CU70" i="2"/>
  <c r="DB110" i="2"/>
  <c r="DB67" i="13" s="1"/>
  <c r="DB62" i="13" s="1"/>
  <c r="BV59" i="2"/>
  <c r="BZ55" i="2"/>
  <c r="BZ59" i="2" s="1"/>
  <c r="BV63" i="2"/>
  <c r="CK105" i="2"/>
  <c r="CO76" i="2"/>
  <c r="CK79" i="2"/>
  <c r="CR105" i="2"/>
  <c r="CT76" i="2"/>
  <c r="DE105" i="2"/>
  <c r="DI76" i="2"/>
  <c r="DE79" i="2"/>
  <c r="CI64" i="2"/>
  <c r="CD7" i="13"/>
  <c r="CD116" i="2"/>
  <c r="CD122" i="2" s="1"/>
  <c r="CD65" i="2"/>
  <c r="CD70" i="2"/>
  <c r="CI71" i="2" s="1"/>
  <c r="DG81" i="2"/>
  <c r="CD79" i="2"/>
  <c r="V5" i="2"/>
  <c r="V74" i="2" s="1"/>
  <c r="CE46" i="2"/>
  <c r="BZ47" i="2"/>
  <c r="BU55" i="2"/>
  <c r="BU59" i="2" s="1"/>
  <c r="DC82" i="2"/>
  <c r="DK113" i="2"/>
  <c r="DK111" i="2"/>
  <c r="CD108" i="2"/>
  <c r="CV80" i="2"/>
  <c r="CV110" i="2"/>
  <c r="CV67" i="13" s="1"/>
  <c r="CV82" i="2"/>
  <c r="DW45" i="14"/>
  <c r="DR46" i="14"/>
  <c r="DH80" i="2"/>
  <c r="DH110" i="2"/>
  <c r="DH67" i="13" s="1"/>
  <c r="DH62" i="13" s="1"/>
  <c r="BT105" i="2"/>
  <c r="BT79" i="2"/>
  <c r="CV107" i="2"/>
  <c r="CV108" i="2"/>
  <c r="BV79" i="2"/>
  <c r="BZ76" i="2"/>
  <c r="BV105" i="2"/>
  <c r="DD46" i="2"/>
  <c r="DH108" i="2"/>
  <c r="DH7" i="13"/>
  <c r="DH25" i="13" s="1"/>
  <c r="DH26" i="13" s="1"/>
  <c r="DH70" i="2"/>
  <c r="DH65" i="2"/>
  <c r="DH116" i="2"/>
  <c r="DH122" i="2" s="1"/>
  <c r="DH70" i="12"/>
  <c r="CO3" i="35"/>
  <c r="DW67" i="2"/>
  <c r="DO48" i="12"/>
  <c r="DP33" i="12"/>
  <c r="DR68" i="2"/>
  <c r="DS68" i="2" s="1"/>
  <c r="DQ69" i="2"/>
  <c r="CY36" i="13"/>
  <c r="CT77" i="2"/>
  <c r="DC79" i="2"/>
  <c r="DD77" i="2"/>
  <c r="CN82" i="2"/>
  <c r="CR81" i="2"/>
  <c r="CM110" i="2"/>
  <c r="CM67" i="13" s="1"/>
  <c r="CM80" i="2"/>
  <c r="DS41" i="13"/>
  <c r="DR43" i="13"/>
  <c r="DS43" i="13" s="1"/>
  <c r="DT41" i="13"/>
  <c r="CP82" i="2"/>
  <c r="CN110" i="2"/>
  <c r="CN67" i="13" s="1"/>
  <c r="CS81" i="2"/>
  <c r="CN80" i="2"/>
  <c r="CN37" i="13"/>
  <c r="CO37" i="13" s="1"/>
  <c r="CO36" i="13"/>
  <c r="CS80" i="2"/>
  <c r="CS110" i="2"/>
  <c r="CS67" i="13" s="1"/>
  <c r="CU82" i="2"/>
  <c r="DD46" i="13"/>
  <c r="CS82" i="2"/>
  <c r="CR80" i="2"/>
  <c r="CR110" i="2"/>
  <c r="CR67" i="13" s="1"/>
  <c r="CJ36" i="13"/>
  <c r="CI37" i="13"/>
  <c r="CJ37" i="13" s="1"/>
  <c r="CO77" i="2"/>
  <c r="CS42" i="13"/>
  <c r="DR21" i="13"/>
  <c r="DS21" i="13" s="1"/>
  <c r="DS26" i="12"/>
  <c r="DT26" i="12" s="1"/>
  <c r="CD36" i="13"/>
  <c r="CM43" i="13"/>
  <c r="CD43" i="13"/>
  <c r="CE43" i="13" s="1"/>
  <c r="CE42" i="13"/>
  <c r="DG61" i="13"/>
  <c r="DS51" i="13"/>
  <c r="DT51" i="13"/>
  <c r="DU51" i="13" s="1"/>
  <c r="DV51" i="13" s="1"/>
  <c r="DW51" i="13" s="1"/>
  <c r="CX43" i="13"/>
  <c r="CY43" i="13" s="1"/>
  <c r="CY42" i="13"/>
  <c r="AM5" i="13"/>
  <c r="AI5" i="13"/>
  <c r="AJ5" i="13" s="1"/>
  <c r="AK5" i="13" s="1"/>
  <c r="CN56" i="2"/>
  <c r="CO56" i="2" s="1"/>
  <c r="CO57" i="2"/>
  <c r="DH59" i="13"/>
  <c r="DC60" i="13"/>
  <c r="BY79" i="2"/>
  <c r="BZ77" i="2"/>
  <c r="AE5" i="13"/>
  <c r="EC12" i="13"/>
  <c r="DD60" i="13"/>
  <c r="DI59" i="13"/>
  <c r="DL77" i="2"/>
  <c r="CP124" i="2" l="1"/>
  <c r="BY116" i="2"/>
  <c r="BY122" i="2" s="1"/>
  <c r="CM116" i="2"/>
  <c r="CR64" i="2"/>
  <c r="CM70" i="2"/>
  <c r="CR71" i="2" s="1"/>
  <c r="CM65" i="2"/>
  <c r="CD64" i="2"/>
  <c r="CU106" i="2"/>
  <c r="CP107" i="2"/>
  <c r="CP108" i="2"/>
  <c r="BY65" i="2"/>
  <c r="CP80" i="2"/>
  <c r="CQ82" i="2"/>
  <c r="CU81" i="2"/>
  <c r="CP110" i="2"/>
  <c r="BQ107" i="2"/>
  <c r="DF70" i="2"/>
  <c r="DK71" i="2" s="1"/>
  <c r="DF65" i="2"/>
  <c r="DF70" i="12"/>
  <c r="DF7" i="13"/>
  <c r="DF25" i="13" s="1"/>
  <c r="DF26" i="13" s="1"/>
  <c r="DF116" i="2"/>
  <c r="DK64" i="2"/>
  <c r="BR107" i="2"/>
  <c r="BX124" i="2"/>
  <c r="BX125" i="2" s="1"/>
  <c r="BV106" i="2"/>
  <c r="M74" i="2"/>
  <c r="I4" i="2"/>
  <c r="M4" i="2"/>
  <c r="R5" i="2"/>
  <c r="K4" i="2"/>
  <c r="J4" i="2"/>
  <c r="L4" i="2"/>
  <c r="AE5" i="2"/>
  <c r="AD74" i="2"/>
  <c r="CX122" i="2"/>
  <c r="CX124" i="2"/>
  <c r="CX125" i="2" s="1"/>
  <c r="AA5" i="2"/>
  <c r="AA74" i="2" s="1"/>
  <c r="Z74" i="2"/>
  <c r="DR12" i="14"/>
  <c r="DT13" i="14"/>
  <c r="AT80" i="35" s="1"/>
  <c r="DB150" i="14"/>
  <c r="DB151" i="14" s="1"/>
  <c r="DB152" i="14" s="1"/>
  <c r="DB153" i="14" s="1"/>
  <c r="DC143" i="14"/>
  <c r="DC146" i="14" s="1"/>
  <c r="DC44" i="14"/>
  <c r="CY133" i="14"/>
  <c r="H42" i="45" s="1"/>
  <c r="DV54" i="14"/>
  <c r="DB194" i="14"/>
  <c r="DB198" i="14" s="1"/>
  <c r="DB170" i="14"/>
  <c r="DB174" i="14" s="1"/>
  <c r="DB175" i="14" s="1"/>
  <c r="DB176" i="14" s="1"/>
  <c r="DB177" i="14" s="1"/>
  <c r="CR199" i="14"/>
  <c r="CR200" i="14" s="1"/>
  <c r="CR201" i="14" s="1"/>
  <c r="CH199" i="14"/>
  <c r="CH200" i="14" s="1"/>
  <c r="CH201" i="14" s="1"/>
  <c r="BX163" i="14"/>
  <c r="BX164" i="14" s="1"/>
  <c r="BX165" i="14" s="1"/>
  <c r="CW163" i="14"/>
  <c r="CW164" i="14" s="1"/>
  <c r="CW165" i="14" s="1"/>
  <c r="CM199" i="14"/>
  <c r="CM200" i="14" s="1"/>
  <c r="CM201" i="14" s="1"/>
  <c r="CM163" i="14"/>
  <c r="CM164" i="14" s="1"/>
  <c r="CM165" i="14" s="1"/>
  <c r="DC179" i="14"/>
  <c r="DD179" i="14" s="1"/>
  <c r="DC191" i="14"/>
  <c r="DC155" i="14"/>
  <c r="DC167" i="14"/>
  <c r="DB186" i="14"/>
  <c r="DB187" i="14" s="1"/>
  <c r="DB188" i="14" s="1"/>
  <c r="DB189" i="14" s="1"/>
  <c r="CB67" i="14"/>
  <c r="DC28" i="14"/>
  <c r="DD28" i="14" s="1"/>
  <c r="DC30" i="14"/>
  <c r="DD27" i="14"/>
  <c r="DC34" i="14"/>
  <c r="DC32" i="14"/>
  <c r="X3" i="35"/>
  <c r="BX113" i="2"/>
  <c r="BX67" i="13"/>
  <c r="CG70" i="2"/>
  <c r="CL71" i="2" s="1"/>
  <c r="CN57" i="14"/>
  <c r="CN58" i="14"/>
  <c r="CN124" i="2"/>
  <c r="CN125" i="2" s="1"/>
  <c r="DG66" i="14"/>
  <c r="DG72" i="14"/>
  <c r="AJ152" i="35" s="1"/>
  <c r="DI69" i="14"/>
  <c r="DG71" i="14"/>
  <c r="AJ151" i="35" s="1"/>
  <c r="AJ155" i="35" s="1"/>
  <c r="DH72" i="14"/>
  <c r="AK152" i="35" s="1"/>
  <c r="DD70" i="14"/>
  <c r="CC67" i="14"/>
  <c r="CD67" i="14"/>
  <c r="DL69" i="14"/>
  <c r="AN149" i="35" s="1"/>
  <c r="CE147" i="2"/>
  <c r="CF147" i="2" s="1"/>
  <c r="CG147" i="2" s="1"/>
  <c r="CH147" i="2" s="1"/>
  <c r="CI147" i="2" s="1"/>
  <c r="CE66" i="14"/>
  <c r="DL59" i="2"/>
  <c r="DL122" i="2" s="1"/>
  <c r="DL63" i="2"/>
  <c r="DL64" i="2" s="1"/>
  <c r="CH107" i="2"/>
  <c r="CO60" i="14"/>
  <c r="CO56" i="14"/>
  <c r="CO73" i="14"/>
  <c r="CN78" i="14"/>
  <c r="CN76" i="14"/>
  <c r="CN77" i="14"/>
  <c r="CN74" i="14"/>
  <c r="DM51" i="2"/>
  <c r="DO50" i="2"/>
  <c r="CE65" i="14"/>
  <c r="CJ64" i="14"/>
  <c r="CP56" i="14"/>
  <c r="CP62" i="14"/>
  <c r="CP61" i="14"/>
  <c r="CP73" i="14"/>
  <c r="DB68" i="14"/>
  <c r="DB67" i="14"/>
  <c r="DD66" i="14"/>
  <c r="DD68" i="14" s="1"/>
  <c r="DC67" i="14"/>
  <c r="CQ59" i="14"/>
  <c r="BG23" i="37"/>
  <c r="BG24" i="37"/>
  <c r="CY79" i="2"/>
  <c r="CX81" i="2"/>
  <c r="CX110" i="2"/>
  <c r="CX111" i="2" s="1"/>
  <c r="CX80" i="2"/>
  <c r="CJ105" i="2"/>
  <c r="CJ108" i="2" s="1"/>
  <c r="CO79" i="2"/>
  <c r="CG116" i="2"/>
  <c r="CG122" i="2" s="1"/>
  <c r="CG7" i="13"/>
  <c r="CG25" i="13" s="1"/>
  <c r="CL64" i="2"/>
  <c r="CG80" i="2"/>
  <c r="CL81" i="2"/>
  <c r="CG110" i="2"/>
  <c r="CG67" i="13" s="1"/>
  <c r="CH82" i="2"/>
  <c r="CG108" i="2"/>
  <c r="CL106" i="2"/>
  <c r="DS8" i="13"/>
  <c r="DR15" i="12"/>
  <c r="DS15" i="12" s="1"/>
  <c r="DT15" i="12" s="1"/>
  <c r="CI82" i="2"/>
  <c r="CM81" i="2"/>
  <c r="CH110" i="2"/>
  <c r="CH80" i="2"/>
  <c r="CH108" i="2"/>
  <c r="CM106" i="2"/>
  <c r="CH70" i="2"/>
  <c r="CM71" i="2" s="1"/>
  <c r="CH116" i="2"/>
  <c r="CH122" i="2" s="1"/>
  <c r="CH7" i="13"/>
  <c r="CH25" i="13" s="1"/>
  <c r="CM64" i="2"/>
  <c r="CH65" i="2"/>
  <c r="DU8" i="13"/>
  <c r="CP22" i="13"/>
  <c r="CP25" i="13"/>
  <c r="CZ7" i="13"/>
  <c r="CZ116" i="2"/>
  <c r="CZ122" i="2" s="1"/>
  <c r="CZ70" i="2"/>
  <c r="DE64" i="2"/>
  <c r="CZ65" i="2"/>
  <c r="CZ70" i="12"/>
  <c r="CZ108" i="2"/>
  <c r="CZ107" i="2"/>
  <c r="CZ82" i="2"/>
  <c r="DA82" i="2"/>
  <c r="CZ80" i="2"/>
  <c r="CZ110" i="2"/>
  <c r="DE81" i="2"/>
  <c r="CX82" i="2"/>
  <c r="CW80" i="2"/>
  <c r="CW110" i="2"/>
  <c r="CW67" i="13" s="1"/>
  <c r="CW81" i="2"/>
  <c r="CX107" i="2"/>
  <c r="CW108" i="2"/>
  <c r="CW70" i="12"/>
  <c r="CW116" i="2"/>
  <c r="CW65" i="2"/>
  <c r="CW7" i="13"/>
  <c r="CW70" i="2"/>
  <c r="CB116" i="2"/>
  <c r="CB122" i="2" s="1"/>
  <c r="CG64" i="2"/>
  <c r="CB7" i="13"/>
  <c r="CB70" i="2"/>
  <c r="CG71" i="2" s="1"/>
  <c r="CB65" i="2"/>
  <c r="CC82" i="2"/>
  <c r="CB110" i="2"/>
  <c r="CB67" i="13" s="1"/>
  <c r="CB80" i="2"/>
  <c r="CG81" i="2"/>
  <c r="CB107" i="2"/>
  <c r="CB108" i="2"/>
  <c r="CG106" i="2"/>
  <c r="CA65" i="2"/>
  <c r="CA70" i="2"/>
  <c r="CF71" i="2" s="1"/>
  <c r="CF64" i="2"/>
  <c r="CA7" i="13"/>
  <c r="CA116" i="2"/>
  <c r="CA122" i="2" s="1"/>
  <c r="CA108" i="2"/>
  <c r="CF106" i="2"/>
  <c r="CF81" i="2"/>
  <c r="CA80" i="2"/>
  <c r="CA110" i="2"/>
  <c r="CA67" i="13" s="1"/>
  <c r="CB82" i="2"/>
  <c r="CE59" i="2"/>
  <c r="BU63" i="2"/>
  <c r="CW82" i="2"/>
  <c r="DB81" i="2"/>
  <c r="CW107" i="2"/>
  <c r="CY105" i="2"/>
  <c r="BG36" i="37"/>
  <c r="BG35" i="37"/>
  <c r="BG38" i="37"/>
  <c r="BG39" i="37"/>
  <c r="BM32" i="37"/>
  <c r="BM33" i="37" s="1"/>
  <c r="BM13" i="37"/>
  <c r="BM14" i="37" s="1"/>
  <c r="BM17" i="37"/>
  <c r="BM18" i="37" s="1"/>
  <c r="BM37" i="37"/>
  <c r="BM15" i="37"/>
  <c r="BM16" i="37" s="1"/>
  <c r="BM27" i="37"/>
  <c r="BM29" i="37"/>
  <c r="BM30" i="37" s="1"/>
  <c r="BM19" i="37"/>
  <c r="BM31" i="37"/>
  <c r="BM25" i="37"/>
  <c r="BM9" i="37"/>
  <c r="BM10" i="37" s="1"/>
  <c r="BG21" i="37"/>
  <c r="BG28" i="37"/>
  <c r="BG26" i="37"/>
  <c r="CQ80" i="2"/>
  <c r="CQ110" i="2"/>
  <c r="CQ67" i="13" s="1"/>
  <c r="CQ108" i="2"/>
  <c r="CQ107" i="2"/>
  <c r="CQ116" i="2"/>
  <c r="CQ122" i="2" s="1"/>
  <c r="CQ70" i="2"/>
  <c r="CV71" i="2" s="1"/>
  <c r="CV64" i="2"/>
  <c r="CQ65" i="2"/>
  <c r="CQ7" i="13"/>
  <c r="CQ25" i="13" s="1"/>
  <c r="DF81" i="2"/>
  <c r="DA80" i="2"/>
  <c r="DA110" i="2"/>
  <c r="DA67" i="13" s="1"/>
  <c r="DA62" i="13" s="1"/>
  <c r="DB82" i="2"/>
  <c r="DA108" i="2"/>
  <c r="DF106" i="2"/>
  <c r="DA70" i="2"/>
  <c r="DA7" i="13"/>
  <c r="DF64" i="2"/>
  <c r="DA65" i="2"/>
  <c r="DA70" i="12"/>
  <c r="DA116" i="2"/>
  <c r="DA122" i="2" s="1"/>
  <c r="CL80" i="2"/>
  <c r="CQ81" i="2"/>
  <c r="CL110" i="2"/>
  <c r="CL67" i="13" s="1"/>
  <c r="CM82" i="2"/>
  <c r="CQ106" i="2"/>
  <c r="CM107" i="2"/>
  <c r="CL108" i="2"/>
  <c r="CL7" i="13"/>
  <c r="CL25" i="13" s="1"/>
  <c r="CL65" i="2"/>
  <c r="CL116" i="2"/>
  <c r="CL122" i="2" s="1"/>
  <c r="CQ64" i="2"/>
  <c r="CL70" i="2"/>
  <c r="CQ71" i="2" s="1"/>
  <c r="CE63" i="2"/>
  <c r="CC116" i="2"/>
  <c r="CC122" i="2" s="1"/>
  <c r="CC7" i="13"/>
  <c r="CC25" i="13" s="1"/>
  <c r="CC70" i="2"/>
  <c r="CH71" i="2" s="1"/>
  <c r="CH64" i="2"/>
  <c r="CC65" i="2"/>
  <c r="CD82" i="2"/>
  <c r="CC110" i="2"/>
  <c r="CC67" i="13" s="1"/>
  <c r="CC80" i="2"/>
  <c r="CH81" i="2"/>
  <c r="CE105" i="2"/>
  <c r="CC107" i="2"/>
  <c r="CH106" i="2"/>
  <c r="CC108" i="2"/>
  <c r="BW70" i="2"/>
  <c r="CB71" i="2" s="1"/>
  <c r="BW65" i="2"/>
  <c r="BW7" i="13"/>
  <c r="BW25" i="13" s="1"/>
  <c r="BW116" i="2"/>
  <c r="BW122" i="2" s="1"/>
  <c r="CB64" i="2"/>
  <c r="BX82" i="2"/>
  <c r="BW110" i="2"/>
  <c r="BW67" i="13" s="1"/>
  <c r="BW80" i="2"/>
  <c r="CB81" i="2"/>
  <c r="BX107" i="2"/>
  <c r="BW108" i="2"/>
  <c r="CB106" i="2"/>
  <c r="BR7" i="13"/>
  <c r="BR25" i="13" s="1"/>
  <c r="BR70" i="2"/>
  <c r="BW71" i="2" s="1"/>
  <c r="BR116" i="2"/>
  <c r="BR122" i="2" s="1"/>
  <c r="BW64" i="2"/>
  <c r="BR65" i="2"/>
  <c r="BS82" i="2"/>
  <c r="BR110" i="2"/>
  <c r="BR80" i="2"/>
  <c r="BW81" i="2"/>
  <c r="BW106" i="2"/>
  <c r="BR108" i="2"/>
  <c r="CU113" i="2"/>
  <c r="BY124" i="2"/>
  <c r="BY125" i="2" s="1"/>
  <c r="CV81" i="2"/>
  <c r="CR82" i="2"/>
  <c r="CT79" i="2"/>
  <c r="DC107" i="2"/>
  <c r="DA106" i="2"/>
  <c r="DG111" i="2"/>
  <c r="DB113" i="2"/>
  <c r="DY67" i="2"/>
  <c r="DZ67" i="2" s="1"/>
  <c r="EA67" i="2" s="1"/>
  <c r="EB67" i="2" s="1"/>
  <c r="DX67" i="2"/>
  <c r="CI77" i="14"/>
  <c r="CI74" i="14"/>
  <c r="CI76" i="14"/>
  <c r="AM5" i="12"/>
  <c r="AI5" i="12"/>
  <c r="AJ5" i="12" s="1"/>
  <c r="AK5" i="12" s="1"/>
  <c r="CB72" i="14"/>
  <c r="K152" i="35" s="1"/>
  <c r="AR5" i="14"/>
  <c r="AN5" i="14"/>
  <c r="CG76" i="14"/>
  <c r="CG77" i="14"/>
  <c r="CG74" i="14"/>
  <c r="CH76" i="14"/>
  <c r="CE69" i="14"/>
  <c r="CC72" i="14"/>
  <c r="L152" i="35" s="1"/>
  <c r="CC77" i="14"/>
  <c r="CC74" i="14"/>
  <c r="CD76" i="14"/>
  <c r="CY33" i="14"/>
  <c r="CF77" i="14"/>
  <c r="CF74" i="14"/>
  <c r="BZ33" i="14"/>
  <c r="CE33" i="14"/>
  <c r="BV108" i="2"/>
  <c r="BZ105" i="2"/>
  <c r="BW107" i="2"/>
  <c r="CA106" i="2"/>
  <c r="CD25" i="13"/>
  <c r="BW82" i="2"/>
  <c r="BV110" i="2"/>
  <c r="BV67" i="13" s="1"/>
  <c r="CA81" i="2"/>
  <c r="BV80" i="2"/>
  <c r="BS107" i="2"/>
  <c r="BS108" i="2"/>
  <c r="BX106" i="2"/>
  <c r="BU105" i="2"/>
  <c r="BV107" i="2" s="1"/>
  <c r="CA64" i="2"/>
  <c r="BV7" i="13"/>
  <c r="BV70" i="2"/>
  <c r="CA71" i="2" s="1"/>
  <c r="BV65" i="2"/>
  <c r="BV116" i="2"/>
  <c r="BV122" i="2" s="1"/>
  <c r="BZ63" i="2"/>
  <c r="CJ79" i="2"/>
  <c r="CI110" i="2"/>
  <c r="CI67" i="13" s="1"/>
  <c r="CN81" i="2"/>
  <c r="CK82" i="2"/>
  <c r="CI80" i="2"/>
  <c r="CU124" i="2"/>
  <c r="CI107" i="2"/>
  <c r="CI108" i="2"/>
  <c r="CN106" i="2"/>
  <c r="CI106" i="2"/>
  <c r="BQ22" i="13"/>
  <c r="BQ23" i="13" s="1"/>
  <c r="BQ25" i="13"/>
  <c r="DG65" i="2"/>
  <c r="DG7" i="13"/>
  <c r="DG25" i="13" s="1"/>
  <c r="DG26" i="13" s="1"/>
  <c r="DG70" i="12"/>
  <c r="DG116" i="2"/>
  <c r="DG122" i="2" s="1"/>
  <c r="DG70" i="2"/>
  <c r="DG107" i="2"/>
  <c r="DG108" i="2"/>
  <c r="DL106" i="2"/>
  <c r="DH107" i="2"/>
  <c r="DH124" i="2"/>
  <c r="DH125" i="2" s="1"/>
  <c r="CF113" i="2"/>
  <c r="BT107" i="2"/>
  <c r="BY106" i="2"/>
  <c r="BT108" i="2"/>
  <c r="CD124" i="2"/>
  <c r="CD125" i="2" s="1"/>
  <c r="CR108" i="2"/>
  <c r="CR107" i="2"/>
  <c r="CW106" i="2"/>
  <c r="CR106" i="2"/>
  <c r="CT105" i="2"/>
  <c r="CY70" i="12"/>
  <c r="CY65" i="2"/>
  <c r="CY70" i="2"/>
  <c r="CV124" i="2"/>
  <c r="CV125" i="2" s="1"/>
  <c r="DG110" i="2"/>
  <c r="DH82" i="2"/>
  <c r="DG80" i="2"/>
  <c r="CF25" i="13"/>
  <c r="CF22" i="13"/>
  <c r="CF24" i="13" s="1"/>
  <c r="BQ124" i="2"/>
  <c r="DH113" i="2"/>
  <c r="DE80" i="2"/>
  <c r="DI79" i="2"/>
  <c r="DF82" i="2"/>
  <c r="DJ81" i="2"/>
  <c r="DE110" i="2"/>
  <c r="DE67" i="13" s="1"/>
  <c r="DE62" i="13" s="1"/>
  <c r="CL82" i="2"/>
  <c r="CK110" i="2"/>
  <c r="CK80" i="2"/>
  <c r="CP81" i="2"/>
  <c r="CP64" i="2"/>
  <c r="CO63" i="2"/>
  <c r="CK70" i="2"/>
  <c r="CP71" i="2" s="1"/>
  <c r="CK116" i="2"/>
  <c r="CK122" i="2" s="1"/>
  <c r="CK65" i="2"/>
  <c r="CK7" i="13"/>
  <c r="DG64" i="2"/>
  <c r="DB7" i="13"/>
  <c r="DB116" i="2"/>
  <c r="DB122" i="2" s="1"/>
  <c r="DB70" i="2"/>
  <c r="DB70" i="12"/>
  <c r="DB65" i="2"/>
  <c r="DB64" i="2"/>
  <c r="DD63" i="2"/>
  <c r="DD64" i="2" s="1"/>
  <c r="DK124" i="2"/>
  <c r="DK125" i="2" s="1"/>
  <c r="CP125" i="2"/>
  <c r="DE7" i="13"/>
  <c r="DE70" i="2"/>
  <c r="DE116" i="2"/>
  <c r="DE122" i="2" s="1"/>
  <c r="DE65" i="2"/>
  <c r="DI63" i="2"/>
  <c r="DJ64" i="2"/>
  <c r="DE70" i="12"/>
  <c r="CN64" i="2"/>
  <c r="CI7" i="13"/>
  <c r="CI65" i="2"/>
  <c r="CI116" i="2"/>
  <c r="CI122" i="2" s="1"/>
  <c r="CI70" i="2"/>
  <c r="CN71" i="2" s="1"/>
  <c r="CV113" i="2"/>
  <c r="CV112" i="2"/>
  <c r="CV111" i="2"/>
  <c r="DE108" i="2"/>
  <c r="DJ106" i="2"/>
  <c r="DE107" i="2"/>
  <c r="DI105" i="2"/>
  <c r="DI108" i="2" s="1"/>
  <c r="DE106" i="2"/>
  <c r="CK107" i="2"/>
  <c r="CK108" i="2"/>
  <c r="CO105" i="2"/>
  <c r="CP106" i="2"/>
  <c r="CL107" i="2"/>
  <c r="BS65" i="2"/>
  <c r="BS116" i="2"/>
  <c r="BS122" i="2" s="1"/>
  <c r="BX64" i="2"/>
  <c r="BS7" i="13"/>
  <c r="BS25" i="13" s="1"/>
  <c r="BS70" i="2"/>
  <c r="BX71" i="2" s="1"/>
  <c r="CC126" i="2"/>
  <c r="CD110" i="2"/>
  <c r="CD67" i="13" s="1"/>
  <c r="CI81" i="2"/>
  <c r="CF82" i="2"/>
  <c r="CD80" i="2"/>
  <c r="CE79" i="2"/>
  <c r="AM5" i="2"/>
  <c r="AM74" i="2" s="1"/>
  <c r="AI5" i="2"/>
  <c r="AI74" i="2" s="1"/>
  <c r="DJ80" i="2"/>
  <c r="DK82" i="2"/>
  <c r="DJ110" i="2"/>
  <c r="DJ67" i="13" s="1"/>
  <c r="DJ62" i="13" s="1"/>
  <c r="CS65" i="2"/>
  <c r="CX64" i="2"/>
  <c r="CS116" i="2"/>
  <c r="CS122" i="2" s="1"/>
  <c r="CS70" i="2"/>
  <c r="CS7" i="13"/>
  <c r="CS25" i="13" s="1"/>
  <c r="CS64" i="2"/>
  <c r="DC70" i="2"/>
  <c r="DH71" i="2" s="1"/>
  <c r="DH64" i="2"/>
  <c r="DC7" i="13"/>
  <c r="DC65" i="2"/>
  <c r="DC70" i="12"/>
  <c r="DC116" i="2"/>
  <c r="DC122" i="2" s="1"/>
  <c r="CU25" i="13"/>
  <c r="CU22" i="13"/>
  <c r="CU23" i="13" s="1"/>
  <c r="DJ108" i="2"/>
  <c r="DK107" i="2"/>
  <c r="CR7" i="13"/>
  <c r="CR116" i="2"/>
  <c r="CR122" i="2" s="1"/>
  <c r="CW64" i="2"/>
  <c r="CR70" i="2"/>
  <c r="CR65" i="2"/>
  <c r="CT63" i="2"/>
  <c r="DJ70" i="2"/>
  <c r="DO71" i="2" s="1"/>
  <c r="DO64" i="2"/>
  <c r="DJ7" i="13"/>
  <c r="DJ25" i="13" s="1"/>
  <c r="DJ26" i="13" s="1"/>
  <c r="DJ116" i="2"/>
  <c r="DJ122" i="2" s="1"/>
  <c r="DJ70" i="12"/>
  <c r="DJ65" i="2"/>
  <c r="DB108" i="2"/>
  <c r="DG106" i="2"/>
  <c r="DB107" i="2"/>
  <c r="DB106" i="2"/>
  <c r="DD105" i="2"/>
  <c r="CF124" i="2"/>
  <c r="BV111" i="2"/>
  <c r="BQ113" i="2"/>
  <c r="BQ112" i="2"/>
  <c r="CJ63" i="2"/>
  <c r="BV82" i="2"/>
  <c r="BY81" i="2"/>
  <c r="BT80" i="2"/>
  <c r="BT110" i="2"/>
  <c r="BT67" i="13" s="1"/>
  <c r="EB45" i="14"/>
  <c r="DW46" i="14"/>
  <c r="BU79" i="2"/>
  <c r="BS110" i="2"/>
  <c r="BS67" i="13" s="1"/>
  <c r="BT82" i="2"/>
  <c r="BX81" i="2"/>
  <c r="BS80" i="2"/>
  <c r="BT7" i="13"/>
  <c r="BT25" i="13" s="1"/>
  <c r="BT116" i="2"/>
  <c r="BT122" i="2" s="1"/>
  <c r="BT65" i="2"/>
  <c r="BT70" i="2"/>
  <c r="BY71" i="2" s="1"/>
  <c r="BY64" i="2"/>
  <c r="CS107" i="2"/>
  <c r="CP3" i="35"/>
  <c r="DS69" i="2"/>
  <c r="DQ33" i="12"/>
  <c r="DQ48" i="12" s="1"/>
  <c r="DP48" i="12"/>
  <c r="DR69" i="2"/>
  <c r="DT68" i="2"/>
  <c r="DL79" i="2"/>
  <c r="CS113" i="2"/>
  <c r="CS112" i="2"/>
  <c r="CV67" i="12"/>
  <c r="CM113" i="2"/>
  <c r="CR111" i="2"/>
  <c r="DT43" i="13"/>
  <c r="DU41" i="13"/>
  <c r="CR113" i="2"/>
  <c r="DC110" i="2"/>
  <c r="DC67" i="13" s="1"/>
  <c r="DC62" i="13" s="1"/>
  <c r="DH81" i="2"/>
  <c r="DE82" i="2"/>
  <c r="DC80" i="2"/>
  <c r="DD79" i="2"/>
  <c r="DC81" i="2"/>
  <c r="CN112" i="2"/>
  <c r="CS111" i="2"/>
  <c r="CN113" i="2"/>
  <c r="DI61" i="13"/>
  <c r="CE36" i="13"/>
  <c r="CD37" i="13"/>
  <c r="CE37" i="13" s="1"/>
  <c r="DX51" i="13"/>
  <c r="DY51" i="13"/>
  <c r="DZ51" i="13" s="1"/>
  <c r="EA51" i="13" s="1"/>
  <c r="EB51" i="13" s="1"/>
  <c r="EC51" i="13" s="1"/>
  <c r="CT42" i="13"/>
  <c r="CS43" i="13"/>
  <c r="CT43" i="13" s="1"/>
  <c r="AF5" i="13"/>
  <c r="DH61" i="13"/>
  <c r="BY110" i="2"/>
  <c r="BY67" i="13" s="1"/>
  <c r="CD81" i="2"/>
  <c r="CA82" i="2"/>
  <c r="BY80" i="2"/>
  <c r="BZ79" i="2"/>
  <c r="AR5" i="13"/>
  <c r="AN5" i="13"/>
  <c r="AO5" i="13" s="1"/>
  <c r="AP5" i="13" s="1"/>
  <c r="DU26" i="12"/>
  <c r="DT21" i="13"/>
  <c r="CN42" i="13"/>
  <c r="CM122" i="2" l="1"/>
  <c r="CM124" i="2"/>
  <c r="CM125" i="2" s="1"/>
  <c r="CR126" i="2" s="1"/>
  <c r="DD143" i="14"/>
  <c r="CP113" i="2"/>
  <c r="CP67" i="13"/>
  <c r="CU111" i="2"/>
  <c r="CG124" i="2"/>
  <c r="CG125" i="2" s="1"/>
  <c r="CU67" i="12"/>
  <c r="DF122" i="2"/>
  <c r="DF124" i="2"/>
  <c r="DF125" i="2" s="1"/>
  <c r="I73" i="2"/>
  <c r="I4" i="13"/>
  <c r="I4" i="14"/>
  <c r="I4" i="12"/>
  <c r="K73" i="2"/>
  <c r="K4" i="13"/>
  <c r="K4" i="12"/>
  <c r="K4" i="14"/>
  <c r="J73" i="2"/>
  <c r="J4" i="12"/>
  <c r="J4" i="14"/>
  <c r="J4" i="13"/>
  <c r="R74" i="2"/>
  <c r="W5" i="2"/>
  <c r="N4" i="2"/>
  <c r="R4" i="2"/>
  <c r="O4" i="2"/>
  <c r="P4" i="2"/>
  <c r="Q4" i="2"/>
  <c r="L73" i="2"/>
  <c r="L4" i="12"/>
  <c r="L4" i="14"/>
  <c r="L4" i="13"/>
  <c r="M73" i="2"/>
  <c r="M4" i="13"/>
  <c r="M4" i="12"/>
  <c r="M4" i="14"/>
  <c r="AF5" i="2"/>
  <c r="AF74" i="2" s="1"/>
  <c r="AE74" i="2"/>
  <c r="DU13" i="14"/>
  <c r="AU80" i="35" s="1"/>
  <c r="DT12" i="14"/>
  <c r="DD44" i="14"/>
  <c r="DD31" i="14"/>
  <c r="CE73" i="14"/>
  <c r="CJ71" i="14"/>
  <c r="CJ190" i="35" s="1"/>
  <c r="DC182" i="14"/>
  <c r="DC186" i="14" s="1"/>
  <c r="DD186" i="14" s="1"/>
  <c r="DW54" i="14"/>
  <c r="DD180" i="14"/>
  <c r="DC150" i="14"/>
  <c r="DD150" i="14" s="1"/>
  <c r="DD146" i="14"/>
  <c r="DC194" i="14"/>
  <c r="DC198" i="14" s="1"/>
  <c r="DD198" i="14" s="1"/>
  <c r="DD191" i="14"/>
  <c r="DD192" i="14" s="1"/>
  <c r="DC158" i="14"/>
  <c r="DC162" i="14" s="1"/>
  <c r="DD162" i="14" s="1"/>
  <c r="DD155" i="14"/>
  <c r="DD156" i="14" s="1"/>
  <c r="DC170" i="14"/>
  <c r="DC174" i="14" s="1"/>
  <c r="DD174" i="14" s="1"/>
  <c r="DD167" i="14"/>
  <c r="DD168" i="14" s="1"/>
  <c r="DB199" i="14"/>
  <c r="DB200" i="14" s="1"/>
  <c r="DB201" i="14" s="1"/>
  <c r="DD30" i="14"/>
  <c r="M13" i="26"/>
  <c r="DE27" i="14"/>
  <c r="DE31" i="14" s="1"/>
  <c r="DC35" i="14"/>
  <c r="DD34" i="14"/>
  <c r="DC33" i="14"/>
  <c r="DD32" i="14"/>
  <c r="CO58" i="14"/>
  <c r="CO77" i="14"/>
  <c r="CO74" i="14"/>
  <c r="Y3" i="35"/>
  <c r="BR112" i="2"/>
  <c r="BR67" i="13"/>
  <c r="CZ111" i="2"/>
  <c r="CZ67" i="13"/>
  <c r="CZ62" i="13" s="1"/>
  <c r="CO110" i="2"/>
  <c r="CO67" i="13" s="1"/>
  <c r="CK67" i="13"/>
  <c r="CX113" i="2"/>
  <c r="CX67" i="13"/>
  <c r="DH112" i="2"/>
  <c r="DG67" i="13"/>
  <c r="DG62" i="13" s="1"/>
  <c r="CM111" i="2"/>
  <c r="CH67" i="13"/>
  <c r="BM26" i="37"/>
  <c r="CP57" i="14"/>
  <c r="CP58" i="14"/>
  <c r="CY116" i="2"/>
  <c r="CY122" i="2" s="1"/>
  <c r="CW122" i="2"/>
  <c r="DL66" i="14"/>
  <c r="DQ66" i="14" s="1"/>
  <c r="DV66" i="14" s="1"/>
  <c r="DN69" i="14"/>
  <c r="DI70" i="14"/>
  <c r="DJ72" i="14"/>
  <c r="AL152" i="35" s="1"/>
  <c r="DI71" i="14"/>
  <c r="CO190" i="35" s="1"/>
  <c r="DO51" i="2"/>
  <c r="DO54" i="2" s="1"/>
  <c r="DP50" i="2"/>
  <c r="BM28" i="37"/>
  <c r="CP78" i="14"/>
  <c r="CP77" i="14"/>
  <c r="CP76" i="14"/>
  <c r="CP74" i="14"/>
  <c r="CP75" i="14"/>
  <c r="DM54" i="2"/>
  <c r="DN54" i="2" s="1"/>
  <c r="DN51" i="2"/>
  <c r="CN82" i="14"/>
  <c r="CN81" i="14"/>
  <c r="CN79" i="14"/>
  <c r="CO78" i="14"/>
  <c r="DL70" i="2"/>
  <c r="DL71" i="2" s="1"/>
  <c r="DL116" i="2"/>
  <c r="DL65" i="2"/>
  <c r="DL7" i="13"/>
  <c r="DL25" i="13" s="1"/>
  <c r="DL26" i="13" s="1"/>
  <c r="DL70" i="12"/>
  <c r="DG68" i="14"/>
  <c r="DG67" i="14"/>
  <c r="DH67" i="14"/>
  <c r="DI66" i="14"/>
  <c r="CJ147" i="2"/>
  <c r="CK147" i="2" s="1"/>
  <c r="CL147" i="2" s="1"/>
  <c r="CQ56" i="14"/>
  <c r="CQ62" i="14"/>
  <c r="CQ61" i="14"/>
  <c r="CQ73" i="14"/>
  <c r="DL123" i="2"/>
  <c r="CR59" i="14"/>
  <c r="BM23" i="37"/>
  <c r="BM24" i="37"/>
  <c r="BM21" i="37"/>
  <c r="BM20" i="37"/>
  <c r="CJ7" i="13"/>
  <c r="CJ25" i="13" s="1"/>
  <c r="CY80" i="2"/>
  <c r="CG113" i="2"/>
  <c r="CG112" i="2"/>
  <c r="CE116" i="2"/>
  <c r="CE122" i="2" s="1"/>
  <c r="DD106" i="2"/>
  <c r="CT81" i="2"/>
  <c r="CO80" i="2"/>
  <c r="BZ64" i="2"/>
  <c r="BU70" i="2"/>
  <c r="BZ71" i="2" s="1"/>
  <c r="BU70" i="12"/>
  <c r="BU65" i="2"/>
  <c r="CD126" i="2"/>
  <c r="BY127" i="2"/>
  <c r="CH113" i="2"/>
  <c r="CH112" i="2"/>
  <c r="CH124" i="2"/>
  <c r="CH125" i="2" s="1"/>
  <c r="CM126" i="2" s="1"/>
  <c r="DU15" i="12"/>
  <c r="CJ116" i="2"/>
  <c r="CJ122" i="2" s="1"/>
  <c r="DV8" i="13"/>
  <c r="CP24" i="13"/>
  <c r="CQ22" i="13" s="1"/>
  <c r="CP23" i="13"/>
  <c r="CZ25" i="13"/>
  <c r="CZ22" i="13"/>
  <c r="CZ23" i="13" s="1"/>
  <c r="CZ124" i="2"/>
  <c r="CZ125" i="2" s="1"/>
  <c r="CZ71" i="2"/>
  <c r="DE71" i="2"/>
  <c r="CZ67" i="12"/>
  <c r="CZ113" i="2"/>
  <c r="CY110" i="2"/>
  <c r="CY67" i="13" s="1"/>
  <c r="CW113" i="2"/>
  <c r="CX67" i="12"/>
  <c r="CX112" i="2"/>
  <c r="CW111" i="2"/>
  <c r="CW112" i="2"/>
  <c r="CW124" i="2"/>
  <c r="CB124" i="2"/>
  <c r="CB125" i="2" s="1"/>
  <c r="CB112" i="2"/>
  <c r="CB113" i="2"/>
  <c r="CG111" i="2"/>
  <c r="CA25" i="13"/>
  <c r="CA22" i="13"/>
  <c r="CA124" i="2"/>
  <c r="CA113" i="2"/>
  <c r="CF111" i="2"/>
  <c r="CW71" i="2"/>
  <c r="DB111" i="2"/>
  <c r="CW67" i="12"/>
  <c r="CW25" i="13"/>
  <c r="CY7" i="13"/>
  <c r="CY25" i="13" s="1"/>
  <c r="CB25" i="13"/>
  <c r="CE7" i="13"/>
  <c r="CE25" i="13" s="1"/>
  <c r="CY108" i="2"/>
  <c r="DA107" i="2"/>
  <c r="CE108" i="2"/>
  <c r="CJ106" i="2"/>
  <c r="BM38" i="37"/>
  <c r="BM39" i="37"/>
  <c r="BM36" i="37"/>
  <c r="BM35" i="37"/>
  <c r="CQ112" i="2"/>
  <c r="CQ113" i="2"/>
  <c r="CQ124" i="2"/>
  <c r="CQ125" i="2" s="1"/>
  <c r="DA112" i="2"/>
  <c r="DF111" i="2"/>
  <c r="DA113" i="2"/>
  <c r="DA111" i="2"/>
  <c r="DA71" i="2"/>
  <c r="DF71" i="2"/>
  <c r="DA25" i="13"/>
  <c r="DA22" i="13"/>
  <c r="DA23" i="13" s="1"/>
  <c r="DA124" i="2"/>
  <c r="DA125" i="2" s="1"/>
  <c r="DA126" i="2" s="1"/>
  <c r="CQ111" i="2"/>
  <c r="CL113" i="2"/>
  <c r="CL124" i="2"/>
  <c r="CL125" i="2" s="1"/>
  <c r="CL126" i="2" s="1"/>
  <c r="CE65" i="2"/>
  <c r="CE70" i="2"/>
  <c r="CJ71" i="2" s="1"/>
  <c r="CE70" i="12"/>
  <c r="CJ64" i="2"/>
  <c r="CC124" i="2"/>
  <c r="CC125" i="2" s="1"/>
  <c r="CD127" i="2" s="1"/>
  <c r="CC111" i="2"/>
  <c r="CC113" i="2"/>
  <c r="CC112" i="2"/>
  <c r="CH111" i="2"/>
  <c r="BW124" i="2"/>
  <c r="BW125" i="2" s="1"/>
  <c r="BW113" i="2"/>
  <c r="CB111" i="2"/>
  <c r="BX112" i="2"/>
  <c r="BR124" i="2"/>
  <c r="BR125" i="2" s="1"/>
  <c r="BW126" i="2" s="1"/>
  <c r="BR113" i="2"/>
  <c r="BW111" i="2"/>
  <c r="CT110" i="2"/>
  <c r="CR112" i="2"/>
  <c r="CR67" i="12"/>
  <c r="DB112" i="2"/>
  <c r="CL111" i="2"/>
  <c r="CM112" i="2"/>
  <c r="CY81" i="2"/>
  <c r="CT80" i="2"/>
  <c r="CN111" i="2"/>
  <c r="CJ110" i="2"/>
  <c r="AR5" i="12"/>
  <c r="AN5" i="12"/>
  <c r="AO5" i="12" s="1"/>
  <c r="AP5" i="12" s="1"/>
  <c r="CB76" i="14"/>
  <c r="CB77" i="14"/>
  <c r="CB74" i="14"/>
  <c r="CJ74" i="14"/>
  <c r="CJ77" i="14"/>
  <c r="CC76" i="14"/>
  <c r="CE70" i="14"/>
  <c r="AO5" i="14"/>
  <c r="CA77" i="14"/>
  <c r="CA74" i="14"/>
  <c r="AW5" i="14"/>
  <c r="AS5" i="14"/>
  <c r="AT5" i="14" s="1"/>
  <c r="AU5" i="14" s="1"/>
  <c r="BU7" i="13"/>
  <c r="BU25" i="13" s="1"/>
  <c r="BZ70" i="2"/>
  <c r="CE71" i="2" s="1"/>
  <c r="CE64" i="2"/>
  <c r="BZ70" i="12"/>
  <c r="BZ65" i="2"/>
  <c r="BQ125" i="2"/>
  <c r="BX111" i="2"/>
  <c r="BS112" i="2"/>
  <c r="BS113" i="2"/>
  <c r="BU110" i="2"/>
  <c r="CR25" i="13"/>
  <c r="CT7" i="13"/>
  <c r="CT25" i="13" s="1"/>
  <c r="CK25" i="13"/>
  <c r="CK22" i="13"/>
  <c r="CO7" i="13"/>
  <c r="CO25" i="13" s="1"/>
  <c r="DJ124" i="2"/>
  <c r="DJ125" i="2" s="1"/>
  <c r="DK127" i="2" s="1"/>
  <c r="CG22" i="13"/>
  <c r="CF54" i="13"/>
  <c r="CF57" i="13" s="1"/>
  <c r="CF62" i="13" s="1"/>
  <c r="CF46" i="13"/>
  <c r="CJ65" i="2"/>
  <c r="CJ70" i="12"/>
  <c r="CJ70" i="2"/>
  <c r="CO71" i="2" s="1"/>
  <c r="CO64" i="2"/>
  <c r="CR124" i="2"/>
  <c r="CT116" i="2"/>
  <c r="CT122" i="2" s="1"/>
  <c r="CK124" i="2"/>
  <c r="CO116" i="2"/>
  <c r="CO122" i="2" s="1"/>
  <c r="DI80" i="2"/>
  <c r="DN81" i="2"/>
  <c r="DJ67" i="12"/>
  <c r="DJ113" i="2"/>
  <c r="DK112" i="2"/>
  <c r="BV124" i="2"/>
  <c r="BZ116" i="2"/>
  <c r="BZ122" i="2" s="1"/>
  <c r="DJ107" i="2"/>
  <c r="CX71" i="2"/>
  <c r="CS71" i="2"/>
  <c r="CD112" i="2"/>
  <c r="CI111" i="2"/>
  <c r="CD113" i="2"/>
  <c r="CE110" i="2"/>
  <c r="CE67" i="13" s="1"/>
  <c r="DK126" i="2"/>
  <c r="EC67" i="2"/>
  <c r="CF125" i="2"/>
  <c r="CS124" i="2"/>
  <c r="CS125" i="2" s="1"/>
  <c r="AJ5" i="2"/>
  <c r="AJ74" i="2" s="1"/>
  <c r="CT106" i="2"/>
  <c r="CO108" i="2"/>
  <c r="DD70" i="12"/>
  <c r="DD65" i="2"/>
  <c r="DI64" i="2"/>
  <c r="DD70" i="2"/>
  <c r="DD71" i="2" s="1"/>
  <c r="CT64" i="2"/>
  <c r="CO70" i="2"/>
  <c r="CO70" i="12"/>
  <c r="CO65" i="2"/>
  <c r="CF23" i="13"/>
  <c r="CF26" i="13" s="1"/>
  <c r="AR5" i="2"/>
  <c r="AR74" i="2" s="1"/>
  <c r="AN5" i="2"/>
  <c r="CI124" i="2"/>
  <c r="CI125" i="2" s="1"/>
  <c r="CI126" i="2" s="1"/>
  <c r="DI70" i="2"/>
  <c r="DI70" i="12"/>
  <c r="DI65" i="2"/>
  <c r="DG124" i="2"/>
  <c r="DG125" i="2" s="1"/>
  <c r="DH127" i="2" s="1"/>
  <c r="BZ7" i="13"/>
  <c r="BZ25" i="13" s="1"/>
  <c r="BV22" i="13"/>
  <c r="BV25" i="13"/>
  <c r="CE106" i="2"/>
  <c r="BZ108" i="2"/>
  <c r="CA107" i="2"/>
  <c r="DF107" i="2"/>
  <c r="DD108" i="2"/>
  <c r="DI106" i="2"/>
  <c r="CU24" i="13"/>
  <c r="CT108" i="2"/>
  <c r="CY106" i="2"/>
  <c r="CU125" i="2"/>
  <c r="CA111" i="2"/>
  <c r="BV113" i="2"/>
  <c r="BW112" i="2"/>
  <c r="BT124" i="2"/>
  <c r="BT125" i="2" s="1"/>
  <c r="EB46" i="14"/>
  <c r="DC124" i="2"/>
  <c r="DC125" i="2" s="1"/>
  <c r="CI25" i="13"/>
  <c r="DE124" i="2"/>
  <c r="DI116" i="2"/>
  <c r="DI122" i="2" s="1"/>
  <c r="BZ106" i="2"/>
  <c r="BU108" i="2"/>
  <c r="BT113" i="2"/>
  <c r="BT112" i="2"/>
  <c r="CT65" i="2"/>
  <c r="CT70" i="2"/>
  <c r="CT70" i="12"/>
  <c r="CY64" i="2"/>
  <c r="DJ71" i="2"/>
  <c r="DG71" i="2"/>
  <c r="DB71" i="2"/>
  <c r="DG113" i="2"/>
  <c r="DG112" i="2"/>
  <c r="CO106" i="2"/>
  <c r="BU80" i="2"/>
  <c r="BZ81" i="2"/>
  <c r="BS124" i="2"/>
  <c r="BS125" i="2" s="1"/>
  <c r="DI7" i="13"/>
  <c r="DI25" i="13" s="1"/>
  <c r="DI26" i="13" s="1"/>
  <c r="DE25" i="13"/>
  <c r="DE26" i="13" s="1"/>
  <c r="DB124" i="2"/>
  <c r="DD116" i="2"/>
  <c r="DD122" i="2" s="1"/>
  <c r="CK113" i="2"/>
  <c r="CP111" i="2"/>
  <c r="CL112" i="2"/>
  <c r="DC25" i="13"/>
  <c r="DC22" i="13"/>
  <c r="DC23" i="13" s="1"/>
  <c r="DB25" i="13"/>
  <c r="DB22" i="13"/>
  <c r="DD7" i="13"/>
  <c r="DD25" i="13" s="1"/>
  <c r="BU116" i="2"/>
  <c r="BU122" i="2" s="1"/>
  <c r="CK111" i="2"/>
  <c r="CI112" i="2"/>
  <c r="CI113" i="2"/>
  <c r="CE80" i="2"/>
  <c r="CJ81" i="2"/>
  <c r="DE113" i="2"/>
  <c r="DJ111" i="2"/>
  <c r="DE111" i="2"/>
  <c r="DF112" i="2"/>
  <c r="DI110" i="2"/>
  <c r="BQ24" i="13"/>
  <c r="CJ80" i="2"/>
  <c r="CO81" i="2"/>
  <c r="CQ3" i="35"/>
  <c r="CR3" i="35" s="1"/>
  <c r="CS3" i="35" s="1"/>
  <c r="E29" i="21"/>
  <c r="H27" i="26"/>
  <c r="DR33" i="12"/>
  <c r="DT69" i="2"/>
  <c r="DU68" i="2"/>
  <c r="DL81" i="2"/>
  <c r="DL80" i="2"/>
  <c r="DL110" i="2"/>
  <c r="DL82" i="2"/>
  <c r="DI81" i="2"/>
  <c r="DD80" i="2"/>
  <c r="DD81" i="2"/>
  <c r="DC113" i="2"/>
  <c r="DE67" i="12"/>
  <c r="DC112" i="2"/>
  <c r="DH111" i="2"/>
  <c r="DC111" i="2"/>
  <c r="DD110" i="2"/>
  <c r="DD67" i="13" s="1"/>
  <c r="DD62" i="13" s="1"/>
  <c r="DV41" i="13"/>
  <c r="DU43" i="13"/>
  <c r="DV26" i="12"/>
  <c r="DU21" i="13"/>
  <c r="CD111" i="2"/>
  <c r="BY112" i="2"/>
  <c r="BY113" i="2"/>
  <c r="BY111" i="2"/>
  <c r="BZ110" i="2"/>
  <c r="BZ67" i="13" s="1"/>
  <c r="AW5" i="13"/>
  <c r="AS5" i="13"/>
  <c r="BZ80" i="2"/>
  <c r="CE81" i="2"/>
  <c r="CN43" i="13"/>
  <c r="CO43" i="13" s="1"/>
  <c r="CO42" i="13"/>
  <c r="CN176" i="35" a="1"/>
  <c r="E30" i="21" l="1"/>
  <c r="CN127" i="2"/>
  <c r="DV13" i="14"/>
  <c r="AV80" i="35" s="1"/>
  <c r="CQ67" i="12"/>
  <c r="DD145" i="14"/>
  <c r="CO113" i="2"/>
  <c r="CO67" i="12"/>
  <c r="Q73" i="2"/>
  <c r="Q4" i="14"/>
  <c r="Q4" i="12"/>
  <c r="Q4" i="13"/>
  <c r="P73" i="2"/>
  <c r="P4" i="12"/>
  <c r="P4" i="14"/>
  <c r="P4" i="13"/>
  <c r="N73" i="2"/>
  <c r="N4" i="13"/>
  <c r="N4" i="12"/>
  <c r="N4" i="14"/>
  <c r="CP46" i="13"/>
  <c r="W74" i="2"/>
  <c r="V4" i="2"/>
  <c r="W4" i="2"/>
  <c r="U4" i="2"/>
  <c r="S4" i="2"/>
  <c r="AB5" i="2"/>
  <c r="T4" i="2"/>
  <c r="O73" i="2"/>
  <c r="O4" i="14"/>
  <c r="O4" i="12"/>
  <c r="O4" i="13"/>
  <c r="R73" i="2"/>
  <c r="R4" i="12"/>
  <c r="R4" i="14"/>
  <c r="R4" i="13"/>
  <c r="CP54" i="13"/>
  <c r="CP57" i="13" s="1"/>
  <c r="CP62" i="13" s="1"/>
  <c r="AO5" i="2"/>
  <c r="AN74" i="2"/>
  <c r="CP26" i="13"/>
  <c r="CH127" i="2"/>
  <c r="CP112" i="2"/>
  <c r="DU12" i="14"/>
  <c r="DD182" i="14"/>
  <c r="DD181" i="14" s="1"/>
  <c r="CN176" i="35"/>
  <c r="CN177" i="35" s="1"/>
  <c r="DC187" i="14"/>
  <c r="DD187" i="14" s="1"/>
  <c r="DD188" i="14" s="1"/>
  <c r="DD189" i="14" s="1"/>
  <c r="DE143" i="14"/>
  <c r="DE146" i="14" s="1"/>
  <c r="DE44" i="14"/>
  <c r="EA66" i="14"/>
  <c r="EC66" i="14" s="1"/>
  <c r="DX66" i="14"/>
  <c r="DC151" i="14"/>
  <c r="DC152" i="14" s="1"/>
  <c r="DC153" i="14" s="1"/>
  <c r="DY54" i="14"/>
  <c r="DC199" i="14"/>
  <c r="DD194" i="14"/>
  <c r="DD193" i="14" s="1"/>
  <c r="DC163" i="14"/>
  <c r="DD158" i="14"/>
  <c r="DD157" i="14" s="1"/>
  <c r="DD170" i="14"/>
  <c r="DD169" i="14" s="1"/>
  <c r="DC175" i="14"/>
  <c r="DE155" i="14"/>
  <c r="DE191" i="14"/>
  <c r="DE167" i="14"/>
  <c r="DE32" i="14"/>
  <c r="DE33" i="14" s="1"/>
  <c r="DE179" i="14"/>
  <c r="DE34" i="14"/>
  <c r="DE35" i="14" s="1"/>
  <c r="DE30" i="14"/>
  <c r="DF27" i="14"/>
  <c r="DF31" i="14" s="1"/>
  <c r="DE28" i="14"/>
  <c r="M14" i="26"/>
  <c r="DD33" i="14"/>
  <c r="Z3" i="35"/>
  <c r="CO111" i="2"/>
  <c r="CJ67" i="13"/>
  <c r="DL67" i="13"/>
  <c r="DL62" i="13" s="1"/>
  <c r="CT111" i="2"/>
  <c r="CT67" i="13"/>
  <c r="DK67" i="12"/>
  <c r="DI67" i="13"/>
  <c r="DI62" i="13" s="1"/>
  <c r="BV112" i="2"/>
  <c r="BU67" i="13"/>
  <c r="CQ57" i="14"/>
  <c r="CQ58" i="14"/>
  <c r="DA26" i="13"/>
  <c r="CP79" i="14"/>
  <c r="CP80" i="14"/>
  <c r="CP81" i="14"/>
  <c r="CP82" i="14"/>
  <c r="DQ50" i="2"/>
  <c r="DP51" i="2"/>
  <c r="DP54" i="2" s="1"/>
  <c r="CS59" i="14"/>
  <c r="CT59" i="14" s="1"/>
  <c r="DL124" i="2"/>
  <c r="DL125" i="2" s="1"/>
  <c r="DL127" i="2" s="1"/>
  <c r="CR56" i="14"/>
  <c r="CR62" i="14"/>
  <c r="CR61" i="14"/>
  <c r="CR73" i="14"/>
  <c r="DI68" i="14"/>
  <c r="DJ67" i="14"/>
  <c r="DN66" i="14"/>
  <c r="CO82" i="14"/>
  <c r="CO79" i="14"/>
  <c r="CQ78" i="14"/>
  <c r="CQ75" i="14"/>
  <c r="CQ76" i="14"/>
  <c r="CQ74" i="14"/>
  <c r="CQ77" i="14"/>
  <c r="DV15" i="12"/>
  <c r="DW8" i="13"/>
  <c r="DX8" i="13" s="1"/>
  <c r="CU112" i="2"/>
  <c r="CT67" i="12"/>
  <c r="CT113" i="2"/>
  <c r="CK23" i="13"/>
  <c r="CK24" i="13"/>
  <c r="CK54" i="13" s="1"/>
  <c r="CK57" i="13" s="1"/>
  <c r="CK62" i="13" s="1"/>
  <c r="DC26" i="13"/>
  <c r="DB67" i="12"/>
  <c r="CY67" i="12"/>
  <c r="CY113" i="2"/>
  <c r="CZ112" i="2"/>
  <c r="CA24" i="13"/>
  <c r="CA23" i="13"/>
  <c r="CY111" i="2"/>
  <c r="CZ26" i="13"/>
  <c r="DC67" i="12"/>
  <c r="DA67" i="12"/>
  <c r="CW125" i="2"/>
  <c r="CY124" i="2"/>
  <c r="CY125" i="2" s="1"/>
  <c r="CG126" i="2"/>
  <c r="CA125" i="2"/>
  <c r="CE124" i="2"/>
  <c r="CE125" i="2" s="1"/>
  <c r="CF127" i="2" s="1"/>
  <c r="CK112" i="2"/>
  <c r="CJ67" i="12"/>
  <c r="CJ113" i="2"/>
  <c r="CQ127" i="2"/>
  <c r="CV126" i="2"/>
  <c r="DF126" i="2"/>
  <c r="DA127" i="2"/>
  <c r="CM127" i="2"/>
  <c r="CQ126" i="2"/>
  <c r="CH126" i="2"/>
  <c r="CC127" i="2"/>
  <c r="BX127" i="2"/>
  <c r="CB126" i="2"/>
  <c r="AS5" i="12"/>
  <c r="AT5" i="12" s="1"/>
  <c r="AU5" i="12" s="1"/>
  <c r="AW5" i="12"/>
  <c r="CE77" i="14"/>
  <c r="CE74" i="14"/>
  <c r="AX5" i="14"/>
  <c r="AY5" i="14" s="1"/>
  <c r="AZ5" i="14" s="1"/>
  <c r="BB5" i="14"/>
  <c r="DW13" i="14"/>
  <c r="AW80" i="35" s="1"/>
  <c r="AP5" i="14"/>
  <c r="CM147" i="2"/>
  <c r="CN147" i="2" s="1"/>
  <c r="CV22" i="13"/>
  <c r="CU46" i="13"/>
  <c r="CU54" i="13"/>
  <c r="CU57" i="13" s="1"/>
  <c r="CU62" i="13" s="1"/>
  <c r="CU26" i="13"/>
  <c r="CZ126" i="2"/>
  <c r="CU127" i="2"/>
  <c r="CU126" i="2"/>
  <c r="CV127" i="2"/>
  <c r="CE67" i="12"/>
  <c r="CE113" i="2"/>
  <c r="CJ111" i="2"/>
  <c r="CF112" i="2"/>
  <c r="BQ54" i="13"/>
  <c r="BQ46" i="13"/>
  <c r="BQ48" i="13" s="1"/>
  <c r="BR22" i="13"/>
  <c r="BQ26" i="13"/>
  <c r="BQ127" i="2"/>
  <c r="BV126" i="2"/>
  <c r="BR127" i="2"/>
  <c r="BV24" i="13"/>
  <c r="BV23" i="13"/>
  <c r="BU124" i="2"/>
  <c r="BU125" i="2" s="1"/>
  <c r="BZ126" i="2" s="1"/>
  <c r="DH126" i="2"/>
  <c r="DC126" i="2"/>
  <c r="AK5" i="2"/>
  <c r="BV125" i="2"/>
  <c r="BZ124" i="2"/>
  <c r="BZ125" i="2" s="1"/>
  <c r="CN126" i="2"/>
  <c r="CI127" i="2"/>
  <c r="CK125" i="2"/>
  <c r="CK126" i="2" s="1"/>
  <c r="CO124" i="2"/>
  <c r="CO125" i="2" s="1"/>
  <c r="CF60" i="13"/>
  <c r="CF58" i="13"/>
  <c r="BU67" i="12"/>
  <c r="BU113" i="2"/>
  <c r="CX126" i="2"/>
  <c r="CS126" i="2"/>
  <c r="CG23" i="13"/>
  <c r="CG24" i="13"/>
  <c r="CY71" i="2"/>
  <c r="DB23" i="13"/>
  <c r="DB26" i="13" s="1"/>
  <c r="DD22" i="13"/>
  <c r="DD23" i="13" s="1"/>
  <c r="DD26" i="13" s="1"/>
  <c r="CQ24" i="13"/>
  <c r="CQ23" i="13"/>
  <c r="AS5" i="2"/>
  <c r="AW5" i="2"/>
  <c r="AW74" i="2" s="1"/>
  <c r="CJ124" i="2"/>
  <c r="CJ125" i="2" s="1"/>
  <c r="BX126" i="2"/>
  <c r="BS127" i="2"/>
  <c r="CT71" i="2"/>
  <c r="CG127" i="2"/>
  <c r="CR125" i="2"/>
  <c r="CS127" i="2" s="1"/>
  <c r="CT124" i="2"/>
  <c r="CT125" i="2" s="1"/>
  <c r="DJ112" i="2"/>
  <c r="DI67" i="12"/>
  <c r="DI113" i="2"/>
  <c r="DE125" i="2"/>
  <c r="DI124" i="2"/>
  <c r="DI125" i="2" s="1"/>
  <c r="DB125" i="2"/>
  <c r="DD124" i="2"/>
  <c r="DD125" i="2" s="1"/>
  <c r="BY126" i="2"/>
  <c r="BT127" i="2"/>
  <c r="DG127" i="2"/>
  <c r="DI71" i="2"/>
  <c r="F27" i="26"/>
  <c r="I27" i="26"/>
  <c r="J27" i="26"/>
  <c r="G27" i="26"/>
  <c r="DL67" i="12"/>
  <c r="DS33" i="12"/>
  <c r="DR48" i="12"/>
  <c r="DV68" i="2"/>
  <c r="DU69" i="2"/>
  <c r="DL111" i="2"/>
  <c r="DL112" i="2"/>
  <c r="DL113" i="2"/>
  <c r="DD113" i="2"/>
  <c r="DF67" i="12"/>
  <c r="DG67" i="12"/>
  <c r="DH67" i="12"/>
  <c r="DD67" i="12"/>
  <c r="DE112" i="2"/>
  <c r="DI111" i="2"/>
  <c r="DD111" i="2"/>
  <c r="DV43" i="13"/>
  <c r="DW41" i="13"/>
  <c r="DX41" i="13" s="1"/>
  <c r="CE111" i="2"/>
  <c r="CA112" i="2"/>
  <c r="BZ67" i="12"/>
  <c r="BZ113" i="2"/>
  <c r="BZ111" i="2"/>
  <c r="AX5" i="13"/>
  <c r="AY5" i="13" s="1"/>
  <c r="AZ5" i="13" s="1"/>
  <c r="BB5" i="13"/>
  <c r="AT5" i="13"/>
  <c r="DV21" i="13"/>
  <c r="DW26" i="12"/>
  <c r="DV12" i="14" l="1"/>
  <c r="DL126" i="2"/>
  <c r="AB74" i="2"/>
  <c r="AA4" i="2"/>
  <c r="Y4" i="2"/>
  <c r="AB4" i="2"/>
  <c r="Z4" i="2"/>
  <c r="AG5" i="2"/>
  <c r="X4" i="2"/>
  <c r="S73" i="2"/>
  <c r="S4" i="13"/>
  <c r="S4" i="14"/>
  <c r="S4" i="12"/>
  <c r="W73" i="2"/>
  <c r="W4" i="14"/>
  <c r="W4" i="13"/>
  <c r="W4" i="12"/>
  <c r="CP60" i="13"/>
  <c r="V73" i="2"/>
  <c r="V4" i="13"/>
  <c r="V4" i="14"/>
  <c r="V4" i="12"/>
  <c r="CP58" i="13"/>
  <c r="T73" i="2"/>
  <c r="T4" i="12"/>
  <c r="T4" i="13"/>
  <c r="T4" i="14"/>
  <c r="U73" i="2"/>
  <c r="U4" i="12"/>
  <c r="U4" i="13"/>
  <c r="U4" i="14"/>
  <c r="AT5" i="2"/>
  <c r="AS74" i="2"/>
  <c r="AP5" i="2"/>
  <c r="AP74" i="2" s="1"/>
  <c r="AO74" i="2"/>
  <c r="AK74" i="2"/>
  <c r="CK26" i="13"/>
  <c r="DC188" i="14"/>
  <c r="DC189" i="14" s="1"/>
  <c r="DD151" i="14"/>
  <c r="DD152" i="14" s="1"/>
  <c r="DD153" i="14" s="1"/>
  <c r="DF143" i="14"/>
  <c r="DF146" i="14" s="1"/>
  <c r="DF150" i="14" s="1"/>
  <c r="DF44" i="14"/>
  <c r="DE150" i="14"/>
  <c r="DE151" i="14" s="1"/>
  <c r="DE152" i="14" s="1"/>
  <c r="DE153" i="14" s="1"/>
  <c r="DZ54" i="14"/>
  <c r="DC200" i="14"/>
  <c r="DC201" i="14" s="1"/>
  <c r="DD199" i="14"/>
  <c r="DD200" i="14" s="1"/>
  <c r="DD201" i="14" s="1"/>
  <c r="DC164" i="14"/>
  <c r="DC165" i="14" s="1"/>
  <c r="DD163" i="14"/>
  <c r="DD164" i="14" s="1"/>
  <c r="DD165" i="14" s="1"/>
  <c r="DC176" i="14"/>
  <c r="DC177" i="14" s="1"/>
  <c r="DD175" i="14"/>
  <c r="DD176" i="14" s="1"/>
  <c r="DD177" i="14" s="1"/>
  <c r="DE158" i="14"/>
  <c r="DE162" i="14" s="1"/>
  <c r="DE194" i="14"/>
  <c r="DE198" i="14" s="1"/>
  <c r="DE199" i="14" s="1"/>
  <c r="DE200" i="14" s="1"/>
  <c r="DE201" i="14" s="1"/>
  <c r="DE170" i="14"/>
  <c r="DE174" i="14" s="1"/>
  <c r="DE175" i="14" s="1"/>
  <c r="DE176" i="14" s="1"/>
  <c r="DE177" i="14" s="1"/>
  <c r="DF191" i="14"/>
  <c r="DF167" i="14"/>
  <c r="DF155" i="14"/>
  <c r="DE182" i="14"/>
  <c r="DE186" i="14" s="1"/>
  <c r="DE187" i="14" s="1"/>
  <c r="DE188" i="14" s="1"/>
  <c r="DE189" i="14" s="1"/>
  <c r="DF34" i="14"/>
  <c r="DF35" i="14" s="1"/>
  <c r="DF30" i="14"/>
  <c r="DF28" i="14"/>
  <c r="DG27" i="14"/>
  <c r="DG31" i="14" s="1"/>
  <c r="DF32" i="14"/>
  <c r="DF33" i="14" s="1"/>
  <c r="DF179" i="14"/>
  <c r="AA3" i="35"/>
  <c r="CR58" i="14"/>
  <c r="CR57" i="14"/>
  <c r="DQ51" i="2"/>
  <c r="DR50" i="2"/>
  <c r="CU59" i="14"/>
  <c r="CS56" i="14"/>
  <c r="CS61" i="14"/>
  <c r="CS62" i="14"/>
  <c r="CS73" i="14"/>
  <c r="CT56" i="14"/>
  <c r="CT61" i="14"/>
  <c r="CT60" i="14"/>
  <c r="CT73" i="14"/>
  <c r="CO147" i="2"/>
  <c r="CP147" i="2" s="1"/>
  <c r="CQ147" i="2" s="1"/>
  <c r="CQ79" i="14"/>
  <c r="CQ81" i="14"/>
  <c r="CQ82" i="14"/>
  <c r="CQ80" i="14"/>
  <c r="CR78" i="14"/>
  <c r="CR76" i="14"/>
  <c r="CR74" i="14"/>
  <c r="CR77" i="14"/>
  <c r="CR75" i="14"/>
  <c r="DW15" i="12"/>
  <c r="DX15" i="12" s="1"/>
  <c r="DY15" i="12" s="1"/>
  <c r="DZ8" i="13"/>
  <c r="CK46" i="13"/>
  <c r="CL22" i="13"/>
  <c r="CA26" i="13"/>
  <c r="CF126" i="2"/>
  <c r="CB127" i="2"/>
  <c r="CA54" i="13"/>
  <c r="CA57" i="13" s="1"/>
  <c r="CA62" i="13" s="1"/>
  <c r="CA46" i="13"/>
  <c r="CB22" i="13"/>
  <c r="CW127" i="2"/>
  <c r="CX127" i="2"/>
  <c r="DD126" i="2"/>
  <c r="CZ127" i="2"/>
  <c r="AX5" i="12"/>
  <c r="AY5" i="12" s="1"/>
  <c r="AZ5" i="12" s="1"/>
  <c r="BB5" i="12"/>
  <c r="DW12" i="14"/>
  <c r="DY13" i="14"/>
  <c r="AX80" i="35" s="1"/>
  <c r="BC5" i="14"/>
  <c r="BG5" i="14"/>
  <c r="CQ26" i="13"/>
  <c r="CW126" i="2"/>
  <c r="CR127" i="2"/>
  <c r="CK58" i="13"/>
  <c r="CK60" i="13"/>
  <c r="CK59" i="13"/>
  <c r="CP59" i="13"/>
  <c r="CE126" i="2"/>
  <c r="CA127" i="2"/>
  <c r="CO126" i="2"/>
  <c r="CJ126" i="2"/>
  <c r="BW22" i="13"/>
  <c r="BV46" i="13"/>
  <c r="BV54" i="13"/>
  <c r="BV57" i="13" s="1"/>
  <c r="BV62" i="13" s="1"/>
  <c r="BQ50" i="13"/>
  <c r="BQ52" i="13" s="1"/>
  <c r="BR47" i="13"/>
  <c r="CY126" i="2"/>
  <c r="DJ127" i="2"/>
  <c r="CH22" i="13"/>
  <c r="CG54" i="13"/>
  <c r="CG57" i="13" s="1"/>
  <c r="CG62" i="13" s="1"/>
  <c r="CG46" i="13"/>
  <c r="BV127" i="2"/>
  <c r="CA126" i="2"/>
  <c r="BW127" i="2"/>
  <c r="DI126" i="2"/>
  <c r="CG26" i="13"/>
  <c r="CU58" i="13"/>
  <c r="CU59" i="13"/>
  <c r="CU60" i="13"/>
  <c r="CZ59" i="13"/>
  <c r="DG126" i="2"/>
  <c r="DB127" i="2"/>
  <c r="DB126" i="2"/>
  <c r="CV23" i="13"/>
  <c r="CV24" i="13"/>
  <c r="CT126" i="2"/>
  <c r="CP127" i="2"/>
  <c r="CQ54" i="13"/>
  <c r="CQ57" i="13" s="1"/>
  <c r="CQ62" i="13" s="1"/>
  <c r="CR22" i="13"/>
  <c r="CQ46" i="13"/>
  <c r="CP126" i="2"/>
  <c r="CK127" i="2"/>
  <c r="CL127" i="2"/>
  <c r="AX5" i="2"/>
  <c r="AX74" i="2" s="1"/>
  <c r="BB5" i="2"/>
  <c r="BB74" i="2" s="1"/>
  <c r="DC127" i="2"/>
  <c r="DJ126" i="2"/>
  <c r="DE127" i="2"/>
  <c r="DF127" i="2"/>
  <c r="DE126" i="2"/>
  <c r="BV26" i="13"/>
  <c r="BR24" i="13"/>
  <c r="BR23" i="13"/>
  <c r="DT33" i="12"/>
  <c r="DS48" i="12"/>
  <c r="DV69" i="2"/>
  <c r="DW68" i="2"/>
  <c r="DX68" i="2" s="1"/>
  <c r="DW43" i="13"/>
  <c r="DX43" i="13" s="1"/>
  <c r="DY41" i="13"/>
  <c r="AU5" i="13"/>
  <c r="DX26" i="12"/>
  <c r="DY26" i="12" s="1"/>
  <c r="DW21" i="13"/>
  <c r="DX21" i="13" s="1"/>
  <c r="BG5" i="13"/>
  <c r="BC5" i="13"/>
  <c r="BD5" i="13" s="1"/>
  <c r="BE5" i="13" s="1"/>
  <c r="AB73" i="2" l="1"/>
  <c r="AB4" i="12"/>
  <c r="AB4" i="14"/>
  <c r="AB4" i="13"/>
  <c r="X73" i="2"/>
  <c r="X4" i="12"/>
  <c r="X4" i="13"/>
  <c r="X4" i="14"/>
  <c r="AG74" i="2"/>
  <c r="AL5" i="2"/>
  <c r="AE4" i="2"/>
  <c r="AF4" i="2"/>
  <c r="AG4" i="2"/>
  <c r="AC4" i="2"/>
  <c r="AD4" i="2"/>
  <c r="Z73" i="2"/>
  <c r="Z4" i="14"/>
  <c r="Z4" i="12"/>
  <c r="Z4" i="13"/>
  <c r="Y73" i="2"/>
  <c r="Y4" i="12"/>
  <c r="Y4" i="14"/>
  <c r="Y4" i="13"/>
  <c r="AA73" i="2"/>
  <c r="AA4" i="13"/>
  <c r="AA4" i="12"/>
  <c r="AA4" i="14"/>
  <c r="AU5" i="2"/>
  <c r="AU74" i="2" s="1"/>
  <c r="AT74" i="2"/>
  <c r="DG143" i="14"/>
  <c r="DG146" i="14" s="1"/>
  <c r="DG150" i="14" s="1"/>
  <c r="DG151" i="14" s="1"/>
  <c r="DG152" i="14" s="1"/>
  <c r="DG153" i="14" s="1"/>
  <c r="DG44" i="14"/>
  <c r="EB54" i="14"/>
  <c r="EA54" i="14"/>
  <c r="DF151" i="14"/>
  <c r="DF152" i="14" s="1"/>
  <c r="DF153" i="14" s="1"/>
  <c r="DF194" i="14"/>
  <c r="DF198" i="14" s="1"/>
  <c r="DF199" i="14" s="1"/>
  <c r="DF200" i="14" s="1"/>
  <c r="DF201" i="14" s="1"/>
  <c r="DF170" i="14"/>
  <c r="DF174" i="14" s="1"/>
  <c r="DF175" i="14" s="1"/>
  <c r="DF176" i="14" s="1"/>
  <c r="DF177" i="14" s="1"/>
  <c r="DF158" i="14"/>
  <c r="DF162" i="14" s="1"/>
  <c r="DF163" i="14" s="1"/>
  <c r="DF164" i="14" s="1"/>
  <c r="DF165" i="14" s="1"/>
  <c r="DE163" i="14"/>
  <c r="DE164" i="14" s="1"/>
  <c r="DE165" i="14" s="1"/>
  <c r="DG191" i="14"/>
  <c r="DG194" i="14" s="1"/>
  <c r="DG198" i="14" s="1"/>
  <c r="DG199" i="14" s="1"/>
  <c r="DG200" i="14" s="1"/>
  <c r="DG201" i="14" s="1"/>
  <c r="DG155" i="14"/>
  <c r="DG167" i="14"/>
  <c r="DF182" i="14"/>
  <c r="DF186" i="14" s="1"/>
  <c r="DF187" i="14" s="1"/>
  <c r="DF188" i="14" s="1"/>
  <c r="DF189" i="14" s="1"/>
  <c r="DG179" i="14"/>
  <c r="DG182" i="14" s="1"/>
  <c r="DG186" i="14" s="1"/>
  <c r="DG187" i="14" s="1"/>
  <c r="DG188" i="14" s="1"/>
  <c r="DG189" i="14" s="1"/>
  <c r="DG28" i="14"/>
  <c r="DG30" i="14"/>
  <c r="DG34" i="14"/>
  <c r="DG35" i="14" s="1"/>
  <c r="DH27" i="14"/>
  <c r="DH31" i="14" s="1"/>
  <c r="DG32" i="14"/>
  <c r="DG33" i="14" s="1"/>
  <c r="CT58" i="14"/>
  <c r="AB3" i="35"/>
  <c r="CS58" i="14"/>
  <c r="CS57" i="14"/>
  <c r="CV59" i="14"/>
  <c r="CU56" i="14"/>
  <c r="CU61" i="14"/>
  <c r="CU62" i="14"/>
  <c r="CU73" i="14"/>
  <c r="CR81" i="14"/>
  <c r="CR82" i="14"/>
  <c r="CR80" i="14"/>
  <c r="CR79" i="14"/>
  <c r="CT75" i="14"/>
  <c r="CT74" i="14"/>
  <c r="CT77" i="14"/>
  <c r="CS78" i="14"/>
  <c r="CS74" i="14"/>
  <c r="CS77" i="14"/>
  <c r="CS75" i="14"/>
  <c r="CS76" i="14"/>
  <c r="DS50" i="2"/>
  <c r="DR51" i="2"/>
  <c r="DR54" i="2" s="1"/>
  <c r="DT50" i="2"/>
  <c r="DQ54" i="2"/>
  <c r="DZ15" i="12"/>
  <c r="EA8" i="13"/>
  <c r="CL23" i="13"/>
  <c r="CL24" i="13"/>
  <c r="CR147" i="2"/>
  <c r="CS147" i="2" s="1"/>
  <c r="CF59" i="13"/>
  <c r="CA60" i="13"/>
  <c r="CF61" i="13" s="1"/>
  <c r="CA58" i="13"/>
  <c r="CB23" i="13"/>
  <c r="CB24" i="13"/>
  <c r="CK61" i="13"/>
  <c r="CP61" i="13"/>
  <c r="BG5" i="12"/>
  <c r="BC5" i="12"/>
  <c r="BD5" i="12" s="1"/>
  <c r="BE5" i="12" s="1"/>
  <c r="BH5" i="14"/>
  <c r="BI5" i="14" s="1"/>
  <c r="BJ5" i="14" s="1"/>
  <c r="BL5" i="14"/>
  <c r="DY12" i="14"/>
  <c r="DZ13" i="14"/>
  <c r="AY80" i="35" s="1"/>
  <c r="BD5" i="14"/>
  <c r="CV26" i="13"/>
  <c r="BR26" i="13"/>
  <c r="BR54" i="13"/>
  <c r="BR46" i="13"/>
  <c r="BS22" i="13"/>
  <c r="CZ61" i="13"/>
  <c r="CU61" i="13"/>
  <c r="BW23" i="13"/>
  <c r="BW24" i="13"/>
  <c r="CG58" i="13"/>
  <c r="CG60" i="13"/>
  <c r="CH24" i="13"/>
  <c r="CH23" i="13"/>
  <c r="CR23" i="13"/>
  <c r="CR24" i="13"/>
  <c r="CQ58" i="13"/>
  <c r="CQ60" i="13"/>
  <c r="BC5" i="2"/>
  <c r="BG5" i="2"/>
  <c r="BG74" i="2" s="1"/>
  <c r="CV54" i="13"/>
  <c r="CV57" i="13" s="1"/>
  <c r="CV62" i="13" s="1"/>
  <c r="CV46" i="13"/>
  <c r="CW22" i="13"/>
  <c r="BV58" i="13"/>
  <c r="BV60" i="13"/>
  <c r="CA59" i="13"/>
  <c r="AY5" i="2"/>
  <c r="AY74" i="2" s="1"/>
  <c r="DX69" i="2"/>
  <c r="DT48" i="12"/>
  <c r="DU33" i="12"/>
  <c r="DW69" i="2"/>
  <c r="DY68" i="2"/>
  <c r="DY43" i="13"/>
  <c r="DZ41" i="13"/>
  <c r="DZ26" i="12"/>
  <c r="DY21" i="13"/>
  <c r="BL5" i="13"/>
  <c r="BH5" i="13"/>
  <c r="AF73" i="2" l="1"/>
  <c r="AF4" i="13"/>
  <c r="AF4" i="12"/>
  <c r="AF4" i="14"/>
  <c r="AE73" i="2"/>
  <c r="AE4" i="14"/>
  <c r="AE4" i="13"/>
  <c r="AE4" i="12"/>
  <c r="AD73" i="2"/>
  <c r="AD4" i="13"/>
  <c r="AD4" i="14"/>
  <c r="AD4" i="12"/>
  <c r="AC73" i="2"/>
  <c r="AC4" i="14"/>
  <c r="AC4" i="12"/>
  <c r="AC4" i="13"/>
  <c r="AL74" i="2"/>
  <c r="AI4" i="2"/>
  <c r="AL4" i="2"/>
  <c r="AH4" i="2"/>
  <c r="AJ4" i="2"/>
  <c r="AQ5" i="2"/>
  <c r="AK4" i="2"/>
  <c r="DS54" i="2"/>
  <c r="AG73" i="2"/>
  <c r="AG4" i="14"/>
  <c r="AG4" i="13"/>
  <c r="AG4" i="12"/>
  <c r="BD5" i="2"/>
  <c r="BC74" i="2"/>
  <c r="CL26" i="13"/>
  <c r="DH143" i="14"/>
  <c r="DH146" i="14" s="1"/>
  <c r="DH44" i="14"/>
  <c r="DG158" i="14"/>
  <c r="DG162" i="14" s="1"/>
  <c r="DG163" i="14" s="1"/>
  <c r="DG164" i="14" s="1"/>
  <c r="DG165" i="14" s="1"/>
  <c r="DG170" i="14"/>
  <c r="DG174" i="14" s="1"/>
  <c r="DG175" i="14" s="1"/>
  <c r="DG176" i="14" s="1"/>
  <c r="DG177" i="14" s="1"/>
  <c r="DH32" i="14"/>
  <c r="DM32" i="14" s="1"/>
  <c r="DR32" i="14" s="1"/>
  <c r="DW32" i="14" s="1"/>
  <c r="EB32" i="14" s="1"/>
  <c r="DH30" i="14"/>
  <c r="DH191" i="14"/>
  <c r="DH167" i="14"/>
  <c r="DH155" i="14"/>
  <c r="DH179" i="14"/>
  <c r="DH28" i="14"/>
  <c r="DI28" i="14" s="1"/>
  <c r="DI27" i="14"/>
  <c r="DI31" i="14" s="1"/>
  <c r="DH34" i="14"/>
  <c r="DH35" i="14" s="1"/>
  <c r="AC3" i="35"/>
  <c r="CU58" i="14"/>
  <c r="CU57" i="14"/>
  <c r="DS51" i="2"/>
  <c r="CS81" i="14"/>
  <c r="CS82" i="14"/>
  <c r="CS80" i="14"/>
  <c r="CS79" i="14"/>
  <c r="CT78" i="14"/>
  <c r="CU78" i="14"/>
  <c r="CU74" i="14"/>
  <c r="CU77" i="14"/>
  <c r="CU76" i="14"/>
  <c r="CU75" i="14"/>
  <c r="CT147" i="2"/>
  <c r="CU147" i="2" s="1"/>
  <c r="CV147" i="2" s="1"/>
  <c r="CW147" i="2" s="1"/>
  <c r="DT51" i="2"/>
  <c r="DT54" i="2" s="1"/>
  <c r="DU50" i="2"/>
  <c r="CW59" i="14"/>
  <c r="CV56" i="14"/>
  <c r="CV62" i="14"/>
  <c r="CV61" i="14"/>
  <c r="CV73" i="14"/>
  <c r="CL54" i="13"/>
  <c r="CL57" i="13" s="1"/>
  <c r="CL62" i="13" s="1"/>
  <c r="CL46" i="13"/>
  <c r="CM22" i="13"/>
  <c r="EB8" i="13"/>
  <c r="EC8" i="13" s="1"/>
  <c r="EA15" i="12"/>
  <c r="CB26" i="13"/>
  <c r="CB54" i="13"/>
  <c r="CB57" i="13" s="1"/>
  <c r="CB62" i="13" s="1"/>
  <c r="CB46" i="13"/>
  <c r="CC22" i="13"/>
  <c r="CA61" i="13"/>
  <c r="BL5" i="12"/>
  <c r="BH5" i="12"/>
  <c r="BI5" i="12" s="1"/>
  <c r="BJ5" i="12" s="1"/>
  <c r="DZ12" i="14"/>
  <c r="EA13" i="14"/>
  <c r="AZ80" i="35" s="1"/>
  <c r="BE5" i="14"/>
  <c r="BQ5" i="14"/>
  <c r="BM5" i="14"/>
  <c r="CH26" i="13"/>
  <c r="BW26" i="13"/>
  <c r="CI22" i="13"/>
  <c r="CH46" i="13"/>
  <c r="CH54" i="13"/>
  <c r="CH57" i="13" s="1"/>
  <c r="CH62" i="13" s="1"/>
  <c r="BS24" i="13"/>
  <c r="BS23" i="13"/>
  <c r="BR48" i="13"/>
  <c r="BH5" i="2"/>
  <c r="BL5" i="2"/>
  <c r="BL74" i="2" s="1"/>
  <c r="CR54" i="13"/>
  <c r="CR57" i="13" s="1"/>
  <c r="CR62" i="13" s="1"/>
  <c r="CR46" i="13"/>
  <c r="CS22" i="13"/>
  <c r="CR26" i="13"/>
  <c r="CW24" i="13"/>
  <c r="CW23" i="13"/>
  <c r="BX22" i="13"/>
  <c r="BW46" i="13"/>
  <c r="BW54" i="13"/>
  <c r="BW57" i="13" s="1"/>
  <c r="BW62" i="13" s="1"/>
  <c r="AZ5" i="2"/>
  <c r="AZ74" i="2" s="1"/>
  <c r="CV58" i="13"/>
  <c r="CV59" i="13"/>
  <c r="DA59" i="13"/>
  <c r="CV60" i="13"/>
  <c r="DV33" i="12"/>
  <c r="DU48" i="12"/>
  <c r="DY69" i="2"/>
  <c r="DZ68" i="2"/>
  <c r="EA41" i="13"/>
  <c r="DZ43" i="13"/>
  <c r="BI5" i="13"/>
  <c r="EA26" i="12"/>
  <c r="DZ21" i="13"/>
  <c r="BQ5" i="13"/>
  <c r="BM5" i="13"/>
  <c r="BN5" i="13" s="1"/>
  <c r="BO5" i="13" s="1"/>
  <c r="CO176" i="35" a="1"/>
  <c r="AQ74" i="2" l="1"/>
  <c r="AN4" i="2"/>
  <c r="AM4" i="2"/>
  <c r="AV5" i="2"/>
  <c r="AO4" i="2"/>
  <c r="AP4" i="2"/>
  <c r="AQ4" i="2"/>
  <c r="AJ73" i="2"/>
  <c r="AJ4" i="12"/>
  <c r="AJ4" i="14"/>
  <c r="AJ4" i="13"/>
  <c r="AL73" i="2"/>
  <c r="AL4" i="14"/>
  <c r="AL4" i="12"/>
  <c r="AL4" i="13"/>
  <c r="AI73" i="2"/>
  <c r="AI4" i="14"/>
  <c r="AI4" i="13"/>
  <c r="AI4" i="12"/>
  <c r="AK73" i="2"/>
  <c r="AK4" i="14"/>
  <c r="AK4" i="13"/>
  <c r="AK4" i="12"/>
  <c r="AH73" i="2"/>
  <c r="AH4" i="14"/>
  <c r="AH4" i="13"/>
  <c r="AH4" i="12"/>
  <c r="BI5" i="2"/>
  <c r="BH74" i="2"/>
  <c r="BE5" i="2"/>
  <c r="BE74" i="2" s="1"/>
  <c r="BD74" i="2"/>
  <c r="CO176" i="35"/>
  <c r="CO177" i="35" s="1"/>
  <c r="DI143" i="14"/>
  <c r="DJ27" i="14"/>
  <c r="DJ31" i="14" s="1"/>
  <c r="DI44" i="14"/>
  <c r="DH150" i="14"/>
  <c r="DI150" i="14" s="1"/>
  <c r="DI146" i="14"/>
  <c r="DH182" i="14"/>
  <c r="DI179" i="14"/>
  <c r="DI180" i="14" s="1"/>
  <c r="DI32" i="14"/>
  <c r="N14" i="26" s="1"/>
  <c r="DH33" i="14"/>
  <c r="DH194" i="14"/>
  <c r="DI191" i="14"/>
  <c r="DI192" i="14" s="1"/>
  <c r="DH170" i="14"/>
  <c r="DH174" i="14" s="1"/>
  <c r="DI174" i="14" s="1"/>
  <c r="DI167" i="14"/>
  <c r="DI168" i="14" s="1"/>
  <c r="DI155" i="14"/>
  <c r="DI156" i="14" s="1"/>
  <c r="DH158" i="14"/>
  <c r="N13" i="26"/>
  <c r="DI30" i="14"/>
  <c r="DI34" i="14"/>
  <c r="DM34" i="14"/>
  <c r="DR34" i="14" s="1"/>
  <c r="DW34" i="14" s="1"/>
  <c r="EB34" i="14" s="1"/>
  <c r="BN5" i="14"/>
  <c r="AD3" i="35"/>
  <c r="EB15" i="12"/>
  <c r="EC15" i="12" s="1"/>
  <c r="CV58" i="14"/>
  <c r="CV57" i="14"/>
  <c r="CU82" i="14"/>
  <c r="CU80" i="14"/>
  <c r="CU79" i="14"/>
  <c r="CU81" i="14"/>
  <c r="CV74" i="14"/>
  <c r="CV78" i="14"/>
  <c r="CV76" i="14"/>
  <c r="CV77" i="14"/>
  <c r="CV75" i="14"/>
  <c r="CT82" i="14"/>
  <c r="CT79" i="14"/>
  <c r="CT80" i="14"/>
  <c r="CL60" i="13"/>
  <c r="CL61" i="13" s="1"/>
  <c r="CW56" i="14"/>
  <c r="CW62" i="14"/>
  <c r="CW61" i="14"/>
  <c r="CW73" i="14"/>
  <c r="CX59" i="14"/>
  <c r="DV50" i="2"/>
  <c r="DU51" i="2"/>
  <c r="DU54" i="2" s="1"/>
  <c r="CQ59" i="13"/>
  <c r="CL58" i="13"/>
  <c r="CL59" i="13"/>
  <c r="CM23" i="13"/>
  <c r="CM24" i="13"/>
  <c r="CX147" i="2"/>
  <c r="CY147" i="2" s="1"/>
  <c r="CZ147" i="2" s="1"/>
  <c r="DA147" i="2" s="1"/>
  <c r="CG59" i="13"/>
  <c r="CB60" i="13"/>
  <c r="CG61" i="13" s="1"/>
  <c r="CB58" i="13"/>
  <c r="CC23" i="13"/>
  <c r="CC24" i="13"/>
  <c r="BM5" i="12"/>
  <c r="BN5" i="12" s="1"/>
  <c r="BO5" i="12" s="1"/>
  <c r="BQ5" i="12"/>
  <c r="EA12" i="14"/>
  <c r="EB13" i="14"/>
  <c r="BV5" i="14"/>
  <c r="BR5" i="14"/>
  <c r="CW46" i="13"/>
  <c r="CW54" i="13"/>
  <c r="CW57" i="13" s="1"/>
  <c r="CW62" i="13" s="1"/>
  <c r="CX22" i="13"/>
  <c r="DA61" i="13"/>
  <c r="CV61" i="13"/>
  <c r="BR50" i="13"/>
  <c r="BR51" i="13" s="1"/>
  <c r="BS47" i="13"/>
  <c r="BS26" i="13"/>
  <c r="CS24" i="13"/>
  <c r="CS23" i="13"/>
  <c r="CT22" i="13"/>
  <c r="CT23" i="13" s="1"/>
  <c r="BS54" i="13"/>
  <c r="BS46" i="13"/>
  <c r="BT22" i="13"/>
  <c r="BW58" i="13"/>
  <c r="BW60" i="13"/>
  <c r="CB59" i="13"/>
  <c r="CR58" i="13"/>
  <c r="CR60" i="13"/>
  <c r="CH58" i="13"/>
  <c r="CH60" i="13"/>
  <c r="BX23" i="13"/>
  <c r="BX24" i="13"/>
  <c r="BM5" i="2"/>
  <c r="BM74" i="2" s="1"/>
  <c r="BQ5" i="2"/>
  <c r="BQ74" i="2" s="1"/>
  <c r="CI23" i="13"/>
  <c r="CI24" i="13"/>
  <c r="CJ22" i="13"/>
  <c r="CJ23" i="13" s="1"/>
  <c r="CW26" i="13"/>
  <c r="DV48" i="12"/>
  <c r="DW33" i="12"/>
  <c r="DZ69" i="2"/>
  <c r="EA68" i="2"/>
  <c r="EA43" i="13"/>
  <c r="EB41" i="13"/>
  <c r="EA21" i="13"/>
  <c r="EB26" i="12"/>
  <c r="BV5" i="13"/>
  <c r="BR5" i="13"/>
  <c r="BS5" i="13" s="1"/>
  <c r="BT5" i="13" s="1"/>
  <c r="BJ5" i="13"/>
  <c r="CQ61" i="13" l="1"/>
  <c r="AQ73" i="2"/>
  <c r="AQ4" i="14"/>
  <c r="AQ4" i="12"/>
  <c r="AQ4" i="13"/>
  <c r="AP73" i="2"/>
  <c r="AP4" i="12"/>
  <c r="AP4" i="14"/>
  <c r="AP4" i="13"/>
  <c r="AO73" i="2"/>
  <c r="AO4" i="13"/>
  <c r="AO4" i="12"/>
  <c r="AO4" i="14"/>
  <c r="AV74" i="2"/>
  <c r="AR4" i="2"/>
  <c r="AV4" i="2"/>
  <c r="AT4" i="2"/>
  <c r="AS4" i="2"/>
  <c r="AU4" i="2"/>
  <c r="BA5" i="2"/>
  <c r="AM73" i="2"/>
  <c r="AM4" i="12"/>
  <c r="AM4" i="14"/>
  <c r="AM4" i="13"/>
  <c r="AN73" i="2"/>
  <c r="AN4" i="14"/>
  <c r="AN4" i="12"/>
  <c r="AN4" i="13"/>
  <c r="BJ5" i="2"/>
  <c r="BJ74" i="2" s="1"/>
  <c r="BI74" i="2"/>
  <c r="CM26" i="13"/>
  <c r="DJ179" i="14"/>
  <c r="DJ182" i="14" s="1"/>
  <c r="DJ186" i="14" s="1"/>
  <c r="DJ187" i="14" s="1"/>
  <c r="DJ188" i="14" s="1"/>
  <c r="DJ189" i="14" s="1"/>
  <c r="DI145" i="14"/>
  <c r="DJ167" i="14"/>
  <c r="DJ170" i="14" s="1"/>
  <c r="DJ174" i="14" s="1"/>
  <c r="DJ175" i="14" s="1"/>
  <c r="DJ176" i="14" s="1"/>
  <c r="DJ177" i="14" s="1"/>
  <c r="DJ155" i="14"/>
  <c r="DJ158" i="14" s="1"/>
  <c r="DJ162" i="14" s="1"/>
  <c r="DJ163" i="14" s="1"/>
  <c r="DJ164" i="14" s="1"/>
  <c r="DJ165" i="14" s="1"/>
  <c r="DJ191" i="14"/>
  <c r="DJ194" i="14" s="1"/>
  <c r="DJ198" i="14" s="1"/>
  <c r="DJ199" i="14" s="1"/>
  <c r="DJ200" i="14" s="1"/>
  <c r="DJ201" i="14" s="1"/>
  <c r="DJ30" i="14"/>
  <c r="DJ34" i="14"/>
  <c r="DO34" i="14" s="1"/>
  <c r="DK27" i="14"/>
  <c r="DK34" i="14" s="1"/>
  <c r="DJ28" i="14"/>
  <c r="DJ32" i="14"/>
  <c r="EB12" i="14"/>
  <c r="BA80" i="35"/>
  <c r="DJ143" i="14"/>
  <c r="DJ44" i="14"/>
  <c r="DH151" i="14"/>
  <c r="DH152" i="14" s="1"/>
  <c r="DH153" i="14" s="1"/>
  <c r="DI182" i="14"/>
  <c r="DI181" i="14" s="1"/>
  <c r="DH186" i="14"/>
  <c r="DH187" i="14" s="1"/>
  <c r="DI33" i="14"/>
  <c r="DI194" i="14"/>
  <c r="DI193" i="14" s="1"/>
  <c r="DH198" i="14"/>
  <c r="DH175" i="14"/>
  <c r="DI170" i="14"/>
  <c r="DI169" i="14" s="1"/>
  <c r="DI158" i="14"/>
  <c r="DI157" i="14" s="1"/>
  <c r="DH162" i="14"/>
  <c r="G7" i="26"/>
  <c r="J7" i="26"/>
  <c r="F7" i="26"/>
  <c r="I7" i="26"/>
  <c r="BO5" i="14"/>
  <c r="AE3" i="35"/>
  <c r="CW58" i="14"/>
  <c r="CW57" i="14"/>
  <c r="CV82" i="14"/>
  <c r="CV80" i="14"/>
  <c r="CV79" i="14"/>
  <c r="CV81" i="14"/>
  <c r="DV51" i="2"/>
  <c r="DV54" i="2" s="1"/>
  <c r="DW50" i="2"/>
  <c r="CX56" i="14"/>
  <c r="CX62" i="14"/>
  <c r="CX61" i="14"/>
  <c r="CX73" i="14"/>
  <c r="CY59" i="14"/>
  <c r="CZ59" i="14"/>
  <c r="CW78" i="14"/>
  <c r="CW77" i="14"/>
  <c r="CW74" i="14"/>
  <c r="CW76" i="14"/>
  <c r="CW75" i="14"/>
  <c r="CN22" i="13"/>
  <c r="CN24" i="13" s="1"/>
  <c r="CM46" i="13"/>
  <c r="CM54" i="13"/>
  <c r="CM57" i="13" s="1"/>
  <c r="CB61" i="13"/>
  <c r="CC46" i="13"/>
  <c r="CD22" i="13"/>
  <c r="CC54" i="13"/>
  <c r="CC57" i="13" s="1"/>
  <c r="CC62" i="13" s="1"/>
  <c r="CC26" i="13"/>
  <c r="DB147" i="2"/>
  <c r="CS26" i="13"/>
  <c r="BV5" i="12"/>
  <c r="BR5" i="12"/>
  <c r="BS5" i="12" s="1"/>
  <c r="BT5" i="12" s="1"/>
  <c r="BS5" i="14"/>
  <c r="BW5" i="14"/>
  <c r="BX5" i="14" s="1"/>
  <c r="BY5" i="14" s="1"/>
  <c r="CA5" i="14"/>
  <c r="CI26" i="13"/>
  <c r="BY22" i="13"/>
  <c r="BX46" i="13"/>
  <c r="BX54" i="13"/>
  <c r="BX57" i="13" s="1"/>
  <c r="BX62" i="13" s="1"/>
  <c r="CX23" i="13"/>
  <c r="CX24" i="13"/>
  <c r="CY22" i="13"/>
  <c r="CY23" i="13" s="1"/>
  <c r="BX26" i="13"/>
  <c r="BT23" i="13"/>
  <c r="BT24" i="13"/>
  <c r="BU22" i="13"/>
  <c r="BU23" i="13" s="1"/>
  <c r="CW58" i="13"/>
  <c r="CW59" i="13"/>
  <c r="CW60" i="13"/>
  <c r="DB59" i="13"/>
  <c r="BS48" i="13"/>
  <c r="CS54" i="13"/>
  <c r="CS57" i="13" s="1"/>
  <c r="CS62" i="13" s="1"/>
  <c r="CS46" i="13"/>
  <c r="CT46" i="13" s="1"/>
  <c r="CT24" i="13"/>
  <c r="CT54" i="13" s="1"/>
  <c r="CI54" i="13"/>
  <c r="CI57" i="13" s="1"/>
  <c r="CI62" i="13" s="1"/>
  <c r="CI46" i="13"/>
  <c r="CJ46" i="13" s="1"/>
  <c r="CJ24" i="13"/>
  <c r="CJ54" i="13" s="1"/>
  <c r="BV5" i="2"/>
  <c r="BV74" i="2" s="1"/>
  <c r="BR5" i="2"/>
  <c r="BN5" i="2"/>
  <c r="BN74" i="2" s="1"/>
  <c r="DX33" i="12"/>
  <c r="DW48" i="12"/>
  <c r="EB68" i="2"/>
  <c r="EC68" i="2" s="1"/>
  <c r="EA69" i="2"/>
  <c r="EB43" i="13"/>
  <c r="EC43" i="13" s="1"/>
  <c r="EC41" i="13"/>
  <c r="EB21" i="13"/>
  <c r="EC26" i="12"/>
  <c r="CA5" i="13"/>
  <c r="BW5" i="13"/>
  <c r="AU73" i="2" l="1"/>
  <c r="AU4" i="13"/>
  <c r="AU4" i="14"/>
  <c r="AU4" i="12"/>
  <c r="AS73" i="2"/>
  <c r="AS4" i="14"/>
  <c r="AS4" i="13"/>
  <c r="AS4" i="12"/>
  <c r="AT73" i="2"/>
  <c r="AT4" i="13"/>
  <c r="AT4" i="14"/>
  <c r="AT4" i="12"/>
  <c r="AV73" i="2"/>
  <c r="AV4" i="12"/>
  <c r="AV4" i="14"/>
  <c r="AV4" i="13"/>
  <c r="AR73" i="2"/>
  <c r="AR4" i="14"/>
  <c r="AR4" i="13"/>
  <c r="AR4" i="12"/>
  <c r="BA74" i="2"/>
  <c r="BF5" i="2"/>
  <c r="AW4" i="2"/>
  <c r="AY4" i="2"/>
  <c r="BA4" i="2"/>
  <c r="AX4" i="2"/>
  <c r="AZ4" i="2"/>
  <c r="BS5" i="2"/>
  <c r="BR74" i="2"/>
  <c r="CR59" i="13"/>
  <c r="CM62" i="13"/>
  <c r="CM59" i="13"/>
  <c r="DL27" i="14"/>
  <c r="DL143" i="14" s="1"/>
  <c r="DL146" i="14" s="1"/>
  <c r="DL150" i="14" s="1"/>
  <c r="DL151" i="14" s="1"/>
  <c r="DL152" i="14" s="1"/>
  <c r="DL153" i="14" s="1"/>
  <c r="DK179" i="14"/>
  <c r="DK182" i="14" s="1"/>
  <c r="DK186" i="14" s="1"/>
  <c r="DK187" i="14" s="1"/>
  <c r="DK188" i="14" s="1"/>
  <c r="DK189" i="14" s="1"/>
  <c r="DK28" i="14"/>
  <c r="DK30" i="14"/>
  <c r="DK155" i="14"/>
  <c r="DK158" i="14" s="1"/>
  <c r="DK162" i="14" s="1"/>
  <c r="DK163" i="14" s="1"/>
  <c r="DK164" i="14" s="1"/>
  <c r="DK165" i="14" s="1"/>
  <c r="DK32" i="14"/>
  <c r="DK31" i="14"/>
  <c r="DJ35" i="14"/>
  <c r="DT34" i="14"/>
  <c r="DK143" i="14"/>
  <c r="DK146" i="14" s="1"/>
  <c r="DK150" i="14" s="1"/>
  <c r="DK151" i="14" s="1"/>
  <c r="DK152" i="14" s="1"/>
  <c r="DK153" i="14" s="1"/>
  <c r="DK44" i="14"/>
  <c r="DK191" i="14"/>
  <c r="DK194" i="14" s="1"/>
  <c r="DK198" i="14" s="1"/>
  <c r="DK199" i="14" s="1"/>
  <c r="DK200" i="14" s="1"/>
  <c r="DK201" i="14" s="1"/>
  <c r="DK167" i="14"/>
  <c r="DK170" i="14" s="1"/>
  <c r="DK174" i="14" s="1"/>
  <c r="DK175" i="14" s="1"/>
  <c r="DK176" i="14" s="1"/>
  <c r="DK177" i="14" s="1"/>
  <c r="DJ33" i="14"/>
  <c r="DO32" i="14"/>
  <c r="DT32" i="14" s="1"/>
  <c r="DJ146" i="14"/>
  <c r="DJ150" i="14" s="1"/>
  <c r="DJ151" i="14" s="1"/>
  <c r="DJ152" i="14" s="1"/>
  <c r="DJ153" i="14" s="1"/>
  <c r="DI151" i="14"/>
  <c r="DI152" i="14" s="1"/>
  <c r="DI153" i="14" s="1"/>
  <c r="DI186" i="14"/>
  <c r="DH176" i="14"/>
  <c r="DH177" i="14" s="1"/>
  <c r="DI175" i="14"/>
  <c r="DI176" i="14" s="1"/>
  <c r="DI177" i="14" s="1"/>
  <c r="DI198" i="14"/>
  <c r="DH199" i="14"/>
  <c r="DI162" i="14"/>
  <c r="DH163" i="14"/>
  <c r="DI187" i="14"/>
  <c r="DI188" i="14" s="1"/>
  <c r="DI189" i="14" s="1"/>
  <c r="DH188" i="14"/>
  <c r="DH189" i="14" s="1"/>
  <c r="AF3" i="35"/>
  <c r="CM60" i="13"/>
  <c r="CM61" i="13" s="1"/>
  <c r="CM58" i="13"/>
  <c r="CX58" i="14"/>
  <c r="CX57" i="14"/>
  <c r="CN23" i="13"/>
  <c r="CN26" i="13" s="1"/>
  <c r="CW80" i="14"/>
  <c r="CW81" i="14"/>
  <c r="CW79" i="14"/>
  <c r="CW82" i="14"/>
  <c r="CO22" i="13"/>
  <c r="CO23" i="13" s="1"/>
  <c r="DA59" i="14"/>
  <c r="DY50" i="2"/>
  <c r="DW51" i="2"/>
  <c r="DX50" i="2"/>
  <c r="CZ56" i="14"/>
  <c r="CZ62" i="14"/>
  <c r="CZ61" i="14"/>
  <c r="CZ73" i="14"/>
  <c r="CY60" i="14"/>
  <c r="CY56" i="14"/>
  <c r="CY61" i="14"/>
  <c r="CY73" i="14"/>
  <c r="CX78" i="14"/>
  <c r="CX77" i="14"/>
  <c r="CX76" i="14"/>
  <c r="CX75" i="14"/>
  <c r="CX74" i="14"/>
  <c r="DC147" i="2"/>
  <c r="DD147" i="2" s="1"/>
  <c r="DE147" i="2" s="1"/>
  <c r="CE22" i="13"/>
  <c r="CE23" i="13" s="1"/>
  <c r="CD23" i="13"/>
  <c r="CD24" i="13"/>
  <c r="CH59" i="13"/>
  <c r="CC60" i="13"/>
  <c r="CH61" i="13" s="1"/>
  <c r="CC58" i="13"/>
  <c r="CA5" i="12"/>
  <c r="BW5" i="12"/>
  <c r="BX5" i="12" s="1"/>
  <c r="BY5" i="12" s="1"/>
  <c r="DP34" i="14"/>
  <c r="DU34" i="14" s="1"/>
  <c r="DZ34" i="14" s="1"/>
  <c r="DK35" i="14"/>
  <c r="BT5" i="14"/>
  <c r="CF5" i="14"/>
  <c r="CB5" i="14"/>
  <c r="BT26" i="13"/>
  <c r="CT26" i="13"/>
  <c r="CX26" i="13"/>
  <c r="CJ57" i="13"/>
  <c r="DB61" i="13"/>
  <c r="CW61" i="13"/>
  <c r="CI58" i="13"/>
  <c r="CI60" i="13"/>
  <c r="CJ26" i="13"/>
  <c r="BX58" i="13"/>
  <c r="BX60" i="13"/>
  <c r="CC59" i="13"/>
  <c r="BT54" i="13"/>
  <c r="BT46" i="13"/>
  <c r="BU24" i="13"/>
  <c r="BU54" i="13" s="1"/>
  <c r="BS50" i="13"/>
  <c r="BS52" i="13" s="1"/>
  <c r="BS8" i="12" s="1"/>
  <c r="BT47" i="13"/>
  <c r="BY24" i="13"/>
  <c r="BY23" i="13"/>
  <c r="BZ22" i="13"/>
  <c r="BZ23" i="13" s="1"/>
  <c r="BO5" i="2"/>
  <c r="BO74" i="2" s="1"/>
  <c r="CN54" i="13"/>
  <c r="CN57" i="13" s="1"/>
  <c r="CN46" i="13"/>
  <c r="CO46" i="13" s="1"/>
  <c r="CO24" i="13"/>
  <c r="CO54" i="13" s="1"/>
  <c r="CT57" i="13"/>
  <c r="CA5" i="2"/>
  <c r="CA74" i="2" s="1"/>
  <c r="BW5" i="2"/>
  <c r="CS58" i="13"/>
  <c r="CS60" i="13"/>
  <c r="CX54" i="13"/>
  <c r="CX57" i="13" s="1"/>
  <c r="CX62" i="13" s="1"/>
  <c r="CX46" i="13"/>
  <c r="CY46" i="13" s="1"/>
  <c r="CY24" i="13"/>
  <c r="CY54" i="13" s="1"/>
  <c r="EC69" i="2"/>
  <c r="DX48" i="12"/>
  <c r="DY33" i="12"/>
  <c r="EB69" i="2"/>
  <c r="EC21" i="13"/>
  <c r="BX5" i="13"/>
  <c r="CF5" i="13"/>
  <c r="CB5" i="13"/>
  <c r="CC5" i="13" s="1"/>
  <c r="CD5" i="13" s="1"/>
  <c r="CJ75" i="35" a="1"/>
  <c r="CL75" i="35" a="1"/>
  <c r="AZ73" i="2" l="1"/>
  <c r="AZ4" i="12"/>
  <c r="AZ4" i="13"/>
  <c r="AZ4" i="14"/>
  <c r="AX73" i="2"/>
  <c r="AX4" i="13"/>
  <c r="AX4" i="12"/>
  <c r="AX4" i="14"/>
  <c r="AY73" i="2"/>
  <c r="AY4" i="14"/>
  <c r="AY4" i="13"/>
  <c r="AY4" i="12"/>
  <c r="AW73" i="2"/>
  <c r="AW4" i="13"/>
  <c r="AW4" i="14"/>
  <c r="AW4" i="12"/>
  <c r="BF74" i="2"/>
  <c r="BF4" i="2"/>
  <c r="BD4" i="2"/>
  <c r="BC4" i="2"/>
  <c r="BB4" i="2"/>
  <c r="BK5" i="2"/>
  <c r="BE4" i="2"/>
  <c r="BA73" i="2"/>
  <c r="BA4" i="12"/>
  <c r="BA4" i="13"/>
  <c r="BA4" i="14"/>
  <c r="BX5" i="2"/>
  <c r="BW74" i="2"/>
  <c r="BT5" i="2"/>
  <c r="BT74" i="2" s="1"/>
  <c r="BS74" i="2"/>
  <c r="CL75" i="35"/>
  <c r="CL76" i="35" s="1"/>
  <c r="CJ75" i="35"/>
  <c r="CJ76" i="35" s="1"/>
  <c r="CR61" i="13"/>
  <c r="CT62" i="13"/>
  <c r="CJ62" i="13"/>
  <c r="CS59" i="13"/>
  <c r="CN62" i="13"/>
  <c r="DL32" i="14"/>
  <c r="DL33" i="14" s="1"/>
  <c r="DL34" i="14"/>
  <c r="DL167" i="14"/>
  <c r="DL191" i="14"/>
  <c r="DL194" i="14" s="1"/>
  <c r="DL198" i="14" s="1"/>
  <c r="DL199" i="14" s="1"/>
  <c r="DL200" i="14" s="1"/>
  <c r="DL201" i="14" s="1"/>
  <c r="DM27" i="14"/>
  <c r="DM31" i="14" s="1"/>
  <c r="DL155" i="14"/>
  <c r="DL158" i="14" s="1"/>
  <c r="DL162" i="14" s="1"/>
  <c r="DN32" i="14"/>
  <c r="O14" i="26" s="1"/>
  <c r="DL179" i="14"/>
  <c r="DL182" i="14" s="1"/>
  <c r="DL186" i="14" s="1"/>
  <c r="DL187" i="14" s="1"/>
  <c r="DL188" i="14" s="1"/>
  <c r="DL189" i="14" s="1"/>
  <c r="DL44" i="14"/>
  <c r="DL31" i="14"/>
  <c r="DL30" i="14"/>
  <c r="DL28" i="14"/>
  <c r="DK33" i="14"/>
  <c r="DP32" i="14"/>
  <c r="DU32" i="14" s="1"/>
  <c r="DZ32" i="14" s="1"/>
  <c r="DI199" i="14"/>
  <c r="DI200" i="14" s="1"/>
  <c r="DI201" i="14" s="1"/>
  <c r="DH200" i="14"/>
  <c r="DH201" i="14" s="1"/>
  <c r="DH164" i="14"/>
  <c r="DH165" i="14" s="1"/>
  <c r="DI163" i="14"/>
  <c r="DI164" i="14" s="1"/>
  <c r="DI165" i="14" s="1"/>
  <c r="DL170" i="14"/>
  <c r="DL174" i="14" s="1"/>
  <c r="DL175" i="14" s="1"/>
  <c r="DL176" i="14" s="1"/>
  <c r="DL177" i="14" s="1"/>
  <c r="DM191" i="14"/>
  <c r="DM155" i="14"/>
  <c r="DM167" i="14"/>
  <c r="CC5" i="14"/>
  <c r="CY58" i="14"/>
  <c r="AG3" i="35"/>
  <c r="CZ57" i="14"/>
  <c r="CZ58" i="14"/>
  <c r="CX79" i="14"/>
  <c r="CX80" i="14"/>
  <c r="CX81" i="14"/>
  <c r="CX82" i="14"/>
  <c r="CY78" i="14"/>
  <c r="CY75" i="14"/>
  <c r="CY77" i="14"/>
  <c r="CY74" i="14"/>
  <c r="DW54" i="2"/>
  <c r="DX54" i="2" s="1"/>
  <c r="DX51" i="2"/>
  <c r="DY51" i="2"/>
  <c r="DY54" i="2" s="1"/>
  <c r="DZ50" i="2"/>
  <c r="CZ78" i="14"/>
  <c r="CZ74" i="14"/>
  <c r="CZ75" i="14"/>
  <c r="CZ77" i="14"/>
  <c r="CZ76" i="14"/>
  <c r="DB59" i="14"/>
  <c r="DA56" i="14"/>
  <c r="DA61" i="14"/>
  <c r="DA62" i="14"/>
  <c r="DA73" i="14"/>
  <c r="DF147" i="2"/>
  <c r="CD46" i="13"/>
  <c r="CE46" i="13" s="1"/>
  <c r="CD54" i="13"/>
  <c r="CD57" i="13" s="1"/>
  <c r="CD62" i="13" s="1"/>
  <c r="CE24" i="13"/>
  <c r="CC61" i="13"/>
  <c r="BY26" i="13"/>
  <c r="CD26" i="13"/>
  <c r="CF5" i="12"/>
  <c r="CB5" i="12"/>
  <c r="CC5" i="12" s="1"/>
  <c r="CD5" i="12" s="1"/>
  <c r="J27" i="35"/>
  <c r="DY34" i="14"/>
  <c r="CG5" i="14"/>
  <c r="CK5" i="14"/>
  <c r="DY32" i="14"/>
  <c r="DL35" i="14"/>
  <c r="DQ34" i="14"/>
  <c r="DN34" i="14"/>
  <c r="CN58" i="13"/>
  <c r="CN59" i="13"/>
  <c r="CN60" i="13"/>
  <c r="CN61" i="13" s="1"/>
  <c r="BY46" i="13"/>
  <c r="BZ46" i="13" s="1"/>
  <c r="BY54" i="13"/>
  <c r="BY57" i="13" s="1"/>
  <c r="BY62" i="13" s="1"/>
  <c r="BZ24" i="13"/>
  <c r="BT48" i="13"/>
  <c r="BU46" i="13"/>
  <c r="BU48" i="13" s="1"/>
  <c r="BZ47" i="13" s="1"/>
  <c r="BU26" i="13"/>
  <c r="CF5" i="2"/>
  <c r="CF74" i="2" s="1"/>
  <c r="CB5" i="2"/>
  <c r="CB74" i="2" s="1"/>
  <c r="BS7" i="12"/>
  <c r="BS47" i="12"/>
  <c r="BS49" i="12" s="1"/>
  <c r="BS14" i="12"/>
  <c r="BS22" i="12" s="1"/>
  <c r="BS23" i="12" s="1"/>
  <c r="CY26" i="13"/>
  <c r="CJ58" i="13"/>
  <c r="CJ60" i="13"/>
  <c r="CY57" i="13"/>
  <c r="CX58" i="13"/>
  <c r="CX59" i="13"/>
  <c r="CX60" i="13"/>
  <c r="DC59" i="13"/>
  <c r="CT58" i="13"/>
  <c r="CT60" i="13"/>
  <c r="CO26" i="13"/>
  <c r="CO57" i="13"/>
  <c r="DY48" i="12"/>
  <c r="DZ33" i="12"/>
  <c r="CK5" i="13"/>
  <c r="CG5" i="13"/>
  <c r="CH5" i="13" s="1"/>
  <c r="CI5" i="13" s="1"/>
  <c r="BY5" i="13"/>
  <c r="CK75" i="35" a="1"/>
  <c r="CM75" i="35" a="1"/>
  <c r="DQ32" i="14" l="1"/>
  <c r="DS32" i="14" s="1"/>
  <c r="DN27" i="14"/>
  <c r="DM30" i="14"/>
  <c r="BB73" i="2"/>
  <c r="BB4" i="12"/>
  <c r="BB4" i="14"/>
  <c r="BB4" i="13"/>
  <c r="BC73" i="2"/>
  <c r="BC4" i="13"/>
  <c r="BC4" i="14"/>
  <c r="BC4" i="12"/>
  <c r="BD73" i="2"/>
  <c r="BD4" i="14"/>
  <c r="BD4" i="12"/>
  <c r="BD4" i="13"/>
  <c r="BF73" i="2"/>
  <c r="BF4" i="14"/>
  <c r="BF4" i="12"/>
  <c r="BF4" i="13"/>
  <c r="BE73" i="2"/>
  <c r="BE4" i="13"/>
  <c r="BE4" i="12"/>
  <c r="BE4" i="14"/>
  <c r="BK74" i="2"/>
  <c r="BG4" i="2"/>
  <c r="BI4" i="2"/>
  <c r="BH4" i="2"/>
  <c r="BP5" i="2"/>
  <c r="BJ4" i="2"/>
  <c r="BK4" i="2"/>
  <c r="BY5" i="2"/>
  <c r="BY74" i="2" s="1"/>
  <c r="BX74" i="2"/>
  <c r="CM75" i="35"/>
  <c r="CM76" i="35" s="1"/>
  <c r="CK75" i="35"/>
  <c r="CK76" i="35" s="1"/>
  <c r="CY62" i="13"/>
  <c r="CO62" i="13"/>
  <c r="DM7" i="14"/>
  <c r="DM18" i="14" s="1"/>
  <c r="DM44" i="14"/>
  <c r="DM28" i="14"/>
  <c r="DN28" i="14" s="1"/>
  <c r="DM143" i="14"/>
  <c r="DM179" i="14"/>
  <c r="DM182" i="14" s="1"/>
  <c r="DM186" i="14" s="1"/>
  <c r="DN186" i="14" s="1"/>
  <c r="DM36" i="14"/>
  <c r="DM38" i="14" s="1"/>
  <c r="DN33" i="14"/>
  <c r="DM146" i="14"/>
  <c r="DN146" i="14" s="1"/>
  <c r="DN143" i="14"/>
  <c r="DN191" i="14"/>
  <c r="DN192" i="14" s="1"/>
  <c r="DM194" i="14"/>
  <c r="DM198" i="14" s="1"/>
  <c r="DN198" i="14" s="1"/>
  <c r="DN155" i="14"/>
  <c r="DN156" i="14" s="1"/>
  <c r="DM158" i="14"/>
  <c r="DM170" i="14"/>
  <c r="DM174" i="14" s="1"/>
  <c r="DN174" i="14" s="1"/>
  <c r="DN167" i="14"/>
  <c r="DN168" i="14" s="1"/>
  <c r="DL163" i="14"/>
  <c r="DL164" i="14" s="1"/>
  <c r="DL165" i="14" s="1"/>
  <c r="DN179" i="14"/>
  <c r="DN180" i="14" s="1"/>
  <c r="CD5" i="14"/>
  <c r="M18" i="35" s="1"/>
  <c r="AH3" i="35"/>
  <c r="DA57" i="14"/>
  <c r="DA58" i="14"/>
  <c r="CZ82" i="14"/>
  <c r="CZ80" i="14"/>
  <c r="CZ79" i="14"/>
  <c r="CZ81" i="14"/>
  <c r="EA50" i="2"/>
  <c r="DZ51" i="2"/>
  <c r="DZ54" i="2" s="1"/>
  <c r="CY79" i="14"/>
  <c r="CY82" i="14"/>
  <c r="CY80" i="14"/>
  <c r="DC59" i="14"/>
  <c r="DA78" i="14"/>
  <c r="DA77" i="14"/>
  <c r="DA76" i="14"/>
  <c r="DA75" i="14"/>
  <c r="DA74" i="14"/>
  <c r="DB56" i="14"/>
  <c r="DB61" i="14"/>
  <c r="DB62" i="14"/>
  <c r="DB73" i="14"/>
  <c r="DG147" i="2"/>
  <c r="DH147" i="2" s="1"/>
  <c r="DI147" i="2"/>
  <c r="DJ147" i="2" s="1"/>
  <c r="CI59" i="13"/>
  <c r="CD60" i="13"/>
  <c r="CI61" i="13" s="1"/>
  <c r="CD58" i="13"/>
  <c r="CE26" i="13"/>
  <c r="CE54" i="13"/>
  <c r="CE57" i="13" s="1"/>
  <c r="BZ54" i="13"/>
  <c r="BZ57" i="13" s="1"/>
  <c r="BZ60" i="13" s="1"/>
  <c r="BZ26" i="13"/>
  <c r="CK5" i="12"/>
  <c r="CG5" i="12"/>
  <c r="CH5" i="12" s="1"/>
  <c r="CI5" i="12" s="1"/>
  <c r="CH5" i="14"/>
  <c r="CL5" i="14"/>
  <c r="CM5" i="14" s="1"/>
  <c r="CN5" i="14" s="1"/>
  <c r="CP5" i="14"/>
  <c r="DV34" i="14"/>
  <c r="DS34" i="14"/>
  <c r="DN30" i="14"/>
  <c r="O13" i="26"/>
  <c r="DO27" i="14"/>
  <c r="CY58" i="13"/>
  <c r="DD59" i="13"/>
  <c r="CY60" i="13"/>
  <c r="CY59" i="13"/>
  <c r="BT50" i="13"/>
  <c r="BV47" i="13"/>
  <c r="BV48" i="13" s="1"/>
  <c r="CO58" i="13"/>
  <c r="CO59" i="13"/>
  <c r="CO60" i="13"/>
  <c r="CT61" i="13" s="1"/>
  <c r="CT59" i="13"/>
  <c r="CS61" i="13"/>
  <c r="BY58" i="13"/>
  <c r="BY60" i="13"/>
  <c r="CD59" i="13"/>
  <c r="CC5" i="2"/>
  <c r="CC74" i="2" s="1"/>
  <c r="CK5" i="2"/>
  <c r="CK74" i="2" s="1"/>
  <c r="CG5" i="2"/>
  <c r="DC61" i="13"/>
  <c r="CX61" i="13"/>
  <c r="DZ48" i="12"/>
  <c r="EA33" i="12"/>
  <c r="CL5" i="13"/>
  <c r="CP5" i="13"/>
  <c r="CH75" i="35" a="1"/>
  <c r="CI75" i="35" a="1"/>
  <c r="DV32" i="14" l="1"/>
  <c r="EA32" i="14" s="1"/>
  <c r="EC32" i="14" s="1"/>
  <c r="DN7" i="14"/>
  <c r="DN9" i="14" s="1"/>
  <c r="DM16" i="14"/>
  <c r="DM8" i="14"/>
  <c r="DM9" i="14"/>
  <c r="CE59" i="13"/>
  <c r="BK73" i="2"/>
  <c r="BK4" i="12"/>
  <c r="BK4" i="14"/>
  <c r="BK4" i="13"/>
  <c r="BH73" i="2"/>
  <c r="BH4" i="13"/>
  <c r="BH4" i="12"/>
  <c r="BH4" i="14"/>
  <c r="BI73" i="2"/>
  <c r="BI4" i="12"/>
  <c r="BI4" i="13"/>
  <c r="BI4" i="14"/>
  <c r="BG73" i="2"/>
  <c r="BG4" i="14"/>
  <c r="BG4" i="13"/>
  <c r="BG4" i="12"/>
  <c r="BJ73" i="2"/>
  <c r="BJ4" i="13"/>
  <c r="BJ4" i="12"/>
  <c r="BJ4" i="14"/>
  <c r="BP74" i="2"/>
  <c r="BM4" i="2"/>
  <c r="BN4" i="2"/>
  <c r="BU5" i="2"/>
  <c r="BO4" i="2"/>
  <c r="BP4" i="2"/>
  <c r="BL4" i="2"/>
  <c r="CH5" i="2"/>
  <c r="CG74" i="2"/>
  <c r="DM237" i="14"/>
  <c r="DM233" i="14"/>
  <c r="DM235" i="14"/>
  <c r="CH75" i="35"/>
  <c r="CH76" i="35" s="1"/>
  <c r="CI75" i="35"/>
  <c r="CI76" i="35" s="1"/>
  <c r="BZ58" i="13"/>
  <c r="BZ62" i="13"/>
  <c r="CE62" i="13"/>
  <c r="DM21" i="14"/>
  <c r="DM150" i="14"/>
  <c r="DN150" i="14" s="1"/>
  <c r="DN145" i="14"/>
  <c r="DN36" i="14"/>
  <c r="DN237" i="14" s="1"/>
  <c r="DM7" i="2"/>
  <c r="AO33" i="35" s="1"/>
  <c r="DM37" i="14"/>
  <c r="DO143" i="14"/>
  <c r="DO146" i="14" s="1"/>
  <c r="DO150" i="14" s="1"/>
  <c r="DO151" i="14" s="1"/>
  <c r="DO152" i="14" s="1"/>
  <c r="DO36" i="14"/>
  <c r="DO7" i="14"/>
  <c r="DN194" i="14"/>
  <c r="DN193" i="14" s="1"/>
  <c r="DM199" i="14"/>
  <c r="DN158" i="14"/>
  <c r="DN157" i="14" s="1"/>
  <c r="DM162" i="14"/>
  <c r="DN170" i="14"/>
  <c r="DN169" i="14" s="1"/>
  <c r="DM175" i="14"/>
  <c r="DO179" i="14"/>
  <c r="DO182" i="14" s="1"/>
  <c r="DO186" i="14" s="1"/>
  <c r="DO187" i="14" s="1"/>
  <c r="DO188" i="14" s="1"/>
  <c r="DO191" i="14"/>
  <c r="DO155" i="14"/>
  <c r="DO167" i="14"/>
  <c r="DN182" i="14"/>
  <c r="DN181" i="14" s="1"/>
  <c r="DM187" i="14"/>
  <c r="AI3" i="35"/>
  <c r="DB58" i="14"/>
  <c r="DB57" i="14"/>
  <c r="EA51" i="2"/>
  <c r="EA54" i="2" s="1"/>
  <c r="EB50" i="2"/>
  <c r="DB78" i="14"/>
  <c r="DB76" i="14"/>
  <c r="DB75" i="14"/>
  <c r="DB74" i="14"/>
  <c r="DB77" i="14"/>
  <c r="DA80" i="14"/>
  <c r="DA79" i="14"/>
  <c r="DA82" i="14"/>
  <c r="DA81" i="14"/>
  <c r="DE59" i="14"/>
  <c r="DC56" i="14"/>
  <c r="DC61" i="14"/>
  <c r="DC62" i="14"/>
  <c r="DC73" i="14"/>
  <c r="DD59" i="14"/>
  <c r="DK147" i="2"/>
  <c r="CD61" i="13"/>
  <c r="CJ59" i="13"/>
  <c r="CE60" i="13"/>
  <c r="CE58" i="13"/>
  <c r="CP5" i="12"/>
  <c r="CL5" i="12"/>
  <c r="CM5" i="12" s="1"/>
  <c r="CN5" i="12" s="1"/>
  <c r="CU5" i="14"/>
  <c r="CQ5" i="14"/>
  <c r="CR5" i="14" s="1"/>
  <c r="CS5" i="14" s="1"/>
  <c r="DM17" i="14"/>
  <c r="DN16" i="14"/>
  <c r="DN17" i="14" s="1"/>
  <c r="DP27" i="14"/>
  <c r="DP143" i="14" s="1"/>
  <c r="DP146" i="14" s="1"/>
  <c r="DO30" i="14"/>
  <c r="DO28" i="14"/>
  <c r="DN18" i="14"/>
  <c r="DN19" i="14" s="1"/>
  <c r="DM19" i="14"/>
  <c r="EA34" i="14"/>
  <c r="EC34" i="14" s="1"/>
  <c r="DX34" i="14"/>
  <c r="P14" i="26"/>
  <c r="DS33" i="14"/>
  <c r="CI5" i="14"/>
  <c r="CY61" i="13"/>
  <c r="DD61" i="13"/>
  <c r="CL5" i="2"/>
  <c r="CP5" i="2"/>
  <c r="CP74" i="2" s="1"/>
  <c r="BW47" i="13"/>
  <c r="BW48" i="13" s="1"/>
  <c r="BV50" i="13"/>
  <c r="BV52" i="13" s="1"/>
  <c r="BV8" i="12" s="1"/>
  <c r="BT52" i="13"/>
  <c r="BU50" i="13"/>
  <c r="CO61" i="13"/>
  <c r="CD5" i="2"/>
  <c r="CD74" i="2" s="1"/>
  <c r="EA48" i="12"/>
  <c r="EB33" i="12"/>
  <c r="CQ5" i="13"/>
  <c r="CR5" i="13" s="1"/>
  <c r="CS5" i="13" s="1"/>
  <c r="CU5" i="13"/>
  <c r="CM5" i="13"/>
  <c r="DX32" i="14" l="1"/>
  <c r="DX33" i="14" s="1"/>
  <c r="DM151" i="14"/>
  <c r="DN151" i="14" s="1"/>
  <c r="DN152" i="14" s="1"/>
  <c r="DN153" i="14" s="1"/>
  <c r="BU74" i="2"/>
  <c r="BQ4" i="2"/>
  <c r="BT4" i="2"/>
  <c r="BR4" i="2"/>
  <c r="BZ5" i="2"/>
  <c r="BU4" i="2"/>
  <c r="BS4" i="2"/>
  <c r="BN73" i="2"/>
  <c r="BN4" i="13"/>
  <c r="BN4" i="12"/>
  <c r="BN4" i="14"/>
  <c r="BM73" i="2"/>
  <c r="BM4" i="12"/>
  <c r="BM4" i="14"/>
  <c r="BM4" i="13"/>
  <c r="BL73" i="2"/>
  <c r="BL4" i="13"/>
  <c r="BL4" i="14"/>
  <c r="BL4" i="12"/>
  <c r="BP73" i="2"/>
  <c r="BP4" i="14"/>
  <c r="BP4" i="13"/>
  <c r="BP4" i="12"/>
  <c r="BO73" i="2"/>
  <c r="BO4" i="13"/>
  <c r="BO4" i="12"/>
  <c r="BO4" i="14"/>
  <c r="CM5" i="2"/>
  <c r="CL74" i="2"/>
  <c r="DM231" i="14"/>
  <c r="DM239" i="14" s="1"/>
  <c r="DN235" i="14"/>
  <c r="DM236" i="14"/>
  <c r="DM234" i="14"/>
  <c r="DN233" i="14"/>
  <c r="CI5" i="2"/>
  <c r="CI74" i="2" s="1"/>
  <c r="CH74" i="2"/>
  <c r="DO237" i="14"/>
  <c r="DO233" i="14"/>
  <c r="DO235" i="14"/>
  <c r="DN238" i="14"/>
  <c r="CP212" i="35"/>
  <c r="CP218" i="35" s="1"/>
  <c r="DM238" i="14"/>
  <c r="DN38" i="14"/>
  <c r="DM20" i="14"/>
  <c r="DN21" i="14"/>
  <c r="DM8" i="2"/>
  <c r="DM14" i="2"/>
  <c r="DM23" i="2" s="1"/>
  <c r="DN7" i="2"/>
  <c r="CP33" i="35" s="1"/>
  <c r="CP183" i="35" s="1"/>
  <c r="DO153" i="14"/>
  <c r="DM152" i="14"/>
  <c r="DM153" i="14" s="1"/>
  <c r="DP150" i="14"/>
  <c r="DP151" i="14" s="1"/>
  <c r="DP152" i="14" s="1"/>
  <c r="DO189" i="14"/>
  <c r="DM200" i="14"/>
  <c r="DM201" i="14" s="1"/>
  <c r="DN199" i="14"/>
  <c r="DN200" i="14" s="1"/>
  <c r="DN201" i="14" s="1"/>
  <c r="DM176" i="14"/>
  <c r="DM177" i="14" s="1"/>
  <c r="DN175" i="14"/>
  <c r="DN176" i="14" s="1"/>
  <c r="DN177" i="14" s="1"/>
  <c r="DO194" i="14"/>
  <c r="DO198" i="14" s="1"/>
  <c r="DO199" i="14" s="1"/>
  <c r="DO200" i="14" s="1"/>
  <c r="DO201" i="14" s="1"/>
  <c r="DO158" i="14"/>
  <c r="DO162" i="14" s="1"/>
  <c r="DO170" i="14"/>
  <c r="DO174" i="14" s="1"/>
  <c r="DN162" i="14"/>
  <c r="DM163" i="14"/>
  <c r="DP179" i="14"/>
  <c r="DP182" i="14" s="1"/>
  <c r="DP186" i="14" s="1"/>
  <c r="DP187" i="14" s="1"/>
  <c r="DP188" i="14" s="1"/>
  <c r="DP191" i="14"/>
  <c r="DP194" i="14" s="1"/>
  <c r="DP155" i="14"/>
  <c r="DP158" i="14" s="1"/>
  <c r="DP162" i="14" s="1"/>
  <c r="DP163" i="14" s="1"/>
  <c r="DP164" i="14" s="1"/>
  <c r="DP167" i="14"/>
  <c r="DN187" i="14"/>
  <c r="DN188" i="14" s="1"/>
  <c r="DN189" i="14" s="1"/>
  <c r="DM188" i="14"/>
  <c r="DM189" i="14" s="1"/>
  <c r="AJ3" i="35"/>
  <c r="DC58" i="14"/>
  <c r="DC57" i="14"/>
  <c r="DE56" i="14"/>
  <c r="DE61" i="14"/>
  <c r="DE62" i="14"/>
  <c r="DE73" i="14"/>
  <c r="DF59" i="14"/>
  <c r="DB82" i="14"/>
  <c r="DB81" i="14"/>
  <c r="DB80" i="14"/>
  <c r="DB79" i="14"/>
  <c r="EC50" i="2"/>
  <c r="EB51" i="2"/>
  <c r="DD60" i="14"/>
  <c r="DD56" i="14"/>
  <c r="DD61" i="14"/>
  <c r="DD73" i="14"/>
  <c r="DC78" i="14"/>
  <c r="DC74" i="14"/>
  <c r="DC75" i="14"/>
  <c r="DC77" i="14"/>
  <c r="DC76" i="14"/>
  <c r="DL147" i="2"/>
  <c r="DM147" i="2" s="1"/>
  <c r="CE61" i="13"/>
  <c r="CJ61" i="13"/>
  <c r="CU5" i="12"/>
  <c r="CQ5" i="12"/>
  <c r="CR5" i="12" s="1"/>
  <c r="CS5" i="12" s="1"/>
  <c r="DO8" i="14"/>
  <c r="DO9" i="14"/>
  <c r="DO18" i="14"/>
  <c r="DO19" i="14" s="1"/>
  <c r="DO16" i="14"/>
  <c r="DP28" i="14"/>
  <c r="DP36" i="14"/>
  <c r="DP7" i="14"/>
  <c r="DQ27" i="14"/>
  <c r="DQ143" i="14" s="1"/>
  <c r="DQ146" i="14" s="1"/>
  <c r="DQ150" i="14" s="1"/>
  <c r="DQ151" i="14" s="1"/>
  <c r="DQ152" i="14" s="1"/>
  <c r="DP30" i="14"/>
  <c r="CV5" i="14"/>
  <c r="CZ5" i="14"/>
  <c r="EC33" i="14"/>
  <c r="Z20" i="35"/>
  <c r="DO37" i="14"/>
  <c r="DO38" i="14"/>
  <c r="DO7" i="2"/>
  <c r="AP33" i="35" s="1"/>
  <c r="BV7" i="12"/>
  <c r="BV47" i="12"/>
  <c r="BV49" i="12" s="1"/>
  <c r="BV14" i="12"/>
  <c r="BV22" i="12" s="1"/>
  <c r="BV23" i="12" s="1"/>
  <c r="BV45" i="12" s="1"/>
  <c r="BX47" i="13"/>
  <c r="BX48" i="13" s="1"/>
  <c r="BW50" i="13"/>
  <c r="BW52" i="13" s="1"/>
  <c r="BW8" i="12" s="1"/>
  <c r="CQ5" i="2"/>
  <c r="CQ74" i="2" s="1"/>
  <c r="CU5" i="2"/>
  <c r="CU74" i="2" s="1"/>
  <c r="BT8" i="12"/>
  <c r="BU52" i="13"/>
  <c r="EB48" i="12"/>
  <c r="EC33" i="12"/>
  <c r="CN5" i="13"/>
  <c r="CZ5" i="13"/>
  <c r="CV5" i="13"/>
  <c r="CW5" i="13" s="1"/>
  <c r="CX5" i="13" s="1"/>
  <c r="DN14" i="2" l="1"/>
  <c r="BS73" i="2"/>
  <c r="BS4" i="14"/>
  <c r="BS4" i="12"/>
  <c r="BS4" i="13"/>
  <c r="BU73" i="2"/>
  <c r="BU4" i="12"/>
  <c r="BU4" i="14"/>
  <c r="BU4" i="13"/>
  <c r="BZ74" i="2"/>
  <c r="CE5" i="2"/>
  <c r="BY4" i="2"/>
  <c r="BX4" i="2"/>
  <c r="BZ4" i="2"/>
  <c r="BW4" i="2"/>
  <c r="BV4" i="2"/>
  <c r="BR73" i="2"/>
  <c r="BR4" i="12"/>
  <c r="BR4" i="14"/>
  <c r="BR4" i="13"/>
  <c r="BT73" i="2"/>
  <c r="BT4" i="12"/>
  <c r="BT4" i="14"/>
  <c r="BT4" i="13"/>
  <c r="BQ73" i="2"/>
  <c r="BQ4" i="12"/>
  <c r="BQ4" i="14"/>
  <c r="BQ4" i="13"/>
  <c r="CP210" i="35"/>
  <c r="CP216" i="35" s="1"/>
  <c r="DN234" i="14"/>
  <c r="DN225" i="14"/>
  <c r="DN226" i="14" s="1"/>
  <c r="CP211" i="35"/>
  <c r="CP217" i="35" s="1"/>
  <c r="DN223" i="14"/>
  <c r="DN224" i="14" s="1"/>
  <c r="DN236" i="14"/>
  <c r="DM227" i="14"/>
  <c r="DN231" i="14"/>
  <c r="DM232" i="14"/>
  <c r="CN5" i="2"/>
  <c r="CN74" i="2" s="1"/>
  <c r="CM74" i="2"/>
  <c r="DO236" i="14"/>
  <c r="DP237" i="14"/>
  <c r="DP235" i="14"/>
  <c r="DP236" i="14" s="1"/>
  <c r="DP233" i="14"/>
  <c r="DP234" i="14" s="1"/>
  <c r="DO234" i="14"/>
  <c r="DO238" i="14"/>
  <c r="DO231" i="14"/>
  <c r="DN8" i="2"/>
  <c r="DP153" i="14"/>
  <c r="DP165" i="14"/>
  <c r="DP189" i="14"/>
  <c r="DM164" i="14"/>
  <c r="DM165" i="14" s="1"/>
  <c r="DN163" i="14"/>
  <c r="DN164" i="14" s="1"/>
  <c r="DN165" i="14" s="1"/>
  <c r="DP198" i="14"/>
  <c r="DP199" i="14" s="1"/>
  <c r="DP200" i="14" s="1"/>
  <c r="DP201" i="14" s="1"/>
  <c r="DP170" i="14"/>
  <c r="DP174" i="14" s="1"/>
  <c r="DP175" i="14" s="1"/>
  <c r="DP176" i="14" s="1"/>
  <c r="DP177" i="14" s="1"/>
  <c r="DO175" i="14"/>
  <c r="DO176" i="14" s="1"/>
  <c r="DO177" i="14" s="1"/>
  <c r="DO163" i="14"/>
  <c r="DO164" i="14" s="1"/>
  <c r="DO165" i="14" s="1"/>
  <c r="DQ179" i="14"/>
  <c r="DQ182" i="14" s="1"/>
  <c r="DQ186" i="14" s="1"/>
  <c r="DQ187" i="14" s="1"/>
  <c r="DQ188" i="14" s="1"/>
  <c r="DQ191" i="14"/>
  <c r="DQ194" i="14" s="1"/>
  <c r="DQ167" i="14"/>
  <c r="DQ155" i="14"/>
  <c r="DQ158" i="14" s="1"/>
  <c r="DD58" i="14"/>
  <c r="AK3" i="35"/>
  <c r="DE57" i="14"/>
  <c r="DE58" i="14"/>
  <c r="DN147" i="2"/>
  <c r="DO147" i="2" s="1"/>
  <c r="DP147" i="2" s="1"/>
  <c r="DQ147" i="2" s="1"/>
  <c r="DR147" i="2" s="1"/>
  <c r="DF56" i="14"/>
  <c r="DF62" i="14"/>
  <c r="DF61" i="14"/>
  <c r="DF73" i="14"/>
  <c r="DG59" i="14"/>
  <c r="EB54" i="2"/>
  <c r="EC54" i="2" s="1"/>
  <c r="EC51" i="2"/>
  <c r="DE78" i="14"/>
  <c r="DE77" i="14"/>
  <c r="DE76" i="14"/>
  <c r="DE75" i="14"/>
  <c r="DE74" i="14"/>
  <c r="DC81" i="14"/>
  <c r="DC80" i="14"/>
  <c r="DC82" i="14"/>
  <c r="DC79" i="14"/>
  <c r="DD78" i="14"/>
  <c r="DD75" i="14"/>
  <c r="DD77" i="14"/>
  <c r="DD74" i="14"/>
  <c r="CZ5" i="12"/>
  <c r="CV5" i="12"/>
  <c r="CW5" i="12" s="1"/>
  <c r="CX5" i="12" s="1"/>
  <c r="DP18" i="14"/>
  <c r="DP19" i="14" s="1"/>
  <c r="DP9" i="14"/>
  <c r="DP16" i="14"/>
  <c r="DP17" i="14" s="1"/>
  <c r="DP8" i="14"/>
  <c r="DP37" i="14"/>
  <c r="DP38" i="14"/>
  <c r="DP7" i="2"/>
  <c r="AQ33" i="35" s="1"/>
  <c r="DO8" i="2"/>
  <c r="DO14" i="2"/>
  <c r="DA5" i="14"/>
  <c r="DB5" i="14" s="1"/>
  <c r="DC5" i="14" s="1"/>
  <c r="DE5" i="14"/>
  <c r="CW5" i="14"/>
  <c r="DN15" i="2"/>
  <c r="DN16" i="2" s="1"/>
  <c r="DM24" i="2"/>
  <c r="DN23" i="2"/>
  <c r="DN24" i="2" s="1"/>
  <c r="DO17" i="14"/>
  <c r="DQ7" i="14"/>
  <c r="DQ153" i="14" s="1"/>
  <c r="DQ28" i="14"/>
  <c r="DQ36" i="14"/>
  <c r="DQ30" i="14"/>
  <c r="DR27" i="14"/>
  <c r="DR143" i="14" s="1"/>
  <c r="BY47" i="13"/>
  <c r="BY48" i="13" s="1"/>
  <c r="BX50" i="13"/>
  <c r="BX52" i="13" s="1"/>
  <c r="BX8" i="12" s="1"/>
  <c r="CV5" i="2"/>
  <c r="CZ5" i="2"/>
  <c r="CZ74" i="2" s="1"/>
  <c r="CR5" i="2"/>
  <c r="CR74" i="2" s="1"/>
  <c r="BW14" i="12"/>
  <c r="BW47" i="12"/>
  <c r="BW49" i="12" s="1"/>
  <c r="BW7" i="12"/>
  <c r="BT7" i="12"/>
  <c r="BU7" i="12" s="1"/>
  <c r="BT14" i="12"/>
  <c r="BU8" i="12"/>
  <c r="BT47" i="12"/>
  <c r="EC48" i="12"/>
  <c r="DE5" i="13"/>
  <c r="DA5" i="13"/>
  <c r="BX73" i="2" l="1"/>
  <c r="BX4" i="13"/>
  <c r="BX4" i="14"/>
  <c r="BX4" i="12"/>
  <c r="CE74" i="2"/>
  <c r="CE4" i="2"/>
  <c r="CC4" i="2"/>
  <c r="CA4" i="2"/>
  <c r="CD4" i="2"/>
  <c r="CJ5" i="2"/>
  <c r="CB4" i="2"/>
  <c r="BY73" i="2"/>
  <c r="BY4" i="13"/>
  <c r="BY4" i="14"/>
  <c r="BY4" i="12"/>
  <c r="BV73" i="2"/>
  <c r="BV4" i="14"/>
  <c r="BV4" i="13"/>
  <c r="BV4" i="12"/>
  <c r="CH69" i="35"/>
  <c r="BW73" i="2"/>
  <c r="BW4" i="14"/>
  <c r="BW4" i="13"/>
  <c r="BW4" i="12"/>
  <c r="BZ73" i="2"/>
  <c r="BZ4" i="12"/>
  <c r="BZ4" i="13"/>
  <c r="BZ4" i="14"/>
  <c r="C5" i="45" s="1"/>
  <c r="C27" i="45" s="1"/>
  <c r="C39" i="45" s="1"/>
  <c r="C52" i="45" s="1"/>
  <c r="C56" i="45" s="1"/>
  <c r="CP209" i="35"/>
  <c r="CP215" i="35" s="1"/>
  <c r="DN227" i="14"/>
  <c r="DN228" i="14" s="1"/>
  <c r="DN232" i="14"/>
  <c r="DN239" i="14"/>
  <c r="CW5" i="2"/>
  <c r="CV74" i="2"/>
  <c r="DQ237" i="14"/>
  <c r="DQ235" i="14"/>
  <c r="DQ236" i="14" s="1"/>
  <c r="DQ233" i="14"/>
  <c r="DO239" i="14"/>
  <c r="DO232" i="14"/>
  <c r="DO227" i="14"/>
  <c r="DO228" i="14" s="1"/>
  <c r="DP238" i="14"/>
  <c r="DP231" i="14"/>
  <c r="DR146" i="14"/>
  <c r="DS143" i="14"/>
  <c r="DQ189" i="14"/>
  <c r="DQ198" i="14"/>
  <c r="DQ199" i="14" s="1"/>
  <c r="DQ200" i="14" s="1"/>
  <c r="DQ201" i="14" s="1"/>
  <c r="DQ170" i="14"/>
  <c r="DQ174" i="14" s="1"/>
  <c r="DQ162" i="14"/>
  <c r="DQ163" i="14" s="1"/>
  <c r="DQ164" i="14" s="1"/>
  <c r="DQ165" i="14" s="1"/>
  <c r="DR179" i="14"/>
  <c r="DR191" i="14"/>
  <c r="DR155" i="14"/>
  <c r="DR167" i="14"/>
  <c r="AL3" i="35"/>
  <c r="AM3" i="35" s="1"/>
  <c r="DF58" i="14"/>
  <c r="DF57" i="14"/>
  <c r="DS147" i="2"/>
  <c r="DT147" i="2" s="1"/>
  <c r="DU147" i="2" s="1"/>
  <c r="DG56" i="14"/>
  <c r="DG62" i="14"/>
  <c r="DG61" i="14"/>
  <c r="DG73" i="14"/>
  <c r="DH59" i="14"/>
  <c r="DI59" i="14" s="1"/>
  <c r="DJ60" i="14"/>
  <c r="DJ59" i="14" s="1"/>
  <c r="DF78" i="14"/>
  <c r="DF77" i="14"/>
  <c r="DF74" i="14"/>
  <c r="DF76" i="14"/>
  <c r="DF75" i="14"/>
  <c r="DD82" i="14"/>
  <c r="DD79" i="14"/>
  <c r="DD80" i="14"/>
  <c r="DE80" i="14"/>
  <c r="DE82" i="14"/>
  <c r="DE79" i="14"/>
  <c r="DE81" i="14"/>
  <c r="DE5" i="12"/>
  <c r="DA5" i="12"/>
  <c r="DB5" i="12" s="1"/>
  <c r="DC5" i="12" s="1"/>
  <c r="CX5" i="14"/>
  <c r="AH14" i="35" s="1"/>
  <c r="AB22" i="35"/>
  <c r="DJ5" i="14"/>
  <c r="DF5" i="14"/>
  <c r="DR28" i="14"/>
  <c r="DS28" i="14" s="1"/>
  <c r="DR7" i="14"/>
  <c r="DR36" i="14"/>
  <c r="DR235" i="14" s="1"/>
  <c r="DR236" i="14" s="1"/>
  <c r="DR30" i="14"/>
  <c r="DS27" i="14"/>
  <c r="DQ7" i="2"/>
  <c r="AR33" i="35" s="1"/>
  <c r="DQ37" i="14"/>
  <c r="DQ38" i="14"/>
  <c r="DQ18" i="14"/>
  <c r="DQ19" i="14" s="1"/>
  <c r="DQ8" i="14"/>
  <c r="DQ9" i="14"/>
  <c r="DQ16" i="14"/>
  <c r="DQ17" i="14" s="1"/>
  <c r="DO23" i="2"/>
  <c r="DP8" i="2"/>
  <c r="DP14" i="2"/>
  <c r="BT22" i="12"/>
  <c r="BU22" i="12" s="1"/>
  <c r="BU14" i="12"/>
  <c r="BU71" i="12" s="1"/>
  <c r="CS5" i="2"/>
  <c r="CS74" i="2" s="1"/>
  <c r="BX7" i="12"/>
  <c r="BX14" i="12"/>
  <c r="BX22" i="12" s="1"/>
  <c r="BX23" i="12" s="1"/>
  <c r="BX45" i="12" s="1"/>
  <c r="BX47" i="12"/>
  <c r="BX49" i="12" s="1"/>
  <c r="BZ48" i="13"/>
  <c r="CE47" i="13" s="1"/>
  <c r="BY50" i="13"/>
  <c r="CA47" i="13"/>
  <c r="CA48" i="13" s="1"/>
  <c r="DE5" i="2"/>
  <c r="DE74" i="2" s="1"/>
  <c r="DA5" i="2"/>
  <c r="BW22" i="12"/>
  <c r="BW23" i="12" s="1"/>
  <c r="BW45" i="12" s="1"/>
  <c r="BU47" i="12"/>
  <c r="BT49" i="12"/>
  <c r="BU49" i="12" s="1"/>
  <c r="DB5" i="13"/>
  <c r="DJ5" i="13"/>
  <c r="DF5" i="13"/>
  <c r="DG5" i="13" s="1"/>
  <c r="DH5" i="13" s="1"/>
  <c r="G11" i="37"/>
  <c r="K11" i="37"/>
  <c r="H11" i="37"/>
  <c r="I11" i="37"/>
  <c r="G32" i="37"/>
  <c r="G37" i="37"/>
  <c r="J11" i="37"/>
  <c r="CD73" i="2" l="1"/>
  <c r="CD4" i="13"/>
  <c r="CD4" i="14"/>
  <c r="M148" i="35" s="1"/>
  <c r="CD4" i="12"/>
  <c r="CB73" i="2"/>
  <c r="CB4" i="12"/>
  <c r="CB4" i="13"/>
  <c r="CB4" i="14"/>
  <c r="K148" i="35" s="1"/>
  <c r="CJ74" i="2"/>
  <c r="CI4" i="2"/>
  <c r="CF4" i="2"/>
  <c r="CO5" i="2"/>
  <c r="CJ4" i="2"/>
  <c r="CH4" i="2"/>
  <c r="CG4" i="2"/>
  <c r="CA73" i="2"/>
  <c r="CA4" i="13"/>
  <c r="CA4" i="12"/>
  <c r="CA4" i="14"/>
  <c r="J148" i="35" s="1"/>
  <c r="CC73" i="2"/>
  <c r="CC4" i="13"/>
  <c r="CC4" i="12"/>
  <c r="CC4" i="14"/>
  <c r="L148" i="35" s="1"/>
  <c r="CE73" i="2"/>
  <c r="CE4" i="12"/>
  <c r="CE4" i="14"/>
  <c r="D5" i="45" s="1"/>
  <c r="D27" i="45" s="1"/>
  <c r="D39" i="45" s="1"/>
  <c r="D52" i="45" s="1"/>
  <c r="D56" i="45" s="1"/>
  <c r="CE4" i="13"/>
  <c r="DP239" i="14"/>
  <c r="DS235" i="14"/>
  <c r="CX5" i="2"/>
  <c r="CW74" i="2"/>
  <c r="DB5" i="2"/>
  <c r="DA74" i="2"/>
  <c r="DQ234" i="14"/>
  <c r="DR237" i="14"/>
  <c r="DR233" i="14"/>
  <c r="DR234" i="14" s="1"/>
  <c r="DP232" i="14"/>
  <c r="DP227" i="14"/>
  <c r="DP228" i="14" s="1"/>
  <c r="DQ238" i="14"/>
  <c r="DQ231" i="14"/>
  <c r="AF27" i="35"/>
  <c r="AG26" i="35"/>
  <c r="DR150" i="14"/>
  <c r="DS150" i="14" s="1"/>
  <c r="DS146" i="14"/>
  <c r="DS145" i="14" s="1"/>
  <c r="DR182" i="14"/>
  <c r="DS179" i="14"/>
  <c r="DS180" i="14" s="1"/>
  <c r="DR194" i="14"/>
  <c r="DR198" i="14" s="1"/>
  <c r="DS198" i="14" s="1"/>
  <c r="DS191" i="14"/>
  <c r="DS192" i="14" s="1"/>
  <c r="DS155" i="14"/>
  <c r="DS156" i="14" s="1"/>
  <c r="DR158" i="14"/>
  <c r="DR162" i="14" s="1"/>
  <c r="DS162" i="14" s="1"/>
  <c r="DS167" i="14"/>
  <c r="DS168" i="14" s="1"/>
  <c r="DR170" i="14"/>
  <c r="DR174" i="14" s="1"/>
  <c r="DS174" i="14" s="1"/>
  <c r="DQ175" i="14"/>
  <c r="DQ176" i="14" s="1"/>
  <c r="DQ177" i="14" s="1"/>
  <c r="AF14" i="35"/>
  <c r="AG14" i="35"/>
  <c r="AI14" i="35"/>
  <c r="AN3" i="35"/>
  <c r="DG58" i="14"/>
  <c r="DG57" i="14"/>
  <c r="U12" i="37"/>
  <c r="DF82" i="14"/>
  <c r="DF79" i="14"/>
  <c r="DF80" i="14"/>
  <c r="DF81" i="14"/>
  <c r="DK60" i="14"/>
  <c r="DK59" i="14" s="1"/>
  <c r="DH56" i="14"/>
  <c r="DH62" i="14"/>
  <c r="DH61" i="14"/>
  <c r="DH73" i="14"/>
  <c r="DI60" i="14"/>
  <c r="DI56" i="14"/>
  <c r="DI61" i="14"/>
  <c r="DI73" i="14"/>
  <c r="DG78" i="14"/>
  <c r="DG75" i="14"/>
  <c r="DG74" i="14"/>
  <c r="DG77" i="14"/>
  <c r="DG76" i="14"/>
  <c r="DV147" i="2"/>
  <c r="DW147" i="2" s="1"/>
  <c r="AF18" i="35"/>
  <c r="AE27" i="35"/>
  <c r="DG5" i="14"/>
  <c r="DP23" i="2"/>
  <c r="DP24" i="2" s="1"/>
  <c r="DJ5" i="12"/>
  <c r="DF5" i="12"/>
  <c r="DG5" i="12" s="1"/>
  <c r="DH5" i="12" s="1"/>
  <c r="DS36" i="14"/>
  <c r="DS237" i="14" s="1"/>
  <c r="DR37" i="14"/>
  <c r="DR38" i="14"/>
  <c r="DR7" i="2"/>
  <c r="AS33" i="35" s="1"/>
  <c r="AI22" i="35"/>
  <c r="AH27" i="35"/>
  <c r="DO24" i="2"/>
  <c r="AH22" i="35"/>
  <c r="AD27" i="35"/>
  <c r="AG19" i="35"/>
  <c r="AD26" i="35"/>
  <c r="AH19" i="35"/>
  <c r="AI31" i="35"/>
  <c r="AI20" i="35"/>
  <c r="AG22" i="35"/>
  <c r="DQ8" i="2"/>
  <c r="DQ14" i="2"/>
  <c r="DQ23" i="2" s="1"/>
  <c r="DQ24" i="2" s="1"/>
  <c r="AF20" i="35"/>
  <c r="AH26" i="35"/>
  <c r="DK5" i="14"/>
  <c r="DO5" i="14"/>
  <c r="DR16" i="14"/>
  <c r="DR18" i="14"/>
  <c r="DR9" i="14"/>
  <c r="DR8" i="14"/>
  <c r="DS7" i="14"/>
  <c r="DS9" i="14" s="1"/>
  <c r="AE26" i="35"/>
  <c r="AG27" i="35"/>
  <c r="AF19" i="35"/>
  <c r="AI19" i="35"/>
  <c r="AH15" i="35"/>
  <c r="AG18" i="35"/>
  <c r="AG20" i="35"/>
  <c r="AE19" i="35"/>
  <c r="AI27" i="35"/>
  <c r="AF22" i="35"/>
  <c r="AG15" i="35"/>
  <c r="AD22" i="35"/>
  <c r="AI18" i="35"/>
  <c r="AH31" i="35"/>
  <c r="AH18" i="35"/>
  <c r="AI15" i="35"/>
  <c r="AE20" i="35"/>
  <c r="AH20" i="35"/>
  <c r="AF26" i="35"/>
  <c r="DS30" i="14"/>
  <c r="P13" i="26"/>
  <c r="H13" i="26" s="1"/>
  <c r="DT27" i="14"/>
  <c r="DT143" i="14" s="1"/>
  <c r="DT146" i="14" s="1"/>
  <c r="DT150" i="14" s="1"/>
  <c r="DT151" i="14" s="1"/>
  <c r="DT152" i="14" s="1"/>
  <c r="AF15" i="35"/>
  <c r="AI26" i="35"/>
  <c r="AE18" i="35"/>
  <c r="CA50" i="13"/>
  <c r="CA52" i="13" s="1"/>
  <c r="CA8" i="12" s="1"/>
  <c r="CB47" i="13"/>
  <c r="CB48" i="13" s="1"/>
  <c r="DJ5" i="2"/>
  <c r="DJ74" i="2" s="1"/>
  <c r="DF5" i="2"/>
  <c r="DF74" i="2" s="1"/>
  <c r="BT23" i="12"/>
  <c r="BU23" i="12" s="1"/>
  <c r="BU69" i="12" s="1"/>
  <c r="BU66" i="12"/>
  <c r="BU68" i="12"/>
  <c r="BY52" i="13"/>
  <c r="BZ50" i="13"/>
  <c r="DO5" i="13"/>
  <c r="DK5" i="13"/>
  <c r="DL5" i="13" s="1"/>
  <c r="DM5" i="13" s="1"/>
  <c r="DC5" i="13"/>
  <c r="I32" i="37"/>
  <c r="N32" i="37"/>
  <c r="J37" i="37"/>
  <c r="H32" i="37"/>
  <c r="L31" i="42"/>
  <c r="K29" i="42"/>
  <c r="S37" i="37"/>
  <c r="O37" i="37"/>
  <c r="M32" i="37"/>
  <c r="K32" i="37"/>
  <c r="L37" i="37"/>
  <c r="L32" i="37"/>
  <c r="K37" i="37"/>
  <c r="O32" i="37"/>
  <c r="Q37" i="37"/>
  <c r="L11" i="37"/>
  <c r="S32" i="37"/>
  <c r="R31" i="42"/>
  <c r="K33" i="42"/>
  <c r="J32" i="37"/>
  <c r="Q32" i="37"/>
  <c r="V31" i="42"/>
  <c r="Q11" i="37"/>
  <c r="I37" i="37"/>
  <c r="H37" i="37"/>
  <c r="K31" i="42"/>
  <c r="N37" i="37"/>
  <c r="M37" i="37"/>
  <c r="DS233" i="14" l="1"/>
  <c r="CQ210" i="35" s="1"/>
  <c r="CO74" i="2"/>
  <c r="CM4" i="2"/>
  <c r="CT5" i="2"/>
  <c r="CK4" i="2"/>
  <c r="CN4" i="2"/>
  <c r="CL4" i="2"/>
  <c r="CO4" i="2"/>
  <c r="CF73" i="2"/>
  <c r="CF4" i="12"/>
  <c r="CF4" i="14"/>
  <c r="N148" i="35" s="1"/>
  <c r="N154" i="35" s="1"/>
  <c r="CF4" i="13"/>
  <c r="CI73" i="2"/>
  <c r="CI4" i="13"/>
  <c r="CI4" i="12"/>
  <c r="CI4" i="14"/>
  <c r="AC44" i="35"/>
  <c r="CG73" i="2"/>
  <c r="CG4" i="14"/>
  <c r="O148" i="35" s="1"/>
  <c r="O154" i="35" s="1"/>
  <c r="CG4" i="13"/>
  <c r="CG4" i="12"/>
  <c r="CH73" i="2"/>
  <c r="CH4" i="13"/>
  <c r="CH4" i="12"/>
  <c r="CH4" i="14"/>
  <c r="CJ73" i="2"/>
  <c r="CJ4" i="12"/>
  <c r="CJ4" i="14"/>
  <c r="E5" i="45" s="1"/>
  <c r="E27" i="45" s="1"/>
  <c r="E39" i="45" s="1"/>
  <c r="E52" i="45" s="1"/>
  <c r="E56" i="45" s="1"/>
  <c r="CJ4" i="13"/>
  <c r="DC5" i="2"/>
  <c r="DB74" i="2"/>
  <c r="DQ239" i="14"/>
  <c r="CX74" i="2"/>
  <c r="DS236" i="14"/>
  <c r="CQ211" i="35"/>
  <c r="DS223" i="14"/>
  <c r="DS224" i="14" s="1"/>
  <c r="DR238" i="14"/>
  <c r="DR231" i="14"/>
  <c r="DS231" i="14" s="1"/>
  <c r="DS238" i="14"/>
  <c r="CQ212" i="35"/>
  <c r="CQ218" i="35" s="1"/>
  <c r="DQ227" i="14"/>
  <c r="DQ228" i="14" s="1"/>
  <c r="DQ232" i="14"/>
  <c r="H15" i="26"/>
  <c r="DR151" i="14"/>
  <c r="DS151" i="14" s="1"/>
  <c r="DS152" i="14" s="1"/>
  <c r="DS153" i="14" s="1"/>
  <c r="DR186" i="14"/>
  <c r="DS182" i="14"/>
  <c r="DS181" i="14" s="1"/>
  <c r="DR199" i="14"/>
  <c r="DS194" i="14"/>
  <c r="DS193" i="14" s="1"/>
  <c r="DR163" i="14"/>
  <c r="DS158" i="14"/>
  <c r="DS157" i="14" s="1"/>
  <c r="DS170" i="14"/>
  <c r="DS169" i="14" s="1"/>
  <c r="DR175" i="14"/>
  <c r="DT179" i="14"/>
  <c r="DT182" i="14" s="1"/>
  <c r="DT186" i="14" s="1"/>
  <c r="DT187" i="14" s="1"/>
  <c r="DT188" i="14" s="1"/>
  <c r="DT155" i="14"/>
  <c r="DT191" i="14"/>
  <c r="DT167" i="14"/>
  <c r="AJ31" i="35"/>
  <c r="AJ14" i="35"/>
  <c r="DI58" i="14"/>
  <c r="AO3" i="35"/>
  <c r="AJ22" i="35"/>
  <c r="AJ27" i="35"/>
  <c r="DH58" i="14"/>
  <c r="DH57" i="14"/>
  <c r="L12" i="37"/>
  <c r="AB12" i="37"/>
  <c r="Q12" i="37"/>
  <c r="DX147" i="2"/>
  <c r="DY147" i="2" s="1"/>
  <c r="DZ147" i="2" s="1"/>
  <c r="EA147" i="2" s="1"/>
  <c r="EB147" i="2" s="1"/>
  <c r="EC147" i="2" s="1"/>
  <c r="DL60" i="14"/>
  <c r="DL59" i="14" s="1"/>
  <c r="DJ56" i="14"/>
  <c r="DO56" i="14" s="1"/>
  <c r="DJ61" i="14"/>
  <c r="DJ62" i="14"/>
  <c r="DJ73" i="14"/>
  <c r="DG81" i="14"/>
  <c r="DG79" i="14"/>
  <c r="DG80" i="14"/>
  <c r="DG82" i="14"/>
  <c r="DH78" i="14"/>
  <c r="DI78" i="14" s="1"/>
  <c r="DH75" i="14"/>
  <c r="DH76" i="14"/>
  <c r="DH74" i="14"/>
  <c r="DH77" i="14"/>
  <c r="AJ26" i="35"/>
  <c r="DI77" i="14"/>
  <c r="DI75" i="14"/>
  <c r="DI74" i="14"/>
  <c r="AJ15" i="35"/>
  <c r="AJ18" i="35"/>
  <c r="DH5" i="14"/>
  <c r="AJ19" i="35"/>
  <c r="AJ20" i="35"/>
  <c r="DK5" i="12"/>
  <c r="DL5" i="12" s="1"/>
  <c r="DM5" i="12" s="1"/>
  <c r="DO5" i="12"/>
  <c r="AI21" i="35"/>
  <c r="AG21" i="35"/>
  <c r="AH21" i="35"/>
  <c r="DL5" i="14"/>
  <c r="DT5" i="14"/>
  <c r="DP5" i="14"/>
  <c r="DQ5" i="14" s="1"/>
  <c r="DR5" i="14" s="1"/>
  <c r="DT28" i="14"/>
  <c r="DT30" i="14"/>
  <c r="DU27" i="14"/>
  <c r="DT36" i="14"/>
  <c r="DT7" i="14"/>
  <c r="DT153" i="14" s="1"/>
  <c r="DS7" i="2"/>
  <c r="CQ33" i="35" s="1"/>
  <c r="CQ183" i="35" s="1"/>
  <c r="DR14" i="2"/>
  <c r="DS14" i="2" s="1"/>
  <c r="DR8" i="2"/>
  <c r="I13" i="26"/>
  <c r="J13" i="26"/>
  <c r="G13" i="26"/>
  <c r="F13" i="26"/>
  <c r="DS18" i="14"/>
  <c r="DS19" i="14" s="1"/>
  <c r="DR19" i="14"/>
  <c r="AF21" i="35"/>
  <c r="DR17" i="14"/>
  <c r="DS16" i="14"/>
  <c r="DS17" i="14" s="1"/>
  <c r="DS38" i="14"/>
  <c r="CB50" i="13"/>
  <c r="CB52" i="13" s="1"/>
  <c r="CB8" i="12" s="1"/>
  <c r="CC47" i="13"/>
  <c r="CC48" i="13" s="1"/>
  <c r="CA7" i="12"/>
  <c r="CA14" i="12"/>
  <c r="CA22" i="12" s="1"/>
  <c r="CA23" i="12" s="1"/>
  <c r="CA45" i="12" s="1"/>
  <c r="CA47" i="12"/>
  <c r="CA49" i="12" s="1"/>
  <c r="DG5" i="2"/>
  <c r="DG74" i="2" s="1"/>
  <c r="BZ52" i="13"/>
  <c r="BY8" i="12"/>
  <c r="DO5" i="2"/>
  <c r="DO74" i="2" s="1"/>
  <c r="DK5" i="2"/>
  <c r="Q38" i="37"/>
  <c r="AH33" i="37"/>
  <c r="M33" i="37"/>
  <c r="U38" i="37"/>
  <c r="AN34" i="37"/>
  <c r="AM35" i="37"/>
  <c r="AP34" i="37"/>
  <c r="U33" i="37"/>
  <c r="Q35" i="37"/>
  <c r="S35" i="37"/>
  <c r="V34" i="37"/>
  <c r="T34" i="37"/>
  <c r="X34" i="37"/>
  <c r="X37" i="37"/>
  <c r="S38" i="37"/>
  <c r="T37" i="37"/>
  <c r="V37" i="37"/>
  <c r="AB38" i="37"/>
  <c r="L38" i="37"/>
  <c r="M35" i="37"/>
  <c r="AH35" i="37"/>
  <c r="U35" i="37"/>
  <c r="AC34" i="37"/>
  <c r="AA34" i="37"/>
  <c r="Z35" i="37"/>
  <c r="AV34" i="37"/>
  <c r="AS35" i="37"/>
  <c r="AT34" i="37"/>
  <c r="AO35" i="37"/>
  <c r="N35" i="37"/>
  <c r="O38" i="37"/>
  <c r="O35" i="37"/>
  <c r="L35" i="37"/>
  <c r="AB35" i="37"/>
  <c r="L33" i="37"/>
  <c r="AB33" i="37"/>
  <c r="N38" i="37"/>
  <c r="AO38" i="37"/>
  <c r="O33" i="37"/>
  <c r="T32" i="37"/>
  <c r="V32" i="37"/>
  <c r="X32" i="37"/>
  <c r="S33" i="37"/>
  <c r="Q33" i="37"/>
  <c r="AO33" i="37"/>
  <c r="N33" i="37"/>
  <c r="AI34" i="37"/>
  <c r="AG34" i="37"/>
  <c r="AF35" i="37"/>
  <c r="AH38" i="37"/>
  <c r="M38" i="37"/>
  <c r="DT5" i="13"/>
  <c r="DP5" i="13"/>
  <c r="O11" i="37"/>
  <c r="S11" i="37"/>
  <c r="N11" i="37"/>
  <c r="Z11" i="37"/>
  <c r="M11" i="37"/>
  <c r="DS234" i="14" l="1"/>
  <c r="DS239" i="14"/>
  <c r="DS225" i="14"/>
  <c r="DS226" i="14" s="1"/>
  <c r="CO73" i="2"/>
  <c r="CO4" i="12"/>
  <c r="CO4" i="13"/>
  <c r="CO4" i="14"/>
  <c r="F5" i="45" s="1"/>
  <c r="F27" i="45" s="1"/>
  <c r="F39" i="45" s="1"/>
  <c r="F52" i="45" s="1"/>
  <c r="F56" i="45" s="1"/>
  <c r="CL73" i="2"/>
  <c r="CL4" i="12"/>
  <c r="CL4" i="14"/>
  <c r="CL4" i="13"/>
  <c r="P79" i="35"/>
  <c r="P148" i="35"/>
  <c r="P154" i="35" s="1"/>
  <c r="CK73" i="2"/>
  <c r="CK4" i="14"/>
  <c r="CK4" i="13"/>
  <c r="CK4" i="12"/>
  <c r="CT74" i="2"/>
  <c r="CP4" i="2"/>
  <c r="CY5" i="2"/>
  <c r="AE69" i="35" s="1"/>
  <c r="CQ4" i="2"/>
  <c r="CS4" i="2"/>
  <c r="CR4" i="2"/>
  <c r="CT4" i="2"/>
  <c r="AE44" i="35"/>
  <c r="AE58" i="35"/>
  <c r="AF42" i="35"/>
  <c r="AD42" i="35"/>
  <c r="AD72" i="35"/>
  <c r="AF59" i="35"/>
  <c r="AD66" i="35"/>
  <c r="AE42" i="35"/>
  <c r="AF48" i="35"/>
  <c r="AE63" i="35"/>
  <c r="AE61" i="35"/>
  <c r="AC69" i="35"/>
  <c r="AF69" i="35"/>
  <c r="AF58" i="35"/>
  <c r="AF41" i="35"/>
  <c r="AF72" i="35"/>
  <c r="CN73" i="2"/>
  <c r="CN4" i="13"/>
  <c r="CN4" i="14"/>
  <c r="CN4" i="12"/>
  <c r="CM73" i="2"/>
  <c r="CM4" i="13"/>
  <c r="CM4" i="14"/>
  <c r="CM4" i="12"/>
  <c r="Q79" i="35"/>
  <c r="Q148" i="35"/>
  <c r="Q154" i="35" s="1"/>
  <c r="DC74" i="2"/>
  <c r="AG70" i="35"/>
  <c r="AG49" i="35"/>
  <c r="AG62" i="35"/>
  <c r="AG48" i="35"/>
  <c r="AG65" i="35"/>
  <c r="AG59" i="35"/>
  <c r="AG58" i="35"/>
  <c r="AG50" i="35"/>
  <c r="AG54" i="35"/>
  <c r="AG63" i="35"/>
  <c r="AG72" i="35"/>
  <c r="AG43" i="35"/>
  <c r="AG61" i="35"/>
  <c r="AG41" i="35"/>
  <c r="AG44" i="35"/>
  <c r="AG42" i="35"/>
  <c r="AG60" i="35"/>
  <c r="AG69" i="35"/>
  <c r="CQ216" i="35"/>
  <c r="DL5" i="2"/>
  <c r="DK74" i="2"/>
  <c r="DS232" i="14"/>
  <c r="DS227" i="14"/>
  <c r="DS228" i="14" s="1"/>
  <c r="CQ209" i="35"/>
  <c r="CQ215" i="35" s="1"/>
  <c r="CQ217" i="35"/>
  <c r="DR239" i="14"/>
  <c r="DR232" i="14"/>
  <c r="DR227" i="14"/>
  <c r="DR228" i="14" s="1"/>
  <c r="DT237" i="14"/>
  <c r="DT233" i="14"/>
  <c r="DT235" i="14"/>
  <c r="DU143" i="14"/>
  <c r="DU146" i="14" s="1"/>
  <c r="DU150" i="14" s="1"/>
  <c r="DU7" i="14"/>
  <c r="F14" i="26"/>
  <c r="F15" i="26" s="1"/>
  <c r="J14" i="26"/>
  <c r="J15" i="26" s="1"/>
  <c r="G14" i="26"/>
  <c r="G15" i="26" s="1"/>
  <c r="I14" i="26"/>
  <c r="I15" i="26" s="1"/>
  <c r="DR152" i="14"/>
  <c r="DR153" i="14" s="1"/>
  <c r="DS186" i="14"/>
  <c r="DR187" i="14"/>
  <c r="DS199" i="14"/>
  <c r="DS200" i="14" s="1"/>
  <c r="DS201" i="14" s="1"/>
  <c r="DR200" i="14"/>
  <c r="DR201" i="14" s="1"/>
  <c r="DR164" i="14"/>
  <c r="DR165" i="14" s="1"/>
  <c r="DS163" i="14"/>
  <c r="DS164" i="14" s="1"/>
  <c r="DS165" i="14" s="1"/>
  <c r="DS175" i="14"/>
  <c r="DS176" i="14" s="1"/>
  <c r="DS177" i="14" s="1"/>
  <c r="DR176" i="14"/>
  <c r="DR177" i="14" s="1"/>
  <c r="DT158" i="14"/>
  <c r="DT162" i="14" s="1"/>
  <c r="DT194" i="14"/>
  <c r="DT198" i="14" s="1"/>
  <c r="DT170" i="14"/>
  <c r="DT174" i="14" s="1"/>
  <c r="DT189" i="14"/>
  <c r="DU179" i="14"/>
  <c r="DU182" i="14" s="1"/>
  <c r="DU186" i="14" s="1"/>
  <c r="DU187" i="14" s="1"/>
  <c r="DU188" i="14" s="1"/>
  <c r="DU191" i="14"/>
  <c r="DU155" i="14"/>
  <c r="DU167" i="14"/>
  <c r="AL14" i="35"/>
  <c r="AM22" i="35"/>
  <c r="AK14" i="35"/>
  <c r="AP3" i="35"/>
  <c r="AJ21" i="35"/>
  <c r="AL20" i="35"/>
  <c r="DJ57" i="14"/>
  <c r="DJ58" i="14"/>
  <c r="AC11" i="37"/>
  <c r="Z12" i="37"/>
  <c r="AA11" i="37"/>
  <c r="T11" i="37"/>
  <c r="V11" i="37"/>
  <c r="S12" i="37"/>
  <c r="N12" i="37"/>
  <c r="O12" i="37"/>
  <c r="AU12" i="37"/>
  <c r="M12" i="37"/>
  <c r="DK56" i="14"/>
  <c r="DP56" i="14" s="1"/>
  <c r="DK61" i="14"/>
  <c r="DK62" i="14"/>
  <c r="DK73" i="14"/>
  <c r="AM31" i="35"/>
  <c r="AM19" i="35"/>
  <c r="AM15" i="35"/>
  <c r="AL18" i="35"/>
  <c r="DJ78" i="14"/>
  <c r="DJ74" i="14"/>
  <c r="AL27" i="35" s="1"/>
  <c r="DJ77" i="14"/>
  <c r="DJ75" i="14"/>
  <c r="DJ76" i="14"/>
  <c r="DH82" i="14"/>
  <c r="DH81" i="14"/>
  <c r="DH80" i="14"/>
  <c r="DH79" i="14"/>
  <c r="DL56" i="14"/>
  <c r="DL61" i="14"/>
  <c r="DL62" i="14"/>
  <c r="DL73" i="14"/>
  <c r="DL78" i="14" s="1"/>
  <c r="AM18" i="35"/>
  <c r="AL19" i="35"/>
  <c r="DI82" i="14"/>
  <c r="DI80" i="14"/>
  <c r="DI79" i="14"/>
  <c r="AK20" i="35"/>
  <c r="AM26" i="35"/>
  <c r="AK27" i="35"/>
  <c r="AL31" i="35"/>
  <c r="AL26" i="35"/>
  <c r="AK26" i="35"/>
  <c r="AL15" i="35"/>
  <c r="AK18" i="35"/>
  <c r="AK31" i="35"/>
  <c r="AK22" i="35"/>
  <c r="AK15" i="35"/>
  <c r="AL22" i="35"/>
  <c r="AK19" i="35"/>
  <c r="DR23" i="2"/>
  <c r="DT5" i="12"/>
  <c r="DP5" i="12"/>
  <c r="DK25" i="14"/>
  <c r="DM5" i="14"/>
  <c r="AN22" i="35"/>
  <c r="AN31" i="35"/>
  <c r="DS8" i="2"/>
  <c r="DY5" i="14"/>
  <c r="DU5" i="14"/>
  <c r="DV5" i="14" s="1"/>
  <c r="DW5" i="14" s="1"/>
  <c r="DT16" i="14"/>
  <c r="DT8" i="14"/>
  <c r="DT18" i="14"/>
  <c r="DT19" i="14" s="1"/>
  <c r="DT9" i="14"/>
  <c r="DT38" i="14"/>
  <c r="DT37" i="14"/>
  <c r="DT7" i="2"/>
  <c r="AT33" i="35" s="1"/>
  <c r="DU28" i="14"/>
  <c r="DU30" i="14"/>
  <c r="DV27" i="14"/>
  <c r="DV143" i="14" s="1"/>
  <c r="DV146" i="14" s="1"/>
  <c r="DV150" i="14" s="1"/>
  <c r="DV151" i="14" s="1"/>
  <c r="DV152" i="14" s="1"/>
  <c r="DU36" i="14"/>
  <c r="DS15" i="2"/>
  <c r="DS16" i="2" s="1"/>
  <c r="BZ8" i="12"/>
  <c r="BY7" i="12"/>
  <c r="BZ7" i="12" s="1"/>
  <c r="BY14" i="12"/>
  <c r="BY47" i="12"/>
  <c r="CC50" i="13"/>
  <c r="CC52" i="13" s="1"/>
  <c r="CC8" i="12" s="1"/>
  <c r="CD47" i="13"/>
  <c r="CD48" i="13" s="1"/>
  <c r="CB7" i="12"/>
  <c r="CB47" i="12"/>
  <c r="CB49" i="12" s="1"/>
  <c r="CB14" i="12"/>
  <c r="CB22" i="12" s="1"/>
  <c r="CB23" i="12" s="1"/>
  <c r="CB45" i="12" s="1"/>
  <c r="DH5" i="2"/>
  <c r="DP5" i="2"/>
  <c r="DT5" i="2"/>
  <c r="DT74" i="2" s="1"/>
  <c r="BB34" i="37"/>
  <c r="AZ34" i="37"/>
  <c r="AY35" i="37"/>
  <c r="DQ5" i="13"/>
  <c r="DU5" i="13"/>
  <c r="DV5" i="13" s="1"/>
  <c r="DW5" i="13" s="1"/>
  <c r="DY5" i="13"/>
  <c r="DZ5" i="13" s="1"/>
  <c r="EA5" i="13" s="1"/>
  <c r="EB5" i="13" s="1"/>
  <c r="G17" i="37"/>
  <c r="G31" i="37"/>
  <c r="G15" i="37"/>
  <c r="H27" i="37"/>
  <c r="H17" i="37"/>
  <c r="H29" i="37"/>
  <c r="H31" i="37"/>
  <c r="G13" i="37"/>
  <c r="AF11" i="37"/>
  <c r="H19" i="37"/>
  <c r="G27" i="37"/>
  <c r="G19" i="37"/>
  <c r="H13" i="37"/>
  <c r="G25" i="37"/>
  <c r="H25" i="37"/>
  <c r="H15" i="37"/>
  <c r="G29" i="37"/>
  <c r="AG53" i="35" l="1"/>
  <c r="AE49" i="35"/>
  <c r="AG40" i="35"/>
  <c r="AG66" i="35"/>
  <c r="AE64" i="35"/>
  <c r="AE66" i="35"/>
  <c r="AG45" i="35"/>
  <c r="AG64" i="35"/>
  <c r="AF50" i="35"/>
  <c r="G26" i="37"/>
  <c r="G39" i="37"/>
  <c r="G24" i="37"/>
  <c r="G36" i="37"/>
  <c r="G28" i="37"/>
  <c r="G21" i="37"/>
  <c r="H26" i="37"/>
  <c r="H24" i="37"/>
  <c r="H36" i="37"/>
  <c r="H39" i="37"/>
  <c r="H21" i="37"/>
  <c r="H28" i="37"/>
  <c r="CP73" i="2"/>
  <c r="CP4" i="12"/>
  <c r="CP4" i="14"/>
  <c r="CP4" i="13"/>
  <c r="U148" i="35"/>
  <c r="U154" i="35" s="1"/>
  <c r="U79" i="35"/>
  <c r="CT73" i="2"/>
  <c r="CT4" i="12"/>
  <c r="CT4" i="14"/>
  <c r="G5" i="45" s="1"/>
  <c r="G27" i="45" s="1"/>
  <c r="G39" i="45" s="1"/>
  <c r="G52" i="45" s="1"/>
  <c r="G56" i="45" s="1"/>
  <c r="CT4" i="13"/>
  <c r="CR73" i="2"/>
  <c r="CR4" i="14"/>
  <c r="CR4" i="12"/>
  <c r="CR4" i="13"/>
  <c r="CS73" i="2"/>
  <c r="CS4" i="12"/>
  <c r="CS4" i="13"/>
  <c r="CS4" i="14"/>
  <c r="S79" i="35"/>
  <c r="S148" i="35"/>
  <c r="S154" i="35" s="1"/>
  <c r="AF73" i="35"/>
  <c r="CQ73" i="2"/>
  <c r="CQ4" i="13"/>
  <c r="CQ4" i="14"/>
  <c r="CQ4" i="12"/>
  <c r="CY74" i="2"/>
  <c r="CX4" i="2"/>
  <c r="CV4" i="2"/>
  <c r="CY4" i="2"/>
  <c r="CU4" i="2"/>
  <c r="CW4" i="2"/>
  <c r="DD5" i="2"/>
  <c r="AI70" i="35" s="1"/>
  <c r="AD49" i="35"/>
  <c r="AE48" i="35"/>
  <c r="AF43" i="35"/>
  <c r="AE40" i="35"/>
  <c r="AF40" i="35"/>
  <c r="AE59" i="35"/>
  <c r="AF44" i="35"/>
  <c r="AE45" i="35"/>
  <c r="AF60" i="35"/>
  <c r="AF65" i="35"/>
  <c r="AF53" i="35"/>
  <c r="AE53" i="35"/>
  <c r="AF64" i="35"/>
  <c r="AF61" i="35"/>
  <c r="AF62" i="35"/>
  <c r="AD59" i="35"/>
  <c r="AD45" i="35"/>
  <c r="AD44" i="35"/>
  <c r="AF70" i="35"/>
  <c r="AF66" i="35"/>
  <c r="AF63" i="35"/>
  <c r="AD58" i="35"/>
  <c r="AE72" i="35"/>
  <c r="AE73" i="35" s="1"/>
  <c r="AF45" i="35"/>
  <c r="AD65" i="35"/>
  <c r="AE41" i="35"/>
  <c r="AD43" i="35"/>
  <c r="AI45" i="35"/>
  <c r="AI63" i="35"/>
  <c r="AE54" i="35"/>
  <c r="AF54" i="35"/>
  <c r="AF49" i="35"/>
  <c r="AE43" i="35"/>
  <c r="AD70" i="35"/>
  <c r="T79" i="35"/>
  <c r="T148" i="35"/>
  <c r="T154" i="35" s="1"/>
  <c r="R79" i="35"/>
  <c r="R148" i="35"/>
  <c r="R154" i="35" s="1"/>
  <c r="DH74" i="2"/>
  <c r="DQ5" i="2"/>
  <c r="DP74" i="2"/>
  <c r="AG73" i="35"/>
  <c r="DM5" i="2"/>
  <c r="DL74" i="2"/>
  <c r="DT236" i="14"/>
  <c r="DU237" i="14"/>
  <c r="DU233" i="14"/>
  <c r="DU234" i="14" s="1"/>
  <c r="DU235" i="14"/>
  <c r="DU236" i="14" s="1"/>
  <c r="DT234" i="14"/>
  <c r="DT238" i="14"/>
  <c r="DT231" i="14"/>
  <c r="DT239" i="14" s="1"/>
  <c r="DM56" i="14"/>
  <c r="DO57" i="14" s="1"/>
  <c r="DQ56" i="14"/>
  <c r="DL58" i="14"/>
  <c r="DU151" i="14"/>
  <c r="DU152" i="14" s="1"/>
  <c r="DU153" i="14" s="1"/>
  <c r="DR188" i="14"/>
  <c r="DR189" i="14" s="1"/>
  <c r="DS187" i="14"/>
  <c r="DS188" i="14" s="1"/>
  <c r="DS189" i="14" s="1"/>
  <c r="DT163" i="14"/>
  <c r="DT164" i="14" s="1"/>
  <c r="DT165" i="14" s="1"/>
  <c r="DU194" i="14"/>
  <c r="DU198" i="14" s="1"/>
  <c r="DU158" i="14"/>
  <c r="DU162" i="14" s="1"/>
  <c r="DU170" i="14"/>
  <c r="DU174" i="14" s="1"/>
  <c r="DT199" i="14"/>
  <c r="DT200" i="14" s="1"/>
  <c r="DT201" i="14" s="1"/>
  <c r="DT175" i="14"/>
  <c r="DT176" i="14" s="1"/>
  <c r="DT177" i="14" s="1"/>
  <c r="DU189" i="14"/>
  <c r="DV179" i="14"/>
  <c r="DV182" i="14" s="1"/>
  <c r="DV186" i="14" s="1"/>
  <c r="DV187" i="14" s="1"/>
  <c r="DV188" i="14" s="1"/>
  <c r="DV191" i="14"/>
  <c r="DV194" i="14" s="1"/>
  <c r="DV198" i="14" s="1"/>
  <c r="DV199" i="14" s="1"/>
  <c r="DV200" i="14" s="1"/>
  <c r="DV155" i="14"/>
  <c r="DV167" i="14"/>
  <c r="DK58" i="14"/>
  <c r="AM14" i="35"/>
  <c r="AN14" i="35"/>
  <c r="AP14" i="35"/>
  <c r="AQ3" i="35"/>
  <c r="AR3" i="35" s="1"/>
  <c r="AL21" i="35"/>
  <c r="AK43" i="35"/>
  <c r="AK40" i="35"/>
  <c r="AK21" i="35"/>
  <c r="AG11" i="37"/>
  <c r="AF12" i="37"/>
  <c r="DJ82" i="14"/>
  <c r="DJ80" i="14"/>
  <c r="DJ79" i="14"/>
  <c r="DJ81" i="14"/>
  <c r="DK78" i="14"/>
  <c r="DL81" i="14" s="1"/>
  <c r="DK77" i="14"/>
  <c r="DK74" i="14"/>
  <c r="AM27" i="35" s="1"/>
  <c r="DK76" i="14"/>
  <c r="DK75" i="14"/>
  <c r="DL57" i="14"/>
  <c r="DP57" i="14"/>
  <c r="DK57" i="14"/>
  <c r="AM20" i="35"/>
  <c r="AM21" i="35" s="1"/>
  <c r="DL82" i="14"/>
  <c r="DL80" i="14"/>
  <c r="DL79" i="14"/>
  <c r="AK69" i="35"/>
  <c r="AK53" i="35"/>
  <c r="DR24" i="2"/>
  <c r="DS23" i="2"/>
  <c r="DS24" i="2" s="1"/>
  <c r="DY5" i="12"/>
  <c r="DZ5" i="12" s="1"/>
  <c r="EA5" i="12" s="1"/>
  <c r="EB5" i="12" s="1"/>
  <c r="DU5" i="12"/>
  <c r="DV5" i="12" s="1"/>
  <c r="DW5" i="12" s="1"/>
  <c r="DQ5" i="12"/>
  <c r="DL25" i="14"/>
  <c r="DU18" i="14"/>
  <c r="DU19" i="14" s="1"/>
  <c r="DU8" i="14"/>
  <c r="DU16" i="14"/>
  <c r="DU17" i="14" s="1"/>
  <c r="DU9" i="14"/>
  <c r="DZ5" i="14"/>
  <c r="DU37" i="14"/>
  <c r="DU7" i="2"/>
  <c r="AU33" i="35" s="1"/>
  <c r="DU38" i="14"/>
  <c r="DT14" i="2"/>
  <c r="DT8" i="2"/>
  <c r="DV7" i="14"/>
  <c r="DV153" i="14" s="1"/>
  <c r="DV28" i="14"/>
  <c r="DW27" i="14"/>
  <c r="DW143" i="14" s="1"/>
  <c r="DV30" i="14"/>
  <c r="DV36" i="14"/>
  <c r="DT17" i="14"/>
  <c r="DU5" i="2"/>
  <c r="DU74" i="2" s="1"/>
  <c r="DY5" i="2"/>
  <c r="BZ47" i="12"/>
  <c r="BY49" i="12"/>
  <c r="BZ49" i="12" s="1"/>
  <c r="BZ14" i="12"/>
  <c r="BZ71" i="12" s="1"/>
  <c r="BY22" i="12"/>
  <c r="BZ22" i="12" s="1"/>
  <c r="CD50" i="13"/>
  <c r="CE48" i="13"/>
  <c r="CJ47" i="13" s="1"/>
  <c r="CF47" i="13"/>
  <c r="CF48" i="13" s="1"/>
  <c r="CC7" i="12"/>
  <c r="CC14" i="12"/>
  <c r="CC22" i="12" s="1"/>
  <c r="CC23" i="12" s="1"/>
  <c r="CC45" i="12" s="1"/>
  <c r="CC47" i="12"/>
  <c r="CC49" i="12" s="1"/>
  <c r="BF34" i="37"/>
  <c r="BH34" i="37"/>
  <c r="BE35" i="37"/>
  <c r="DR5" i="13"/>
  <c r="I13" i="37"/>
  <c r="M19" i="37"/>
  <c r="J27" i="37"/>
  <c r="Q15" i="37"/>
  <c r="Q25" i="37"/>
  <c r="M15" i="37"/>
  <c r="I29" i="37"/>
  <c r="J31" i="37"/>
  <c r="I19" i="37"/>
  <c r="J29" i="37"/>
  <c r="M13" i="37"/>
  <c r="L13" i="37"/>
  <c r="I17" i="37"/>
  <c r="Z31" i="42"/>
  <c r="L25" i="37"/>
  <c r="J13" i="37"/>
  <c r="M17" i="37"/>
  <c r="K17" i="37"/>
  <c r="M31" i="37"/>
  <c r="K13" i="37"/>
  <c r="J17" i="37"/>
  <c r="L31" i="37"/>
  <c r="Q13" i="37"/>
  <c r="K15" i="37"/>
  <c r="L17" i="37"/>
  <c r="J19" i="37"/>
  <c r="Q29" i="37"/>
  <c r="L15" i="37"/>
  <c r="M25" i="37"/>
  <c r="I25" i="37"/>
  <c r="AD31" i="42"/>
  <c r="Q31" i="37"/>
  <c r="M27" i="37"/>
  <c r="Q19" i="37"/>
  <c r="I31" i="37"/>
  <c r="I15" i="37"/>
  <c r="K27" i="37"/>
  <c r="I27" i="37"/>
  <c r="J15" i="37"/>
  <c r="J25" i="37"/>
  <c r="K31" i="37"/>
  <c r="Q27" i="37"/>
  <c r="L19" i="37"/>
  <c r="M29" i="37"/>
  <c r="K29" i="37"/>
  <c r="L27" i="37"/>
  <c r="L29" i="37"/>
  <c r="Q17" i="37"/>
  <c r="K25" i="37"/>
  <c r="K19" i="37"/>
  <c r="L20" i="37" l="1"/>
  <c r="AB20" i="37"/>
  <c r="L21" i="37"/>
  <c r="AB30" i="37"/>
  <c r="L30" i="37"/>
  <c r="Q28" i="37"/>
  <c r="Q23" i="37"/>
  <c r="Q24" i="37"/>
  <c r="L39" i="37"/>
  <c r="L36" i="37"/>
  <c r="AB14" i="37"/>
  <c r="L24" i="37"/>
  <c r="L14" i="37"/>
  <c r="Q26" i="37"/>
  <c r="L28" i="37"/>
  <c r="U16" i="37"/>
  <c r="J26" i="37"/>
  <c r="I21" i="37"/>
  <c r="AB18" i="37"/>
  <c r="L18" i="37"/>
  <c r="Q18" i="37"/>
  <c r="I28" i="37"/>
  <c r="Q30" i="37"/>
  <c r="U30" i="37"/>
  <c r="L26" i="37"/>
  <c r="Q16" i="37"/>
  <c r="K26" i="37"/>
  <c r="J21" i="37"/>
  <c r="Q21" i="37"/>
  <c r="Q20" i="37"/>
  <c r="J24" i="37"/>
  <c r="J39" i="37"/>
  <c r="J36" i="37"/>
  <c r="J28" i="37"/>
  <c r="K28" i="37"/>
  <c r="U20" i="37"/>
  <c r="K21" i="37"/>
  <c r="I26" i="37"/>
  <c r="I36" i="37"/>
  <c r="I24" i="37"/>
  <c r="I39" i="37"/>
  <c r="Q14" i="37"/>
  <c r="Q39" i="37"/>
  <c r="Q36" i="37"/>
  <c r="AB16" i="37"/>
  <c r="L16" i="37"/>
  <c r="K36" i="37"/>
  <c r="K39" i="37"/>
  <c r="U14" i="37"/>
  <c r="K24" i="37"/>
  <c r="U18" i="37"/>
  <c r="M20" i="37"/>
  <c r="AH20" i="37"/>
  <c r="M21" i="37"/>
  <c r="M26" i="37"/>
  <c r="M36" i="37"/>
  <c r="M14" i="37"/>
  <c r="AH14" i="37"/>
  <c r="M24" i="37"/>
  <c r="M39" i="37"/>
  <c r="M28" i="37"/>
  <c r="AH30" i="37"/>
  <c r="M30" i="37"/>
  <c r="M16" i="37"/>
  <c r="AH16" i="37"/>
  <c r="M18" i="37"/>
  <c r="AH18" i="37"/>
  <c r="AK61" i="35"/>
  <c r="AI66" i="35"/>
  <c r="CW73" i="2"/>
  <c r="CW4" i="14"/>
  <c r="CW4" i="13"/>
  <c r="CW4" i="12"/>
  <c r="AI40" i="35"/>
  <c r="AK49" i="35"/>
  <c r="AK48" i="35"/>
  <c r="AK42" i="35"/>
  <c r="CV73" i="2"/>
  <c r="CV4" i="12"/>
  <c r="CV4" i="13"/>
  <c r="CV4" i="14"/>
  <c r="AI41" i="35"/>
  <c r="AK64" i="35"/>
  <c r="AK41" i="35"/>
  <c r="AI64" i="35"/>
  <c r="Y148" i="35"/>
  <c r="Y154" i="35" s="1"/>
  <c r="Y79" i="35"/>
  <c r="AK60" i="35"/>
  <c r="AI54" i="35"/>
  <c r="AK65" i="35"/>
  <c r="AK45" i="35"/>
  <c r="AK72" i="35"/>
  <c r="AK73" i="35" s="1"/>
  <c r="AI65" i="35"/>
  <c r="DD74" i="2"/>
  <c r="DI5" i="2"/>
  <c r="DC4" i="2"/>
  <c r="DB4" i="2"/>
  <c r="DA4" i="2"/>
  <c r="CZ4" i="2"/>
  <c r="DD4" i="2"/>
  <c r="AI43" i="35"/>
  <c r="AH45" i="35"/>
  <c r="AI42" i="35"/>
  <c r="AJ41" i="35"/>
  <c r="AJ61" i="35"/>
  <c r="AJ44" i="35"/>
  <c r="AH66" i="35"/>
  <c r="AH72" i="35"/>
  <c r="AJ53" i="35"/>
  <c r="AJ49" i="35"/>
  <c r="AH44" i="35"/>
  <c r="AH64" i="35"/>
  <c r="AI60" i="35"/>
  <c r="AI62" i="35"/>
  <c r="AJ50" i="35"/>
  <c r="AH50" i="35"/>
  <c r="AI61" i="35"/>
  <c r="AJ70" i="35"/>
  <c r="AH60" i="35"/>
  <c r="AH70" i="35"/>
  <c r="AH65" i="35"/>
  <c r="AI44" i="35"/>
  <c r="AH59" i="35"/>
  <c r="AH61" i="35"/>
  <c r="AI53" i="35"/>
  <c r="AJ65" i="35"/>
  <c r="AI49" i="35"/>
  <c r="AH54" i="35"/>
  <c r="AH62" i="35"/>
  <c r="AI59" i="35"/>
  <c r="AJ45" i="35"/>
  <c r="AH42" i="35"/>
  <c r="AH41" i="35"/>
  <c r="AI50" i="35"/>
  <c r="AJ59" i="35"/>
  <c r="AJ72" i="35"/>
  <c r="AJ58" i="35"/>
  <c r="AJ64" i="35"/>
  <c r="AH69" i="35"/>
  <c r="AH58" i="35"/>
  <c r="AH43" i="35"/>
  <c r="AJ43" i="35"/>
  <c r="AJ69" i="35"/>
  <c r="AJ60" i="35"/>
  <c r="AJ66" i="35"/>
  <c r="AH63" i="35"/>
  <c r="AH48" i="35"/>
  <c r="AH49" i="35"/>
  <c r="AJ48" i="35"/>
  <c r="AJ63" i="35"/>
  <c r="AI72" i="35"/>
  <c r="AJ42" i="35"/>
  <c r="AJ62" i="35"/>
  <c r="AI58" i="35"/>
  <c r="AH40" i="35"/>
  <c r="AK50" i="35"/>
  <c r="AJ40" i="35"/>
  <c r="AH53" i="35"/>
  <c r="AJ54" i="35"/>
  <c r="AK54" i="35"/>
  <c r="AK66" i="35"/>
  <c r="CU73" i="2"/>
  <c r="CU4" i="14"/>
  <c r="CU4" i="13"/>
  <c r="CU4" i="12"/>
  <c r="CX73" i="2"/>
  <c r="CX4" i="12"/>
  <c r="CX4" i="14"/>
  <c r="CX4" i="13"/>
  <c r="AK58" i="35"/>
  <c r="AK63" i="35"/>
  <c r="V79" i="35"/>
  <c r="V148" i="35"/>
  <c r="V154" i="35" s="1"/>
  <c r="CY73" i="2"/>
  <c r="CY4" i="14"/>
  <c r="H5" i="45" s="1"/>
  <c r="H27" i="45" s="1"/>
  <c r="H39" i="45" s="1"/>
  <c r="H52" i="45" s="1"/>
  <c r="H56" i="45" s="1"/>
  <c r="CY4" i="12"/>
  <c r="CY4" i="13"/>
  <c r="AK70" i="35"/>
  <c r="AK62" i="35"/>
  <c r="AK59" i="35"/>
  <c r="AI48" i="35"/>
  <c r="W79" i="35"/>
  <c r="W148" i="35"/>
  <c r="W154" i="35" s="1"/>
  <c r="AK44" i="35"/>
  <c r="AI69" i="35"/>
  <c r="X79" i="35"/>
  <c r="X148" i="35"/>
  <c r="X154" i="35" s="1"/>
  <c r="DM74" i="2"/>
  <c r="DR5" i="2"/>
  <c r="DQ74" i="2"/>
  <c r="DZ5" i="2"/>
  <c r="DY74" i="2"/>
  <c r="DV237" i="14"/>
  <c r="DV233" i="14"/>
  <c r="DV235" i="14"/>
  <c r="DV236" i="14" s="1"/>
  <c r="DT227" i="14"/>
  <c r="DT228" i="14" s="1"/>
  <c r="DT232" i="14"/>
  <c r="DU238" i="14"/>
  <c r="DU231" i="14"/>
  <c r="DU239" i="14"/>
  <c r="AO14" i="35"/>
  <c r="DM58" i="14"/>
  <c r="DM57" i="14"/>
  <c r="DM59" i="14"/>
  <c r="DR56" i="14"/>
  <c r="DR57" i="14" s="1"/>
  <c r="DW146" i="14"/>
  <c r="DX143" i="14"/>
  <c r="DV189" i="14"/>
  <c r="DV201" i="14"/>
  <c r="DU175" i="14"/>
  <c r="DU176" i="14" s="1"/>
  <c r="DU177" i="14" s="1"/>
  <c r="DV158" i="14"/>
  <c r="DV162" i="14" s="1"/>
  <c r="DV170" i="14"/>
  <c r="DV174" i="14" s="1"/>
  <c r="DU199" i="14"/>
  <c r="DU200" i="14" s="1"/>
  <c r="DU201" i="14" s="1"/>
  <c r="DU163" i="14"/>
  <c r="DU164" i="14" s="1"/>
  <c r="DU165" i="14" s="1"/>
  <c r="DW179" i="14"/>
  <c r="DW182" i="14" s="1"/>
  <c r="DW191" i="14"/>
  <c r="DW167" i="14"/>
  <c r="DW155" i="14"/>
  <c r="AQ14" i="35"/>
  <c r="AR14" i="35"/>
  <c r="DK82" i="14"/>
  <c r="DK80" i="14"/>
  <c r="DK79" i="14"/>
  <c r="DK81" i="14"/>
  <c r="DQ57" i="14"/>
  <c r="DR5" i="12"/>
  <c r="DV37" i="14"/>
  <c r="DV38" i="14"/>
  <c r="DV7" i="2"/>
  <c r="AV33" i="35" s="1"/>
  <c r="EA5" i="14"/>
  <c r="DW30" i="14"/>
  <c r="DX27" i="14"/>
  <c r="DW7" i="14"/>
  <c r="DW28" i="14"/>
  <c r="DX28" i="14" s="1"/>
  <c r="DW36" i="14"/>
  <c r="DW235" i="14" s="1"/>
  <c r="DW236" i="14" s="1"/>
  <c r="DU14" i="2"/>
  <c r="DU8" i="2"/>
  <c r="DV9" i="14"/>
  <c r="DV16" i="14"/>
  <c r="DV17" i="14" s="1"/>
  <c r="DV18" i="14"/>
  <c r="DV19" i="14" s="1"/>
  <c r="DV8" i="14"/>
  <c r="DT23" i="2"/>
  <c r="DT24" i="2" s="1"/>
  <c r="BY23" i="12"/>
  <c r="BY45" i="12" s="1"/>
  <c r="CF50" i="13"/>
  <c r="CF52" i="13" s="1"/>
  <c r="CF8" i="12" s="1"/>
  <c r="CG47" i="13"/>
  <c r="CG48" i="13" s="1"/>
  <c r="BZ68" i="12"/>
  <c r="BZ66" i="12"/>
  <c r="CD52" i="13"/>
  <c r="CE50" i="13"/>
  <c r="DV5" i="2"/>
  <c r="DV74" i="2" s="1"/>
  <c r="BZ34" i="37"/>
  <c r="BX34" i="37"/>
  <c r="BW35" i="37"/>
  <c r="BL34" i="37"/>
  <c r="BN34" i="37"/>
  <c r="BK35" i="37"/>
  <c r="CD34" i="37"/>
  <c r="CF34" i="37"/>
  <c r="CC35" i="37"/>
  <c r="BT34" i="37"/>
  <c r="BQ35" i="37"/>
  <c r="BR34" i="37"/>
  <c r="AS3" i="35"/>
  <c r="K22" i="42"/>
  <c r="L21" i="42"/>
  <c r="N25" i="37"/>
  <c r="O27" i="37"/>
  <c r="L14" i="42"/>
  <c r="L24" i="42"/>
  <c r="O17" i="37"/>
  <c r="N17" i="37"/>
  <c r="K13" i="42"/>
  <c r="S13" i="37"/>
  <c r="K21" i="42"/>
  <c r="O19" i="37"/>
  <c r="L26" i="42"/>
  <c r="K17" i="42"/>
  <c r="O25" i="37"/>
  <c r="S17" i="37"/>
  <c r="Z25" i="37"/>
  <c r="K23" i="42"/>
  <c r="N13" i="37"/>
  <c r="N31" i="37"/>
  <c r="S27" i="37"/>
  <c r="K18" i="42"/>
  <c r="S29" i="37"/>
  <c r="L25" i="42"/>
  <c r="L27" i="42"/>
  <c r="R14" i="42"/>
  <c r="L16" i="42"/>
  <c r="N19" i="37"/>
  <c r="Z19" i="37"/>
  <c r="K14" i="42"/>
  <c r="K16" i="42"/>
  <c r="K19" i="42"/>
  <c r="Z31" i="37"/>
  <c r="K25" i="42"/>
  <c r="Z17" i="37"/>
  <c r="K27" i="42"/>
  <c r="L23" i="42"/>
  <c r="L15" i="42"/>
  <c r="Z29" i="37"/>
  <c r="Z27" i="37"/>
  <c r="K26" i="42"/>
  <c r="O31" i="37"/>
  <c r="L18" i="42"/>
  <c r="L17" i="42"/>
  <c r="S19" i="37"/>
  <c r="L20" i="42"/>
  <c r="S31" i="37"/>
  <c r="K24" i="42"/>
  <c r="S25" i="37"/>
  <c r="L22" i="42"/>
  <c r="N29" i="37"/>
  <c r="L13" i="42"/>
  <c r="N27" i="37"/>
  <c r="L19" i="42"/>
  <c r="O13" i="37"/>
  <c r="K20" i="42"/>
  <c r="AF15" i="37"/>
  <c r="O15" i="37"/>
  <c r="R13" i="42"/>
  <c r="Z13" i="37"/>
  <c r="N15" i="37"/>
  <c r="Z15" i="37"/>
  <c r="K15" i="42"/>
  <c r="S15" i="37"/>
  <c r="O29" i="37"/>
  <c r="AJ73" i="35" l="1"/>
  <c r="AH73" i="35"/>
  <c r="AA22" i="37"/>
  <c r="Z24" i="37"/>
  <c r="Z23" i="37"/>
  <c r="AC22" i="37"/>
  <c r="X31" i="37"/>
  <c r="V31" i="37"/>
  <c r="T31" i="37"/>
  <c r="O16" i="37"/>
  <c r="O24" i="37"/>
  <c r="O14" i="37"/>
  <c r="O39" i="37"/>
  <c r="O36" i="37"/>
  <c r="X17" i="37"/>
  <c r="S18" i="37"/>
  <c r="V17" i="37"/>
  <c r="T17" i="37"/>
  <c r="Z26" i="37"/>
  <c r="AC25" i="37"/>
  <c r="AA25" i="37"/>
  <c r="AO18" i="37"/>
  <c r="N18" i="37"/>
  <c r="N24" i="37"/>
  <c r="AO14" i="37"/>
  <c r="N14" i="37"/>
  <c r="N36" i="37"/>
  <c r="N39" i="37"/>
  <c r="V13" i="37"/>
  <c r="S14" i="37"/>
  <c r="S36" i="37"/>
  <c r="S39" i="37"/>
  <c r="X13" i="37"/>
  <c r="T13" i="37"/>
  <c r="AA15" i="37"/>
  <c r="AC15" i="37"/>
  <c r="Z16" i="37"/>
  <c r="S16" i="37"/>
  <c r="X15" i="37"/>
  <c r="T15" i="37"/>
  <c r="V15" i="37"/>
  <c r="AC17" i="37"/>
  <c r="Z18" i="37"/>
  <c r="AA17" i="37"/>
  <c r="N26" i="37"/>
  <c r="X29" i="37"/>
  <c r="V29" i="37"/>
  <c r="T29" i="37"/>
  <c r="S30" i="37"/>
  <c r="AC19" i="37"/>
  <c r="AA19" i="37"/>
  <c r="Z21" i="37"/>
  <c r="Z20" i="37"/>
  <c r="O21" i="37"/>
  <c r="O20" i="37"/>
  <c r="AA13" i="37"/>
  <c r="AC13" i="37"/>
  <c r="Z36" i="37"/>
  <c r="Z14" i="37"/>
  <c r="X27" i="37"/>
  <c r="V27" i="37"/>
  <c r="T27" i="37"/>
  <c r="S28" i="37"/>
  <c r="Z30" i="37"/>
  <c r="AA29" i="37"/>
  <c r="AC29" i="37"/>
  <c r="N21" i="37"/>
  <c r="AO20" i="37"/>
  <c r="N20" i="37"/>
  <c r="N16" i="37"/>
  <c r="AO16" i="37"/>
  <c r="O18" i="37"/>
  <c r="N28" i="37"/>
  <c r="AC27" i="37"/>
  <c r="AA27" i="37"/>
  <c r="Z28" i="37"/>
  <c r="N30" i="37"/>
  <c r="AO30" i="37"/>
  <c r="S21" i="37"/>
  <c r="S20" i="37"/>
  <c r="X19" i="37"/>
  <c r="V19" i="37"/>
  <c r="T19" i="37"/>
  <c r="O30" i="37"/>
  <c r="S24" i="37"/>
  <c r="V22" i="37"/>
  <c r="T22" i="37"/>
  <c r="X22" i="37"/>
  <c r="S23" i="37"/>
  <c r="O28" i="37"/>
  <c r="S26" i="37"/>
  <c r="X25" i="37"/>
  <c r="T25" i="37"/>
  <c r="V25" i="37"/>
  <c r="O26" i="37"/>
  <c r="AA31" i="37"/>
  <c r="AC31" i="37"/>
  <c r="AF16" i="37"/>
  <c r="AG15" i="37"/>
  <c r="AI15" i="37"/>
  <c r="AI73" i="35"/>
  <c r="AB79" i="35"/>
  <c r="AB148" i="35"/>
  <c r="AB154" i="35" s="1"/>
  <c r="Z79" i="35"/>
  <c r="Z148" i="35"/>
  <c r="Z154" i="35" s="1"/>
  <c r="AA79" i="35"/>
  <c r="AA148" i="35"/>
  <c r="AA154" i="35" s="1"/>
  <c r="CZ73" i="2"/>
  <c r="CZ4" i="14"/>
  <c r="CZ4" i="13"/>
  <c r="CZ4" i="12"/>
  <c r="DD73" i="2"/>
  <c r="DD4" i="12"/>
  <c r="DD4" i="14"/>
  <c r="I5" i="45" s="1"/>
  <c r="I27" i="45" s="1"/>
  <c r="I39" i="45" s="1"/>
  <c r="I52" i="45" s="1"/>
  <c r="I56" i="45" s="1"/>
  <c r="DD4" i="13"/>
  <c r="DA73" i="2"/>
  <c r="DA4" i="13"/>
  <c r="DA4" i="12"/>
  <c r="DA4" i="14"/>
  <c r="AC148" i="35"/>
  <c r="AC154" i="35" s="1"/>
  <c r="AC79" i="35"/>
  <c r="DI74" i="2"/>
  <c r="DF4" i="2"/>
  <c r="DE4" i="2"/>
  <c r="DI4" i="2"/>
  <c r="DH4" i="2"/>
  <c r="DG4" i="2"/>
  <c r="Q3" i="37" s="1"/>
  <c r="DN5" i="2"/>
  <c r="AP59" i="35" s="1"/>
  <c r="DB73" i="2"/>
  <c r="DB4" i="13"/>
  <c r="DB4" i="12"/>
  <c r="DB4" i="14"/>
  <c r="DC73" i="2"/>
  <c r="DC4" i="14"/>
  <c r="DC4" i="12"/>
  <c r="DC4" i="13"/>
  <c r="DR74" i="2"/>
  <c r="DX235" i="14"/>
  <c r="DV234" i="14"/>
  <c r="EA5" i="2"/>
  <c r="DZ74" i="2"/>
  <c r="DW237" i="14"/>
  <c r="DW233" i="14"/>
  <c r="DW234" i="14" s="1"/>
  <c r="DU227" i="14"/>
  <c r="DU228" i="14" s="1"/>
  <c r="DU232" i="14"/>
  <c r="DV238" i="14"/>
  <c r="DV231" i="14"/>
  <c r="DV239" i="14" s="1"/>
  <c r="DM60" i="14"/>
  <c r="DM61" i="14"/>
  <c r="DM73" i="14"/>
  <c r="DM78" i="14" s="1"/>
  <c r="DN78" i="14" s="1"/>
  <c r="DN80" i="14" s="1"/>
  <c r="DN59" i="14"/>
  <c r="DN61" i="14" s="1"/>
  <c r="DM62" i="14"/>
  <c r="AS14" i="35"/>
  <c r="DX146" i="14"/>
  <c r="DX145" i="14" s="1"/>
  <c r="DW150" i="14"/>
  <c r="DX150" i="14" s="1"/>
  <c r="DX179" i="14"/>
  <c r="DX180" i="14" s="1"/>
  <c r="DW194" i="14"/>
  <c r="DX191" i="14"/>
  <c r="DX192" i="14" s="1"/>
  <c r="DX167" i="14"/>
  <c r="DX168" i="14" s="1"/>
  <c r="DW170" i="14"/>
  <c r="DW174" i="14" s="1"/>
  <c r="DX174" i="14" s="1"/>
  <c r="DX155" i="14"/>
  <c r="DX156" i="14" s="1"/>
  <c r="DW158" i="14"/>
  <c r="DW162" i="14" s="1"/>
  <c r="DX162" i="14" s="1"/>
  <c r="DV163" i="14"/>
  <c r="DV164" i="14" s="1"/>
  <c r="DV165" i="14" s="1"/>
  <c r="DV175" i="14"/>
  <c r="DV176" i="14" s="1"/>
  <c r="DV177" i="14" s="1"/>
  <c r="DX182" i="14"/>
  <c r="DW186" i="14"/>
  <c r="EB5" i="14"/>
  <c r="BZ23" i="12"/>
  <c r="DX30" i="14"/>
  <c r="DY27" i="14"/>
  <c r="DY143" i="14" s="1"/>
  <c r="DY146" i="14" s="1"/>
  <c r="DY150" i="14" s="1"/>
  <c r="DY151" i="14" s="1"/>
  <c r="DY152" i="14" s="1"/>
  <c r="DX7" i="14"/>
  <c r="DX9" i="14" s="1"/>
  <c r="DW9" i="14"/>
  <c r="DW18" i="14"/>
  <c r="DW16" i="14"/>
  <c r="DW17" i="14" s="1"/>
  <c r="DW8" i="14"/>
  <c r="DX36" i="14"/>
  <c r="DX237" i="14" s="1"/>
  <c r="DW37" i="14"/>
  <c r="DW7" i="2"/>
  <c r="AW33" i="35" s="1"/>
  <c r="DW38" i="14"/>
  <c r="DU23" i="2"/>
  <c r="T31" i="35"/>
  <c r="CH31" i="35"/>
  <c r="G31" i="35"/>
  <c r="F22" i="35"/>
  <c r="H19" i="35"/>
  <c r="S22" i="35"/>
  <c r="O18" i="35"/>
  <c r="F31" i="35"/>
  <c r="N31" i="35"/>
  <c r="G18" i="35"/>
  <c r="J20" i="35"/>
  <c r="P31" i="35"/>
  <c r="J22" i="35"/>
  <c r="W19" i="35"/>
  <c r="S20" i="35"/>
  <c r="T22" i="35"/>
  <c r="R20" i="35"/>
  <c r="G26" i="35"/>
  <c r="P22" i="35"/>
  <c r="H27" i="35"/>
  <c r="R22" i="35"/>
  <c r="F18" i="35"/>
  <c r="Q18" i="35"/>
  <c r="V27" i="35"/>
  <c r="L22" i="35"/>
  <c r="J26" i="35"/>
  <c r="S18" i="35"/>
  <c r="Q31" i="35"/>
  <c r="Q19" i="35"/>
  <c r="N18" i="35"/>
  <c r="R19" i="35"/>
  <c r="L18" i="35"/>
  <c r="H26" i="35"/>
  <c r="I31" i="35"/>
  <c r="J19" i="35"/>
  <c r="H20" i="35"/>
  <c r="P15" i="35"/>
  <c r="R15" i="35"/>
  <c r="Q27" i="35"/>
  <c r="K22" i="35"/>
  <c r="P27" i="35"/>
  <c r="Q22" i="35"/>
  <c r="H22" i="35"/>
  <c r="CI31" i="35"/>
  <c r="T20" i="35"/>
  <c r="R18" i="35"/>
  <c r="U31" i="35"/>
  <c r="J15" i="35"/>
  <c r="K20" i="35"/>
  <c r="Q20" i="35"/>
  <c r="J31" i="35"/>
  <c r="R31" i="35"/>
  <c r="N15" i="35"/>
  <c r="T27" i="35"/>
  <c r="J18" i="35"/>
  <c r="O26" i="35"/>
  <c r="P26" i="35"/>
  <c r="R26" i="35"/>
  <c r="P19" i="35"/>
  <c r="L19" i="35"/>
  <c r="F26" i="35"/>
  <c r="I18" i="35"/>
  <c r="I19" i="35"/>
  <c r="H18" i="35"/>
  <c r="K18" i="35"/>
  <c r="L26" i="35"/>
  <c r="G20" i="35"/>
  <c r="S26" i="35"/>
  <c r="CL31" i="35"/>
  <c r="L15" i="35"/>
  <c r="H31" i="35"/>
  <c r="I26" i="35"/>
  <c r="N26" i="35"/>
  <c r="T15" i="35"/>
  <c r="T19" i="35"/>
  <c r="V31" i="35"/>
  <c r="L27" i="35"/>
  <c r="K31" i="35"/>
  <c r="O27" i="35"/>
  <c r="R27" i="35"/>
  <c r="G27" i="35"/>
  <c r="U22" i="35"/>
  <c r="W26" i="35"/>
  <c r="I20" i="35"/>
  <c r="V15" i="35"/>
  <c r="W20" i="35"/>
  <c r="K26" i="35"/>
  <c r="N19" i="35"/>
  <c r="M31" i="35"/>
  <c r="P18" i="35"/>
  <c r="S15" i="35"/>
  <c r="F19" i="35"/>
  <c r="G22" i="35"/>
  <c r="F27" i="35"/>
  <c r="N20" i="35"/>
  <c r="P20" i="35"/>
  <c r="U27" i="35"/>
  <c r="U19" i="35"/>
  <c r="X18" i="35"/>
  <c r="N22" i="35"/>
  <c r="L20" i="35"/>
  <c r="W18" i="35"/>
  <c r="Q26" i="35"/>
  <c r="O15" i="35"/>
  <c r="O20" i="35"/>
  <c r="W31" i="35"/>
  <c r="K15" i="35"/>
  <c r="G19" i="35"/>
  <c r="T26" i="35"/>
  <c r="S27" i="35"/>
  <c r="T18" i="35"/>
  <c r="I22" i="35"/>
  <c r="F20" i="35"/>
  <c r="L31" i="35"/>
  <c r="K19" i="35"/>
  <c r="I27" i="35"/>
  <c r="S19" i="35"/>
  <c r="Q15" i="35"/>
  <c r="U26" i="35"/>
  <c r="U18" i="35"/>
  <c r="O19" i="35"/>
  <c r="O22" i="35"/>
  <c r="CK31" i="35"/>
  <c r="U15" i="35"/>
  <c r="N27" i="35"/>
  <c r="M22" i="35"/>
  <c r="S31" i="35"/>
  <c r="V18" i="35"/>
  <c r="O31" i="35"/>
  <c r="M15" i="35"/>
  <c r="W22" i="35"/>
  <c r="X31" i="35"/>
  <c r="CM31" i="35"/>
  <c r="M27" i="35"/>
  <c r="CJ31" i="35"/>
  <c r="Y31" i="35"/>
  <c r="K27" i="35"/>
  <c r="Y15" i="35"/>
  <c r="U20" i="35"/>
  <c r="W27" i="35"/>
  <c r="V19" i="35"/>
  <c r="V20" i="35"/>
  <c r="CN31" i="35"/>
  <c r="V22" i="35"/>
  <c r="M19" i="35"/>
  <c r="X27" i="35"/>
  <c r="Z31" i="35"/>
  <c r="M26" i="35"/>
  <c r="V26" i="35"/>
  <c r="W15" i="35"/>
  <c r="Y27" i="35"/>
  <c r="Z18" i="35"/>
  <c r="Y20" i="35"/>
  <c r="Y26" i="35"/>
  <c r="M20" i="35"/>
  <c r="AA31" i="35"/>
  <c r="X20" i="35"/>
  <c r="X22" i="35"/>
  <c r="CO31" i="35"/>
  <c r="X15" i="35"/>
  <c r="X19" i="35"/>
  <c r="Y19" i="35"/>
  <c r="Y22" i="35"/>
  <c r="AA18" i="35"/>
  <c r="AA15" i="35"/>
  <c r="Z22" i="35"/>
  <c r="Z21" i="35" s="1"/>
  <c r="Z26" i="35"/>
  <c r="AB31" i="35"/>
  <c r="Z19" i="35"/>
  <c r="AA20" i="35"/>
  <c r="X26" i="35"/>
  <c r="Y18" i="35"/>
  <c r="AA26" i="35"/>
  <c r="AA27" i="35"/>
  <c r="Z15" i="35"/>
  <c r="Z27" i="35"/>
  <c r="AB18" i="35"/>
  <c r="AA19" i="35"/>
  <c r="AC26" i="35"/>
  <c r="AB20" i="35"/>
  <c r="AB21" i="35" s="1"/>
  <c r="AB27" i="35"/>
  <c r="AB19" i="35"/>
  <c r="AB15" i="35"/>
  <c r="AA22" i="35"/>
  <c r="AD31" i="35"/>
  <c r="AC31" i="35"/>
  <c r="AC18" i="35"/>
  <c r="AC20" i="35"/>
  <c r="AD15" i="35"/>
  <c r="AC27" i="35"/>
  <c r="AC19" i="35"/>
  <c r="AB26" i="35"/>
  <c r="AF31" i="35"/>
  <c r="AC15" i="35"/>
  <c r="AC22" i="35"/>
  <c r="AE31" i="35"/>
  <c r="AD19" i="35"/>
  <c r="AE22" i="35"/>
  <c r="AE21" i="35" s="1"/>
  <c r="AE15" i="35"/>
  <c r="AG31" i="35"/>
  <c r="AD18" i="35"/>
  <c r="AD20" i="35"/>
  <c r="AD21" i="35" s="1"/>
  <c r="DV14" i="2"/>
  <c r="DV8" i="2"/>
  <c r="DW5" i="2"/>
  <c r="DW74" i="2" s="1"/>
  <c r="CE52" i="13"/>
  <c r="CD8" i="12"/>
  <c r="CH47" i="13"/>
  <c r="CH48" i="13" s="1"/>
  <c r="CG50" i="13"/>
  <c r="CG52" i="13" s="1"/>
  <c r="CG8" i="12" s="1"/>
  <c r="CF7" i="12"/>
  <c r="CF47" i="12"/>
  <c r="CF49" i="12" s="1"/>
  <c r="CF14" i="12"/>
  <c r="R72" i="35"/>
  <c r="AL55" i="35"/>
  <c r="AC55" i="35"/>
  <c r="AM54" i="35"/>
  <c r="J45" i="35"/>
  <c r="K62" i="35"/>
  <c r="S64" i="35"/>
  <c r="S65" i="35"/>
  <c r="N45" i="35"/>
  <c r="F43" i="35"/>
  <c r="AL69" i="35"/>
  <c r="S72" i="35"/>
  <c r="R42" i="35"/>
  <c r="J48" i="35"/>
  <c r="AL42" i="35"/>
  <c r="O53" i="35"/>
  <c r="H60" i="35"/>
  <c r="G45" i="35"/>
  <c r="N72" i="35"/>
  <c r="J53" i="35"/>
  <c r="N58" i="35"/>
  <c r="R64" i="35"/>
  <c r="AL60" i="35"/>
  <c r="J55" i="35"/>
  <c r="F58" i="35"/>
  <c r="G48" i="35"/>
  <c r="O43" i="35"/>
  <c r="H53" i="35"/>
  <c r="F49" i="35"/>
  <c r="N54" i="35"/>
  <c r="R60" i="35"/>
  <c r="K42" i="35"/>
  <c r="K55" i="35"/>
  <c r="AM41" i="35"/>
  <c r="AL70" i="35"/>
  <c r="R59" i="35"/>
  <c r="P54" i="35"/>
  <c r="I43" i="35"/>
  <c r="O55" i="35"/>
  <c r="T48" i="35"/>
  <c r="AM66" i="35"/>
  <c r="R53" i="35"/>
  <c r="P65" i="35"/>
  <c r="N55" i="35"/>
  <c r="K63" i="35"/>
  <c r="J42" i="35"/>
  <c r="H63" i="35"/>
  <c r="O48" i="35"/>
  <c r="T64" i="35"/>
  <c r="H62" i="35"/>
  <c r="AB55" i="35"/>
  <c r="P62" i="35"/>
  <c r="AM45" i="35"/>
  <c r="F50" i="35"/>
  <c r="AM40" i="35"/>
  <c r="J40" i="35"/>
  <c r="AL53" i="35"/>
  <c r="K53" i="35"/>
  <c r="J65" i="35"/>
  <c r="U42" i="35"/>
  <c r="J58" i="35"/>
  <c r="S45" i="35"/>
  <c r="AM61" i="35"/>
  <c r="N60" i="35"/>
  <c r="F64" i="35"/>
  <c r="F69" i="35"/>
  <c r="G49" i="35"/>
  <c r="S55" i="35"/>
  <c r="G55" i="35"/>
  <c r="AM50" i="35"/>
  <c r="P53" i="35"/>
  <c r="S61" i="35"/>
  <c r="F44" i="35"/>
  <c r="H59" i="35"/>
  <c r="L55" i="35"/>
  <c r="H66" i="35"/>
  <c r="K44" i="35"/>
  <c r="S59" i="35"/>
  <c r="H43" i="35"/>
  <c r="F60" i="35"/>
  <c r="T62" i="35"/>
  <c r="G64" i="35"/>
  <c r="O59" i="35"/>
  <c r="N65" i="35"/>
  <c r="AH55" i="35"/>
  <c r="P45" i="35"/>
  <c r="R65" i="35"/>
  <c r="H54" i="35"/>
  <c r="R43" i="35"/>
  <c r="S40" i="35"/>
  <c r="T44" i="35"/>
  <c r="S53" i="35"/>
  <c r="G72" i="35"/>
  <c r="S43" i="35"/>
  <c r="G41" i="35"/>
  <c r="N61" i="35"/>
  <c r="S66" i="35"/>
  <c r="K72" i="35"/>
  <c r="AL40" i="35"/>
  <c r="F72" i="35"/>
  <c r="S60" i="35"/>
  <c r="S41" i="35"/>
  <c r="O69" i="35"/>
  <c r="P43" i="35"/>
  <c r="T53" i="35"/>
  <c r="G54" i="35"/>
  <c r="J63" i="35"/>
  <c r="AL50" i="35"/>
  <c r="N49" i="35"/>
  <c r="K65" i="35"/>
  <c r="J60" i="35"/>
  <c r="AM65" i="35"/>
  <c r="AL43" i="35"/>
  <c r="G59" i="35"/>
  <c r="R62" i="35"/>
  <c r="J70" i="35"/>
  <c r="AL54" i="35"/>
  <c r="O60" i="35"/>
  <c r="J43" i="35"/>
  <c r="O64" i="35"/>
  <c r="G43" i="35"/>
  <c r="R49" i="35"/>
  <c r="F59" i="35"/>
  <c r="AM60" i="35"/>
  <c r="K41" i="35"/>
  <c r="P63" i="35"/>
  <c r="O49" i="35"/>
  <c r="AK55" i="35"/>
  <c r="R63" i="35"/>
  <c r="R41" i="35"/>
  <c r="T42" i="35"/>
  <c r="T49" i="35"/>
  <c r="P61" i="35"/>
  <c r="O45" i="35"/>
  <c r="AL63" i="35"/>
  <c r="F66" i="35"/>
  <c r="H48" i="35"/>
  <c r="AL48" i="35"/>
  <c r="AF55" i="35"/>
  <c r="R50" i="35"/>
  <c r="G66" i="35"/>
  <c r="O61" i="35"/>
  <c r="AM63" i="35"/>
  <c r="J62" i="35"/>
  <c r="AM55" i="35"/>
  <c r="G61" i="35"/>
  <c r="T55" i="35"/>
  <c r="F65" i="35"/>
  <c r="AM53" i="35"/>
  <c r="T65" i="35"/>
  <c r="Q41" i="35"/>
  <c r="H65" i="35"/>
  <c r="U55" i="35"/>
  <c r="J50" i="35"/>
  <c r="H49" i="35"/>
  <c r="S49" i="35"/>
  <c r="AL61" i="35"/>
  <c r="AL66" i="35"/>
  <c r="F61" i="35"/>
  <c r="AM58" i="35"/>
  <c r="AI55" i="35"/>
  <c r="AL45" i="35"/>
  <c r="N59" i="35"/>
  <c r="T66" i="35"/>
  <c r="AN62" i="35"/>
  <c r="O65" i="35"/>
  <c r="P49" i="35"/>
  <c r="AL44" i="35"/>
  <c r="AO40" i="35"/>
  <c r="N50" i="35"/>
  <c r="J61" i="35"/>
  <c r="R70" i="35"/>
  <c r="F48" i="35"/>
  <c r="O63" i="35"/>
  <c r="AM48" i="35"/>
  <c r="AL59" i="35"/>
  <c r="R44" i="35"/>
  <c r="AL64" i="35"/>
  <c r="G50" i="35"/>
  <c r="K48" i="35"/>
  <c r="K66" i="35"/>
  <c r="I42" i="35"/>
  <c r="I48" i="35"/>
  <c r="H55" i="35"/>
  <c r="I63" i="35"/>
  <c r="S63" i="35"/>
  <c r="H44" i="35"/>
  <c r="G44" i="35"/>
  <c r="T50" i="35"/>
  <c r="AM70" i="35"/>
  <c r="R58" i="35"/>
  <c r="AM42" i="35"/>
  <c r="Z55" i="35"/>
  <c r="AM43" i="35"/>
  <c r="R55" i="35"/>
  <c r="AD55" i="35"/>
  <c r="J49" i="35"/>
  <c r="Q55" i="35"/>
  <c r="G58" i="35"/>
  <c r="S62" i="35"/>
  <c r="I65" i="35"/>
  <c r="F41" i="35"/>
  <c r="AN64" i="35"/>
  <c r="R61" i="35"/>
  <c r="U65" i="35"/>
  <c r="Q62" i="35"/>
  <c r="AA55" i="35"/>
  <c r="P58" i="35"/>
  <c r="F63" i="35"/>
  <c r="L72" i="35"/>
  <c r="AL65" i="35"/>
  <c r="K58" i="35"/>
  <c r="S48" i="35"/>
  <c r="J69" i="35"/>
  <c r="AJ55" i="35"/>
  <c r="R48" i="35"/>
  <c r="O62" i="35"/>
  <c r="I44" i="35"/>
  <c r="I54" i="35"/>
  <c r="U72" i="35"/>
  <c r="L42" i="35"/>
  <c r="H58" i="35"/>
  <c r="N64" i="35"/>
  <c r="AM49" i="35"/>
  <c r="T60" i="35"/>
  <c r="T54" i="35"/>
  <c r="F42" i="35"/>
  <c r="G40" i="35"/>
  <c r="N43" i="35"/>
  <c r="N41" i="35"/>
  <c r="P72" i="35"/>
  <c r="AN49" i="35"/>
  <c r="V55" i="35"/>
  <c r="AN54" i="35"/>
  <c r="O72" i="35"/>
  <c r="U40" i="35"/>
  <c r="AN53" i="35"/>
  <c r="T63" i="35"/>
  <c r="P64" i="35"/>
  <c r="AN43" i="35"/>
  <c r="AL41" i="35"/>
  <c r="X55" i="35"/>
  <c r="M55" i="35"/>
  <c r="W55" i="35"/>
  <c r="G42" i="35"/>
  <c r="J59" i="35"/>
  <c r="P42" i="35"/>
  <c r="R45" i="35"/>
  <c r="P66" i="35"/>
  <c r="AN44" i="35"/>
  <c r="AM44" i="35"/>
  <c r="T72" i="35"/>
  <c r="AM59" i="35"/>
  <c r="J41" i="35"/>
  <c r="H40" i="35"/>
  <c r="K45" i="35"/>
  <c r="Q59" i="35"/>
  <c r="P59" i="35"/>
  <c r="P60" i="35"/>
  <c r="AE55" i="35"/>
  <c r="AG55" i="35"/>
  <c r="H61" i="35"/>
  <c r="S58" i="35"/>
  <c r="F54" i="35"/>
  <c r="O50" i="35"/>
  <c r="J54" i="35"/>
  <c r="O41" i="35"/>
  <c r="R40" i="35"/>
  <c r="P48" i="35"/>
  <c r="I64" i="35"/>
  <c r="G53" i="35"/>
  <c r="F53" i="35"/>
  <c r="J64" i="35"/>
  <c r="AM64" i="35"/>
  <c r="R66" i="35"/>
  <c r="N62" i="35"/>
  <c r="J72" i="35"/>
  <c r="T59" i="35"/>
  <c r="K40" i="35"/>
  <c r="K61" i="35"/>
  <c r="K59" i="35"/>
  <c r="O44" i="35"/>
  <c r="I55" i="35"/>
  <c r="R54" i="35"/>
  <c r="T40" i="35"/>
  <c r="P44" i="35"/>
  <c r="K60" i="35"/>
  <c r="G63" i="35"/>
  <c r="J66" i="35"/>
  <c r="F55" i="35"/>
  <c r="AN65" i="35"/>
  <c r="T45" i="35"/>
  <c r="N63" i="35"/>
  <c r="K64" i="35"/>
  <c r="T43" i="35"/>
  <c r="AL58" i="35"/>
  <c r="N44" i="35"/>
  <c r="S42" i="35"/>
  <c r="N66" i="35"/>
  <c r="F62" i="35"/>
  <c r="T58" i="35"/>
  <c r="AM62" i="35"/>
  <c r="Q53" i="35"/>
  <c r="H41" i="35"/>
  <c r="K43" i="35"/>
  <c r="S50" i="35"/>
  <c r="U48" i="35"/>
  <c r="H64" i="35"/>
  <c r="S54" i="35"/>
  <c r="AL72" i="35"/>
  <c r="P69" i="35"/>
  <c r="N53" i="35"/>
  <c r="I49" i="35"/>
  <c r="O58" i="35"/>
  <c r="O42" i="35"/>
  <c r="I61" i="35"/>
  <c r="J44" i="35"/>
  <c r="G62" i="35"/>
  <c r="P41" i="35"/>
  <c r="F40" i="35"/>
  <c r="Y55" i="35"/>
  <c r="H42" i="35"/>
  <c r="G65" i="35"/>
  <c r="Q54" i="35"/>
  <c r="H72" i="35"/>
  <c r="AN40" i="35"/>
  <c r="Q63" i="35"/>
  <c r="M43" i="35"/>
  <c r="P40" i="35"/>
  <c r="S44" i="35"/>
  <c r="N40" i="35"/>
  <c r="O40" i="35"/>
  <c r="L44" i="35"/>
  <c r="U54" i="35"/>
  <c r="L64" i="35"/>
  <c r="AN55" i="35"/>
  <c r="L59" i="35"/>
  <c r="Q43" i="35"/>
  <c r="W63" i="35"/>
  <c r="N69" i="35"/>
  <c r="I58" i="35"/>
  <c r="AM69" i="35"/>
  <c r="I41" i="35"/>
  <c r="K49" i="35"/>
  <c r="K69" i="35"/>
  <c r="V61" i="35"/>
  <c r="AN42" i="35"/>
  <c r="O54" i="35"/>
  <c r="I40" i="35"/>
  <c r="Q72" i="35"/>
  <c r="AL62" i="35"/>
  <c r="V40" i="35"/>
  <c r="AN66" i="35"/>
  <c r="M45" i="35"/>
  <c r="W42" i="35"/>
  <c r="AN45" i="35"/>
  <c r="V44" i="35"/>
  <c r="I66" i="35"/>
  <c r="O66" i="35"/>
  <c r="H50" i="35"/>
  <c r="AN48" i="35"/>
  <c r="U62" i="35"/>
  <c r="AN72" i="35"/>
  <c r="M54" i="35"/>
  <c r="P55" i="35"/>
  <c r="I59" i="35"/>
  <c r="N48" i="35"/>
  <c r="I53" i="35"/>
  <c r="L50" i="35"/>
  <c r="U41" i="35"/>
  <c r="AM72" i="35"/>
  <c r="L61" i="35"/>
  <c r="AO59" i="35"/>
  <c r="K50" i="35"/>
  <c r="L41" i="35"/>
  <c r="K54" i="35"/>
  <c r="M66" i="35"/>
  <c r="L70" i="35"/>
  <c r="P50" i="35"/>
  <c r="R69" i="35"/>
  <c r="U49" i="35"/>
  <c r="S69" i="35"/>
  <c r="U59" i="35"/>
  <c r="L58" i="35"/>
  <c r="F45" i="35"/>
  <c r="Q61" i="35"/>
  <c r="AN58" i="35"/>
  <c r="U60" i="35"/>
  <c r="U53" i="35"/>
  <c r="P70" i="35"/>
  <c r="AN59" i="35"/>
  <c r="Q42" i="35"/>
  <c r="Q40" i="35"/>
  <c r="AN41" i="35"/>
  <c r="S70" i="35"/>
  <c r="Q49" i="35"/>
  <c r="U45" i="35"/>
  <c r="L54" i="35"/>
  <c r="Q70" i="35"/>
  <c r="V50" i="35"/>
  <c r="AL49" i="35"/>
  <c r="W69" i="35"/>
  <c r="M61" i="35"/>
  <c r="AO61" i="35"/>
  <c r="W60" i="35"/>
  <c r="L63" i="35"/>
  <c r="Q48" i="35"/>
  <c r="Q44" i="35"/>
  <c r="V63" i="35"/>
  <c r="V48" i="35"/>
  <c r="L43" i="35"/>
  <c r="U63" i="35"/>
  <c r="L66" i="35"/>
  <c r="I60" i="35"/>
  <c r="L49" i="35"/>
  <c r="V53" i="35"/>
  <c r="V70" i="35"/>
  <c r="H45" i="35"/>
  <c r="U61" i="35"/>
  <c r="G69" i="35"/>
  <c r="G60" i="35"/>
  <c r="W44" i="35"/>
  <c r="AO63" i="35"/>
  <c r="U50" i="35"/>
  <c r="V43" i="35"/>
  <c r="M50" i="35"/>
  <c r="M69" i="35"/>
  <c r="U44" i="35"/>
  <c r="M72" i="35"/>
  <c r="I50" i="35"/>
  <c r="O70" i="35"/>
  <c r="L62" i="35"/>
  <c r="M63" i="35"/>
  <c r="M53" i="35"/>
  <c r="U64" i="35"/>
  <c r="T41" i="35"/>
  <c r="T61" i="35"/>
  <c r="AN60" i="35"/>
  <c r="U43" i="35"/>
  <c r="I62" i="35"/>
  <c r="M70" i="35"/>
  <c r="W66" i="35"/>
  <c r="L53" i="35"/>
  <c r="AO41" i="35"/>
  <c r="L45" i="35"/>
  <c r="L60" i="35"/>
  <c r="Q58" i="35"/>
  <c r="AN50" i="35"/>
  <c r="Q66" i="35"/>
  <c r="V72" i="35"/>
  <c r="V66" i="35"/>
  <c r="Q45" i="35"/>
  <c r="V62" i="35"/>
  <c r="L48" i="35"/>
  <c r="L40" i="35"/>
  <c r="I45" i="35"/>
  <c r="W43" i="35"/>
  <c r="M41" i="35"/>
  <c r="M58" i="35"/>
  <c r="N42" i="35"/>
  <c r="T69" i="35"/>
  <c r="X63" i="35"/>
  <c r="K70" i="35"/>
  <c r="L69" i="35"/>
  <c r="Q64" i="35"/>
  <c r="W50" i="35"/>
  <c r="AO43" i="35"/>
  <c r="N70" i="35"/>
  <c r="V45" i="35"/>
  <c r="AN70" i="35"/>
  <c r="V42" i="35"/>
  <c r="AO53" i="35"/>
  <c r="U66" i="35"/>
  <c r="M65" i="35"/>
  <c r="W53" i="35"/>
  <c r="U58" i="35"/>
  <c r="M59" i="35"/>
  <c r="AO48" i="35"/>
  <c r="AN61" i="35"/>
  <c r="L65" i="35"/>
  <c r="M49" i="35"/>
  <c r="W65" i="35"/>
  <c r="X66" i="35"/>
  <c r="V69" i="35"/>
  <c r="W72" i="35"/>
  <c r="W41" i="35"/>
  <c r="M64" i="35"/>
  <c r="I72" i="35"/>
  <c r="V64" i="35"/>
  <c r="V58" i="35"/>
  <c r="X48" i="35"/>
  <c r="W58" i="35"/>
  <c r="X41" i="35"/>
  <c r="V65" i="35"/>
  <c r="M42" i="35"/>
  <c r="Q50" i="35"/>
  <c r="V59" i="35"/>
  <c r="Q65" i="35"/>
  <c r="M48" i="35"/>
  <c r="Q60" i="35"/>
  <c r="G70" i="35"/>
  <c r="M44" i="35"/>
  <c r="Y58" i="35"/>
  <c r="H69" i="35"/>
  <c r="Y66" i="35"/>
  <c r="Z41" i="35"/>
  <c r="W45" i="35"/>
  <c r="W64" i="35"/>
  <c r="X59" i="35"/>
  <c r="W49" i="35"/>
  <c r="X40" i="35"/>
  <c r="X54" i="35"/>
  <c r="Z69" i="35"/>
  <c r="W59" i="35"/>
  <c r="W70" i="35"/>
  <c r="M40" i="35"/>
  <c r="U69" i="35"/>
  <c r="W54" i="35"/>
  <c r="Y48" i="35"/>
  <c r="X60" i="35"/>
  <c r="X70" i="35"/>
  <c r="AN63" i="35"/>
  <c r="W61" i="35"/>
  <c r="W48" i="35"/>
  <c r="Y41" i="35"/>
  <c r="V60" i="35"/>
  <c r="X62" i="35"/>
  <c r="AO65" i="35"/>
  <c r="W62" i="35"/>
  <c r="Z50" i="35"/>
  <c r="V54" i="35"/>
  <c r="Z40" i="35"/>
  <c r="X49" i="35"/>
  <c r="X43" i="35"/>
  <c r="M62" i="35"/>
  <c r="X69" i="35"/>
  <c r="Q69" i="35"/>
  <c r="Z53" i="35"/>
  <c r="Z60" i="35"/>
  <c r="X65" i="35"/>
  <c r="X50" i="35"/>
  <c r="V41" i="35"/>
  <c r="W40" i="35"/>
  <c r="H70" i="35"/>
  <c r="Y59" i="35"/>
  <c r="Z65" i="35"/>
  <c r="M60" i="35"/>
  <c r="V49" i="35"/>
  <c r="Z42" i="35"/>
  <c r="Y69" i="35"/>
  <c r="U70" i="35"/>
  <c r="Y44" i="35"/>
  <c r="Z62" i="35"/>
  <c r="Y50" i="35"/>
  <c r="Y60" i="35"/>
  <c r="Z48" i="35"/>
  <c r="Y49" i="35"/>
  <c r="AC45" i="35"/>
  <c r="Z61" i="35"/>
  <c r="Z63" i="35"/>
  <c r="X45" i="35"/>
  <c r="AN69" i="35"/>
  <c r="Z45" i="35"/>
  <c r="I69" i="35"/>
  <c r="X42" i="35"/>
  <c r="X64" i="35"/>
  <c r="Y54" i="35"/>
  <c r="Y43" i="35"/>
  <c r="AA44" i="35"/>
  <c r="Y53" i="35"/>
  <c r="F70" i="35"/>
  <c r="I70" i="35"/>
  <c r="Y45" i="35"/>
  <c r="Y72" i="35"/>
  <c r="T70" i="35"/>
  <c r="Z44" i="35"/>
  <c r="Y64" i="35"/>
  <c r="Y42" i="35"/>
  <c r="X72" i="35"/>
  <c r="X61" i="35"/>
  <c r="Z66" i="35"/>
  <c r="X58" i="35"/>
  <c r="X44" i="35"/>
  <c r="AA54" i="35"/>
  <c r="Y40" i="35"/>
  <c r="AA43" i="35"/>
  <c r="Y61" i="35"/>
  <c r="AA63" i="35"/>
  <c r="Y70" i="35"/>
  <c r="Y63" i="35"/>
  <c r="AB63" i="35"/>
  <c r="Z64" i="35"/>
  <c r="AA62" i="35"/>
  <c r="Z70" i="35"/>
  <c r="Z59" i="35"/>
  <c r="AA72" i="35"/>
  <c r="Z72" i="35"/>
  <c r="X53" i="35"/>
  <c r="AA61" i="35"/>
  <c r="Y62" i="35"/>
  <c r="AA45" i="35"/>
  <c r="AA60" i="35"/>
  <c r="AB62" i="35"/>
  <c r="AB65" i="35"/>
  <c r="AA66" i="35"/>
  <c r="AC58" i="35"/>
  <c r="Z49" i="35"/>
  <c r="AA49" i="35"/>
  <c r="AA59" i="35"/>
  <c r="AA65" i="35"/>
  <c r="AB50" i="35"/>
  <c r="AA64" i="35"/>
  <c r="Z43" i="35"/>
  <c r="AB49" i="35"/>
  <c r="AD54" i="35"/>
  <c r="AA42" i="35"/>
  <c r="AD41" i="35"/>
  <c r="Y65" i="35"/>
  <c r="AB54" i="35"/>
  <c r="AB53" i="35"/>
  <c r="Z58" i="35"/>
  <c r="AC53" i="35"/>
  <c r="AC70" i="35"/>
  <c r="AB45" i="35"/>
  <c r="AD48" i="35"/>
  <c r="AA70" i="35"/>
  <c r="AB58" i="35"/>
  <c r="AB40" i="35"/>
  <c r="AC62" i="35"/>
  <c r="AB70" i="35"/>
  <c r="Z54" i="35"/>
  <c r="AB48" i="35"/>
  <c r="AB44" i="35"/>
  <c r="AB61" i="35"/>
  <c r="AB64" i="35"/>
  <c r="AB66" i="35"/>
  <c r="AB41" i="35"/>
  <c r="AB69" i="35"/>
  <c r="AA48" i="35"/>
  <c r="AC61" i="35"/>
  <c r="AC50" i="35"/>
  <c r="AA41" i="35"/>
  <c r="AB60" i="35"/>
  <c r="AA58" i="35"/>
  <c r="AA69" i="35"/>
  <c r="AC60" i="35"/>
  <c r="AE70" i="35"/>
  <c r="AC48" i="35"/>
  <c r="AA40" i="35"/>
  <c r="AD53" i="35"/>
  <c r="AE60" i="35"/>
  <c r="AC54" i="35"/>
  <c r="AC63" i="35"/>
  <c r="AD64" i="35"/>
  <c r="AE62" i="35"/>
  <c r="AB59" i="35"/>
  <c r="AC65" i="35"/>
  <c r="AC66" i="35"/>
  <c r="AC43" i="35"/>
  <c r="AD40" i="35"/>
  <c r="AB42" i="35"/>
  <c r="AD50" i="35"/>
  <c r="AD62" i="35"/>
  <c r="AB72" i="35"/>
  <c r="AA53" i="35"/>
  <c r="AD60" i="35"/>
  <c r="AE65" i="35"/>
  <c r="AA50" i="35"/>
  <c r="AB43" i="35"/>
  <c r="AC72" i="35"/>
  <c r="AC73" i="35" s="1"/>
  <c r="AC59" i="35"/>
  <c r="AC42" i="35"/>
  <c r="AC40" i="35"/>
  <c r="AD63" i="35"/>
  <c r="AC41" i="35"/>
  <c r="AC49" i="35"/>
  <c r="AD61" i="35"/>
  <c r="AC64" i="35"/>
  <c r="AD69" i="35"/>
  <c r="AD73" i="35" s="1"/>
  <c r="AE50" i="35"/>
  <c r="AT3" i="35"/>
  <c r="H9" i="37"/>
  <c r="L11" i="42"/>
  <c r="AS15" i="37"/>
  <c r="Z9" i="37"/>
  <c r="AY15" i="37"/>
  <c r="M9" i="37"/>
  <c r="G9" i="37"/>
  <c r="V13" i="42"/>
  <c r="I9" i="37"/>
  <c r="BK15" i="37"/>
  <c r="AM15" i="37"/>
  <c r="L12" i="42"/>
  <c r="K11" i="42"/>
  <c r="K12" i="42"/>
  <c r="O9" i="37"/>
  <c r="BE15" i="37"/>
  <c r="J9" i="37"/>
  <c r="L9" i="37"/>
  <c r="S9" i="37"/>
  <c r="Q9" i="37"/>
  <c r="V14" i="42"/>
  <c r="N9" i="37"/>
  <c r="K9" i="37"/>
  <c r="AR59" i="35" l="1"/>
  <c r="CN14" i="35"/>
  <c r="AQ40" i="35"/>
  <c r="AS65" i="35"/>
  <c r="AP40" i="35"/>
  <c r="BB15" i="37"/>
  <c r="AY16" i="37"/>
  <c r="AZ15" i="37"/>
  <c r="AP15" i="37"/>
  <c r="AM16" i="37"/>
  <c r="AN15" i="37"/>
  <c r="BE16" i="37"/>
  <c r="BF15" i="37"/>
  <c r="BH15" i="37"/>
  <c r="AT15" i="37"/>
  <c r="AV15" i="37"/>
  <c r="AS16" i="37"/>
  <c r="BL15" i="37"/>
  <c r="BN15" i="37"/>
  <c r="BK16" i="37"/>
  <c r="AP48" i="35"/>
  <c r="AS63" i="35"/>
  <c r="AR53" i="35"/>
  <c r="DH73" i="2"/>
  <c r="DH4" i="14"/>
  <c r="DH4" i="13"/>
  <c r="DH4" i="12"/>
  <c r="DN74" i="2"/>
  <c r="DL4" i="2"/>
  <c r="DK4" i="2"/>
  <c r="DJ4" i="2"/>
  <c r="F20" i="25" s="1"/>
  <c r="G20" i="25" s="1"/>
  <c r="DS5" i="2"/>
  <c r="AU61" i="35" s="1"/>
  <c r="DN4" i="2"/>
  <c r="AM7" i="37" s="1"/>
  <c r="DM4" i="2"/>
  <c r="AT41" i="35"/>
  <c r="AP63" i="35"/>
  <c r="AP53" i="35"/>
  <c r="DG73" i="2"/>
  <c r="DG4" i="14"/>
  <c r="DG4" i="12"/>
  <c r="DG4" i="13"/>
  <c r="AU40" i="35"/>
  <c r="AR41" i="35"/>
  <c r="AR63" i="35"/>
  <c r="AQ65" i="35"/>
  <c r="AP61" i="35"/>
  <c r="AR61" i="35"/>
  <c r="DI73" i="2"/>
  <c r="DI4" i="12"/>
  <c r="DI4" i="14"/>
  <c r="DI4" i="13"/>
  <c r="AV43" i="35"/>
  <c r="AT61" i="35"/>
  <c r="AT59" i="35"/>
  <c r="AS48" i="35"/>
  <c r="AS43" i="35"/>
  <c r="AP43" i="35"/>
  <c r="Q7" i="37"/>
  <c r="DX233" i="14"/>
  <c r="DX234" i="14" s="1"/>
  <c r="AG79" i="35"/>
  <c r="AG148" i="35"/>
  <c r="AG154" i="35" s="1"/>
  <c r="AU59" i="35"/>
  <c r="AS53" i="35"/>
  <c r="AS41" i="35"/>
  <c r="AR43" i="35"/>
  <c r="AP65" i="35"/>
  <c r="DE73" i="2"/>
  <c r="DE4" i="14"/>
  <c r="DE4" i="12"/>
  <c r="DE4" i="13"/>
  <c r="AQ48" i="35"/>
  <c r="DF73" i="2"/>
  <c r="DF4" i="13"/>
  <c r="DF4" i="12"/>
  <c r="DF4" i="14"/>
  <c r="AV59" i="35"/>
  <c r="AS61" i="35"/>
  <c r="AQ59" i="35"/>
  <c r="AR48" i="35"/>
  <c r="AQ53" i="35"/>
  <c r="AS59" i="35"/>
  <c r="AQ43" i="35"/>
  <c r="AF79" i="35"/>
  <c r="AF148" i="35"/>
  <c r="AF154" i="35" s="1"/>
  <c r="AE79" i="35"/>
  <c r="AE148" i="35"/>
  <c r="AE154" i="35" s="1"/>
  <c r="AP41" i="35"/>
  <c r="AQ41" i="35"/>
  <c r="AD148" i="35"/>
  <c r="AD154" i="35" s="1"/>
  <c r="AD79" i="35"/>
  <c r="AS40" i="35"/>
  <c r="AR40" i="35"/>
  <c r="AQ61" i="35"/>
  <c r="AR65" i="35"/>
  <c r="AQ63" i="35"/>
  <c r="EB5" i="2"/>
  <c r="EB74" i="2" s="1"/>
  <c r="EA74" i="2"/>
  <c r="DX225" i="14"/>
  <c r="DX226" i="14" s="1"/>
  <c r="CR211" i="35"/>
  <c r="DX236" i="14"/>
  <c r="DX223" i="14"/>
  <c r="DX224" i="14" s="1"/>
  <c r="DW238" i="14"/>
  <c r="DW231" i="14"/>
  <c r="DX231" i="14" s="1"/>
  <c r="CR212" i="35"/>
  <c r="CR218" i="35" s="1"/>
  <c r="DX238" i="14"/>
  <c r="DV227" i="14"/>
  <c r="DV228" i="14" s="1"/>
  <c r="DV232" i="14"/>
  <c r="DM80" i="14"/>
  <c r="DM82" i="14"/>
  <c r="CM185" i="35"/>
  <c r="DM79" i="14"/>
  <c r="DN73" i="14"/>
  <c r="DM81" i="14"/>
  <c r="CJ185" i="35"/>
  <c r="CO185" i="35"/>
  <c r="CL185" i="35"/>
  <c r="CN185" i="35"/>
  <c r="CI185" i="35"/>
  <c r="CK185" i="35"/>
  <c r="DX181" i="14"/>
  <c r="DW151" i="14"/>
  <c r="DX151" i="14" s="1"/>
  <c r="DX152" i="14" s="1"/>
  <c r="DX153" i="14" s="1"/>
  <c r="DX194" i="14"/>
  <c r="DX193" i="14" s="1"/>
  <c r="DW198" i="14"/>
  <c r="DW175" i="14"/>
  <c r="DX170" i="14"/>
  <c r="DX169" i="14" s="1"/>
  <c r="DW163" i="14"/>
  <c r="DX158" i="14"/>
  <c r="DX157" i="14" s="1"/>
  <c r="DY179" i="14"/>
  <c r="DY182" i="14" s="1"/>
  <c r="DY186" i="14" s="1"/>
  <c r="DY187" i="14" s="1"/>
  <c r="DY188" i="14" s="1"/>
  <c r="DY191" i="14"/>
  <c r="DY155" i="14"/>
  <c r="DY167" i="14"/>
  <c r="DX186" i="14"/>
  <c r="DW187" i="14"/>
  <c r="P14" i="35"/>
  <c r="S14" i="35"/>
  <c r="N14" i="35"/>
  <c r="L14" i="35"/>
  <c r="Q14" i="35"/>
  <c r="O14" i="35"/>
  <c r="R14" i="35"/>
  <c r="M14" i="35"/>
  <c r="K14" i="35"/>
  <c r="T14" i="35"/>
  <c r="U14" i="35"/>
  <c r="J14" i="35"/>
  <c r="V14" i="35"/>
  <c r="Y14" i="35"/>
  <c r="X14" i="35"/>
  <c r="Z14" i="35"/>
  <c r="W14" i="35"/>
  <c r="AC14" i="35"/>
  <c r="AB14" i="35"/>
  <c r="AA14" i="35"/>
  <c r="AD14" i="35"/>
  <c r="AE14" i="35"/>
  <c r="J21" i="35"/>
  <c r="N21" i="35"/>
  <c r="K21" i="35"/>
  <c r="L21" i="35"/>
  <c r="M21" i="35"/>
  <c r="O21" i="35"/>
  <c r="P21" i="35"/>
  <c r="Q21" i="35"/>
  <c r="DX16" i="14"/>
  <c r="DX17" i="14" s="1"/>
  <c r="U10" i="37"/>
  <c r="AU10" i="37"/>
  <c r="Q10" i="37"/>
  <c r="BZ45" i="12"/>
  <c r="BZ69" i="12"/>
  <c r="AW41" i="35"/>
  <c r="AW61" i="35"/>
  <c r="AW59" i="35"/>
  <c r="O10" i="37"/>
  <c r="AC9" i="37"/>
  <c r="AA9" i="37"/>
  <c r="Z10" i="37"/>
  <c r="M10" i="37"/>
  <c r="AH10" i="37"/>
  <c r="T9" i="37"/>
  <c r="S10" i="37"/>
  <c r="V9" i="37"/>
  <c r="X9" i="37"/>
  <c r="N10" i="37"/>
  <c r="AO10" i="37"/>
  <c r="L10" i="37"/>
  <c r="AB10" i="37"/>
  <c r="DU24" i="2"/>
  <c r="N73" i="35"/>
  <c r="W73" i="35"/>
  <c r="Y21" i="35"/>
  <c r="V21" i="35"/>
  <c r="X21" i="35"/>
  <c r="AA21" i="35"/>
  <c r="AC21" i="35"/>
  <c r="S73" i="35"/>
  <c r="DX38" i="14"/>
  <c r="T21" i="35"/>
  <c r="W21" i="35"/>
  <c r="S21" i="35"/>
  <c r="DY30" i="14"/>
  <c r="DY28" i="14"/>
  <c r="DY7" i="14"/>
  <c r="DY153" i="14" s="1"/>
  <c r="DZ27" i="14"/>
  <c r="DZ143" i="14" s="1"/>
  <c r="DZ146" i="14" s="1"/>
  <c r="DZ150" i="14" s="1"/>
  <c r="DZ151" i="14" s="1"/>
  <c r="DZ152" i="14" s="1"/>
  <c r="DY36" i="14"/>
  <c r="R21" i="35"/>
  <c r="DV23" i="2"/>
  <c r="AV40" i="35"/>
  <c r="U21" i="35"/>
  <c r="DW19" i="14"/>
  <c r="DX18" i="14"/>
  <c r="DX19" i="14" s="1"/>
  <c r="DX7" i="2"/>
  <c r="CR33" i="35" s="1"/>
  <c r="CR183" i="35" s="1"/>
  <c r="DW14" i="2"/>
  <c r="DX14" i="2" s="1"/>
  <c r="DW8" i="2"/>
  <c r="AL73" i="35"/>
  <c r="U73" i="35"/>
  <c r="J73" i="35"/>
  <c r="AA73" i="35"/>
  <c r="I73" i="35"/>
  <c r="G73" i="35"/>
  <c r="Q73" i="35"/>
  <c r="R73" i="35"/>
  <c r="F73" i="35"/>
  <c r="Y73" i="35"/>
  <c r="CL53" i="35"/>
  <c r="CK42" i="35"/>
  <c r="CK43" i="35" s="1"/>
  <c r="CN50" i="35"/>
  <c r="CN55" i="35" s="1"/>
  <c r="CL54" i="35"/>
  <c r="CM66" i="35"/>
  <c r="CJ65" i="35"/>
  <c r="CK49" i="35"/>
  <c r="CK62" i="35"/>
  <c r="CM64" i="35"/>
  <c r="CK58" i="35"/>
  <c r="CN61" i="35"/>
  <c r="CK63" i="35"/>
  <c r="CJ66" i="35"/>
  <c r="CI49" i="35"/>
  <c r="CJ53" i="35"/>
  <c r="CH48" i="35"/>
  <c r="CO50" i="35"/>
  <c r="CO55" i="35" s="1"/>
  <c r="CM44" i="35"/>
  <c r="CI59" i="35"/>
  <c r="CH64" i="35"/>
  <c r="CI58" i="35"/>
  <c r="CL40" i="35"/>
  <c r="CL41" i="35" s="1"/>
  <c r="CM49" i="35"/>
  <c r="CN59" i="35"/>
  <c r="CJ44" i="35"/>
  <c r="CL58" i="35"/>
  <c r="CJ49" i="35"/>
  <c r="CO60" i="35"/>
  <c r="CN49" i="35"/>
  <c r="CJ48" i="35"/>
  <c r="CM45" i="35"/>
  <c r="CM62" i="35"/>
  <c r="CO62" i="35"/>
  <c r="CI61" i="35"/>
  <c r="CJ60" i="35"/>
  <c r="CK40" i="35"/>
  <c r="CK41" i="35" s="1"/>
  <c r="CI42" i="35"/>
  <c r="CI43" i="35" s="1"/>
  <c r="CN64" i="35"/>
  <c r="CO58" i="35"/>
  <c r="CM40" i="35"/>
  <c r="CM41" i="35" s="1"/>
  <c r="CL60" i="35"/>
  <c r="CO44" i="35"/>
  <c r="CH60" i="35"/>
  <c r="CJ40" i="35"/>
  <c r="CJ41" i="35" s="1"/>
  <c r="CI40" i="35"/>
  <c r="CI41" i="35" s="1"/>
  <c r="CN62" i="35"/>
  <c r="CJ42" i="35"/>
  <c r="CJ43" i="35" s="1"/>
  <c r="CL45" i="35"/>
  <c r="CH61" i="35"/>
  <c r="CL62" i="35"/>
  <c r="CI50" i="35"/>
  <c r="CI55" i="35" s="1"/>
  <c r="CJ62" i="35"/>
  <c r="CO59" i="35"/>
  <c r="CM58" i="35"/>
  <c r="CI48" i="35"/>
  <c r="CI63" i="35"/>
  <c r="CK50" i="35"/>
  <c r="CK55" i="35" s="1"/>
  <c r="CH49" i="35"/>
  <c r="CL48" i="35"/>
  <c r="CI53" i="35"/>
  <c r="CL64" i="35"/>
  <c r="CK54" i="35"/>
  <c r="CH58" i="35"/>
  <c r="CH62" i="35"/>
  <c r="CH40" i="35"/>
  <c r="CH41" i="35" s="1"/>
  <c r="CO40" i="35"/>
  <c r="CO41" i="35" s="1"/>
  <c r="CK48" i="35"/>
  <c r="CN40" i="35"/>
  <c r="CN41" i="35" s="1"/>
  <c r="CN58" i="35"/>
  <c r="CJ54" i="35"/>
  <c r="CH54" i="35"/>
  <c r="CO53" i="35"/>
  <c r="CL50" i="35"/>
  <c r="CL55" i="35" s="1"/>
  <c r="CN66" i="35"/>
  <c r="CH44" i="35"/>
  <c r="CO64" i="35"/>
  <c r="CL42" i="35"/>
  <c r="CL43" i="35" s="1"/>
  <c r="CO45" i="35"/>
  <c r="CM63" i="35"/>
  <c r="CI62" i="35"/>
  <c r="F23" i="25"/>
  <c r="G23" i="25" s="1"/>
  <c r="CL44" i="35"/>
  <c r="CN60" i="35"/>
  <c r="CN48" i="35"/>
  <c r="CL59" i="35"/>
  <c r="CI66" i="35"/>
  <c r="CH59" i="35"/>
  <c r="CK53" i="35"/>
  <c r="CM61" i="35"/>
  <c r="CH42" i="35"/>
  <c r="CH43" i="35" s="1"/>
  <c r="CM65" i="35"/>
  <c r="CK59" i="35"/>
  <c r="CL49" i="35"/>
  <c r="CJ64" i="35"/>
  <c r="CK64" i="35"/>
  <c r="CJ61" i="35"/>
  <c r="CN53" i="35"/>
  <c r="CM53" i="35"/>
  <c r="CL66" i="35"/>
  <c r="CN45" i="35"/>
  <c r="CI54" i="35"/>
  <c r="CJ59" i="35"/>
  <c r="F18" i="25"/>
  <c r="CO61" i="35"/>
  <c r="CK66" i="35"/>
  <c r="CH65" i="35"/>
  <c r="CI60" i="35"/>
  <c r="CM42" i="35"/>
  <c r="CM43" i="35" s="1"/>
  <c r="CI64" i="35"/>
  <c r="CI65" i="35"/>
  <c r="CN42" i="35"/>
  <c r="CN43" i="35" s="1"/>
  <c r="CK44" i="35"/>
  <c r="CM60" i="35"/>
  <c r="CK65" i="35"/>
  <c r="CK61" i="35"/>
  <c r="CO54" i="35"/>
  <c r="CK60" i="35"/>
  <c r="CO63" i="35"/>
  <c r="CI44" i="35"/>
  <c r="CH45" i="35"/>
  <c r="CH53" i="35"/>
  <c r="CK45" i="35"/>
  <c r="CH63" i="35"/>
  <c r="CO66" i="35"/>
  <c r="CJ50" i="35"/>
  <c r="CJ55" i="35" s="1"/>
  <c r="CM59" i="35"/>
  <c r="CJ58" i="35"/>
  <c r="CO42" i="35"/>
  <c r="CO43" i="35" s="1"/>
  <c r="CH50" i="35"/>
  <c r="CH55" i="35" s="1"/>
  <c r="CL63" i="35"/>
  <c r="CL65" i="35"/>
  <c r="CN44" i="35"/>
  <c r="CN65" i="35"/>
  <c r="CO48" i="35"/>
  <c r="CN54" i="35"/>
  <c r="CM50" i="35"/>
  <c r="CM55" i="35" s="1"/>
  <c r="CL61" i="35"/>
  <c r="CI45" i="35"/>
  <c r="CP40" i="35"/>
  <c r="CP41" i="35" s="1"/>
  <c r="CO49" i="35"/>
  <c r="CI69" i="35"/>
  <c r="CO69" i="35"/>
  <c r="CO65" i="35"/>
  <c r="CM54" i="35"/>
  <c r="CH66" i="35"/>
  <c r="CM48" i="35"/>
  <c r="CJ63" i="35"/>
  <c r="CJ45" i="35"/>
  <c r="CN63" i="35"/>
  <c r="L18" i="25"/>
  <c r="CJ69" i="35"/>
  <c r="CM70" i="35"/>
  <c r="CJ70" i="35"/>
  <c r="CI70" i="35"/>
  <c r="CK69" i="35"/>
  <c r="CN70" i="35"/>
  <c r="CM69" i="35"/>
  <c r="CH70" i="35"/>
  <c r="CK70" i="35"/>
  <c r="CL69" i="35"/>
  <c r="CO70" i="35"/>
  <c r="CL70" i="35"/>
  <c r="CN69" i="35"/>
  <c r="AN73" i="35"/>
  <c r="T73" i="35"/>
  <c r="AB73" i="35"/>
  <c r="H73" i="35"/>
  <c r="CG47" i="12"/>
  <c r="CG49" i="12" s="1"/>
  <c r="CG7" i="12"/>
  <c r="CG14" i="12"/>
  <c r="CG22" i="12" s="1"/>
  <c r="CG23" i="12" s="1"/>
  <c r="CG45" i="12" s="1"/>
  <c r="O73" i="35"/>
  <c r="V73" i="35"/>
  <c r="M73" i="35"/>
  <c r="P73" i="35"/>
  <c r="CH50" i="13"/>
  <c r="CH52" i="13" s="1"/>
  <c r="CH8" i="12" s="1"/>
  <c r="CI47" i="13"/>
  <c r="CI48" i="13" s="1"/>
  <c r="X73" i="35"/>
  <c r="K73" i="35"/>
  <c r="CD47" i="12"/>
  <c r="CD14" i="12"/>
  <c r="CD7" i="12"/>
  <c r="CE7" i="12" s="1"/>
  <c r="CE8" i="12"/>
  <c r="CF22" i="12"/>
  <c r="CF23" i="12" s="1"/>
  <c r="CF45" i="12" s="1"/>
  <c r="AM73" i="35"/>
  <c r="Z73" i="35"/>
  <c r="L73" i="35"/>
  <c r="AU3" i="35"/>
  <c r="BQ15" i="37"/>
  <c r="Z13" i="42"/>
  <c r="Z14" i="42"/>
  <c r="DX239" i="14" l="1"/>
  <c r="CR210" i="35"/>
  <c r="CR216" i="35" s="1"/>
  <c r="AW43" i="35"/>
  <c r="AT65" i="35"/>
  <c r="AT43" i="35"/>
  <c r="AW63" i="35"/>
  <c r="F21" i="25"/>
  <c r="G21" i="25" s="1"/>
  <c r="AU43" i="35"/>
  <c r="AU41" i="35"/>
  <c r="AT40" i="35"/>
  <c r="AT53" i="35"/>
  <c r="AU48" i="35"/>
  <c r="AV61" i="35"/>
  <c r="CO14" i="35"/>
  <c r="AV63" i="35"/>
  <c r="AU53" i="35"/>
  <c r="AV65" i="35"/>
  <c r="AT48" i="35"/>
  <c r="BT15" i="37"/>
  <c r="BR15" i="37"/>
  <c r="BQ16" i="37"/>
  <c r="AK148" i="35"/>
  <c r="AK154" i="35" s="1"/>
  <c r="AK79" i="35"/>
  <c r="CP48" i="35"/>
  <c r="CP53" i="35"/>
  <c r="L23" i="25"/>
  <c r="M23" i="25" s="1"/>
  <c r="F22" i="25"/>
  <c r="G22" i="25" s="1"/>
  <c r="DN73" i="2"/>
  <c r="DN4" i="14"/>
  <c r="DN4" i="12"/>
  <c r="DN4" i="13"/>
  <c r="AI148" i="35"/>
  <c r="AI154" i="35" s="1"/>
  <c r="AI79" i="35"/>
  <c r="DM73" i="2"/>
  <c r="DM4" i="13"/>
  <c r="DM4" i="14"/>
  <c r="DM4" i="12"/>
  <c r="AF7" i="37"/>
  <c r="L20" i="25"/>
  <c r="M20" i="25" s="1"/>
  <c r="DS74" i="2"/>
  <c r="DO4" i="2"/>
  <c r="DQ4" i="2"/>
  <c r="DX5" i="2"/>
  <c r="DR4" i="2"/>
  <c r="DP4" i="2"/>
  <c r="DS4" i="2"/>
  <c r="AT63" i="35"/>
  <c r="AV41" i="35"/>
  <c r="AU63" i="35"/>
  <c r="DJ73" i="2"/>
  <c r="DJ4" i="14"/>
  <c r="DJ4" i="13"/>
  <c r="DJ4" i="12"/>
  <c r="L21" i="25"/>
  <c r="M21" i="25" s="1"/>
  <c r="DK73" i="2"/>
  <c r="DK4" i="14"/>
  <c r="DK4" i="12"/>
  <c r="DK4" i="13"/>
  <c r="S7" i="37"/>
  <c r="CO208" i="35"/>
  <c r="CO214" i="35" s="1"/>
  <c r="J5" i="45"/>
  <c r="J27" i="45" s="1"/>
  <c r="J39" i="45" s="1"/>
  <c r="J52" i="45" s="1"/>
  <c r="J56" i="45" s="1"/>
  <c r="AJ148" i="35"/>
  <c r="AJ154" i="35" s="1"/>
  <c r="AJ79" i="35"/>
  <c r="DL73" i="2"/>
  <c r="DL4" i="13"/>
  <c r="DL4" i="12"/>
  <c r="DL4" i="14"/>
  <c r="Z7" i="37"/>
  <c r="CQ48" i="35"/>
  <c r="L22" i="25"/>
  <c r="M22" i="25" s="1"/>
  <c r="AH79" i="35"/>
  <c r="AH148" i="35"/>
  <c r="AH154" i="35" s="1"/>
  <c r="CR209" i="35"/>
  <c r="CR215" i="35" s="1"/>
  <c r="DX232" i="14"/>
  <c r="DX227" i="14"/>
  <c r="DX228" i="14" s="1"/>
  <c r="CR217" i="35"/>
  <c r="DW239" i="14"/>
  <c r="DW232" i="14"/>
  <c r="DW227" i="14"/>
  <c r="DW228" i="14" s="1"/>
  <c r="DY237" i="14"/>
  <c r="DY233" i="14"/>
  <c r="DY235" i="14"/>
  <c r="CO144" i="35"/>
  <c r="CI146" i="35"/>
  <c r="CN145" i="35"/>
  <c r="CJ146" i="35"/>
  <c r="CL144" i="35"/>
  <c r="CO147" i="35"/>
  <c r="CL147" i="35"/>
  <c r="CJ145" i="35"/>
  <c r="CO146" i="35"/>
  <c r="CN146" i="35"/>
  <c r="CI145" i="35"/>
  <c r="CK146" i="35"/>
  <c r="CK144" i="35"/>
  <c r="CI144" i="35"/>
  <c r="CN144" i="35"/>
  <c r="CN147" i="35"/>
  <c r="CJ147" i="35"/>
  <c r="CM147" i="35"/>
  <c r="CM146" i="35"/>
  <c r="CM144" i="35"/>
  <c r="CK145" i="35"/>
  <c r="CL145" i="35"/>
  <c r="CL146" i="35"/>
  <c r="CJ144" i="35"/>
  <c r="CI147" i="35"/>
  <c r="CO145" i="35"/>
  <c r="CM145" i="35"/>
  <c r="CK147" i="35"/>
  <c r="CM67" i="35"/>
  <c r="CJ67" i="35"/>
  <c r="CI67" i="35"/>
  <c r="CO67" i="35"/>
  <c r="CK67" i="35"/>
  <c r="CL67" i="35"/>
  <c r="CN67" i="35"/>
  <c r="CH67" i="35"/>
  <c r="DW152" i="14"/>
  <c r="DW153" i="14" s="1"/>
  <c r="DY189" i="14"/>
  <c r="DW176" i="14"/>
  <c r="DW177" i="14" s="1"/>
  <c r="DX175" i="14"/>
  <c r="DX176" i="14" s="1"/>
  <c r="DX177" i="14" s="1"/>
  <c r="DW164" i="14"/>
  <c r="DW165" i="14" s="1"/>
  <c r="DX163" i="14"/>
  <c r="DX164" i="14" s="1"/>
  <c r="DX165" i="14" s="1"/>
  <c r="DY194" i="14"/>
  <c r="DY198" i="14" s="1"/>
  <c r="DY199" i="14" s="1"/>
  <c r="DY200" i="14" s="1"/>
  <c r="DY201" i="14" s="1"/>
  <c r="DY158" i="14"/>
  <c r="DY162" i="14" s="1"/>
  <c r="DY170" i="14"/>
  <c r="DY174" i="14" s="1"/>
  <c r="DX198" i="14"/>
  <c r="DW199" i="14"/>
  <c r="DZ179" i="14"/>
  <c r="DZ182" i="14" s="1"/>
  <c r="DZ186" i="14" s="1"/>
  <c r="DZ187" i="14" s="1"/>
  <c r="DZ188" i="14" s="1"/>
  <c r="DZ191" i="14"/>
  <c r="DZ194" i="14" s="1"/>
  <c r="DZ198" i="14" s="1"/>
  <c r="DZ199" i="14" s="1"/>
  <c r="DZ200" i="14" s="1"/>
  <c r="DZ167" i="14"/>
  <c r="DZ155" i="14"/>
  <c r="DW188" i="14"/>
  <c r="DW189" i="14" s="1"/>
  <c r="DX187" i="14"/>
  <c r="DX188" i="14" s="1"/>
  <c r="DX189" i="14" s="1"/>
  <c r="CJ14" i="35"/>
  <c r="CI14" i="35"/>
  <c r="CK14" i="35"/>
  <c r="CL14" i="35"/>
  <c r="CM14" i="35"/>
  <c r="DX15" i="2"/>
  <c r="DX16" i="2" s="1"/>
  <c r="DY16" i="14"/>
  <c r="DY8" i="14"/>
  <c r="DY18" i="14"/>
  <c r="DY19" i="14" s="1"/>
  <c r="DY9" i="14"/>
  <c r="DX8" i="2"/>
  <c r="DV24" i="2"/>
  <c r="AV53" i="35" s="1"/>
  <c r="AV48" i="35"/>
  <c r="DY37" i="14"/>
  <c r="DY7" i="2"/>
  <c r="AX33" i="35" s="1"/>
  <c r="DY38" i="14"/>
  <c r="EA27" i="14"/>
  <c r="EA143" i="14" s="1"/>
  <c r="DZ28" i="14"/>
  <c r="DZ30" i="14"/>
  <c r="DZ36" i="14"/>
  <c r="DZ7" i="14"/>
  <c r="DZ153" i="14" s="1"/>
  <c r="DW23" i="2"/>
  <c r="AW40" i="35"/>
  <c r="CE14" i="12"/>
  <c r="CE71" i="12" s="1"/>
  <c r="CD22" i="12"/>
  <c r="CE22" i="12" s="1"/>
  <c r="AD14" i="25"/>
  <c r="N19" i="26"/>
  <c r="CH19" i="35"/>
  <c r="CM19" i="35"/>
  <c r="CM26" i="35" s="1"/>
  <c r="CM20" i="35"/>
  <c r="CM27" i="35" s="1"/>
  <c r="F13" i="25"/>
  <c r="G13" i="25" s="1"/>
  <c r="CN18" i="35"/>
  <c r="CN25" i="35" s="1"/>
  <c r="CN20" i="35"/>
  <c r="CN27" i="35" s="1"/>
  <c r="CK22" i="35"/>
  <c r="M20" i="26"/>
  <c r="M22" i="26" s="1"/>
  <c r="M23" i="26" s="1"/>
  <c r="CH22" i="35"/>
  <c r="CL18" i="35"/>
  <c r="CL25" i="35" s="1"/>
  <c r="CM22" i="35"/>
  <c r="CI19" i="35"/>
  <c r="CI26" i="35" s="1"/>
  <c r="CH20" i="35"/>
  <c r="CL15" i="35"/>
  <c r="CL20" i="35"/>
  <c r="CL27" i="35" s="1"/>
  <c r="CJ20" i="35"/>
  <c r="CJ27" i="35" s="1"/>
  <c r="N20" i="26"/>
  <c r="CI22" i="35"/>
  <c r="CO19" i="35"/>
  <c r="CO26" i="35" s="1"/>
  <c r="CI20" i="35"/>
  <c r="CI27" i="35" s="1"/>
  <c r="CO18" i="35"/>
  <c r="CO25" i="35" s="1"/>
  <c r="L17" i="25"/>
  <c r="M17" i="25" s="1"/>
  <c r="F16" i="25"/>
  <c r="CK18" i="35"/>
  <c r="CK25" i="35" s="1"/>
  <c r="CJ18" i="35"/>
  <c r="CJ25" i="35" s="1"/>
  <c r="CN22" i="35"/>
  <c r="CO15" i="35"/>
  <c r="CK20" i="35"/>
  <c r="CK27" i="35" s="1"/>
  <c r="CK15" i="35"/>
  <c r="CO22" i="35"/>
  <c r="CJ15" i="35"/>
  <c r="CJ19" i="35"/>
  <c r="CJ26" i="35" s="1"/>
  <c r="CM15" i="35"/>
  <c r="CN19" i="35"/>
  <c r="CN26" i="35" s="1"/>
  <c r="CH18" i="35"/>
  <c r="CK19" i="35"/>
  <c r="CK26" i="35" s="1"/>
  <c r="F12" i="25"/>
  <c r="F19" i="25" s="1"/>
  <c r="G19" i="25" s="1"/>
  <c r="CI15" i="35"/>
  <c r="CL22" i="35"/>
  <c r="CM18" i="35"/>
  <c r="CM25" i="35" s="1"/>
  <c r="CN15" i="35"/>
  <c r="F15" i="25"/>
  <c r="G15" i="25" s="1"/>
  <c r="CI18" i="35"/>
  <c r="CI25" i="35" s="1"/>
  <c r="CO20" i="35"/>
  <c r="CO27" i="35" s="1"/>
  <c r="CL19" i="35"/>
  <c r="CL26" i="35" s="1"/>
  <c r="F11" i="25"/>
  <c r="G11" i="25" s="1"/>
  <c r="CJ22" i="35"/>
  <c r="CD49" i="12"/>
  <c r="CE49" i="12" s="1"/>
  <c r="CE47" i="12"/>
  <c r="M18" i="25"/>
  <c r="G18" i="25"/>
  <c r="CK47" i="13"/>
  <c r="CK48" i="13" s="1"/>
  <c r="CI50" i="13"/>
  <c r="CJ48" i="13"/>
  <c r="CO47" i="13" s="1"/>
  <c r="CH7" i="12"/>
  <c r="CH14" i="12"/>
  <c r="CH22" i="12" s="1"/>
  <c r="CH23" i="12" s="1"/>
  <c r="CH45" i="12" s="1"/>
  <c r="CH47" i="12"/>
  <c r="CH49" i="12" s="1"/>
  <c r="AV3" i="35"/>
  <c r="AD13" i="42"/>
  <c r="BW15" i="37"/>
  <c r="AD14" i="42"/>
  <c r="L14" i="25" l="1"/>
  <c r="M14" i="25" s="1"/>
  <c r="AV15" i="25" s="1"/>
  <c r="AW15" i="25" s="1"/>
  <c r="CP146" i="35"/>
  <c r="CP159" i="35" s="1"/>
  <c r="O19" i="26"/>
  <c r="F14" i="25"/>
  <c r="AO15" i="25" s="1"/>
  <c r="AD11" i="25"/>
  <c r="AE11" i="25" s="1"/>
  <c r="F10" i="25"/>
  <c r="G10" i="25" s="1"/>
  <c r="F17" i="25"/>
  <c r="G17" i="25" s="1"/>
  <c r="BZ15" i="37"/>
  <c r="BX15" i="37"/>
  <c r="BW16" i="37"/>
  <c r="AO79" i="35"/>
  <c r="AO148" i="35"/>
  <c r="AO154" i="35" s="1"/>
  <c r="AD17" i="25"/>
  <c r="AE17" i="25" s="1"/>
  <c r="CP145" i="35"/>
  <c r="CP158" i="35" s="1"/>
  <c r="CP144" i="35"/>
  <c r="CP157" i="35" s="1"/>
  <c r="AN79" i="35"/>
  <c r="AN148" i="35"/>
  <c r="AN154" i="35" s="1"/>
  <c r="DS73" i="2"/>
  <c r="DS4" i="12"/>
  <c r="DS4" i="14"/>
  <c r="DS4" i="13"/>
  <c r="BQ7" i="37"/>
  <c r="AM79" i="35"/>
  <c r="AM148" i="35"/>
  <c r="AM154" i="35" s="1"/>
  <c r="DP73" i="2"/>
  <c r="DP4" i="14"/>
  <c r="DP4" i="12"/>
  <c r="DP4" i="13"/>
  <c r="AY7" i="37"/>
  <c r="DR73" i="2"/>
  <c r="DR4" i="13"/>
  <c r="DR4" i="12"/>
  <c r="DR4" i="14"/>
  <c r="BK7" i="37"/>
  <c r="DX74" i="2"/>
  <c r="DW4" i="2"/>
  <c r="DT4" i="2"/>
  <c r="DU4" i="2"/>
  <c r="DX4" i="2"/>
  <c r="EC5" i="2"/>
  <c r="DV4" i="2"/>
  <c r="AZ41" i="35"/>
  <c r="AX63" i="35"/>
  <c r="AX59" i="35"/>
  <c r="AY59" i="35"/>
  <c r="BA63" i="35"/>
  <c r="BW7" i="37"/>
  <c r="AY43" i="35"/>
  <c r="AZ63" i="35"/>
  <c r="AZ59" i="35"/>
  <c r="AY61" i="35"/>
  <c r="AX41" i="35"/>
  <c r="BA59" i="35"/>
  <c r="AZ61" i="35"/>
  <c r="AY63" i="35"/>
  <c r="BA43" i="35"/>
  <c r="AZ43" i="35"/>
  <c r="AX43" i="35"/>
  <c r="AX61" i="35"/>
  <c r="BA61" i="35"/>
  <c r="AY41" i="35"/>
  <c r="BA41" i="35"/>
  <c r="L10" i="25"/>
  <c r="M10" i="25" s="1"/>
  <c r="L11" i="25"/>
  <c r="M11" i="25" s="1"/>
  <c r="AD10" i="25"/>
  <c r="AE10" i="25" s="1"/>
  <c r="AD15" i="25"/>
  <c r="AE15" i="25" s="1"/>
  <c r="X14" i="25"/>
  <c r="Y14" i="25" s="1"/>
  <c r="DQ73" i="2"/>
  <c r="DQ4" i="12"/>
  <c r="DQ4" i="13"/>
  <c r="DQ4" i="14"/>
  <c r="BE7" i="37"/>
  <c r="X10" i="25"/>
  <c r="Y10" i="25" s="1"/>
  <c r="DO73" i="2"/>
  <c r="DO4" i="12"/>
  <c r="DO4" i="14"/>
  <c r="AR10" i="25" s="1"/>
  <c r="AS10" i="25" s="1"/>
  <c r="DO4" i="13"/>
  <c r="CQ40" i="35"/>
  <c r="CQ41" i="35" s="1"/>
  <c r="CQ53" i="35"/>
  <c r="AS7" i="37"/>
  <c r="X17" i="25"/>
  <c r="Y17" i="25" s="1"/>
  <c r="L16" i="25"/>
  <c r="M16" i="25" s="1"/>
  <c r="AV17" i="25" s="1"/>
  <c r="AW17" i="25" s="1"/>
  <c r="L15" i="25"/>
  <c r="M15" i="25" s="1"/>
  <c r="X11" i="25"/>
  <c r="Y11" i="25" s="1"/>
  <c r="L13" i="25"/>
  <c r="M13" i="25" s="1"/>
  <c r="AL79" i="35"/>
  <c r="AL148" i="35"/>
  <c r="AL154" i="35" s="1"/>
  <c r="CP208" i="35"/>
  <c r="CP214" i="35" s="1"/>
  <c r="K5" i="45"/>
  <c r="K27" i="45" s="1"/>
  <c r="K39" i="45" s="1"/>
  <c r="K52" i="45" s="1"/>
  <c r="K56" i="45" s="1"/>
  <c r="L12" i="25"/>
  <c r="M12" i="25" s="1"/>
  <c r="AV13" i="25" s="1"/>
  <c r="AW13" i="25" s="1"/>
  <c r="X15" i="25"/>
  <c r="Y15" i="25" s="1"/>
  <c r="DZ237" i="14"/>
  <c r="DZ233" i="14"/>
  <c r="DZ234" i="14" s="1"/>
  <c r="DZ235" i="14"/>
  <c r="DZ236" i="14" s="1"/>
  <c r="DY231" i="14"/>
  <c r="DY236" i="14"/>
  <c r="DY234" i="14"/>
  <c r="DY238" i="14"/>
  <c r="CI148" i="35"/>
  <c r="CM148" i="35"/>
  <c r="CK151" i="35"/>
  <c r="CK157" i="35"/>
  <c r="CL148" i="35"/>
  <c r="CK148" i="35"/>
  <c r="CJ148" i="35"/>
  <c r="CO148" i="35"/>
  <c r="CM158" i="35"/>
  <c r="CM152" i="35"/>
  <c r="CL152" i="35"/>
  <c r="CL158" i="35"/>
  <c r="CK153" i="35"/>
  <c r="CK159" i="35"/>
  <c r="CL151" i="35"/>
  <c r="CL157" i="35"/>
  <c r="CO152" i="35"/>
  <c r="CO158" i="35"/>
  <c r="CK152" i="35"/>
  <c r="CK158" i="35"/>
  <c r="CN148" i="35"/>
  <c r="CI152" i="35"/>
  <c r="CJ159" i="35"/>
  <c r="CJ153" i="35"/>
  <c r="CM151" i="35"/>
  <c r="CM157" i="35"/>
  <c r="CN152" i="35"/>
  <c r="CN158" i="35"/>
  <c r="CN151" i="35"/>
  <c r="CN157" i="35"/>
  <c r="CN153" i="35"/>
  <c r="CN159" i="35"/>
  <c r="CI153" i="35"/>
  <c r="CJ151" i="35"/>
  <c r="CJ157" i="35"/>
  <c r="CI151" i="35"/>
  <c r="CO153" i="35"/>
  <c r="CO159" i="35"/>
  <c r="CO151" i="35"/>
  <c r="CO157" i="35"/>
  <c r="CL159" i="35"/>
  <c r="CL153" i="35"/>
  <c r="CM153" i="35"/>
  <c r="CM159" i="35"/>
  <c r="CJ158" i="35"/>
  <c r="CJ152" i="35"/>
  <c r="EA146" i="14"/>
  <c r="EA150" i="14" s="1"/>
  <c r="DX199" i="14"/>
  <c r="DX200" i="14" s="1"/>
  <c r="DX201" i="14" s="1"/>
  <c r="DW200" i="14"/>
  <c r="DW201" i="14" s="1"/>
  <c r="DZ170" i="14"/>
  <c r="DZ174" i="14" s="1"/>
  <c r="DZ158" i="14"/>
  <c r="DZ162" i="14" s="1"/>
  <c r="DY163" i="14"/>
  <c r="DY164" i="14" s="1"/>
  <c r="DY165" i="14" s="1"/>
  <c r="DY175" i="14"/>
  <c r="DY176" i="14" s="1"/>
  <c r="DY177" i="14" s="1"/>
  <c r="DZ189" i="14"/>
  <c r="DZ201" i="14"/>
  <c r="EA179" i="14"/>
  <c r="EA182" i="14" s="1"/>
  <c r="EA186" i="14" s="1"/>
  <c r="EA187" i="14" s="1"/>
  <c r="EA188" i="14" s="1"/>
  <c r="EA191" i="14"/>
  <c r="EA167" i="14"/>
  <c r="EA155" i="14"/>
  <c r="CD23" i="12"/>
  <c r="DY14" i="2"/>
  <c r="DY8" i="2"/>
  <c r="DZ37" i="14"/>
  <c r="DZ7" i="2"/>
  <c r="AY33" i="35" s="1"/>
  <c r="DZ38" i="14"/>
  <c r="DZ9" i="14"/>
  <c r="DZ8" i="14"/>
  <c r="DZ16" i="14"/>
  <c r="DZ17" i="14" s="1"/>
  <c r="DZ18" i="14"/>
  <c r="DZ19" i="14" s="1"/>
  <c r="EB27" i="14"/>
  <c r="EB143" i="14" s="1"/>
  <c r="EA36" i="14"/>
  <c r="EA30" i="14"/>
  <c r="EA7" i="14"/>
  <c r="EA28" i="14"/>
  <c r="DX23" i="2"/>
  <c r="DW24" i="2"/>
  <c r="AW53" i="35" s="1"/>
  <c r="AW48" i="35"/>
  <c r="DY17" i="14"/>
  <c r="CM21" i="35"/>
  <c r="CM28" i="35" s="1"/>
  <c r="N22" i="26"/>
  <c r="N23" i="26" s="1"/>
  <c r="CL21" i="35"/>
  <c r="CL28" i="35" s="1"/>
  <c r="CO21" i="35"/>
  <c r="CO28" i="35" s="1"/>
  <c r="CH21" i="35"/>
  <c r="CK21" i="35"/>
  <c r="CK28" i="35" s="1"/>
  <c r="CJ21" i="35"/>
  <c r="CJ28" i="35" s="1"/>
  <c r="AG14" i="25"/>
  <c r="BO15" i="25"/>
  <c r="AE14" i="25"/>
  <c r="BQ15" i="25"/>
  <c r="G12" i="25"/>
  <c r="AM13" i="25"/>
  <c r="AO13" i="25"/>
  <c r="CI52" i="13"/>
  <c r="CJ50" i="13"/>
  <c r="CK50" i="13"/>
  <c r="CK52" i="13" s="1"/>
  <c r="CK8" i="12" s="1"/>
  <c r="CL47" i="13"/>
  <c r="CL48" i="13" s="1"/>
  <c r="G16" i="25"/>
  <c r="AM17" i="25"/>
  <c r="AO17" i="25"/>
  <c r="CE66" i="12"/>
  <c r="CE68" i="12"/>
  <c r="CI21" i="35"/>
  <c r="CI28" i="35" s="1"/>
  <c r="CN21" i="35"/>
  <c r="CN28" i="35" s="1"/>
  <c r="AW3" i="35"/>
  <c r="AG10" i="25" l="1"/>
  <c r="G14" i="25"/>
  <c r="AG11" i="25"/>
  <c r="BM17" i="25"/>
  <c r="BN17" i="25" s="1"/>
  <c r="AR14" i="25"/>
  <c r="AS14" i="25" s="1"/>
  <c r="AM15" i="25"/>
  <c r="AP15" i="25" s="1"/>
  <c r="BF11" i="25"/>
  <c r="AR11" i="25"/>
  <c r="AY11" i="25"/>
  <c r="L5" i="45"/>
  <c r="L27" i="45" s="1"/>
  <c r="L39" i="45" s="1"/>
  <c r="L52" i="45" s="1"/>
  <c r="L56" i="45" s="1"/>
  <c r="CQ208" i="35"/>
  <c r="CQ214" i="35" s="1"/>
  <c r="AK11" i="25"/>
  <c r="BF10" i="25"/>
  <c r="DT73" i="2"/>
  <c r="DT4" i="12"/>
  <c r="DT4" i="13"/>
  <c r="DT4" i="14"/>
  <c r="D27" i="21"/>
  <c r="AQ79" i="35"/>
  <c r="AQ148" i="35"/>
  <c r="AQ154" i="35" s="1"/>
  <c r="BF15" i="25"/>
  <c r="BM14" i="25"/>
  <c r="BM10" i="25"/>
  <c r="AU10" i="25"/>
  <c r="AY10" i="25"/>
  <c r="BM15" i="25"/>
  <c r="BN15" i="25" s="1"/>
  <c r="AS79" i="35"/>
  <c r="AS148" i="35"/>
  <c r="AS154" i="35" s="1"/>
  <c r="L19" i="25"/>
  <c r="M19" i="25" s="1"/>
  <c r="BM11" i="25"/>
  <c r="AR79" i="35"/>
  <c r="AR148" i="35"/>
  <c r="AR154" i="35" s="1"/>
  <c r="EC4" i="2"/>
  <c r="DY4" i="2"/>
  <c r="R18" i="25" s="1"/>
  <c r="EC74" i="2"/>
  <c r="EA4" i="2"/>
  <c r="DZ4" i="2"/>
  <c r="EB4" i="2"/>
  <c r="AR15" i="25"/>
  <c r="DV73" i="2"/>
  <c r="DV4" i="13"/>
  <c r="DV4" i="12"/>
  <c r="DV4" i="14"/>
  <c r="AY17" i="25"/>
  <c r="DX73" i="2"/>
  <c r="DX4" i="13"/>
  <c r="DX4" i="14"/>
  <c r="DX4" i="12"/>
  <c r="CR40" i="35"/>
  <c r="CR41" i="35" s="1"/>
  <c r="AP79" i="35"/>
  <c r="AP148" i="35"/>
  <c r="AP154" i="35" s="1"/>
  <c r="AY15" i="25"/>
  <c r="AY14" i="25"/>
  <c r="AK17" i="25"/>
  <c r="AL17" i="25" s="1"/>
  <c r="AK15" i="25"/>
  <c r="AL15" i="25" s="1"/>
  <c r="BF14" i="25"/>
  <c r="AK14" i="25"/>
  <c r="AK10" i="25"/>
  <c r="AR17" i="25"/>
  <c r="BF17" i="25"/>
  <c r="DW73" i="2"/>
  <c r="DW4" i="13"/>
  <c r="DW4" i="14"/>
  <c r="DW4" i="12"/>
  <c r="DU73" i="2"/>
  <c r="DU4" i="13"/>
  <c r="DU4" i="12"/>
  <c r="DU4" i="14"/>
  <c r="DY239" i="14"/>
  <c r="EA237" i="14"/>
  <c r="EA233" i="14"/>
  <c r="EA234" i="14" s="1"/>
  <c r="EA235" i="14"/>
  <c r="DY227" i="14"/>
  <c r="DY228" i="14" s="1"/>
  <c r="DY232" i="14"/>
  <c r="DZ238" i="14"/>
  <c r="DZ231" i="14"/>
  <c r="DZ239" i="14" s="1"/>
  <c r="EB146" i="14"/>
  <c r="EC143" i="14"/>
  <c r="EA151" i="14"/>
  <c r="EA152" i="14" s="1"/>
  <c r="EA153" i="14" s="1"/>
  <c r="DZ163" i="14"/>
  <c r="DZ164" i="14" s="1"/>
  <c r="DZ165" i="14" s="1"/>
  <c r="EA189" i="14"/>
  <c r="EA194" i="14"/>
  <c r="EA198" i="14" s="1"/>
  <c r="EA199" i="14" s="1"/>
  <c r="EA200" i="14" s="1"/>
  <c r="EA201" i="14" s="1"/>
  <c r="EA170" i="14"/>
  <c r="EA174" i="14" s="1"/>
  <c r="EA175" i="14" s="1"/>
  <c r="EA176" i="14" s="1"/>
  <c r="EA177" i="14" s="1"/>
  <c r="EA158" i="14"/>
  <c r="EA162" i="14" s="1"/>
  <c r="DZ175" i="14"/>
  <c r="DZ176" i="14" s="1"/>
  <c r="DZ177" i="14" s="1"/>
  <c r="EB179" i="14"/>
  <c r="EB191" i="14"/>
  <c r="EB167" i="14"/>
  <c r="EB155" i="14"/>
  <c r="CE23" i="12"/>
  <c r="CD45" i="12"/>
  <c r="EA37" i="14"/>
  <c r="EA7" i="2"/>
  <c r="AZ33" i="35" s="1"/>
  <c r="EA38" i="14"/>
  <c r="EC27" i="14"/>
  <c r="EB30" i="14"/>
  <c r="EB28" i="14"/>
  <c r="EC28" i="14" s="1"/>
  <c r="EB7" i="14"/>
  <c r="EB36" i="14"/>
  <c r="EB235" i="14" s="1"/>
  <c r="EB236" i="14" s="1"/>
  <c r="EA8" i="14"/>
  <c r="EA16" i="14"/>
  <c r="EA17" i="14" s="1"/>
  <c r="EA9" i="14"/>
  <c r="EA18" i="14"/>
  <c r="EA19" i="14" s="1"/>
  <c r="DX24" i="2"/>
  <c r="CR53" i="35" s="1"/>
  <c r="CR48" i="35"/>
  <c r="DZ14" i="2"/>
  <c r="DZ8" i="2"/>
  <c r="DY23" i="2"/>
  <c r="AX40" i="35"/>
  <c r="AP13" i="25"/>
  <c r="AP17" i="25"/>
  <c r="CI8" i="12"/>
  <c r="CJ52" i="13"/>
  <c r="BR15" i="25"/>
  <c r="CM47" i="13"/>
  <c r="CM48" i="13" s="1"/>
  <c r="CL50" i="13"/>
  <c r="CL52" i="13" s="1"/>
  <c r="CL8" i="12" s="1"/>
  <c r="CK47" i="12"/>
  <c r="CK49" i="12" s="1"/>
  <c r="CK14" i="12"/>
  <c r="CK7" i="12"/>
  <c r="AX3" i="35"/>
  <c r="AU14" i="25" l="1"/>
  <c r="CV15" i="25"/>
  <c r="CW15" i="25" s="1"/>
  <c r="CA10" i="25"/>
  <c r="CD10" i="25" s="1"/>
  <c r="CA14" i="25"/>
  <c r="CB14" i="25" s="1"/>
  <c r="BT10" i="25"/>
  <c r="BW10" i="25" s="1"/>
  <c r="BT14" i="25"/>
  <c r="BU14" i="25" s="1"/>
  <c r="CO10" i="25"/>
  <c r="CP10" i="25" s="1"/>
  <c r="CO15" i="25"/>
  <c r="CP15" i="25" s="1"/>
  <c r="CH15" i="25"/>
  <c r="CK15" i="25" s="1"/>
  <c r="AN15" i="25"/>
  <c r="EC235" i="14"/>
  <c r="CS211" i="35" s="1"/>
  <c r="BP15" i="25"/>
  <c r="AS15" i="25"/>
  <c r="AU15" i="25"/>
  <c r="S18" i="25"/>
  <c r="BP10" i="25"/>
  <c r="BN10" i="25"/>
  <c r="AT79" i="35"/>
  <c r="AT148" i="35"/>
  <c r="AT154" i="35" s="1"/>
  <c r="CO11" i="25"/>
  <c r="BT15" i="25"/>
  <c r="CV10" i="25"/>
  <c r="BT17" i="25"/>
  <c r="DZ73" i="2"/>
  <c r="DZ4" i="14"/>
  <c r="DZ4" i="12"/>
  <c r="DZ4" i="13"/>
  <c r="BB14" i="25"/>
  <c r="AZ14" i="25"/>
  <c r="EA73" i="2"/>
  <c r="EA4" i="14"/>
  <c r="AZ79" i="35" s="1"/>
  <c r="EA4" i="13"/>
  <c r="EA4" i="12"/>
  <c r="BI11" i="25"/>
  <c r="BG11" i="25"/>
  <c r="E27" i="21"/>
  <c r="R20" i="25"/>
  <c r="S20" i="25" s="1"/>
  <c r="DY73" i="2"/>
  <c r="DY4" i="14"/>
  <c r="DC11" i="25" s="1"/>
  <c r="DY4" i="12"/>
  <c r="DY4" i="13"/>
  <c r="CH14" i="25"/>
  <c r="BG10" i="25"/>
  <c r="BI10" i="25"/>
  <c r="BG14" i="25"/>
  <c r="BI14" i="25"/>
  <c r="EC73" i="2"/>
  <c r="EC4" i="14"/>
  <c r="EC4" i="12"/>
  <c r="EC4" i="13"/>
  <c r="CC7" i="37"/>
  <c r="AL11" i="25"/>
  <c r="AN11" i="25"/>
  <c r="CA11" i="25"/>
  <c r="AW148" i="35"/>
  <c r="AW154" i="35" s="1"/>
  <c r="AW79" i="35"/>
  <c r="BB15" i="25"/>
  <c r="AZ15" i="25"/>
  <c r="CH17" i="25"/>
  <c r="BI17" i="25"/>
  <c r="BG17" i="25"/>
  <c r="CO17" i="25"/>
  <c r="AV79" i="35"/>
  <c r="AV148" i="35"/>
  <c r="AV154" i="35" s="1"/>
  <c r="CH10" i="25"/>
  <c r="CA17" i="25"/>
  <c r="BP14" i="25"/>
  <c r="BN14" i="25"/>
  <c r="CZ15" i="25"/>
  <c r="DA15" i="25" s="1"/>
  <c r="BI15" i="25"/>
  <c r="BG15" i="25"/>
  <c r="CV17" i="25"/>
  <c r="CA15" i="25"/>
  <c r="BT11" i="25"/>
  <c r="AL14" i="25"/>
  <c r="AN14" i="25"/>
  <c r="AU79" i="35"/>
  <c r="AU148" i="35"/>
  <c r="AU154" i="35" s="1"/>
  <c r="AU17" i="25"/>
  <c r="AS17" i="25"/>
  <c r="AZ10" i="25"/>
  <c r="BB10" i="25"/>
  <c r="BP11" i="25"/>
  <c r="BN11" i="25"/>
  <c r="AZ17" i="25"/>
  <c r="BB17" i="25"/>
  <c r="AN10" i="25"/>
  <c r="AL10" i="25"/>
  <c r="CO14" i="25"/>
  <c r="CH11" i="25"/>
  <c r="CV14" i="25"/>
  <c r="R23" i="25"/>
  <c r="S23" i="25" s="1"/>
  <c r="M5" i="45"/>
  <c r="M27" i="45" s="1"/>
  <c r="M39" i="45" s="1"/>
  <c r="M52" i="45" s="1"/>
  <c r="M56" i="45" s="1"/>
  <c r="CR208" i="35"/>
  <c r="CR214" i="35" s="1"/>
  <c r="BB11" i="25"/>
  <c r="AZ11" i="25"/>
  <c r="EB73" i="2"/>
  <c r="EB4" i="13"/>
  <c r="EB4" i="12"/>
  <c r="EB4" i="14"/>
  <c r="BA79" i="35" s="1"/>
  <c r="AS11" i="25"/>
  <c r="AU11" i="25"/>
  <c r="R21" i="25"/>
  <c r="S21" i="25" s="1"/>
  <c r="R22" i="25"/>
  <c r="S22" i="25" s="1"/>
  <c r="AN17" i="25"/>
  <c r="CV11" i="25"/>
  <c r="EB237" i="14"/>
  <c r="EB233" i="14"/>
  <c r="EB234" i="14" s="1"/>
  <c r="DZ227" i="14"/>
  <c r="DZ228" i="14" s="1"/>
  <c r="DZ232" i="14"/>
  <c r="EA231" i="14"/>
  <c r="EA239" i="14" s="1"/>
  <c r="EA236" i="14"/>
  <c r="EA238" i="14"/>
  <c r="EB150" i="14"/>
  <c r="EC150" i="14" s="1"/>
  <c r="EC146" i="14"/>
  <c r="EC145" i="14" s="1"/>
  <c r="EC179" i="14"/>
  <c r="EC180" i="14" s="1"/>
  <c r="EB182" i="14"/>
  <c r="EC191" i="14"/>
  <c r="EC192" i="14" s="1"/>
  <c r="EB194" i="14"/>
  <c r="EC167" i="14"/>
  <c r="EC168" i="14" s="1"/>
  <c r="EB170" i="14"/>
  <c r="EB174" i="14" s="1"/>
  <c r="EC174" i="14" s="1"/>
  <c r="EC155" i="14"/>
  <c r="EC156" i="14" s="1"/>
  <c r="EB158" i="14"/>
  <c r="EB162" i="14" s="1"/>
  <c r="EC162" i="14" s="1"/>
  <c r="EA163" i="14"/>
  <c r="EA164" i="14" s="1"/>
  <c r="EA165" i="14" s="1"/>
  <c r="EC30" i="14"/>
  <c r="CE45" i="12"/>
  <c r="CE69" i="12"/>
  <c r="DY24" i="2"/>
  <c r="AX53" i="35" s="1"/>
  <c r="AX48" i="35"/>
  <c r="DZ23" i="2"/>
  <c r="AY40" i="35"/>
  <c r="EC36" i="14"/>
  <c r="EC237" i="14" s="1"/>
  <c r="EB38" i="14"/>
  <c r="EB7" i="2"/>
  <c r="BA33" i="35" s="1"/>
  <c r="EB37" i="14"/>
  <c r="EA14" i="2"/>
  <c r="EA8" i="2"/>
  <c r="EB18" i="14"/>
  <c r="EB9" i="14"/>
  <c r="EB8" i="14"/>
  <c r="EC7" i="14"/>
  <c r="EC9" i="14" s="1"/>
  <c r="EB16" i="14"/>
  <c r="EB17" i="14" s="1"/>
  <c r="CN47" i="13"/>
  <c r="CN48" i="13" s="1"/>
  <c r="CM50" i="13"/>
  <c r="CM52" i="13" s="1"/>
  <c r="CM8" i="12" s="1"/>
  <c r="CI7" i="12"/>
  <c r="CJ7" i="12" s="1"/>
  <c r="CJ8" i="12"/>
  <c r="CI47" i="12"/>
  <c r="CI14" i="12"/>
  <c r="CL14" i="12"/>
  <c r="CL22" i="12" s="1"/>
  <c r="CL23" i="12" s="1"/>
  <c r="CL45" i="12" s="1"/>
  <c r="CL7" i="12"/>
  <c r="CL47" i="12"/>
  <c r="CL49" i="12" s="1"/>
  <c r="CK22" i="12"/>
  <c r="CK23" i="12" s="1"/>
  <c r="CK45" i="12" s="1"/>
  <c r="AY3" i="35"/>
  <c r="BW14" i="25" l="1"/>
  <c r="CB10" i="25"/>
  <c r="CD14" i="25"/>
  <c r="CY15" i="25"/>
  <c r="CR15" i="25"/>
  <c r="BU10" i="25"/>
  <c r="EC236" i="14"/>
  <c r="CR10" i="25"/>
  <c r="EF11" i="25"/>
  <c r="EI11" i="25" s="1"/>
  <c r="DC10" i="25"/>
  <c r="DD10" i="25" s="1"/>
  <c r="R16" i="25"/>
  <c r="S16" i="25" s="1"/>
  <c r="DQ10" i="25"/>
  <c r="DT10" i="25" s="1"/>
  <c r="DJ14" i="25"/>
  <c r="DM14" i="25" s="1"/>
  <c r="DJ17" i="25"/>
  <c r="DK17" i="25" s="1"/>
  <c r="CI15" i="25"/>
  <c r="DX15" i="25"/>
  <c r="DY15" i="25" s="1"/>
  <c r="R14" i="25"/>
  <c r="S14" i="25" s="1"/>
  <c r="R12" i="25"/>
  <c r="S12" i="25" s="1"/>
  <c r="DQ14" i="25"/>
  <c r="DX14" i="25"/>
  <c r="EC14" i="25" s="1"/>
  <c r="DC15" i="25"/>
  <c r="DF15" i="25" s="1"/>
  <c r="DJ10" i="25"/>
  <c r="DK10" i="25" s="1"/>
  <c r="DQ15" i="25"/>
  <c r="DJ15" i="25"/>
  <c r="DK15" i="25" s="1"/>
  <c r="DQ17" i="25"/>
  <c r="DT17" i="25" s="1"/>
  <c r="EF17" i="25"/>
  <c r="EG17" i="25" s="1"/>
  <c r="DX11" i="25"/>
  <c r="EA11" i="25" s="1"/>
  <c r="R15" i="25"/>
  <c r="S15" i="25" s="1"/>
  <c r="DQ11" i="25"/>
  <c r="DT11" i="25" s="1"/>
  <c r="R17" i="25"/>
  <c r="S17" i="25" s="1"/>
  <c r="DX10" i="25"/>
  <c r="EA10" i="25" s="1"/>
  <c r="CB17" i="25"/>
  <c r="CD17" i="25"/>
  <c r="CW11" i="25"/>
  <c r="CY11" i="25"/>
  <c r="CW10" i="25"/>
  <c r="CY10" i="25"/>
  <c r="CK10" i="25"/>
  <c r="CI10" i="25"/>
  <c r="CK14" i="25"/>
  <c r="CI14" i="25"/>
  <c r="CI17" i="25"/>
  <c r="CK17" i="25"/>
  <c r="CD11" i="25"/>
  <c r="CB11" i="25"/>
  <c r="BU17" i="25"/>
  <c r="BW17" i="25"/>
  <c r="CS208" i="35"/>
  <c r="CS214" i="35" s="1"/>
  <c r="P19" i="26"/>
  <c r="N5" i="45"/>
  <c r="N27" i="45" s="1"/>
  <c r="N39" i="45" s="1"/>
  <c r="N52" i="45" s="1"/>
  <c r="N56" i="45" s="1"/>
  <c r="AX79" i="35"/>
  <c r="AX148" i="35"/>
  <c r="AX154" i="35" s="1"/>
  <c r="EF10" i="25"/>
  <c r="DC14" i="25"/>
  <c r="BW15" i="25"/>
  <c r="BU15" i="25"/>
  <c r="R11" i="25"/>
  <c r="S11" i="25" s="1"/>
  <c r="R13" i="25"/>
  <c r="S13" i="25" s="1"/>
  <c r="DJ11" i="25"/>
  <c r="CI11" i="25"/>
  <c r="CK11" i="25"/>
  <c r="CB15" i="25"/>
  <c r="CD15" i="25"/>
  <c r="DC17" i="25"/>
  <c r="AY148" i="35"/>
  <c r="AY154" i="35" s="1"/>
  <c r="AY79" i="35"/>
  <c r="CR11" i="25"/>
  <c r="CP11" i="25"/>
  <c r="BU11" i="25"/>
  <c r="BW11" i="25"/>
  <c r="CY14" i="25"/>
  <c r="CW14" i="25"/>
  <c r="EJ15" i="25"/>
  <c r="EL15" i="25" s="1"/>
  <c r="CP14" i="25"/>
  <c r="CR14" i="25"/>
  <c r="DF11" i="25"/>
  <c r="DD11" i="25"/>
  <c r="CW17" i="25"/>
  <c r="CY17" i="25"/>
  <c r="CP17" i="25"/>
  <c r="CR17" i="25"/>
  <c r="DX17" i="25"/>
  <c r="R10" i="25"/>
  <c r="S10" i="25" s="1"/>
  <c r="EC233" i="14"/>
  <c r="EC239" i="14" s="1"/>
  <c r="EC223" i="14"/>
  <c r="EC224" i="14" s="1"/>
  <c r="EB238" i="14"/>
  <c r="EB231" i="14"/>
  <c r="EC231" i="14" s="1"/>
  <c r="CS212" i="35"/>
  <c r="CS218" i="35" s="1"/>
  <c r="EC238" i="14"/>
  <c r="EA232" i="14"/>
  <c r="EA227" i="14"/>
  <c r="EA228" i="14" s="1"/>
  <c r="EB151" i="14"/>
  <c r="EB152" i="14" s="1"/>
  <c r="EB153" i="14" s="1"/>
  <c r="EC182" i="14"/>
  <c r="EC181" i="14" s="1"/>
  <c r="EB186" i="14"/>
  <c r="EC194" i="14"/>
  <c r="EC193" i="14" s="1"/>
  <c r="EB198" i="14"/>
  <c r="EB175" i="14"/>
  <c r="EC170" i="14"/>
  <c r="EC169" i="14" s="1"/>
  <c r="EB163" i="14"/>
  <c r="EC158" i="14"/>
  <c r="EC157" i="14" s="1"/>
  <c r="AZ3" i="35"/>
  <c r="EC38" i="14"/>
  <c r="EF15" i="25" s="1"/>
  <c r="EF14" i="25"/>
  <c r="EC16" i="14"/>
  <c r="EC17" i="14" s="1"/>
  <c r="EC7" i="2"/>
  <c r="CS33" i="35" s="1"/>
  <c r="CS183" i="35" s="1"/>
  <c r="EB14" i="2"/>
  <c r="EB23" i="2" s="1"/>
  <c r="EB8" i="2"/>
  <c r="EC18" i="14"/>
  <c r="EC19" i="14" s="1"/>
  <c r="EB19" i="14"/>
  <c r="EA23" i="2"/>
  <c r="AZ40" i="35"/>
  <c r="DZ24" i="2"/>
  <c r="AY53" i="35" s="1"/>
  <c r="AY48" i="35"/>
  <c r="CM47" i="12"/>
  <c r="CM49" i="12" s="1"/>
  <c r="CM7" i="12"/>
  <c r="CM14" i="12"/>
  <c r="CO48" i="13"/>
  <c r="CT47" i="13" s="1"/>
  <c r="CP47" i="13"/>
  <c r="CP48" i="13" s="1"/>
  <c r="CN50" i="13"/>
  <c r="CI22" i="12"/>
  <c r="CJ22" i="12" s="1"/>
  <c r="CJ14" i="12"/>
  <c r="CJ71" i="12" s="1"/>
  <c r="CJ47" i="12"/>
  <c r="CI49" i="12"/>
  <c r="CJ49" i="12" s="1"/>
  <c r="CC15" i="37"/>
  <c r="DD15" i="25" l="1"/>
  <c r="DM10" i="25"/>
  <c r="DF10" i="25"/>
  <c r="EI17" i="25"/>
  <c r="EK17" i="25"/>
  <c r="EG11" i="25"/>
  <c r="EK11" i="25"/>
  <c r="DY11" i="25"/>
  <c r="DR11" i="25"/>
  <c r="EC11" i="25"/>
  <c r="EC10" i="25"/>
  <c r="EA15" i="25"/>
  <c r="DY10" i="25"/>
  <c r="R19" i="25"/>
  <c r="S19" i="25" s="1"/>
  <c r="EC15" i="25"/>
  <c r="DM17" i="25"/>
  <c r="DR14" i="25"/>
  <c r="DT14" i="25"/>
  <c r="DY14" i="25"/>
  <c r="EA14" i="25"/>
  <c r="DR17" i="25"/>
  <c r="DK14" i="25"/>
  <c r="DM15" i="25"/>
  <c r="DR10" i="25"/>
  <c r="DR15" i="25"/>
  <c r="DT15" i="25"/>
  <c r="EA17" i="25"/>
  <c r="DY17" i="25"/>
  <c r="EC17" i="25"/>
  <c r="DK11" i="25"/>
  <c r="DM11" i="25"/>
  <c r="EI10" i="25"/>
  <c r="EG10" i="25"/>
  <c r="EK10" i="25"/>
  <c r="DD17" i="25"/>
  <c r="DF17" i="25"/>
  <c r="DD14" i="25"/>
  <c r="DF14" i="25"/>
  <c r="EC227" i="14"/>
  <c r="EC228" i="14" s="1"/>
  <c r="EC232" i="14"/>
  <c r="CS209" i="35"/>
  <c r="CS215" i="35" s="1"/>
  <c r="EB239" i="14"/>
  <c r="CS217" i="35"/>
  <c r="EC234" i="14"/>
  <c r="CS210" i="35"/>
  <c r="CS216" i="35" s="1"/>
  <c r="EC225" i="14"/>
  <c r="EC226" i="14" s="1"/>
  <c r="EB232" i="14"/>
  <c r="EB227" i="14"/>
  <c r="EB228" i="14" s="1"/>
  <c r="EC151" i="14"/>
  <c r="EC152" i="14" s="1"/>
  <c r="EC153" i="14" s="1"/>
  <c r="EC186" i="14"/>
  <c r="EB187" i="14"/>
  <c r="EB188" i="14" s="1"/>
  <c r="EB189" i="14" s="1"/>
  <c r="EC175" i="14"/>
  <c r="EC176" i="14" s="1"/>
  <c r="EC177" i="14" s="1"/>
  <c r="EB176" i="14"/>
  <c r="EB177" i="14" s="1"/>
  <c r="EB164" i="14"/>
  <c r="EB165" i="14" s="1"/>
  <c r="EC163" i="14"/>
  <c r="EC164" i="14" s="1"/>
  <c r="EC165" i="14" s="1"/>
  <c r="EC198" i="14"/>
  <c r="EB199" i="14"/>
  <c r="BA3" i="35"/>
  <c r="CC16" i="37"/>
  <c r="CF15" i="37"/>
  <c r="CD15" i="37"/>
  <c r="EC23" i="2"/>
  <c r="EB24" i="2"/>
  <c r="BA53" i="35" s="1"/>
  <c r="BA48" i="35"/>
  <c r="EA24" i="2"/>
  <c r="AZ53" i="35" s="1"/>
  <c r="AZ48" i="35"/>
  <c r="BA40" i="35"/>
  <c r="EI14" i="25"/>
  <c r="EG14" i="25"/>
  <c r="EK14" i="25"/>
  <c r="ED7" i="2"/>
  <c r="EC8" i="2"/>
  <c r="EK15" i="25"/>
  <c r="EI15" i="25"/>
  <c r="EG15" i="25"/>
  <c r="EC14" i="2"/>
  <c r="CJ68" i="12"/>
  <c r="CJ66" i="12"/>
  <c r="CI23" i="12"/>
  <c r="CN52" i="13"/>
  <c r="CO50" i="13"/>
  <c r="CQ47" i="13"/>
  <c r="CQ48" i="13" s="1"/>
  <c r="CP50" i="13"/>
  <c r="CP52" i="13" s="1"/>
  <c r="CP8" i="12" s="1"/>
  <c r="CM22" i="12"/>
  <c r="CM23" i="12" s="1"/>
  <c r="CM45" i="12" s="1"/>
  <c r="EC187" i="14" l="1"/>
  <c r="EC188" i="14" s="1"/>
  <c r="EC189" i="14" s="1"/>
  <c r="EC199" i="14"/>
  <c r="EC200" i="14" s="1"/>
  <c r="EC201" i="14" s="1"/>
  <c r="EB200" i="14"/>
  <c r="EB201" i="14" s="1"/>
  <c r="EC15" i="2"/>
  <c r="EC16" i="2" s="1"/>
  <c r="CS40" i="35"/>
  <c r="CS41" i="35" s="1"/>
  <c r="EC24" i="2"/>
  <c r="CS53" i="35" s="1"/>
  <c r="CS48" i="35"/>
  <c r="CQ50" i="13"/>
  <c r="CQ52" i="13" s="1"/>
  <c r="CQ8" i="12" s="1"/>
  <c r="CR47" i="13"/>
  <c r="CR48" i="13" s="1"/>
  <c r="CO52" i="13"/>
  <c r="CN8" i="12"/>
  <c r="CJ23" i="12"/>
  <c r="CI45" i="12"/>
  <c r="CP7" i="12"/>
  <c r="CP14" i="12"/>
  <c r="CP47" i="12"/>
  <c r="CP49" i="12" s="1"/>
  <c r="CJ45" i="12" l="1"/>
  <c r="CJ69" i="12"/>
  <c r="CP22" i="12"/>
  <c r="CP23" i="12" s="1"/>
  <c r="CP45" i="12" s="1"/>
  <c r="CN47" i="12"/>
  <c r="CN14" i="12"/>
  <c r="CN7" i="12"/>
  <c r="CO7" i="12" s="1"/>
  <c r="CO8" i="12"/>
  <c r="CS47" i="13"/>
  <c r="CS48" i="13" s="1"/>
  <c r="CR50" i="13"/>
  <c r="CR52" i="13" s="1"/>
  <c r="CR8" i="12" s="1"/>
  <c r="CQ7" i="12"/>
  <c r="CQ47" i="12"/>
  <c r="CQ49" i="12" s="1"/>
  <c r="CQ14" i="12"/>
  <c r="CQ22" i="12" s="1"/>
  <c r="CQ23" i="12" s="1"/>
  <c r="CQ45" i="12" s="1"/>
  <c r="CT48" i="13" l="1"/>
  <c r="CY47" i="13" s="1"/>
  <c r="CU47" i="13"/>
  <c r="CU48" i="13" s="1"/>
  <c r="CS50" i="13"/>
  <c r="CO47" i="12"/>
  <c r="CN49" i="12"/>
  <c r="CO49" i="12" s="1"/>
  <c r="CO14" i="12"/>
  <c r="CO71" i="12" s="1"/>
  <c r="CN22" i="12"/>
  <c r="CO22" i="12" s="1"/>
  <c r="CR47" i="12"/>
  <c r="CR49" i="12" s="1"/>
  <c r="CR7" i="12"/>
  <c r="CR14" i="12"/>
  <c r="CQ68" i="12"/>
  <c r="CQ66" i="12"/>
  <c r="CR66" i="12" l="1"/>
  <c r="CR68" i="12"/>
  <c r="CR22" i="12"/>
  <c r="CR23" i="12" s="1"/>
  <c r="CR45" i="12" s="1"/>
  <c r="CO68" i="12"/>
  <c r="CO66" i="12"/>
  <c r="CN23" i="12"/>
  <c r="CT50" i="13"/>
  <c r="CS52" i="13"/>
  <c r="CV47" i="13"/>
  <c r="CV48" i="13" s="1"/>
  <c r="CU50" i="13"/>
  <c r="CU52" i="13" s="1"/>
  <c r="CU8" i="12" s="1"/>
  <c r="CT52" i="13" l="1"/>
  <c r="CS8" i="12"/>
  <c r="CW47" i="13"/>
  <c r="CW48" i="13" s="1"/>
  <c r="CV50" i="13"/>
  <c r="CV52" i="13" s="1"/>
  <c r="CV8" i="12" s="1"/>
  <c r="CU7" i="12"/>
  <c r="CU14" i="12"/>
  <c r="CU22" i="12" s="1"/>
  <c r="CU23" i="12" s="1"/>
  <c r="CU47" i="12"/>
  <c r="CU49" i="12" s="1"/>
  <c r="CN45" i="12"/>
  <c r="CO23" i="12"/>
  <c r="CU66" i="12" l="1"/>
  <c r="CU68" i="12"/>
  <c r="CU45" i="12"/>
  <c r="CV47" i="12"/>
  <c r="CV49" i="12" s="1"/>
  <c r="CV71" i="12"/>
  <c r="CV7" i="12"/>
  <c r="CV14" i="12"/>
  <c r="CV22" i="12" s="1"/>
  <c r="CV23" i="12" s="1"/>
  <c r="CX47" i="13"/>
  <c r="CX48" i="13" s="1"/>
  <c r="CW50" i="13"/>
  <c r="CW52" i="13" s="1"/>
  <c r="CW8" i="12" s="1"/>
  <c r="CS14" i="12"/>
  <c r="CS47" i="12"/>
  <c r="CS7" i="12"/>
  <c r="CT7" i="12" s="1"/>
  <c r="CT8" i="12"/>
  <c r="CO45" i="12"/>
  <c r="CO69" i="12"/>
  <c r="L29" i="42"/>
  <c r="Z32" i="37"/>
  <c r="CW7" i="12" l="1"/>
  <c r="CW14" i="12"/>
  <c r="CW47" i="12"/>
  <c r="CW49" i="12" s="1"/>
  <c r="CW71" i="12"/>
  <c r="CX50" i="13"/>
  <c r="CZ47" i="13"/>
  <c r="CZ48" i="13" s="1"/>
  <c r="CY48" i="13"/>
  <c r="DD47" i="13" s="1"/>
  <c r="CS49" i="12"/>
  <c r="CT49" i="12" s="1"/>
  <c r="CT47" i="12"/>
  <c r="CV68" i="12"/>
  <c r="CV66" i="12"/>
  <c r="CT14" i="12"/>
  <c r="CS22" i="12"/>
  <c r="CT22" i="12" s="1"/>
  <c r="CV69" i="12"/>
  <c r="CV45" i="12"/>
  <c r="CT71" i="12"/>
  <c r="CU71" i="12"/>
  <c r="AC32" i="37"/>
  <c r="AA32" i="37"/>
  <c r="Z33" i="37"/>
  <c r="Z37" i="37"/>
  <c r="L33" i="42"/>
  <c r="CT66" i="12" l="1"/>
  <c r="CT68" i="12"/>
  <c r="DA47" i="13"/>
  <c r="DA48" i="13" s="1"/>
  <c r="CZ50" i="13"/>
  <c r="CZ52" i="13" s="1"/>
  <c r="CZ8" i="12" s="1"/>
  <c r="CY50" i="13"/>
  <c r="CX52" i="13"/>
  <c r="CW68" i="12"/>
  <c r="CW66" i="12"/>
  <c r="CW22" i="12"/>
  <c r="CX22" i="12" s="1"/>
  <c r="CY22" i="12" s="1"/>
  <c r="CZ22" i="12" s="1"/>
  <c r="DA22" i="12" s="1"/>
  <c r="DB22" i="12" s="1"/>
  <c r="DC22" i="12" s="1"/>
  <c r="DD22" i="12" s="1"/>
  <c r="DE22" i="12" s="1"/>
  <c r="DF22" i="12" s="1"/>
  <c r="DG22" i="12" s="1"/>
  <c r="DH22" i="12" s="1"/>
  <c r="DI22" i="12" s="1"/>
  <c r="DJ22" i="12" s="1"/>
  <c r="DK22" i="12" s="1"/>
  <c r="DL22" i="12" s="1"/>
  <c r="CS23" i="12"/>
  <c r="AC37" i="37"/>
  <c r="Z38" i="37"/>
  <c r="Z39" i="37"/>
  <c r="AA37" i="37"/>
  <c r="CW23" i="12" l="1"/>
  <c r="DM22" i="12"/>
  <c r="DN22" i="12" s="1"/>
  <c r="CX8" i="12"/>
  <c r="CY52" i="13"/>
  <c r="CZ14" i="12"/>
  <c r="CZ23" i="12" s="1"/>
  <c r="CZ47" i="12"/>
  <c r="CZ49" i="12" s="1"/>
  <c r="CZ7" i="12"/>
  <c r="DB47" i="13"/>
  <c r="DB48" i="13" s="1"/>
  <c r="DA50" i="13"/>
  <c r="DA52" i="13" s="1"/>
  <c r="DA8" i="12" s="1"/>
  <c r="CS45" i="12"/>
  <c r="CT23" i="12"/>
  <c r="CW45" i="12" l="1"/>
  <c r="CW69" i="12"/>
  <c r="DA7" i="12"/>
  <c r="DA71" i="12"/>
  <c r="DA47" i="12"/>
  <c r="DA49" i="12" s="1"/>
  <c r="DA14" i="12"/>
  <c r="DA23" i="12" s="1"/>
  <c r="DB50" i="13"/>
  <c r="DB52" i="13" s="1"/>
  <c r="DB8" i="12" s="1"/>
  <c r="DC47" i="13"/>
  <c r="DC48" i="13" s="1"/>
  <c r="CT45" i="12"/>
  <c r="CT69" i="12"/>
  <c r="CU69" i="12"/>
  <c r="CZ68" i="12"/>
  <c r="CZ66" i="12"/>
  <c r="CZ45" i="12"/>
  <c r="CX14" i="12"/>
  <c r="CX47" i="12"/>
  <c r="CY8" i="12"/>
  <c r="CX71" i="12"/>
  <c r="CX7" i="12"/>
  <c r="CY7" i="12" s="1"/>
  <c r="DM17" i="13"/>
  <c r="DO22" i="12"/>
  <c r="DP22" i="12" s="1"/>
  <c r="DO17" i="13" l="1"/>
  <c r="DP17" i="13"/>
  <c r="DQ22" i="12"/>
  <c r="DQ17" i="13" s="1"/>
  <c r="DN17" i="13"/>
  <c r="DD48" i="13"/>
  <c r="DC50" i="13"/>
  <c r="CY71" i="12"/>
  <c r="CZ71" i="12"/>
  <c r="DB71" i="12"/>
  <c r="DB47" i="12"/>
  <c r="DB49" i="12" s="1"/>
  <c r="DB14" i="12"/>
  <c r="DB23" i="12" s="1"/>
  <c r="DB7" i="12"/>
  <c r="CX49" i="12"/>
  <c r="CY47" i="12"/>
  <c r="DA69" i="12"/>
  <c r="DA45" i="12"/>
  <c r="CY14" i="12"/>
  <c r="CX23" i="12"/>
  <c r="DA68" i="12"/>
  <c r="DA66" i="12"/>
  <c r="CX69" i="12" l="1"/>
  <c r="CX45" i="12"/>
  <c r="CY23" i="12"/>
  <c r="DC52" i="13"/>
  <c r="DD50" i="13"/>
  <c r="DE47" i="13"/>
  <c r="DE48" i="13" s="1"/>
  <c r="DI47" i="13"/>
  <c r="CY49" i="12"/>
  <c r="CX66" i="12"/>
  <c r="CX68" i="12"/>
  <c r="DR22" i="12"/>
  <c r="DS22" i="12" s="1"/>
  <c r="DB69" i="12"/>
  <c r="DB45" i="12"/>
  <c r="DB66" i="12"/>
  <c r="DB68" i="12"/>
  <c r="DR17" i="13" l="1"/>
  <c r="DS17" i="13" s="1"/>
  <c r="DE50" i="13"/>
  <c r="DE52" i="13" s="1"/>
  <c r="DE8" i="12" s="1"/>
  <c r="DF47" i="13"/>
  <c r="DF48" i="13" s="1"/>
  <c r="DT22" i="12"/>
  <c r="DT17" i="13" s="1"/>
  <c r="DD52" i="13"/>
  <c r="DC8" i="12"/>
  <c r="CY45" i="12"/>
  <c r="CZ69" i="12"/>
  <c r="CY69" i="12"/>
  <c r="CY68" i="12"/>
  <c r="CY66" i="12"/>
  <c r="DC14" i="12" l="1"/>
  <c r="DC71" i="12"/>
  <c r="DC7" i="12"/>
  <c r="DD7" i="12" s="1"/>
  <c r="DC47" i="12"/>
  <c r="DD8" i="12"/>
  <c r="DU22" i="12"/>
  <c r="DV22" i="12" s="1"/>
  <c r="DG47" i="13"/>
  <c r="DG48" i="13" s="1"/>
  <c r="DF50" i="13"/>
  <c r="DF52" i="13" s="1"/>
  <c r="DF8" i="12" s="1"/>
  <c r="DE7" i="12"/>
  <c r="DE47" i="12"/>
  <c r="DE49" i="12" s="1"/>
  <c r="DE14" i="12"/>
  <c r="DE23" i="12" s="1"/>
  <c r="DD71" i="12" l="1"/>
  <c r="DE71" i="12"/>
  <c r="DF47" i="12"/>
  <c r="DF49" i="12" s="1"/>
  <c r="DF14" i="12"/>
  <c r="DF23" i="12" s="1"/>
  <c r="DF71" i="12"/>
  <c r="DF7" i="12"/>
  <c r="DG50" i="13"/>
  <c r="DG52" i="13" s="1"/>
  <c r="DG8" i="12" s="1"/>
  <c r="DH47" i="13"/>
  <c r="DH48" i="13" s="1"/>
  <c r="DU17" i="13"/>
  <c r="DV17" i="13"/>
  <c r="DW22" i="12"/>
  <c r="DX22" i="12" s="1"/>
  <c r="DY22" i="12" s="1"/>
  <c r="DY17" i="13" s="1"/>
  <c r="DE68" i="12"/>
  <c r="DE66" i="12"/>
  <c r="DC49" i="12"/>
  <c r="DD47" i="12"/>
  <c r="DE45" i="12"/>
  <c r="DC23" i="12"/>
  <c r="DD14" i="12"/>
  <c r="DZ22" i="12" l="1"/>
  <c r="DW17" i="13"/>
  <c r="DX17" i="13" s="1"/>
  <c r="DC69" i="12"/>
  <c r="DD23" i="12"/>
  <c r="DC45" i="12"/>
  <c r="DF45" i="12"/>
  <c r="DF69" i="12"/>
  <c r="DF66" i="12"/>
  <c r="DF68" i="12"/>
  <c r="DG7" i="12"/>
  <c r="DG47" i="12"/>
  <c r="DG49" i="12" s="1"/>
  <c r="DG14" i="12"/>
  <c r="DG23" i="12" s="1"/>
  <c r="DG71" i="12"/>
  <c r="DD49" i="12"/>
  <c r="DC68" i="12"/>
  <c r="DC66" i="12"/>
  <c r="DH50" i="13"/>
  <c r="DI48" i="13"/>
  <c r="DZ17" i="13" l="1"/>
  <c r="EA22" i="12"/>
  <c r="DD69" i="12"/>
  <c r="DD45" i="12"/>
  <c r="DE69" i="12"/>
  <c r="DN47" i="13"/>
  <c r="DJ47" i="13"/>
  <c r="DJ48" i="13" s="1"/>
  <c r="DG69" i="12"/>
  <c r="DG45" i="12"/>
  <c r="DH52" i="13"/>
  <c r="DI50" i="13"/>
  <c r="DD66" i="12"/>
  <c r="DD68" i="12"/>
  <c r="DG68" i="12"/>
  <c r="DG66" i="12"/>
  <c r="EB22" i="12" l="1"/>
  <c r="EA17" i="13"/>
  <c r="DK47" i="13"/>
  <c r="DK48" i="13" s="1"/>
  <c r="DJ50" i="13"/>
  <c r="DJ52" i="13" s="1"/>
  <c r="DJ8" i="12" s="1"/>
  <c r="DI52" i="13"/>
  <c r="DH8" i="12"/>
  <c r="EC22" i="12" l="1"/>
  <c r="EB17" i="13"/>
  <c r="EC17" i="13" s="1"/>
  <c r="DL47" i="13"/>
  <c r="DL48" i="13" s="1"/>
  <c r="DK50" i="13"/>
  <c r="DK52" i="13" s="1"/>
  <c r="DK8" i="12" s="1"/>
  <c r="DH7" i="12"/>
  <c r="DI7" i="12" s="1"/>
  <c r="DH47" i="12"/>
  <c r="DH71" i="12"/>
  <c r="DI8" i="12"/>
  <c r="DI71" i="12" s="1"/>
  <c r="DH14" i="12"/>
  <c r="DJ14" i="12"/>
  <c r="DJ23" i="12" s="1"/>
  <c r="DJ47" i="12"/>
  <c r="DJ49" i="12" s="1"/>
  <c r="DJ71" i="12"/>
  <c r="DJ7" i="12"/>
  <c r="DK7" i="12" l="1"/>
  <c r="DK47" i="12"/>
  <c r="DK49" i="12" s="1"/>
  <c r="DK71" i="12"/>
  <c r="DK14" i="12"/>
  <c r="DK23" i="12" s="1"/>
  <c r="DL50" i="13"/>
  <c r="DL52" i="13" s="1"/>
  <c r="DL8" i="12" s="1"/>
  <c r="DM47" i="13"/>
  <c r="DJ68" i="12"/>
  <c r="DJ66" i="12"/>
  <c r="DJ45" i="12"/>
  <c r="DH23" i="12"/>
  <c r="DI14" i="12"/>
  <c r="DH49" i="12"/>
  <c r="DI47" i="12"/>
  <c r="DI49" i="12" l="1"/>
  <c r="DH66" i="12"/>
  <c r="DH68" i="12"/>
  <c r="DL71" i="12"/>
  <c r="DL14" i="12"/>
  <c r="DL23" i="12" s="1"/>
  <c r="DL47" i="12"/>
  <c r="DL49" i="12" s="1"/>
  <c r="DL7" i="12"/>
  <c r="DK69" i="12"/>
  <c r="DK45" i="12"/>
  <c r="DK66" i="12"/>
  <c r="DK68" i="12"/>
  <c r="DH45" i="12"/>
  <c r="DI23" i="12"/>
  <c r="DH69" i="12"/>
  <c r="DJ69" i="12"/>
  <c r="DL66" i="12" l="1"/>
  <c r="DL68" i="12"/>
  <c r="DL45" i="12"/>
  <c r="DL69" i="12"/>
  <c r="DI69" i="12"/>
  <c r="DI45" i="12"/>
  <c r="DI66" i="12"/>
  <c r="DI68" i="12"/>
  <c r="DN41" i="14" l="1"/>
  <c r="DN220" i="14" s="1"/>
  <c r="CP205" i="35" s="1"/>
  <c r="AF9" i="37"/>
  <c r="AM9" i="37"/>
  <c r="R12" i="42"/>
  <c r="V11" i="42"/>
  <c r="R11" i="42"/>
  <c r="DN20" i="14" l="1"/>
  <c r="DN31" i="14"/>
  <c r="K117" i="45"/>
  <c r="DN141" i="14"/>
  <c r="K50" i="45" s="1"/>
  <c r="DN44" i="14"/>
  <c r="CP7" i="35"/>
  <c r="CP8" i="35" s="1"/>
  <c r="DM42" i="14"/>
  <c r="DN51" i="14"/>
  <c r="DM49" i="14"/>
  <c r="AO156" i="35" s="1"/>
  <c r="DN43" i="14"/>
  <c r="CP192" i="35" s="1"/>
  <c r="O16" i="26"/>
  <c r="DM52" i="14"/>
  <c r="AO22" i="35"/>
  <c r="DN48" i="14"/>
  <c r="AG9" i="37"/>
  <c r="AI9" i="37"/>
  <c r="AF10" i="37"/>
  <c r="AN9" i="37"/>
  <c r="AM10" i="37"/>
  <c r="AP9" i="37"/>
  <c r="DM9" i="2"/>
  <c r="X16" i="25"/>
  <c r="Y16" i="25" s="1"/>
  <c r="AD16" i="25"/>
  <c r="DM65" i="14"/>
  <c r="DM64" i="14"/>
  <c r="DN63" i="14"/>
  <c r="CP176" i="35" a="1"/>
  <c r="AM11" i="37"/>
  <c r="V12" i="42"/>
  <c r="K118" i="45" l="1"/>
  <c r="DN218" i="14"/>
  <c r="DN219" i="14" s="1"/>
  <c r="CP176" i="35"/>
  <c r="CP177" i="35" s="1"/>
  <c r="K121" i="45"/>
  <c r="K122" i="45"/>
  <c r="DN45" i="14"/>
  <c r="CP147" i="35"/>
  <c r="CP119" i="35"/>
  <c r="AO11" i="35"/>
  <c r="AO34" i="35"/>
  <c r="AM12" i="37"/>
  <c r="AN11" i="37"/>
  <c r="DN56" i="14"/>
  <c r="DN70" i="14"/>
  <c r="DN60" i="14"/>
  <c r="DN79" i="14"/>
  <c r="DN52" i="14"/>
  <c r="DN53" i="14"/>
  <c r="DN55" i="14" s="1"/>
  <c r="O20" i="26"/>
  <c r="O22" i="26" s="1"/>
  <c r="DN49" i="14"/>
  <c r="CP191" i="35" s="1"/>
  <c r="CP22" i="35"/>
  <c r="DM17" i="2"/>
  <c r="DM25" i="2" s="1"/>
  <c r="DM11" i="2"/>
  <c r="DM10" i="2"/>
  <c r="DN9" i="2"/>
  <c r="X12" i="25"/>
  <c r="Y12" i="25" s="1"/>
  <c r="AO31" i="35"/>
  <c r="DM39" i="14"/>
  <c r="DM25" i="14"/>
  <c r="DM23" i="14"/>
  <c r="X13" i="25" s="1"/>
  <c r="Y13" i="25" s="1"/>
  <c r="DM22" i="14"/>
  <c r="BQ17" i="25"/>
  <c r="BO17" i="25"/>
  <c r="BP17" i="25" s="1"/>
  <c r="AG16" i="25"/>
  <c r="AE16" i="25"/>
  <c r="DN65" i="14"/>
  <c r="DN64" i="14"/>
  <c r="R15" i="42"/>
  <c r="AF17" i="37"/>
  <c r="R16" i="42"/>
  <c r="O17" i="26" l="1"/>
  <c r="DO46" i="14"/>
  <c r="DN47" i="14"/>
  <c r="CP148" i="35"/>
  <c r="CP151" i="35"/>
  <c r="CP152" i="35"/>
  <c r="CP153" i="35"/>
  <c r="CP120" i="35"/>
  <c r="DN58" i="14"/>
  <c r="CP14" i="35"/>
  <c r="DM57" i="12"/>
  <c r="AO5" i="35"/>
  <c r="AO9" i="35" s="1"/>
  <c r="AO35" i="35"/>
  <c r="CP11" i="35"/>
  <c r="CP34" i="35"/>
  <c r="CP184" i="35" s="1"/>
  <c r="AO49" i="35"/>
  <c r="DM26" i="2"/>
  <c r="AO54" i="35" s="1"/>
  <c r="DN25" i="2"/>
  <c r="AF18" i="37"/>
  <c r="AI17" i="37"/>
  <c r="AG17" i="37"/>
  <c r="AO42" i="35"/>
  <c r="DM20" i="2"/>
  <c r="DM27" i="2" s="1"/>
  <c r="DN17" i="2"/>
  <c r="DM32" i="2"/>
  <c r="DM66" i="13"/>
  <c r="DM51" i="12"/>
  <c r="DM13" i="12"/>
  <c r="DN13" i="12" s="1"/>
  <c r="DM10" i="12"/>
  <c r="DM94" i="2"/>
  <c r="DN94" i="2" s="1"/>
  <c r="DM93" i="2"/>
  <c r="DN93" i="2" s="1"/>
  <c r="DM92" i="2"/>
  <c r="DN92" i="2" s="1"/>
  <c r="DM91" i="2"/>
  <c r="DM87" i="2"/>
  <c r="DN87" i="2" s="1"/>
  <c r="DM86" i="2"/>
  <c r="DN86" i="2" s="1"/>
  <c r="DM85" i="2"/>
  <c r="DN85" i="2" s="1"/>
  <c r="DM84" i="2"/>
  <c r="DM40" i="2"/>
  <c r="DN40" i="2" s="1"/>
  <c r="DM38" i="2"/>
  <c r="DM36" i="2"/>
  <c r="DM34" i="2"/>
  <c r="DM12" i="2"/>
  <c r="DN11" i="2"/>
  <c r="DN10" i="2"/>
  <c r="BR17" i="25"/>
  <c r="V15" i="42"/>
  <c r="V16" i="42"/>
  <c r="AF13" i="37"/>
  <c r="R18" i="42"/>
  <c r="AM17" i="37"/>
  <c r="R17" i="42"/>
  <c r="DM95" i="2" l="1"/>
  <c r="DN57" i="12"/>
  <c r="CP5" i="35"/>
  <c r="CP6" i="35" s="1"/>
  <c r="CP170" i="35" s="1"/>
  <c r="CP35" i="35"/>
  <c r="CP49" i="35"/>
  <c r="DN26" i="2"/>
  <c r="CP54" i="35" s="1"/>
  <c r="DM25" i="12"/>
  <c r="AO44" i="35"/>
  <c r="DM21" i="2"/>
  <c r="AO45" i="35" s="1"/>
  <c r="CP42" i="35"/>
  <c r="CP43" i="35" s="1"/>
  <c r="DN20" i="2"/>
  <c r="DN27" i="2" s="1"/>
  <c r="DN18" i="2"/>
  <c r="DN19" i="2" s="1"/>
  <c r="AO58" i="35"/>
  <c r="DM42" i="2"/>
  <c r="DM58" i="12" s="1"/>
  <c r="DN32" i="2"/>
  <c r="DM31" i="12"/>
  <c r="DN31" i="12" s="1"/>
  <c r="DM27" i="12"/>
  <c r="DM11" i="12"/>
  <c r="DM18" i="13"/>
  <c r="DN10" i="12"/>
  <c r="AF36" i="37"/>
  <c r="AF14" i="37"/>
  <c r="AI13" i="37"/>
  <c r="AG13" i="37"/>
  <c r="DN91" i="2"/>
  <c r="DN136" i="2" s="1"/>
  <c r="DM88" i="2"/>
  <c r="DN84" i="2"/>
  <c r="DN130" i="2" s="1"/>
  <c r="AO64" i="35"/>
  <c r="DN38" i="2"/>
  <c r="AO62" i="35"/>
  <c r="DN36" i="2"/>
  <c r="AO60" i="35"/>
  <c r="DN34" i="2"/>
  <c r="DM30" i="2"/>
  <c r="DM28" i="2"/>
  <c r="DM29" i="2" s="1"/>
  <c r="AO50" i="35"/>
  <c r="DN66" i="13"/>
  <c r="DN51" i="12"/>
  <c r="DN53" i="12" s="1"/>
  <c r="O23" i="26"/>
  <c r="DN145" i="2"/>
  <c r="DN144" i="2"/>
  <c r="DN143" i="2"/>
  <c r="DN142" i="2"/>
  <c r="DN12" i="2"/>
  <c r="AM18" i="37"/>
  <c r="AP17" i="37"/>
  <c r="AN17" i="37"/>
  <c r="DN139" i="2"/>
  <c r="DN137" i="2"/>
  <c r="DN132" i="2"/>
  <c r="DN138" i="2"/>
  <c r="DN131" i="2"/>
  <c r="DN41" i="2"/>
  <c r="DN133" i="2"/>
  <c r="AF19" i="37"/>
  <c r="R19" i="42"/>
  <c r="V17" i="42"/>
  <c r="V18" i="42"/>
  <c r="AM13" i="37"/>
  <c r="CP9" i="35" l="1"/>
  <c r="DM19" i="13"/>
  <c r="DN19" i="13" s="1"/>
  <c r="DN82" i="14"/>
  <c r="DN104" i="14"/>
  <c r="K24" i="45" s="1"/>
  <c r="K25" i="45" s="1"/>
  <c r="AF20" i="37"/>
  <c r="DM43" i="2"/>
  <c r="DM45" i="2"/>
  <c r="DM20" i="13"/>
  <c r="DN20" i="13" s="1"/>
  <c r="DM30" i="12"/>
  <c r="DN25" i="12"/>
  <c r="CP44" i="35"/>
  <c r="DN21" i="2"/>
  <c r="CP45" i="35" s="1"/>
  <c r="AO66" i="35"/>
  <c r="DM44" i="2"/>
  <c r="DN42" i="2"/>
  <c r="DN58" i="12" s="1"/>
  <c r="CP58" i="35"/>
  <c r="DN33" i="2"/>
  <c r="CP59" i="35" s="1"/>
  <c r="DM22" i="13"/>
  <c r="DN27" i="12"/>
  <c r="DN11" i="12"/>
  <c r="DN18" i="13"/>
  <c r="DN95" i="2"/>
  <c r="DN96" i="2" s="1"/>
  <c r="DM9" i="13"/>
  <c r="DM119" i="2"/>
  <c r="DN119" i="2" s="1"/>
  <c r="DM96" i="2"/>
  <c r="AO72" i="35"/>
  <c r="DM11" i="13"/>
  <c r="DM117" i="2"/>
  <c r="DN117" i="2" s="1"/>
  <c r="DM89" i="2"/>
  <c r="DN88" i="2"/>
  <c r="DN89" i="2" s="1"/>
  <c r="CP64" i="35"/>
  <c r="DN39" i="2"/>
  <c r="CP65" i="35" s="1"/>
  <c r="CP62" i="35"/>
  <c r="DN37" i="2"/>
  <c r="CP63" i="35" s="1"/>
  <c r="CP60" i="35"/>
  <c r="DN35" i="2"/>
  <c r="CP61" i="35" s="1"/>
  <c r="AO55" i="35"/>
  <c r="AF21" i="37"/>
  <c r="AI19" i="37"/>
  <c r="AG19" i="37"/>
  <c r="AM36" i="37"/>
  <c r="AM14" i="37"/>
  <c r="AP13" i="37"/>
  <c r="AN13" i="37"/>
  <c r="CP31" i="35"/>
  <c r="CP185" i="35" s="1"/>
  <c r="AD12" i="25"/>
  <c r="DN39" i="14"/>
  <c r="DN25" i="14"/>
  <c r="DN23" i="14"/>
  <c r="CP50" i="35"/>
  <c r="CP55" i="35" s="1"/>
  <c r="DN30" i="2"/>
  <c r="DN28" i="2"/>
  <c r="R20" i="42"/>
  <c r="AM19" i="37"/>
  <c r="R21" i="42"/>
  <c r="AF25" i="37"/>
  <c r="V19" i="42"/>
  <c r="CP67" i="35" l="1"/>
  <c r="DN126" i="14"/>
  <c r="K35" i="45" s="1"/>
  <c r="DN122" i="14"/>
  <c r="K31" i="45" s="1"/>
  <c r="DN124" i="14"/>
  <c r="K33" i="45" s="1"/>
  <c r="DN120" i="14"/>
  <c r="K29" i="45" s="1"/>
  <c r="DN116" i="14"/>
  <c r="DN95" i="14"/>
  <c r="AD13" i="25"/>
  <c r="AE13" i="25" s="1"/>
  <c r="AM20" i="37"/>
  <c r="AF24" i="37"/>
  <c r="AG22" i="37"/>
  <c r="AF23" i="37"/>
  <c r="DN43" i="2"/>
  <c r="DN29" i="2"/>
  <c r="DM47" i="2"/>
  <c r="DM55" i="2"/>
  <c r="DM76" i="2"/>
  <c r="DN45" i="2"/>
  <c r="DM46" i="2"/>
  <c r="DM36" i="12"/>
  <c r="DN30" i="12"/>
  <c r="DN36" i="12" s="1"/>
  <c r="CP66" i="35"/>
  <c r="DN44" i="2"/>
  <c r="DM17" i="12"/>
  <c r="DN17" i="12" s="1"/>
  <c r="DM10" i="13"/>
  <c r="DM77" i="2" s="1"/>
  <c r="DN9" i="13"/>
  <c r="DM38" i="12"/>
  <c r="DN11" i="13"/>
  <c r="AF26" i="37"/>
  <c r="AI25" i="37"/>
  <c r="AG25" i="37"/>
  <c r="AG12" i="25"/>
  <c r="AE12" i="25"/>
  <c r="BQ13" i="25"/>
  <c r="BO13" i="25"/>
  <c r="AM21" i="37"/>
  <c r="AP19" i="37"/>
  <c r="AN19" i="37"/>
  <c r="DN22" i="13"/>
  <c r="DN23" i="13" s="1"/>
  <c r="DM23" i="13"/>
  <c r="V21" i="42"/>
  <c r="R22" i="42"/>
  <c r="AM25" i="37"/>
  <c r="V20" i="42"/>
  <c r="DN119" i="14" l="1"/>
  <c r="K28" i="45" s="1"/>
  <c r="CP116" i="35" s="1"/>
  <c r="K6" i="45"/>
  <c r="K7" i="45" s="1"/>
  <c r="DN133" i="14"/>
  <c r="K42" i="45" s="1"/>
  <c r="DN137" i="14"/>
  <c r="K46" i="45" s="1"/>
  <c r="DN135" i="14"/>
  <c r="K44" i="45" s="1"/>
  <c r="DN139" i="14"/>
  <c r="K48" i="45" s="1"/>
  <c r="DN97" i="14"/>
  <c r="DN107" i="14"/>
  <c r="DN55" i="2"/>
  <c r="DM58" i="2"/>
  <c r="DM79" i="2"/>
  <c r="DM110" i="2" s="1"/>
  <c r="DN76" i="2"/>
  <c r="DM105" i="2"/>
  <c r="DN47" i="2"/>
  <c r="AM24" i="37"/>
  <c r="AN22" i="37"/>
  <c r="AM23" i="37"/>
  <c r="DM35" i="12"/>
  <c r="DN35" i="12"/>
  <c r="DN10" i="13"/>
  <c r="DN77" i="2" s="1"/>
  <c r="DN38" i="12"/>
  <c r="AM26" i="37"/>
  <c r="AP25" i="37"/>
  <c r="AN25" i="37"/>
  <c r="BR13" i="25"/>
  <c r="V22" i="42"/>
  <c r="K40" i="45" l="1"/>
  <c r="K41" i="45" s="1"/>
  <c r="K58" i="45" s="1"/>
  <c r="DN121" i="14"/>
  <c r="K10" i="45"/>
  <c r="K11" i="45" s="1"/>
  <c r="DN109" i="14"/>
  <c r="DN58" i="2"/>
  <c r="DM61" i="2"/>
  <c r="DM56" i="2"/>
  <c r="DN56" i="2" s="1"/>
  <c r="AO69" i="35"/>
  <c r="AO73" i="35" s="1"/>
  <c r="DM82" i="2"/>
  <c r="DM80" i="2"/>
  <c r="DM81" i="2"/>
  <c r="DN79" i="2"/>
  <c r="DM108" i="2"/>
  <c r="DN105" i="2"/>
  <c r="DN108" i="2" s="1"/>
  <c r="DM107" i="2"/>
  <c r="DM106" i="2"/>
  <c r="AF27" i="37"/>
  <c r="R23" i="42"/>
  <c r="X18" i="25" l="1"/>
  <c r="X19" i="25" s="1"/>
  <c r="Y19" i="25" s="1"/>
  <c r="K30" i="45"/>
  <c r="DN134" i="14"/>
  <c r="K43" i="45" s="1"/>
  <c r="K53" i="45"/>
  <c r="K54" i="45"/>
  <c r="DN128" i="14"/>
  <c r="K37" i="45" s="1"/>
  <c r="DM67" i="12"/>
  <c r="DM67" i="13"/>
  <c r="DM111" i="2"/>
  <c r="DN106" i="2"/>
  <c r="DM57" i="2"/>
  <c r="DN57" i="2" s="1"/>
  <c r="DN110" i="2"/>
  <c r="AD18" i="25" s="1"/>
  <c r="DN80" i="2"/>
  <c r="DM112" i="2"/>
  <c r="DM113" i="2"/>
  <c r="AO70" i="35" s="1"/>
  <c r="DM63" i="2"/>
  <c r="X22" i="25" s="1"/>
  <c r="Y22" i="25" s="1"/>
  <c r="DN61" i="2"/>
  <c r="DN59" i="2" s="1"/>
  <c r="AF28" i="37"/>
  <c r="AI27" i="37"/>
  <c r="AG27" i="37"/>
  <c r="R25" i="42"/>
  <c r="R24" i="42"/>
  <c r="AF29" i="37"/>
  <c r="V23" i="42"/>
  <c r="AM27" i="37"/>
  <c r="Y18" i="25" l="1"/>
  <c r="DN67" i="12"/>
  <c r="DN67" i="13"/>
  <c r="DN113" i="2"/>
  <c r="CP69" i="35"/>
  <c r="DN111" i="2"/>
  <c r="DM64" i="2"/>
  <c r="DM116" i="2"/>
  <c r="DM123" i="2" s="1"/>
  <c r="DM42" i="12"/>
  <c r="DM7" i="13"/>
  <c r="DM65" i="2"/>
  <c r="DM70" i="2"/>
  <c r="DM71" i="2" s="1"/>
  <c r="DN63" i="2"/>
  <c r="DN65" i="2" s="1"/>
  <c r="AM28" i="37"/>
  <c r="AP27" i="37"/>
  <c r="AN27" i="37"/>
  <c r="AD19" i="25"/>
  <c r="AG18" i="25"/>
  <c r="AE18" i="25"/>
  <c r="CP70" i="35"/>
  <c r="AF30" i="37"/>
  <c r="AI29" i="37"/>
  <c r="AG29" i="37"/>
  <c r="AM29" i="37"/>
  <c r="V25" i="42"/>
  <c r="AF31" i="37"/>
  <c r="R26" i="42"/>
  <c r="V24" i="42"/>
  <c r="R27" i="42"/>
  <c r="X23" i="25" l="1"/>
  <c r="Y23" i="25" s="1"/>
  <c r="AD22" i="25"/>
  <c r="AE22" i="25" s="1"/>
  <c r="DN70" i="2"/>
  <c r="DN64" i="2"/>
  <c r="DN116" i="2"/>
  <c r="DM70" i="12"/>
  <c r="DM43" i="12"/>
  <c r="DM44" i="12"/>
  <c r="DN42" i="12"/>
  <c r="DM25" i="13"/>
  <c r="DM24" i="13"/>
  <c r="DM46" i="13" s="1"/>
  <c r="DN7" i="13"/>
  <c r="DN25" i="13" s="1"/>
  <c r="AG19" i="25"/>
  <c r="AE19" i="25"/>
  <c r="AI31" i="37"/>
  <c r="AG31" i="37"/>
  <c r="AM30" i="37"/>
  <c r="AP29" i="37"/>
  <c r="AN29" i="37"/>
  <c r="V27" i="42"/>
  <c r="V26" i="42"/>
  <c r="AM31" i="37"/>
  <c r="AF32" i="37"/>
  <c r="R29" i="42"/>
  <c r="AG22" i="25" l="1"/>
  <c r="AD23" i="25"/>
  <c r="AG23" i="25" s="1"/>
  <c r="DM54" i="13"/>
  <c r="DM57" i="13" s="1"/>
  <c r="DM62" i="13" s="1"/>
  <c r="DN71" i="2"/>
  <c r="DN24" i="13"/>
  <c r="DN26" i="13" s="1"/>
  <c r="DM26" i="13"/>
  <c r="DN70" i="12"/>
  <c r="DN43" i="12"/>
  <c r="DN44" i="12"/>
  <c r="DM124" i="2"/>
  <c r="X20" i="25" s="1"/>
  <c r="Y20" i="25" s="1"/>
  <c r="DN123" i="2"/>
  <c r="DN122" i="2" s="1"/>
  <c r="AF33" i="37"/>
  <c r="AI32" i="37"/>
  <c r="AG32" i="37"/>
  <c r="DM48" i="13"/>
  <c r="DN46" i="13"/>
  <c r="AP31" i="37"/>
  <c r="AN31" i="37"/>
  <c r="R33" i="42"/>
  <c r="AF37" i="37"/>
  <c r="AM32" i="37"/>
  <c r="V29" i="42"/>
  <c r="DN54" i="13" l="1"/>
  <c r="DN57" i="13" s="1"/>
  <c r="DM58" i="13"/>
  <c r="DM59" i="13"/>
  <c r="AE23" i="25"/>
  <c r="DM60" i="13"/>
  <c r="DM61" i="13" s="1"/>
  <c r="DM125" i="2"/>
  <c r="X21" i="25" s="1"/>
  <c r="Y21" i="25" s="1"/>
  <c r="DN124" i="2"/>
  <c r="DN125" i="2" s="1"/>
  <c r="AF39" i="37"/>
  <c r="AF38" i="37"/>
  <c r="AI37" i="37"/>
  <c r="AG37" i="37"/>
  <c r="DO47" i="13"/>
  <c r="DM50" i="13"/>
  <c r="DN48" i="13"/>
  <c r="DS47" i="13" s="1"/>
  <c r="AM33" i="37"/>
  <c r="AP32" i="37"/>
  <c r="AN32" i="37"/>
  <c r="CP75" i="35" a="1"/>
  <c r="R34" i="42"/>
  <c r="CP75" i="35" l="1"/>
  <c r="CP76" i="35" s="1"/>
  <c r="DN62" i="13"/>
  <c r="D7" i="21"/>
  <c r="D9" i="21" s="1"/>
  <c r="AD20" i="25"/>
  <c r="AG20" i="25" s="1"/>
  <c r="DM127" i="2"/>
  <c r="DM126" i="2"/>
  <c r="DM52" i="13"/>
  <c r="DN50" i="13"/>
  <c r="DN60" i="13"/>
  <c r="DN59" i="13"/>
  <c r="DN58" i="13"/>
  <c r="AD21" i="25"/>
  <c r="DN126" i="2"/>
  <c r="V34" i="42"/>
  <c r="V33" i="42"/>
  <c r="AM37" i="37"/>
  <c r="AE20" i="25" l="1"/>
  <c r="DM8" i="12"/>
  <c r="DN52" i="13"/>
  <c r="AM39" i="37"/>
  <c r="AM38" i="37"/>
  <c r="AP37" i="37"/>
  <c r="AN37" i="37"/>
  <c r="DN61" i="13"/>
  <c r="AG21" i="25"/>
  <c r="AE21" i="25"/>
  <c r="DM71" i="12" l="1"/>
  <c r="DM7" i="12"/>
  <c r="DN7" i="12" s="1"/>
  <c r="DM47" i="12"/>
  <c r="DM14" i="12"/>
  <c r="DN8" i="12"/>
  <c r="DN71" i="12" s="1"/>
  <c r="DM49" i="12" l="1"/>
  <c r="DN47" i="12"/>
  <c r="DM23" i="12"/>
  <c r="DN14" i="12"/>
  <c r="DM68" i="12" l="1"/>
  <c r="DM66" i="12"/>
  <c r="DN49" i="12"/>
  <c r="DM45" i="12"/>
  <c r="DM69" i="12"/>
  <c r="DN23" i="12"/>
  <c r="DN68" i="12" l="1"/>
  <c r="DN66" i="12"/>
  <c r="DN45" i="12"/>
  <c r="DN69" i="12"/>
  <c r="D28" i="21" l="1"/>
  <c r="H12" i="21" l="1"/>
  <c r="H14" i="21" s="1"/>
  <c r="H21" i="21" s="1"/>
  <c r="J17" i="21" s="1"/>
  <c r="J18" i="21" l="1"/>
  <c r="J16" i="21"/>
  <c r="AU65" i="35"/>
  <c r="AW65" i="35"/>
  <c r="AX65" i="35"/>
  <c r="AY65" i="35"/>
  <c r="AZ65" i="35"/>
  <c r="BA65" i="35"/>
  <c r="AN15" i="35"/>
  <c r="AO15" i="35"/>
  <c r="CP15" i="35"/>
  <c r="AN18" i="35"/>
  <c r="AO18" i="35"/>
  <c r="CP18" i="35"/>
  <c r="CP25" i="35" s="1"/>
  <c r="AN19" i="35"/>
  <c r="AO19" i="35"/>
  <c r="CP19" i="35"/>
  <c r="CP26" i="35" s="1"/>
  <c r="AN26" i="35"/>
  <c r="AO26" i="35"/>
  <c r="AN20" i="35"/>
  <c r="AN21" i="35" s="1"/>
  <c r="AO20" i="35"/>
  <c r="AO21" i="35" s="1"/>
  <c r="CP20" i="35"/>
  <c r="CP27" i="35" s="1"/>
  <c r="CP21" i="35" l="1"/>
  <c r="CP28" i="35" s="1"/>
  <c r="J19" i="21"/>
  <c r="J15" i="21"/>
  <c r="J14" i="21" l="1"/>
  <c r="J20" i="21"/>
  <c r="J21" i="21" l="1"/>
  <c r="J13" i="21"/>
  <c r="DO41" i="14"/>
  <c r="DO216" i="14" s="1"/>
  <c r="DP41" i="14"/>
  <c r="DP216" i="14" s="1"/>
  <c r="DQ41" i="14"/>
  <c r="DQ216" i="14" s="1"/>
  <c r="DR41" i="14"/>
  <c r="DR216" i="14" s="1"/>
  <c r="DL67" i="14"/>
  <c r="DL68" i="14"/>
  <c r="DM68" i="14"/>
  <c r="DN68" i="14"/>
  <c r="DL71" i="14"/>
  <c r="AN151" i="35" s="1"/>
  <c r="AN155" i="35" s="1"/>
  <c r="DM71" i="14"/>
  <c r="AO151" i="35" s="1"/>
  <c r="AO155" i="35" s="1"/>
  <c r="DN71" i="14"/>
  <c r="CP190" i="35" s="1"/>
  <c r="DL72" i="14"/>
  <c r="AN152" i="35" s="1"/>
  <c r="DM72" i="14"/>
  <c r="AO152" i="35" s="1"/>
  <c r="DL74" i="14"/>
  <c r="AN27" i="35" s="1"/>
  <c r="DM74" i="14"/>
  <c r="AO27" i="35" s="1"/>
  <c r="DN74" i="14"/>
  <c r="DL75" i="14"/>
  <c r="DM75" i="14"/>
  <c r="DN75" i="14"/>
  <c r="DL76" i="14"/>
  <c r="DM76" i="14"/>
  <c r="DL77" i="14"/>
  <c r="DM77" i="14"/>
  <c r="DN77" i="14"/>
  <c r="AY9" i="37"/>
  <c r="AS9" i="37"/>
  <c r="BE9" i="37"/>
  <c r="BK9" i="37"/>
  <c r="DQ217" i="14" l="1"/>
  <c r="DP217" i="14"/>
  <c r="DR217" i="14"/>
  <c r="DR218" i="14"/>
  <c r="DR219" i="14" s="1"/>
  <c r="DS216" i="14"/>
  <c r="DO217" i="14"/>
  <c r="DO44" i="14"/>
  <c r="DO31" i="14"/>
  <c r="DO48" i="14"/>
  <c r="DO21" i="14" s="1"/>
  <c r="DR44" i="14"/>
  <c r="DR31" i="14"/>
  <c r="DQ44" i="14"/>
  <c r="DQ31" i="14"/>
  <c r="DP44" i="14"/>
  <c r="DP31" i="14"/>
  <c r="AQ7" i="35"/>
  <c r="AQ8" i="35" s="1"/>
  <c r="DT41" i="14"/>
  <c r="AP7" i="35"/>
  <c r="AP8" i="35" s="1"/>
  <c r="DV41" i="14"/>
  <c r="AR7" i="35"/>
  <c r="AR8" i="35" s="1"/>
  <c r="AS7" i="35"/>
  <c r="AS8" i="35" s="1"/>
  <c r="DQ42" i="14"/>
  <c r="DQ48" i="14"/>
  <c r="DQ51" i="14"/>
  <c r="DQ59" i="14" s="1"/>
  <c r="DR48" i="14"/>
  <c r="DR21" i="14" s="1"/>
  <c r="DR51" i="14"/>
  <c r="DR59" i="14" s="1"/>
  <c r="DW41" i="14"/>
  <c r="DW216" i="14" s="1"/>
  <c r="AZ9" i="37"/>
  <c r="BB9" i="37"/>
  <c r="AY10" i="37"/>
  <c r="BN9" i="37"/>
  <c r="BL9" i="37"/>
  <c r="BK10" i="37"/>
  <c r="BF9" i="37"/>
  <c r="BH9" i="37"/>
  <c r="BE10" i="37"/>
  <c r="AT9" i="37"/>
  <c r="AV9" i="37"/>
  <c r="AS10" i="37"/>
  <c r="DU41" i="14"/>
  <c r="DP48" i="14"/>
  <c r="DP21" i="14" s="1"/>
  <c r="DP42" i="14"/>
  <c r="DP51" i="14"/>
  <c r="DP59" i="14" s="1"/>
  <c r="DR42" i="14"/>
  <c r="DO42" i="14"/>
  <c r="DO51" i="14"/>
  <c r="DO59" i="14" s="1"/>
  <c r="DS41" i="14"/>
  <c r="BE11" i="37"/>
  <c r="AS11" i="37"/>
  <c r="AY11" i="37"/>
  <c r="BQ9" i="37"/>
  <c r="Z11" i="42"/>
  <c r="BK11" i="37"/>
  <c r="DO218" i="14" l="1"/>
  <c r="DO219" i="14" s="1"/>
  <c r="DT31" i="14"/>
  <c r="DT216" i="14"/>
  <c r="DP218" i="14"/>
  <c r="DP219" i="14" s="1"/>
  <c r="DV31" i="14"/>
  <c r="DV216" i="14"/>
  <c r="DU31" i="14"/>
  <c r="DU216" i="14"/>
  <c r="CQ204" i="35"/>
  <c r="DS217" i="14"/>
  <c r="DS220" i="14"/>
  <c r="DQ218" i="14"/>
  <c r="DQ219" i="14" s="1"/>
  <c r="DW217" i="14"/>
  <c r="DW44" i="14"/>
  <c r="DW31" i="14"/>
  <c r="DS31" i="14"/>
  <c r="L117" i="45"/>
  <c r="DQ49" i="14"/>
  <c r="AR156" i="35" s="1"/>
  <c r="DQ21" i="14"/>
  <c r="DS21" i="14" s="1"/>
  <c r="DO49" i="14"/>
  <c r="AP156" i="35" s="1"/>
  <c r="DS141" i="14"/>
  <c r="L50" i="45" s="1"/>
  <c r="DS44" i="14"/>
  <c r="DV51" i="14"/>
  <c r="DV63" i="14" s="1"/>
  <c r="DV69" i="14" s="1"/>
  <c r="AV149" i="35" s="1"/>
  <c r="DV44" i="14"/>
  <c r="AT7" i="35"/>
  <c r="AT8" i="35" s="1"/>
  <c r="DT44" i="14"/>
  <c r="AU7" i="35"/>
  <c r="AU8" i="35" s="1"/>
  <c r="DU44" i="14"/>
  <c r="AK16" i="25"/>
  <c r="AL16" i="25" s="1"/>
  <c r="DT48" i="14"/>
  <c r="AT22" i="35" s="1"/>
  <c r="AP22" i="35"/>
  <c r="DO9" i="2"/>
  <c r="DO10" i="2" s="1"/>
  <c r="AS22" i="35"/>
  <c r="DY41" i="14"/>
  <c r="AY16" i="25"/>
  <c r="AZ16" i="25" s="1"/>
  <c r="AR22" i="35"/>
  <c r="DT42" i="14"/>
  <c r="DQ63" i="14"/>
  <c r="DT51" i="14"/>
  <c r="DT63" i="14" s="1"/>
  <c r="CQ7" i="35"/>
  <c r="CQ8" i="35" s="1"/>
  <c r="DR63" i="14"/>
  <c r="DP63" i="14"/>
  <c r="DP64" i="14" s="1"/>
  <c r="DO63" i="14"/>
  <c r="DO64" i="14" s="1"/>
  <c r="AV7" i="35"/>
  <c r="AV8" i="35" s="1"/>
  <c r="EA41" i="14"/>
  <c r="EA216" i="14" s="1"/>
  <c r="DV48" i="14"/>
  <c r="DW51" i="14"/>
  <c r="DW52" i="14" s="1"/>
  <c r="AW7" i="35"/>
  <c r="AW8" i="35" s="1"/>
  <c r="DQ61" i="14"/>
  <c r="DQ9" i="2"/>
  <c r="BF11" i="37"/>
  <c r="BE12" i="37"/>
  <c r="BH11" i="37"/>
  <c r="DQ52" i="14"/>
  <c r="DR60" i="14"/>
  <c r="DR49" i="14"/>
  <c r="AS156" i="35" s="1"/>
  <c r="BF16" i="25"/>
  <c r="BG16" i="25" s="1"/>
  <c r="DR9" i="2"/>
  <c r="BL11" i="37"/>
  <c r="BK12" i="37"/>
  <c r="DW48" i="14"/>
  <c r="DW21" i="14" s="1"/>
  <c r="EB41" i="14"/>
  <c r="DW42" i="14"/>
  <c r="DR52" i="14"/>
  <c r="BR9" i="37"/>
  <c r="BT9" i="37"/>
  <c r="BQ10" i="37"/>
  <c r="AT11" i="37"/>
  <c r="AV11" i="37"/>
  <c r="AS12" i="37"/>
  <c r="BB11" i="37"/>
  <c r="AY12" i="37"/>
  <c r="AZ11" i="37"/>
  <c r="DU42" i="14"/>
  <c r="DU48" i="14"/>
  <c r="DU21" i="14" s="1"/>
  <c r="DU51" i="14"/>
  <c r="DU63" i="14" s="1"/>
  <c r="DU69" i="14" s="1"/>
  <c r="AU149" i="35" s="1"/>
  <c r="DZ41" i="14"/>
  <c r="DV42" i="14"/>
  <c r="DX41" i="14"/>
  <c r="P16" i="26"/>
  <c r="H16" i="26" s="1"/>
  <c r="DS43" i="14"/>
  <c r="CQ192" i="35" s="1"/>
  <c r="DS51" i="14"/>
  <c r="L118" i="45" s="1"/>
  <c r="DO52" i="14"/>
  <c r="DP52" i="14"/>
  <c r="AQ22" i="35"/>
  <c r="DP9" i="2"/>
  <c r="AR16" i="25"/>
  <c r="DP20" i="14"/>
  <c r="DP49" i="14"/>
  <c r="AQ156" i="35" s="1"/>
  <c r="DS48" i="14"/>
  <c r="CQ147" i="35" s="1"/>
  <c r="AD11" i="42"/>
  <c r="AY17" i="37"/>
  <c r="AS17" i="37"/>
  <c r="BK17" i="37"/>
  <c r="CQ176" i="35" a="1"/>
  <c r="BE17" i="37"/>
  <c r="BQ11" i="37"/>
  <c r="Z12" i="42"/>
  <c r="BW9" i="37"/>
  <c r="EA217" i="14" l="1"/>
  <c r="DS221" i="14"/>
  <c r="CQ205" i="35"/>
  <c r="DV217" i="14"/>
  <c r="DV218" i="14"/>
  <c r="DV219" i="14" s="1"/>
  <c r="DS218" i="14"/>
  <c r="DS219" i="14" s="1"/>
  <c r="EB31" i="14"/>
  <c r="EB216" i="14"/>
  <c r="DU218" i="14"/>
  <c r="DU219" i="14" s="1"/>
  <c r="DU217" i="14"/>
  <c r="DZ31" i="14"/>
  <c r="DZ216" i="14"/>
  <c r="DW218" i="14"/>
  <c r="DW219" i="14" s="1"/>
  <c r="DX216" i="14"/>
  <c r="DT217" i="14"/>
  <c r="DT218" i="14"/>
  <c r="DT219" i="14" s="1"/>
  <c r="DY31" i="14"/>
  <c r="DY216" i="14"/>
  <c r="DV52" i="14"/>
  <c r="DV65" i="14"/>
  <c r="DV64" i="14"/>
  <c r="CQ176" i="35"/>
  <c r="CQ177" i="35" s="1"/>
  <c r="DX44" i="14"/>
  <c r="DX31" i="14"/>
  <c r="M117" i="45"/>
  <c r="L122" i="45"/>
  <c r="L121" i="45"/>
  <c r="EA44" i="14"/>
  <c r="EA31" i="14"/>
  <c r="BT16" i="25"/>
  <c r="BW16" i="25" s="1"/>
  <c r="DT9" i="2"/>
  <c r="DT17" i="2" s="1"/>
  <c r="DT49" i="14"/>
  <c r="AT156" i="35" s="1"/>
  <c r="DT21" i="14"/>
  <c r="DV49" i="14"/>
  <c r="AV156" i="35" s="1"/>
  <c r="DV21" i="14"/>
  <c r="DV20" i="14" s="1"/>
  <c r="AR31" i="35"/>
  <c r="DQ20" i="14"/>
  <c r="AS31" i="35"/>
  <c r="DR20" i="14"/>
  <c r="DO23" i="14"/>
  <c r="AK13" i="25" s="1"/>
  <c r="AL13" i="25" s="1"/>
  <c r="DO20" i="14"/>
  <c r="AY7" i="35"/>
  <c r="AY8" i="35" s="1"/>
  <c r="DZ44" i="14"/>
  <c r="BA7" i="35"/>
  <c r="BA8" i="35" s="1"/>
  <c r="EB44" i="14"/>
  <c r="AX7" i="35"/>
  <c r="AX8" i="35" s="1"/>
  <c r="DY44" i="14"/>
  <c r="DO25" i="14"/>
  <c r="DO11" i="2"/>
  <c r="DO38" i="2" s="1"/>
  <c r="DT65" i="14"/>
  <c r="DT69" i="14"/>
  <c r="AT149" i="35" s="1"/>
  <c r="AP31" i="35"/>
  <c r="DP65" i="14"/>
  <c r="AP34" i="35"/>
  <c r="AP11" i="35"/>
  <c r="DO17" i="2"/>
  <c r="DO25" i="2" s="1"/>
  <c r="AP49" i="35" s="1"/>
  <c r="AK12" i="25"/>
  <c r="AL12" i="25" s="1"/>
  <c r="DO39" i="14"/>
  <c r="DO22" i="14"/>
  <c r="AS18" i="35"/>
  <c r="DT64" i="14"/>
  <c r="DQ65" i="14"/>
  <c r="AN16" i="25"/>
  <c r="DY51" i="14"/>
  <c r="DY52" i="14" s="1"/>
  <c r="DR61" i="14"/>
  <c r="DQ62" i="14"/>
  <c r="AR18" i="35"/>
  <c r="DY48" i="14"/>
  <c r="CR7" i="35"/>
  <c r="CR8" i="35" s="1"/>
  <c r="DX141" i="14"/>
  <c r="M50" i="45" s="1"/>
  <c r="DQ60" i="14"/>
  <c r="DY42" i="14"/>
  <c r="DQ64" i="14"/>
  <c r="DT52" i="14"/>
  <c r="AT17" i="37"/>
  <c r="AS18" i="37"/>
  <c r="AV17" i="37"/>
  <c r="DO65" i="14"/>
  <c r="DQ39" i="14"/>
  <c r="DQ25" i="14"/>
  <c r="BF12" i="25"/>
  <c r="BI12" i="25" s="1"/>
  <c r="DR64" i="14"/>
  <c r="AY12" i="25"/>
  <c r="AZ12" i="25" s="1"/>
  <c r="BB16" i="25"/>
  <c r="DS63" i="14"/>
  <c r="DR65" i="14"/>
  <c r="DW63" i="14"/>
  <c r="CQ119" i="35"/>
  <c r="EA51" i="14"/>
  <c r="EA218" i="14" s="1"/>
  <c r="EA219" i="14" s="1"/>
  <c r="EA48" i="14"/>
  <c r="EA21" i="14" s="1"/>
  <c r="AZ7" i="35"/>
  <c r="AZ8" i="35" s="1"/>
  <c r="DV9" i="2"/>
  <c r="DV10" i="2" s="1"/>
  <c r="CH16" i="25"/>
  <c r="AV22" i="35"/>
  <c r="DQ11" i="2"/>
  <c r="DQ12" i="2" s="1"/>
  <c r="AR11" i="35"/>
  <c r="AR34" i="35"/>
  <c r="DR10" i="2"/>
  <c r="AS11" i="35"/>
  <c r="AS34" i="35"/>
  <c r="AQ11" i="35"/>
  <c r="AQ34" i="35"/>
  <c r="DS9" i="2"/>
  <c r="DR11" i="2"/>
  <c r="DR10" i="12" s="1"/>
  <c r="DS10" i="12" s="1"/>
  <c r="DR62" i="14"/>
  <c r="DQ23" i="14"/>
  <c r="AY13" i="25" s="1"/>
  <c r="AZ13" i="25" s="1"/>
  <c r="DX48" i="14"/>
  <c r="DQ10" i="2"/>
  <c r="BF17" i="37"/>
  <c r="BH17" i="37"/>
  <c r="BE18" i="37"/>
  <c r="DQ17" i="2"/>
  <c r="DQ25" i="2" s="1"/>
  <c r="AR49" i="35" s="1"/>
  <c r="EC41" i="14"/>
  <c r="DR17" i="2"/>
  <c r="DR25" i="2" s="1"/>
  <c r="AS49" i="35" s="1"/>
  <c r="BI16" i="25"/>
  <c r="BL17" i="37"/>
  <c r="BN17" i="37"/>
  <c r="BK18" i="37"/>
  <c r="DR23" i="14"/>
  <c r="BF13" i="25" s="1"/>
  <c r="BI13" i="25" s="1"/>
  <c r="DR25" i="14"/>
  <c r="DR22" i="14"/>
  <c r="DR39" i="14"/>
  <c r="EB51" i="14"/>
  <c r="EB52" i="14" s="1"/>
  <c r="EB42" i="14"/>
  <c r="EB48" i="14"/>
  <c r="EB21" i="14" s="1"/>
  <c r="DW49" i="14"/>
  <c r="AW156" i="35" s="1"/>
  <c r="DW9" i="2"/>
  <c r="DW20" i="14"/>
  <c r="CO16" i="25"/>
  <c r="AW22" i="35"/>
  <c r="AZ17" i="37"/>
  <c r="BB17" i="37"/>
  <c r="AY18" i="37"/>
  <c r="BX9" i="37"/>
  <c r="BZ9" i="37"/>
  <c r="BW10" i="37"/>
  <c r="BR11" i="37"/>
  <c r="BQ12" i="37"/>
  <c r="CQ22" i="35"/>
  <c r="BM16" i="25"/>
  <c r="DS45" i="14"/>
  <c r="P20" i="26"/>
  <c r="P22" i="26" s="1"/>
  <c r="DS49" i="14"/>
  <c r="CQ191" i="35" s="1"/>
  <c r="DU65" i="14"/>
  <c r="DU64" i="14"/>
  <c r="DP60" i="14"/>
  <c r="DP62" i="14"/>
  <c r="DP61" i="14"/>
  <c r="AQ18" i="35"/>
  <c r="AQ31" i="35"/>
  <c r="AR12" i="25"/>
  <c r="DP22" i="14"/>
  <c r="DP25" i="14"/>
  <c r="DP23" i="14"/>
  <c r="AR13" i="25" s="1"/>
  <c r="DP39" i="14"/>
  <c r="DP11" i="2"/>
  <c r="DP10" i="2"/>
  <c r="DP17" i="2"/>
  <c r="DZ51" i="14"/>
  <c r="DZ52" i="14" s="1"/>
  <c r="DZ42" i="14"/>
  <c r="DZ48" i="14"/>
  <c r="DZ21" i="14" s="1"/>
  <c r="EA42" i="14"/>
  <c r="DX43" i="14"/>
  <c r="CR192" i="35" s="1"/>
  <c r="DS52" i="14"/>
  <c r="DS53" i="14"/>
  <c r="DS55" i="14" s="1"/>
  <c r="DU52" i="14"/>
  <c r="DX51" i="14"/>
  <c r="M118" i="45" s="1"/>
  <c r="DO60" i="14"/>
  <c r="DS59" i="14"/>
  <c r="CQ144" i="35" s="1"/>
  <c r="CQ157" i="35" s="1"/>
  <c r="DO62" i="14"/>
  <c r="DO61" i="14"/>
  <c r="AP18" i="35"/>
  <c r="AS16" i="25"/>
  <c r="AU16" i="25"/>
  <c r="F16" i="26"/>
  <c r="I16" i="26"/>
  <c r="J16" i="26"/>
  <c r="G16" i="26"/>
  <c r="AU22" i="35"/>
  <c r="DU9" i="2"/>
  <c r="CA16" i="25"/>
  <c r="DU20" i="14"/>
  <c r="DU49" i="14"/>
  <c r="AU156" i="35" s="1"/>
  <c r="DQ22" i="14"/>
  <c r="Z15" i="42"/>
  <c r="BW11" i="37"/>
  <c r="BQ17" i="37"/>
  <c r="CR176" i="35" a="1"/>
  <c r="BK13" i="37"/>
  <c r="AY13" i="37"/>
  <c r="AS13" i="37"/>
  <c r="CC9" i="37"/>
  <c r="AD12" i="42"/>
  <c r="CR204" i="35" l="1"/>
  <c r="DX217" i="14"/>
  <c r="DX220" i="14"/>
  <c r="DX218" i="14"/>
  <c r="DX219" i="14" s="1"/>
  <c r="EB217" i="14"/>
  <c r="EB218" i="14"/>
  <c r="EB219" i="14" s="1"/>
  <c r="DY218" i="14"/>
  <c r="DY219" i="14" s="1"/>
  <c r="EC216" i="14"/>
  <c r="DY217" i="14"/>
  <c r="DZ218" i="14"/>
  <c r="DZ219" i="14" s="1"/>
  <c r="DZ217" i="14"/>
  <c r="DT39" i="14"/>
  <c r="DT25" i="14"/>
  <c r="BT12" i="25"/>
  <c r="DT23" i="14"/>
  <c r="BT13" i="25" s="1"/>
  <c r="DT22" i="14"/>
  <c r="AT31" i="35"/>
  <c r="DS65" i="14"/>
  <c r="DS64" i="14"/>
  <c r="CR176" i="35"/>
  <c r="CR177" i="35" s="1"/>
  <c r="EC31" i="14"/>
  <c r="N117" i="45"/>
  <c r="M122" i="45"/>
  <c r="M121" i="45"/>
  <c r="CQ151" i="35"/>
  <c r="BU16" i="25"/>
  <c r="DO34" i="2"/>
  <c r="AP60" i="35" s="1"/>
  <c r="DO40" i="2"/>
  <c r="DO94" i="2"/>
  <c r="DT11" i="2"/>
  <c r="AT11" i="35"/>
  <c r="DT10" i="2"/>
  <c r="AT34" i="35"/>
  <c r="DX49" i="14"/>
  <c r="CR191" i="35" s="1"/>
  <c r="CR147" i="35"/>
  <c r="DX21" i="14"/>
  <c r="DT20" i="14"/>
  <c r="DY9" i="2"/>
  <c r="DY21" i="14"/>
  <c r="AX31" i="35" s="1"/>
  <c r="DQ34" i="2"/>
  <c r="AR60" i="35" s="1"/>
  <c r="AN13" i="25"/>
  <c r="DQ13" i="12"/>
  <c r="DQ92" i="2"/>
  <c r="DO91" i="2"/>
  <c r="DO85" i="2"/>
  <c r="AP35" i="35"/>
  <c r="DO36" i="2"/>
  <c r="AP62" i="35" s="1"/>
  <c r="DO92" i="2"/>
  <c r="DO13" i="12"/>
  <c r="DO57" i="12"/>
  <c r="DO93" i="2"/>
  <c r="AP5" i="35"/>
  <c r="AP9" i="35" s="1"/>
  <c r="DO12" i="2"/>
  <c r="DO84" i="2"/>
  <c r="DO51" i="12"/>
  <c r="DO10" i="12"/>
  <c r="DO18" i="13" s="1"/>
  <c r="DO86" i="2"/>
  <c r="DO32" i="2"/>
  <c r="AP58" i="35" s="1"/>
  <c r="DO66" i="13"/>
  <c r="DO87" i="2"/>
  <c r="EC141" i="14"/>
  <c r="N50" i="45" s="1"/>
  <c r="EC44" i="14"/>
  <c r="DX63" i="14"/>
  <c r="DW69" i="14"/>
  <c r="AW149" i="35" s="1"/>
  <c r="AS14" i="37"/>
  <c r="AS36" i="37"/>
  <c r="AT13" i="37"/>
  <c r="AV13" i="37"/>
  <c r="DR84" i="2"/>
  <c r="DQ40" i="2"/>
  <c r="DQ66" i="13"/>
  <c r="DO20" i="2"/>
  <c r="DO27" i="2" s="1"/>
  <c r="AP50" i="35" s="1"/>
  <c r="AP42" i="35"/>
  <c r="DO26" i="2"/>
  <c r="AP54" i="35" s="1"/>
  <c r="DY63" i="14"/>
  <c r="DY69" i="14" s="1"/>
  <c r="AX149" i="35" s="1"/>
  <c r="DQ36" i="2"/>
  <c r="AR62" i="35" s="1"/>
  <c r="AX22" i="35"/>
  <c r="DQ10" i="12"/>
  <c r="DR18" i="13" s="1"/>
  <c r="AN12" i="25"/>
  <c r="DY49" i="14"/>
  <c r="AX156" i="35" s="1"/>
  <c r="DC16" i="25"/>
  <c r="DD16" i="25" s="1"/>
  <c r="DQ86" i="2"/>
  <c r="DQ87" i="2"/>
  <c r="DQ91" i="2"/>
  <c r="DQ51" i="12"/>
  <c r="DQ11" i="12" s="1"/>
  <c r="DR36" i="2"/>
  <c r="AS62" i="35" s="1"/>
  <c r="DR87" i="2"/>
  <c r="DR12" i="2"/>
  <c r="DR34" i="2"/>
  <c r="AS60" i="35" s="1"/>
  <c r="AR42" i="35"/>
  <c r="DR91" i="2"/>
  <c r="DR40" i="2"/>
  <c r="DR13" i="12"/>
  <c r="DS13" i="12" s="1"/>
  <c r="DR51" i="12"/>
  <c r="DR11" i="12" s="1"/>
  <c r="DR32" i="2"/>
  <c r="AS58" i="35" s="1"/>
  <c r="CR119" i="35"/>
  <c r="DX53" i="14"/>
  <c r="DX55" i="14" s="1"/>
  <c r="DW65" i="14"/>
  <c r="DW64" i="14"/>
  <c r="AW15" i="35"/>
  <c r="DR92" i="2"/>
  <c r="CQ120" i="35"/>
  <c r="BG12" i="25"/>
  <c r="BB12" i="25"/>
  <c r="DQ20" i="2"/>
  <c r="DQ25" i="12" s="1"/>
  <c r="DQ26" i="2"/>
  <c r="AR54" i="35" s="1"/>
  <c r="DR94" i="2"/>
  <c r="DR26" i="2"/>
  <c r="AS54" i="35" s="1"/>
  <c r="DR85" i="2"/>
  <c r="CV16" i="25"/>
  <c r="CY16" i="25" s="1"/>
  <c r="CR22" i="35"/>
  <c r="DR38" i="2"/>
  <c r="AS64" i="35" s="1"/>
  <c r="DR66" i="13"/>
  <c r="DR93" i="2"/>
  <c r="DR86" i="2"/>
  <c r="DX45" i="14"/>
  <c r="DY46" i="14" s="1"/>
  <c r="EA63" i="14"/>
  <c r="EA69" i="14" s="1"/>
  <c r="EA52" i="14"/>
  <c r="DQ16" i="25"/>
  <c r="EA9" i="2"/>
  <c r="EA10" i="2" s="1"/>
  <c r="EA49" i="14"/>
  <c r="AZ22" i="35"/>
  <c r="EA20" i="14"/>
  <c r="DV39" i="14"/>
  <c r="DV23" i="14"/>
  <c r="CH13" i="25" s="1"/>
  <c r="DV25" i="14"/>
  <c r="CH12" i="25"/>
  <c r="AV31" i="35"/>
  <c r="DV11" i="2"/>
  <c r="DV12" i="2" s="1"/>
  <c r="DV17" i="2"/>
  <c r="AV11" i="35"/>
  <c r="AV34" i="35"/>
  <c r="CK16" i="25"/>
  <c r="CI16" i="25"/>
  <c r="DQ85" i="2"/>
  <c r="DQ94" i="2"/>
  <c r="DQ38" i="2"/>
  <c r="AR64" i="35" s="1"/>
  <c r="DQ84" i="2"/>
  <c r="DQ93" i="2"/>
  <c r="DQ32" i="2"/>
  <c r="AR58" i="35" s="1"/>
  <c r="AR35" i="35"/>
  <c r="AR5" i="35"/>
  <c r="AR9" i="35" s="1"/>
  <c r="DQ57" i="12"/>
  <c r="DS10" i="2"/>
  <c r="CQ11" i="35"/>
  <c r="CQ34" i="35"/>
  <c r="CQ184" i="35" s="1"/>
  <c r="AS5" i="35"/>
  <c r="AS9" i="35" s="1"/>
  <c r="AS35" i="35"/>
  <c r="EC43" i="14"/>
  <c r="CS192" i="35" s="1"/>
  <c r="CS7" i="35"/>
  <c r="CT7" i="35" s="1"/>
  <c r="AW11" i="35"/>
  <c r="AW34" i="35"/>
  <c r="DP57" i="12"/>
  <c r="AQ5" i="35"/>
  <c r="AQ9" i="35" s="1"/>
  <c r="AQ35" i="35"/>
  <c r="AU34" i="35"/>
  <c r="AU11" i="35"/>
  <c r="BB13" i="25"/>
  <c r="BR17" i="37"/>
  <c r="BT17" i="37"/>
  <c r="BQ18" i="37"/>
  <c r="DR20" i="2"/>
  <c r="DR27" i="2" s="1"/>
  <c r="AS42" i="35"/>
  <c r="BL13" i="37"/>
  <c r="BN13" i="37"/>
  <c r="BK14" i="37"/>
  <c r="BK36" i="37"/>
  <c r="DR57" i="12"/>
  <c r="CD9" i="37"/>
  <c r="CC10" i="37"/>
  <c r="CF9" i="37"/>
  <c r="DZ63" i="14"/>
  <c r="DZ69" i="14" s="1"/>
  <c r="AY149" i="35" s="1"/>
  <c r="DS11" i="2"/>
  <c r="DS145" i="2" s="1"/>
  <c r="EC48" i="14"/>
  <c r="CS147" i="35" s="1"/>
  <c r="BG13" i="25"/>
  <c r="EB20" i="14"/>
  <c r="EB49" i="14"/>
  <c r="EB9" i="2"/>
  <c r="BA22" i="35"/>
  <c r="DX16" i="25"/>
  <c r="DW17" i="2"/>
  <c r="DW11" i="2"/>
  <c r="DW10" i="2"/>
  <c r="DX9" i="2"/>
  <c r="CP16" i="25"/>
  <c r="CR16" i="25"/>
  <c r="CO12" i="25"/>
  <c r="DW25" i="14"/>
  <c r="DW23" i="14"/>
  <c r="CO13" i="25" s="1"/>
  <c r="DW22" i="14"/>
  <c r="DW39" i="14"/>
  <c r="AW31" i="35"/>
  <c r="EB63" i="14"/>
  <c r="EB69" i="14" s="1"/>
  <c r="AZ13" i="37"/>
  <c r="BB13" i="37"/>
  <c r="AY14" i="37"/>
  <c r="AY36" i="37"/>
  <c r="BX11" i="37"/>
  <c r="BW12" i="37"/>
  <c r="AT42" i="35"/>
  <c r="DT20" i="2"/>
  <c r="AS12" i="25"/>
  <c r="AU12" i="25"/>
  <c r="DS56" i="14"/>
  <c r="DS60" i="14"/>
  <c r="DS61" i="14"/>
  <c r="CQ18" i="35"/>
  <c r="P17" i="26"/>
  <c r="DS47" i="14"/>
  <c r="DT46" i="14"/>
  <c r="AY22" i="35"/>
  <c r="DZ9" i="2"/>
  <c r="DZ10" i="2" s="1"/>
  <c r="DJ16" i="25"/>
  <c r="DZ20" i="14"/>
  <c r="DZ49" i="14"/>
  <c r="AY156" i="35" s="1"/>
  <c r="AQ42" i="35"/>
  <c r="DP20" i="2"/>
  <c r="DP27" i="2" s="1"/>
  <c r="EC51" i="14"/>
  <c r="N118" i="45" s="1"/>
  <c r="BN16" i="25"/>
  <c r="BP16" i="25"/>
  <c r="CZ17" i="25"/>
  <c r="DA17" i="25" s="1"/>
  <c r="AU31" i="35"/>
  <c r="CA12" i="25"/>
  <c r="DU25" i="14"/>
  <c r="DU23" i="14"/>
  <c r="CA13" i="25" s="1"/>
  <c r="DU39" i="14"/>
  <c r="DU22" i="14"/>
  <c r="DV22" i="14"/>
  <c r="DU17" i="2"/>
  <c r="DU11" i="2"/>
  <c r="AP64" i="35"/>
  <c r="DU10" i="2"/>
  <c r="DP25" i="2"/>
  <c r="AT15" i="35"/>
  <c r="AU13" i="25"/>
  <c r="AS13" i="25"/>
  <c r="DT25" i="2"/>
  <c r="DP51" i="12"/>
  <c r="DP13" i="12"/>
  <c r="DP66" i="13"/>
  <c r="DP10" i="12"/>
  <c r="DP12" i="2"/>
  <c r="DP87" i="2"/>
  <c r="DP36" i="2"/>
  <c r="AQ62" i="35" s="1"/>
  <c r="DP86" i="2"/>
  <c r="DP85" i="2"/>
  <c r="DP94" i="2"/>
  <c r="DP38" i="2"/>
  <c r="AQ64" i="35" s="1"/>
  <c r="DP84" i="2"/>
  <c r="DP93" i="2"/>
  <c r="DP92" i="2"/>
  <c r="DP32" i="2"/>
  <c r="DP40" i="2"/>
  <c r="DP34" i="2"/>
  <c r="AQ60" i="35" s="1"/>
  <c r="DP91" i="2"/>
  <c r="CB16" i="25"/>
  <c r="CD16" i="25"/>
  <c r="DX52" i="14"/>
  <c r="DS17" i="2"/>
  <c r="BW17" i="37"/>
  <c r="AS19" i="37"/>
  <c r="Z17" i="42"/>
  <c r="CS176" i="35" a="1"/>
  <c r="CC11" i="37"/>
  <c r="AD15" i="42"/>
  <c r="Z16" i="42"/>
  <c r="BK19" i="37"/>
  <c r="BQ13" i="37"/>
  <c r="AY19" i="37"/>
  <c r="BE13" i="37"/>
  <c r="H17" i="26" l="1"/>
  <c r="H10" i="26"/>
  <c r="DX221" i="14"/>
  <c r="CR205" i="35"/>
  <c r="CS204" i="35"/>
  <c r="EC220" i="14"/>
  <c r="EC217" i="14"/>
  <c r="EC218" i="14"/>
  <c r="EC219" i="14" s="1"/>
  <c r="DT12" i="2"/>
  <c r="AT5" i="35"/>
  <c r="AT9" i="35" s="1"/>
  <c r="AT35" i="35"/>
  <c r="DY10" i="2"/>
  <c r="AX11" i="35"/>
  <c r="AX34" i="35"/>
  <c r="DT27" i="2"/>
  <c r="DT30" i="2" s="1"/>
  <c r="BU12" i="25"/>
  <c r="BW12" i="25"/>
  <c r="BU13" i="25"/>
  <c r="BW13" i="25"/>
  <c r="DT57" i="12"/>
  <c r="DT10" i="12"/>
  <c r="DT18" i="13" s="1"/>
  <c r="DT85" i="2"/>
  <c r="DT94" i="2"/>
  <c r="DT38" i="2"/>
  <c r="AT64" i="35" s="1"/>
  <c r="DT84" i="2"/>
  <c r="DT93" i="2"/>
  <c r="DT51" i="12"/>
  <c r="DT13" i="12"/>
  <c r="DT66" i="13"/>
  <c r="DT92" i="2"/>
  <c r="DT32" i="2"/>
  <c r="DT40" i="2"/>
  <c r="DT91" i="2"/>
  <c r="DT34" i="2"/>
  <c r="DT87" i="2"/>
  <c r="DT36" i="2"/>
  <c r="AT62" i="35" s="1"/>
  <c r="DT86" i="2"/>
  <c r="DY17" i="2"/>
  <c r="DY25" i="2" s="1"/>
  <c r="AX49" i="35" s="1"/>
  <c r="DY11" i="2"/>
  <c r="DY12" i="2" s="1"/>
  <c r="DO11" i="12"/>
  <c r="DO27" i="12"/>
  <c r="DX64" i="14"/>
  <c r="DX65" i="14"/>
  <c r="DO95" i="2"/>
  <c r="DO9" i="13" s="1"/>
  <c r="CS176" i="35"/>
  <c r="CS177" i="35" s="1"/>
  <c r="N122" i="45"/>
  <c r="N121" i="45"/>
  <c r="EC21" i="14"/>
  <c r="DY20" i="14"/>
  <c r="CS8" i="35"/>
  <c r="DR27" i="12"/>
  <c r="DR31" i="12"/>
  <c r="DS31" i="12" s="1"/>
  <c r="DO31" i="12"/>
  <c r="DO88" i="2"/>
  <c r="AP72" i="35" s="1"/>
  <c r="AP44" i="35"/>
  <c r="DY23" i="14"/>
  <c r="DC13" i="25" s="1"/>
  <c r="DF13" i="25" s="1"/>
  <c r="DO28" i="2"/>
  <c r="AP55" i="35" s="1"/>
  <c r="DO21" i="2"/>
  <c r="AP45" i="35" s="1"/>
  <c r="DY39" i="14"/>
  <c r="DO30" i="2"/>
  <c r="DO25" i="12"/>
  <c r="DO20" i="13" s="1"/>
  <c r="DY22" i="14"/>
  <c r="DY25" i="14"/>
  <c r="DC12" i="25"/>
  <c r="DD12" i="25" s="1"/>
  <c r="DQ21" i="2"/>
  <c r="AR45" i="35" s="1"/>
  <c r="DO42" i="2"/>
  <c r="DY65" i="14"/>
  <c r="DY64" i="14"/>
  <c r="DO19" i="13"/>
  <c r="DS11" i="12"/>
  <c r="DR19" i="13"/>
  <c r="DS87" i="2"/>
  <c r="DS133" i="2" s="1"/>
  <c r="DS92" i="2"/>
  <c r="DS137" i="2" s="1"/>
  <c r="DQ31" i="12"/>
  <c r="DQ27" i="12"/>
  <c r="DQ30" i="12" s="1"/>
  <c r="AS21" i="37"/>
  <c r="AT19" i="37"/>
  <c r="AV19" i="37"/>
  <c r="AS20" i="37"/>
  <c r="DS40" i="2"/>
  <c r="DS41" i="2" s="1"/>
  <c r="DX47" i="14"/>
  <c r="DQ18" i="13"/>
  <c r="DF16" i="25"/>
  <c r="DS84" i="2"/>
  <c r="DS130" i="2" s="1"/>
  <c r="DS91" i="2"/>
  <c r="DS136" i="2" s="1"/>
  <c r="DS32" i="2"/>
  <c r="CQ58" i="35" s="1"/>
  <c r="DQ27" i="2"/>
  <c r="AR50" i="35" s="1"/>
  <c r="AR44" i="35"/>
  <c r="DR88" i="2"/>
  <c r="DR11" i="13" s="1"/>
  <c r="CS119" i="35"/>
  <c r="EC53" i="14"/>
  <c r="EC55" i="14" s="1"/>
  <c r="DR42" i="2"/>
  <c r="AS66" i="35" s="1"/>
  <c r="DR95" i="2"/>
  <c r="DR9" i="13" s="1"/>
  <c r="DR10" i="13" s="1"/>
  <c r="DR77" i="2" s="1"/>
  <c r="CR120" i="35"/>
  <c r="DS85" i="2"/>
  <c r="DS131" i="2" s="1"/>
  <c r="DS86" i="2"/>
  <c r="DS132" i="2" s="1"/>
  <c r="CW16" i="25"/>
  <c r="DQ42" i="2"/>
  <c r="EJ17" i="25"/>
  <c r="EL17" i="25" s="1"/>
  <c r="DQ95" i="2"/>
  <c r="DQ9" i="13" s="1"/>
  <c r="DQ10" i="13" s="1"/>
  <c r="DQ77" i="2" s="1"/>
  <c r="DS94" i="2"/>
  <c r="DS139" i="2" s="1"/>
  <c r="DS93" i="2"/>
  <c r="DS138" i="2" s="1"/>
  <c r="CQ25" i="35"/>
  <c r="DQ88" i="2"/>
  <c r="DQ117" i="2" s="1"/>
  <c r="EC9" i="2"/>
  <c r="BE36" i="37"/>
  <c r="BE14" i="37"/>
  <c r="BH13" i="37"/>
  <c r="BF13" i="37"/>
  <c r="EA64" i="14"/>
  <c r="EA65" i="14"/>
  <c r="DT16" i="25"/>
  <c r="DR16" i="25"/>
  <c r="EA11" i="2"/>
  <c r="EA17" i="2"/>
  <c r="AZ11" i="35"/>
  <c r="AZ34" i="35"/>
  <c r="EA39" i="14"/>
  <c r="EA23" i="14"/>
  <c r="DQ13" i="25" s="1"/>
  <c r="EA25" i="14"/>
  <c r="DQ12" i="25"/>
  <c r="AZ31" i="35"/>
  <c r="CK13" i="25"/>
  <c r="CI13" i="25"/>
  <c r="CK12" i="25"/>
  <c r="CI12" i="25"/>
  <c r="DV86" i="2"/>
  <c r="DV36" i="2"/>
  <c r="AV62" i="35" s="1"/>
  <c r="DV87" i="2"/>
  <c r="DV34" i="2"/>
  <c r="AV60" i="35" s="1"/>
  <c r="DV91" i="2"/>
  <c r="DV32" i="2"/>
  <c r="DV93" i="2"/>
  <c r="DV84" i="2"/>
  <c r="DV38" i="2"/>
  <c r="AV64" i="35" s="1"/>
  <c r="DV94" i="2"/>
  <c r="DV85" i="2"/>
  <c r="DV66" i="13"/>
  <c r="DV10" i="12"/>
  <c r="DV51" i="12"/>
  <c r="DV40" i="2"/>
  <c r="DV92" i="2"/>
  <c r="AV35" i="35"/>
  <c r="AV5" i="35"/>
  <c r="AV9" i="35" s="1"/>
  <c r="DV57" i="12"/>
  <c r="DV13" i="12"/>
  <c r="DV25" i="2"/>
  <c r="DV20" i="2"/>
  <c r="AV42" i="35"/>
  <c r="AV15" i="35"/>
  <c r="DR25" i="12"/>
  <c r="DR30" i="12" s="1"/>
  <c r="AS44" i="35"/>
  <c r="DR21" i="2"/>
  <c r="AS45" i="35" s="1"/>
  <c r="DZ65" i="14"/>
  <c r="DZ64" i="14"/>
  <c r="EC45" i="14"/>
  <c r="EC47" i="14" s="1"/>
  <c r="EF16" i="25"/>
  <c r="EG16" i="25" s="1"/>
  <c r="P23" i="26"/>
  <c r="CQ5" i="35"/>
  <c r="CQ6" i="35" s="1"/>
  <c r="CQ170" i="35" s="1"/>
  <c r="CQ35" i="35"/>
  <c r="BA11" i="35"/>
  <c r="BA34" i="35"/>
  <c r="DW57" i="12"/>
  <c r="AW5" i="35"/>
  <c r="AW9" i="35" s="1"/>
  <c r="AW35" i="35"/>
  <c r="DX10" i="2"/>
  <c r="CR34" i="35"/>
  <c r="CR184" i="35" s="1"/>
  <c r="CR11" i="35"/>
  <c r="DS58" i="14"/>
  <c r="CQ14" i="35"/>
  <c r="AY34" i="35"/>
  <c r="AY11" i="35"/>
  <c r="DU57" i="12"/>
  <c r="AU5" i="35"/>
  <c r="AU9" i="35" s="1"/>
  <c r="AU35" i="35"/>
  <c r="AX5" i="35"/>
  <c r="AX9" i="35" s="1"/>
  <c r="AX35" i="35"/>
  <c r="DS143" i="2"/>
  <c r="DS12" i="2"/>
  <c r="H20" i="26" s="1"/>
  <c r="DS51" i="12"/>
  <c r="DS53" i="12" s="1"/>
  <c r="DS142" i="2"/>
  <c r="DS20" i="14"/>
  <c r="DS144" i="2"/>
  <c r="CS22" i="35"/>
  <c r="EC49" i="14"/>
  <c r="CS191" i="35" s="1"/>
  <c r="EC63" i="14"/>
  <c r="DS66" i="13"/>
  <c r="BR13" i="37"/>
  <c r="BT13" i="37"/>
  <c r="BQ14" i="37"/>
  <c r="BQ36" i="37"/>
  <c r="DS57" i="12"/>
  <c r="DY57" i="12"/>
  <c r="DY10" i="12"/>
  <c r="BX17" i="37"/>
  <c r="BZ17" i="37"/>
  <c r="BW18" i="37"/>
  <c r="EA16" i="25"/>
  <c r="DY16" i="25"/>
  <c r="EC16" i="25"/>
  <c r="EB65" i="14"/>
  <c r="EB64" i="14"/>
  <c r="DW85" i="2"/>
  <c r="DW91" i="2"/>
  <c r="DW86" i="2"/>
  <c r="DW94" i="2"/>
  <c r="DW34" i="2"/>
  <c r="AW60" i="35" s="1"/>
  <c r="DW10" i="12"/>
  <c r="DW51" i="12"/>
  <c r="DW38" i="2"/>
  <c r="AW64" i="35" s="1"/>
  <c r="DW87" i="2"/>
  <c r="DW12" i="2"/>
  <c r="DW36" i="2"/>
  <c r="AW62" i="35" s="1"/>
  <c r="DW13" i="12"/>
  <c r="DX13" i="12" s="1"/>
  <c r="DW84" i="2"/>
  <c r="DW93" i="2"/>
  <c r="DW40" i="2"/>
  <c r="DW66" i="13"/>
  <c r="DW92" i="2"/>
  <c r="DW32" i="2"/>
  <c r="DW25" i="2"/>
  <c r="DW20" i="2"/>
  <c r="DW27" i="2" s="1"/>
  <c r="DW30" i="2" s="1"/>
  <c r="AW42" i="35"/>
  <c r="EB10" i="2"/>
  <c r="EB17" i="2"/>
  <c r="EB11" i="2"/>
  <c r="CP13" i="25"/>
  <c r="CR13" i="25"/>
  <c r="CP12" i="25"/>
  <c r="CR12" i="25"/>
  <c r="EB25" i="14"/>
  <c r="BA31" i="35"/>
  <c r="DX12" i="25"/>
  <c r="EB22" i="14"/>
  <c r="EB39" i="14"/>
  <c r="EB23" i="14"/>
  <c r="DX13" i="25" s="1"/>
  <c r="AZ19" i="37"/>
  <c r="BB19" i="37"/>
  <c r="AY21" i="37"/>
  <c r="AY20" i="37"/>
  <c r="CD11" i="37"/>
  <c r="CC12" i="37"/>
  <c r="BL19" i="37"/>
  <c r="BN19" i="37"/>
  <c r="BK20" i="37"/>
  <c r="BK21" i="37"/>
  <c r="CQ42" i="35"/>
  <c r="CQ43" i="35" s="1"/>
  <c r="DS18" i="2"/>
  <c r="DS19" i="2" s="1"/>
  <c r="DS20" i="2"/>
  <c r="AU42" i="35"/>
  <c r="DU20" i="2"/>
  <c r="DU27" i="2" s="1"/>
  <c r="DU30" i="2" s="1"/>
  <c r="CD12" i="25"/>
  <c r="CB12" i="25"/>
  <c r="DZ17" i="2"/>
  <c r="DZ25" i="2" s="1"/>
  <c r="DZ11" i="2"/>
  <c r="DX17" i="2"/>
  <c r="DS27" i="12"/>
  <c r="DT25" i="12"/>
  <c r="AT44" i="35"/>
  <c r="DT21" i="2"/>
  <c r="AT45" i="35" s="1"/>
  <c r="DS34" i="2"/>
  <c r="AT58" i="35"/>
  <c r="DU51" i="12"/>
  <c r="DU13" i="12"/>
  <c r="DU10" i="12"/>
  <c r="DU66" i="13"/>
  <c r="DU38" i="2"/>
  <c r="AU64" i="35" s="1"/>
  <c r="DU84" i="2"/>
  <c r="DU93" i="2"/>
  <c r="DU92" i="2"/>
  <c r="DU32" i="2"/>
  <c r="DU40" i="2"/>
  <c r="DU91" i="2"/>
  <c r="DU34" i="2"/>
  <c r="AU60" i="35" s="1"/>
  <c r="DU87" i="2"/>
  <c r="DU36" i="2"/>
  <c r="AU62" i="35" s="1"/>
  <c r="DU86" i="2"/>
  <c r="DU85" i="2"/>
  <c r="DU94" i="2"/>
  <c r="DP27" i="12"/>
  <c r="DP11" i="12"/>
  <c r="DQ19" i="13" s="1"/>
  <c r="DP31" i="12"/>
  <c r="AU15" i="35"/>
  <c r="AT50" i="35"/>
  <c r="DT28" i="2"/>
  <c r="AT49" i="35"/>
  <c r="DT26" i="2"/>
  <c r="AT54" i="35" s="1"/>
  <c r="DP25" i="12"/>
  <c r="DQ20" i="13" s="1"/>
  <c r="AQ44" i="35"/>
  <c r="DP21" i="2"/>
  <c r="AQ45" i="35" s="1"/>
  <c r="DY51" i="12"/>
  <c r="DY13" i="12"/>
  <c r="DY66" i="13"/>
  <c r="DY34" i="2"/>
  <c r="DY87" i="2"/>
  <c r="DY36" i="2"/>
  <c r="DY86" i="2"/>
  <c r="DY85" i="2"/>
  <c r="DY94" i="2"/>
  <c r="DY38" i="2"/>
  <c r="DY84" i="2"/>
  <c r="DY93" i="2"/>
  <c r="DY32" i="2"/>
  <c r="DY40" i="2"/>
  <c r="DY91" i="2"/>
  <c r="DY92" i="2"/>
  <c r="AQ58" i="35"/>
  <c r="DP42" i="2"/>
  <c r="DP58" i="12" s="1"/>
  <c r="DX11" i="2"/>
  <c r="AQ50" i="35"/>
  <c r="DP28" i="2"/>
  <c r="DP30" i="2"/>
  <c r="AQ49" i="35"/>
  <c r="DP26" i="2"/>
  <c r="AQ54" i="35" s="1"/>
  <c r="DS25" i="2"/>
  <c r="DS38" i="2"/>
  <c r="AX15" i="35"/>
  <c r="DY68" i="14"/>
  <c r="DK16" i="25"/>
  <c r="DM16" i="25"/>
  <c r="DP88" i="2"/>
  <c r="DS36" i="2"/>
  <c r="DP18" i="13"/>
  <c r="EC52" i="14"/>
  <c r="DU12" i="2"/>
  <c r="AS50" i="35"/>
  <c r="DR30" i="2"/>
  <c r="DR28" i="2"/>
  <c r="DT11" i="12"/>
  <c r="DT31" i="12"/>
  <c r="DT27" i="12"/>
  <c r="DP95" i="2"/>
  <c r="DU25" i="2"/>
  <c r="CD13" i="25"/>
  <c r="CB13" i="25"/>
  <c r="AY31" i="35"/>
  <c r="DJ12" i="25"/>
  <c r="DZ22" i="14"/>
  <c r="DZ39" i="14"/>
  <c r="DZ23" i="14"/>
  <c r="DJ13" i="25" s="1"/>
  <c r="DZ25" i="14"/>
  <c r="EA22" i="14"/>
  <c r="I17" i="26"/>
  <c r="I18" i="26" s="1"/>
  <c r="I19" i="26" s="1"/>
  <c r="J17" i="26"/>
  <c r="J18" i="26" s="1"/>
  <c r="J19" i="26" s="1"/>
  <c r="F17" i="26"/>
  <c r="F18" i="26" s="1"/>
  <c r="F19" i="26" s="1"/>
  <c r="G17" i="26"/>
  <c r="G18" i="26" s="1"/>
  <c r="G19" i="26" s="1"/>
  <c r="H18" i="26"/>
  <c r="H19" i="26" s="1"/>
  <c r="BW13" i="37"/>
  <c r="AD17" i="42"/>
  <c r="AD16" i="42"/>
  <c r="CC17" i="37"/>
  <c r="Z18" i="42"/>
  <c r="BE19" i="37"/>
  <c r="I10" i="26" l="1"/>
  <c r="J10" i="26"/>
  <c r="F10" i="26"/>
  <c r="G10" i="26"/>
  <c r="DQ36" i="12"/>
  <c r="DO22" i="13"/>
  <c r="DO23" i="13" s="1"/>
  <c r="DT88" i="2"/>
  <c r="DT89" i="2" s="1"/>
  <c r="DT42" i="2"/>
  <c r="DT45" i="2" s="1"/>
  <c r="AT60" i="35"/>
  <c r="DY26" i="2"/>
  <c r="AX54" i="35" s="1"/>
  <c r="DO96" i="2"/>
  <c r="DO119" i="2"/>
  <c r="DY20" i="2"/>
  <c r="DY27" i="2" s="1"/>
  <c r="DY30" i="2" s="1"/>
  <c r="DT95" i="2"/>
  <c r="DT9" i="13" s="1"/>
  <c r="EC221" i="14"/>
  <c r="CS205" i="35"/>
  <c r="AX42" i="35"/>
  <c r="DS18" i="13"/>
  <c r="DO45" i="2"/>
  <c r="DO55" i="2" s="1"/>
  <c r="AP66" i="35"/>
  <c r="DO44" i="2"/>
  <c r="DO43" i="2"/>
  <c r="DR22" i="13"/>
  <c r="DO11" i="13"/>
  <c r="DO38" i="12" s="1"/>
  <c r="CQ9" i="35"/>
  <c r="DO29" i="2"/>
  <c r="ED9" i="2"/>
  <c r="CS34" i="35"/>
  <c r="CS184" i="35" s="1"/>
  <c r="AR66" i="35"/>
  <c r="DQ43" i="2"/>
  <c r="DS33" i="2"/>
  <c r="CQ59" i="35" s="1"/>
  <c r="DD13" i="25"/>
  <c r="DO30" i="12"/>
  <c r="DO36" i="12" s="1"/>
  <c r="DO35" i="12" s="1"/>
  <c r="DO117" i="2"/>
  <c r="DO89" i="2"/>
  <c r="DF12" i="25"/>
  <c r="EC11" i="2"/>
  <c r="AT22" i="37"/>
  <c r="AV22" i="37"/>
  <c r="AS24" i="37"/>
  <c r="AS23" i="37"/>
  <c r="DO58" i="12"/>
  <c r="DQ30" i="2"/>
  <c r="DP19" i="13"/>
  <c r="DS19" i="13" s="1"/>
  <c r="DT19" i="13"/>
  <c r="DQ44" i="2"/>
  <c r="DQ28" i="2"/>
  <c r="DQ29" i="2" s="1"/>
  <c r="DQ45" i="2"/>
  <c r="DQ55" i="2" s="1"/>
  <c r="DR89" i="2"/>
  <c r="DR117" i="2"/>
  <c r="DR45" i="2"/>
  <c r="DR55" i="2" s="1"/>
  <c r="EC10" i="2"/>
  <c r="CS11" i="35"/>
  <c r="DR44" i="2"/>
  <c r="DR43" i="2"/>
  <c r="AR72" i="35"/>
  <c r="AS72" i="35"/>
  <c r="BF19" i="37"/>
  <c r="BE20" i="37"/>
  <c r="BH19" i="37"/>
  <c r="BE21" i="37"/>
  <c r="DR119" i="2"/>
  <c r="DR96" i="2"/>
  <c r="BL22" i="37"/>
  <c r="BN22" i="37"/>
  <c r="BK24" i="37"/>
  <c r="BK23" i="37"/>
  <c r="DR58" i="12"/>
  <c r="CS120" i="35"/>
  <c r="DS39" i="14"/>
  <c r="DS104" i="14"/>
  <c r="L24" i="45" s="1"/>
  <c r="L25" i="45" s="1"/>
  <c r="DR20" i="13"/>
  <c r="DQ119" i="2"/>
  <c r="DQ96" i="2"/>
  <c r="DS95" i="2"/>
  <c r="DS96" i="2" s="1"/>
  <c r="DS25" i="12"/>
  <c r="DT20" i="13" s="1"/>
  <c r="BF22" i="37"/>
  <c r="BH22" i="37"/>
  <c r="BE24" i="37"/>
  <c r="BE23" i="37"/>
  <c r="DQ58" i="12"/>
  <c r="DQ11" i="13"/>
  <c r="DQ89" i="2"/>
  <c r="DS25" i="14"/>
  <c r="DS23" i="14"/>
  <c r="DV95" i="2"/>
  <c r="DV9" i="13" s="1"/>
  <c r="DV10" i="13" s="1"/>
  <c r="DV77" i="2" s="1"/>
  <c r="DV18" i="13"/>
  <c r="CD17" i="37"/>
  <c r="CC18" i="37"/>
  <c r="CF17" i="37"/>
  <c r="CQ31" i="35"/>
  <c r="CQ185" i="35" s="1"/>
  <c r="BM12" i="25"/>
  <c r="EA12" i="2"/>
  <c r="EA92" i="2"/>
  <c r="EA94" i="2"/>
  <c r="EA93" i="2"/>
  <c r="EA84" i="2"/>
  <c r="EA38" i="2"/>
  <c r="AZ64" i="35" s="1"/>
  <c r="EA85" i="2"/>
  <c r="EA86" i="2"/>
  <c r="EA36" i="2"/>
  <c r="AZ62" i="35" s="1"/>
  <c r="EA87" i="2"/>
  <c r="EA34" i="2"/>
  <c r="AZ60" i="35" s="1"/>
  <c r="EA91" i="2"/>
  <c r="EA40" i="2"/>
  <c r="EA32" i="2"/>
  <c r="EA66" i="13"/>
  <c r="EA51" i="12"/>
  <c r="EA10" i="12"/>
  <c r="EA13" i="12"/>
  <c r="AZ35" i="35"/>
  <c r="AZ5" i="35"/>
  <c r="AZ9" i="35" s="1"/>
  <c r="EA57" i="12"/>
  <c r="EA20" i="2"/>
  <c r="AZ42" i="35"/>
  <c r="EA25" i="2"/>
  <c r="EA68" i="14"/>
  <c r="AZ15" i="35"/>
  <c r="DT13" i="25"/>
  <c r="DR13" i="25"/>
  <c r="DT12" i="25"/>
  <c r="DR12" i="25"/>
  <c r="DV42" i="2"/>
  <c r="AV58" i="35"/>
  <c r="DV27" i="12"/>
  <c r="DV31" i="12"/>
  <c r="DV11" i="12"/>
  <c r="DV26" i="2"/>
  <c r="AV54" i="35" s="1"/>
  <c r="AV49" i="35"/>
  <c r="DV21" i="2"/>
  <c r="AV45" i="35" s="1"/>
  <c r="AV44" i="35"/>
  <c r="DV25" i="12"/>
  <c r="DV27" i="2"/>
  <c r="DV88" i="2"/>
  <c r="DX86" i="2"/>
  <c r="DX132" i="2" s="1"/>
  <c r="EI16" i="25"/>
  <c r="EK16" i="25"/>
  <c r="EC65" i="14"/>
  <c r="EC64" i="14"/>
  <c r="EB57" i="12"/>
  <c r="BA5" i="35"/>
  <c r="BA9" i="35" s="1"/>
  <c r="BA35" i="35"/>
  <c r="AY5" i="35"/>
  <c r="AY9" i="35" s="1"/>
  <c r="AY35" i="35"/>
  <c r="DX57" i="12"/>
  <c r="CR5" i="35"/>
  <c r="CR6" i="35" s="1"/>
  <c r="CR170" i="35" s="1"/>
  <c r="CR35" i="35"/>
  <c r="CS15" i="35"/>
  <c r="DX84" i="2"/>
  <c r="DX130" i="2" s="1"/>
  <c r="DX87" i="2"/>
  <c r="DX133" i="2" s="1"/>
  <c r="DX94" i="2"/>
  <c r="DX139" i="2" s="1"/>
  <c r="DX93" i="2"/>
  <c r="DX138" i="2" s="1"/>
  <c r="DZ12" i="2"/>
  <c r="DZ57" i="12"/>
  <c r="DX91" i="2"/>
  <c r="DX136" i="2" s="1"/>
  <c r="DX32" i="2"/>
  <c r="CR58" i="35" s="1"/>
  <c r="DX92" i="2"/>
  <c r="DX137" i="2" s="1"/>
  <c r="DP22" i="13"/>
  <c r="DU18" i="13"/>
  <c r="DQ22" i="13"/>
  <c r="EC17" i="2"/>
  <c r="CS42" i="35" s="1"/>
  <c r="DX40" i="2"/>
  <c r="DX41" i="2" s="1"/>
  <c r="DW88" i="2"/>
  <c r="DS42" i="2"/>
  <c r="DS44" i="2" s="1"/>
  <c r="DX85" i="2"/>
  <c r="DX131" i="2" s="1"/>
  <c r="DX10" i="12"/>
  <c r="DY18" i="13" s="1"/>
  <c r="DW18" i="13"/>
  <c r="DW11" i="12"/>
  <c r="DW31" i="12"/>
  <c r="DX31" i="12" s="1"/>
  <c r="DW27" i="12"/>
  <c r="DW28" i="2"/>
  <c r="AW55" i="35" s="1"/>
  <c r="EA12" i="25"/>
  <c r="DY12" i="25"/>
  <c r="EC12" i="25"/>
  <c r="EB12" i="2"/>
  <c r="EB13" i="12"/>
  <c r="EC13" i="12" s="1"/>
  <c r="EB84" i="2"/>
  <c r="EB38" i="2"/>
  <c r="BA64" i="35" s="1"/>
  <c r="EB10" i="12"/>
  <c r="EB87" i="2"/>
  <c r="EB34" i="2"/>
  <c r="BA60" i="35" s="1"/>
  <c r="EB66" i="13"/>
  <c r="EB36" i="2"/>
  <c r="BA62" i="35" s="1"/>
  <c r="EB92" i="2"/>
  <c r="EB86" i="2"/>
  <c r="EB32" i="2"/>
  <c r="EB85" i="2"/>
  <c r="EB91" i="2"/>
  <c r="EB51" i="12"/>
  <c r="EB40" i="2"/>
  <c r="EB94" i="2"/>
  <c r="EB93" i="2"/>
  <c r="EB25" i="2"/>
  <c r="EB20" i="2"/>
  <c r="EB27" i="2" s="1"/>
  <c r="BA42" i="35"/>
  <c r="DW25" i="12"/>
  <c r="AW44" i="35"/>
  <c r="DW21" i="2"/>
  <c r="AW45" i="35" s="1"/>
  <c r="DY13" i="25"/>
  <c r="EC13" i="25"/>
  <c r="EA13" i="25"/>
  <c r="BA15" i="35"/>
  <c r="EB68" i="14"/>
  <c r="AW49" i="35"/>
  <c r="DW26" i="2"/>
  <c r="AW54" i="35" s="1"/>
  <c r="AW50" i="35"/>
  <c r="AW58" i="35"/>
  <c r="DW42" i="2"/>
  <c r="DW58" i="12" s="1"/>
  <c r="DW95" i="2"/>
  <c r="DX38" i="2"/>
  <c r="DX39" i="2" s="1"/>
  <c r="CR65" i="35" s="1"/>
  <c r="DX34" i="2"/>
  <c r="CR60" i="35" s="1"/>
  <c r="BX13" i="37"/>
  <c r="BZ13" i="37"/>
  <c r="BW14" i="37"/>
  <c r="BW36" i="37"/>
  <c r="AZ22" i="37"/>
  <c r="BB22" i="37"/>
  <c r="AY23" i="37"/>
  <c r="AY24" i="37"/>
  <c r="DP11" i="13"/>
  <c r="AQ72" i="35"/>
  <c r="DP89" i="2"/>
  <c r="DP117" i="2"/>
  <c r="CQ64" i="35"/>
  <c r="DS39" i="2"/>
  <c r="CQ65" i="35" s="1"/>
  <c r="AQ55" i="35"/>
  <c r="DP29" i="2"/>
  <c r="DY88" i="2"/>
  <c r="AX60" i="35"/>
  <c r="DT30" i="12"/>
  <c r="DT36" i="12" s="1"/>
  <c r="DM13" i="25"/>
  <c r="DK13" i="25"/>
  <c r="AS55" i="35"/>
  <c r="DR29" i="2"/>
  <c r="DO10" i="13"/>
  <c r="DO77" i="2" s="1"/>
  <c r="DO17" i="12"/>
  <c r="AX64" i="35"/>
  <c r="AU50" i="35"/>
  <c r="DU28" i="2"/>
  <c r="DU88" i="2"/>
  <c r="CQ62" i="35"/>
  <c r="DS37" i="2"/>
  <c r="CQ63" i="35" s="1"/>
  <c r="AY15" i="35"/>
  <c r="DZ68" i="14"/>
  <c r="DQ35" i="12"/>
  <c r="DU25" i="12"/>
  <c r="AU44" i="35"/>
  <c r="DU21" i="2"/>
  <c r="AU45" i="35" s="1"/>
  <c r="CQ44" i="35"/>
  <c r="DS21" i="2"/>
  <c r="CQ45" i="35" s="1"/>
  <c r="DS27" i="2"/>
  <c r="AU49" i="35"/>
  <c r="DU26" i="2"/>
  <c r="AU54" i="35" s="1"/>
  <c r="DX51" i="12"/>
  <c r="DX53" i="12" s="1"/>
  <c r="DX66" i="13"/>
  <c r="DX142" i="2"/>
  <c r="DX145" i="2"/>
  <c r="DX143" i="2"/>
  <c r="DX144" i="2"/>
  <c r="DX12" i="2"/>
  <c r="DY95" i="2"/>
  <c r="DY27" i="12"/>
  <c r="DY11" i="12"/>
  <c r="DY31" i="12"/>
  <c r="DP20" i="13"/>
  <c r="DP30" i="12"/>
  <c r="DP36" i="12" s="1"/>
  <c r="AT55" i="35"/>
  <c r="DT29" i="2"/>
  <c r="DU95" i="2"/>
  <c r="CQ60" i="35"/>
  <c r="DS35" i="2"/>
  <c r="CQ61" i="35" s="1"/>
  <c r="G20" i="26"/>
  <c r="F20" i="26"/>
  <c r="DM12" i="25"/>
  <c r="DK12" i="25"/>
  <c r="CR15" i="35"/>
  <c r="DS30" i="12"/>
  <c r="DS36" i="12" s="1"/>
  <c r="DR36" i="12"/>
  <c r="DT11" i="13"/>
  <c r="AT72" i="35"/>
  <c r="AQ66" i="35"/>
  <c r="DP44" i="2"/>
  <c r="DP43" i="2"/>
  <c r="AY49" i="35"/>
  <c r="DZ26" i="2"/>
  <c r="AY54" i="35" s="1"/>
  <c r="J20" i="26"/>
  <c r="AX58" i="35"/>
  <c r="DY42" i="2"/>
  <c r="DX36" i="2"/>
  <c r="AU58" i="35"/>
  <c r="DU42" i="2"/>
  <c r="DZ10" i="12"/>
  <c r="DZ51" i="12"/>
  <c r="DZ13" i="12"/>
  <c r="DZ66" i="13"/>
  <c r="DZ34" i="2"/>
  <c r="AY60" i="35" s="1"/>
  <c r="DZ87" i="2"/>
  <c r="DZ36" i="2"/>
  <c r="AY62" i="35" s="1"/>
  <c r="DZ86" i="2"/>
  <c r="DZ85" i="2"/>
  <c r="DZ94" i="2"/>
  <c r="DZ38" i="2"/>
  <c r="AY64" i="35" s="1"/>
  <c r="DZ84" i="2"/>
  <c r="DZ92" i="2"/>
  <c r="DZ91" i="2"/>
  <c r="DZ32" i="2"/>
  <c r="DZ40" i="2"/>
  <c r="DZ93" i="2"/>
  <c r="AX62" i="35"/>
  <c r="I20" i="26"/>
  <c r="DP9" i="13"/>
  <c r="DP10" i="13" s="1"/>
  <c r="DP77" i="2" s="1"/>
  <c r="DP96" i="2"/>
  <c r="DP119" i="2"/>
  <c r="DT22" i="13"/>
  <c r="CQ49" i="35"/>
  <c r="DS26" i="2"/>
  <c r="CQ54" i="35" s="1"/>
  <c r="DP45" i="2"/>
  <c r="DX25" i="2"/>
  <c r="DU11" i="12"/>
  <c r="DU31" i="12"/>
  <c r="DU27" i="12"/>
  <c r="DS88" i="2"/>
  <c r="DS89" i="2" s="1"/>
  <c r="CR42" i="35"/>
  <c r="CR43" i="35" s="1"/>
  <c r="DX20" i="2"/>
  <c r="DX18" i="2"/>
  <c r="DX19" i="2" s="1"/>
  <c r="AY42" i="35"/>
  <c r="DZ20" i="2"/>
  <c r="DZ27" i="2" s="1"/>
  <c r="BQ19" i="37"/>
  <c r="AS25" i="37"/>
  <c r="AY25" i="37"/>
  <c r="BK25" i="37"/>
  <c r="CC13" i="37"/>
  <c r="AD18" i="42"/>
  <c r="BE25" i="37"/>
  <c r="Z19" i="42"/>
  <c r="DR23" i="13" l="1"/>
  <c r="DT117" i="2"/>
  <c r="DT43" i="2"/>
  <c r="DT44" i="2"/>
  <c r="AT66" i="35"/>
  <c r="DY21" i="2"/>
  <c r="AX45" i="35" s="1"/>
  <c r="DT58" i="12"/>
  <c r="AX50" i="35"/>
  <c r="DO47" i="2"/>
  <c r="DT119" i="2"/>
  <c r="DT96" i="2"/>
  <c r="DY28" i="2"/>
  <c r="AX55" i="35" s="1"/>
  <c r="DO76" i="2"/>
  <c r="DO79" i="2" s="1"/>
  <c r="DO46" i="2"/>
  <c r="AX44" i="35"/>
  <c r="DY25" i="12"/>
  <c r="DY30" i="12" s="1"/>
  <c r="DY36" i="12" s="1"/>
  <c r="DT46" i="2"/>
  <c r="AS26" i="37"/>
  <c r="AV25" i="37"/>
  <c r="AT25" i="37"/>
  <c r="CS43" i="35"/>
  <c r="CR9" i="35"/>
  <c r="CQ67" i="35"/>
  <c r="DQ47" i="2"/>
  <c r="AR55" i="35"/>
  <c r="DX104" i="14"/>
  <c r="DX116" i="14" s="1"/>
  <c r="DX20" i="14"/>
  <c r="DW19" i="13"/>
  <c r="DQ46" i="2"/>
  <c r="DV19" i="13"/>
  <c r="DQ76" i="2"/>
  <c r="DQ105" i="2" s="1"/>
  <c r="DS117" i="2"/>
  <c r="DU19" i="13"/>
  <c r="DR46" i="2"/>
  <c r="DR76" i="2"/>
  <c r="DR105" i="2" s="1"/>
  <c r="DR47" i="2"/>
  <c r="DS45" i="2"/>
  <c r="DS47" i="2" s="1"/>
  <c r="BF25" i="37"/>
  <c r="BH25" i="37"/>
  <c r="BE26" i="37"/>
  <c r="DS11" i="13"/>
  <c r="BL25" i="37"/>
  <c r="BN25" i="37"/>
  <c r="BK26" i="37"/>
  <c r="DS122" i="14"/>
  <c r="L31" i="45" s="1"/>
  <c r="DS120" i="14"/>
  <c r="L29" i="45" s="1"/>
  <c r="DS126" i="14"/>
  <c r="L35" i="45" s="1"/>
  <c r="DS116" i="14"/>
  <c r="DS20" i="13"/>
  <c r="DS119" i="2"/>
  <c r="EC68" i="14"/>
  <c r="DT76" i="2"/>
  <c r="DT55" i="2"/>
  <c r="DT58" i="2" s="1"/>
  <c r="DV119" i="2"/>
  <c r="EA18" i="13"/>
  <c r="DV96" i="2"/>
  <c r="BM13" i="25"/>
  <c r="BN13" i="25" s="1"/>
  <c r="BP12" i="25"/>
  <c r="CZ13" i="25"/>
  <c r="DA13" i="25" s="1"/>
  <c r="BN12" i="25"/>
  <c r="EA95" i="2"/>
  <c r="EA9" i="13" s="1"/>
  <c r="EA10" i="13" s="1"/>
  <c r="EA77" i="2" s="1"/>
  <c r="DS58" i="12"/>
  <c r="DS43" i="2"/>
  <c r="DV30" i="12"/>
  <c r="DV36" i="12" s="1"/>
  <c r="DV35" i="12" s="1"/>
  <c r="AZ58" i="35"/>
  <c r="EA42" i="2"/>
  <c r="EA27" i="12"/>
  <c r="EA31" i="12"/>
  <c r="EA11" i="12"/>
  <c r="EA27" i="2"/>
  <c r="EA21" i="2"/>
  <c r="AZ45" i="35" s="1"/>
  <c r="AZ44" i="35"/>
  <c r="EA25" i="12"/>
  <c r="EA26" i="2"/>
  <c r="AZ54" i="35" s="1"/>
  <c r="AZ49" i="35"/>
  <c r="AV66" i="35"/>
  <c r="DV43" i="2"/>
  <c r="DV44" i="2"/>
  <c r="DV58" i="12"/>
  <c r="DV30" i="2"/>
  <c r="DV45" i="2"/>
  <c r="DV28" i="2"/>
  <c r="AV50" i="35"/>
  <c r="AV72" i="35"/>
  <c r="DV89" i="2"/>
  <c r="DV117" i="2"/>
  <c r="DV11" i="13"/>
  <c r="EA88" i="2"/>
  <c r="DX18" i="13"/>
  <c r="CS5" i="35"/>
  <c r="CS6" i="35" s="1"/>
  <c r="CS170" i="35" s="1"/>
  <c r="CS35" i="35"/>
  <c r="EC40" i="2"/>
  <c r="EC41" i="2" s="1"/>
  <c r="EC18" i="2"/>
  <c r="EC19" i="2" s="1"/>
  <c r="EC92" i="2"/>
  <c r="EC137" i="2" s="1"/>
  <c r="EC93" i="2"/>
  <c r="EC138" i="2" s="1"/>
  <c r="EC94" i="2"/>
  <c r="EC139" i="2" s="1"/>
  <c r="DX33" i="2"/>
  <c r="CR59" i="35" s="1"/>
  <c r="DT47" i="2"/>
  <c r="CQ66" i="35"/>
  <c r="DX88" i="2"/>
  <c r="DX89" i="2" s="1"/>
  <c r="DY45" i="2"/>
  <c r="DY46" i="2" s="1"/>
  <c r="DY58" i="12"/>
  <c r="EC143" i="2"/>
  <c r="EC57" i="12"/>
  <c r="DS22" i="13"/>
  <c r="DU45" i="2"/>
  <c r="DU47" i="2" s="1"/>
  <c r="DU58" i="12"/>
  <c r="EC20" i="2"/>
  <c r="EC27" i="2" s="1"/>
  <c r="CS50" i="35" s="1"/>
  <c r="EC91" i="2"/>
  <c r="EC136" i="2" s="1"/>
  <c r="EC87" i="2"/>
  <c r="EC133" i="2" s="1"/>
  <c r="CR64" i="35"/>
  <c r="DP23" i="13"/>
  <c r="DX95" i="2"/>
  <c r="DX96" i="2" s="1"/>
  <c r="DW89" i="2"/>
  <c r="DW11" i="13"/>
  <c r="DW117" i="2"/>
  <c r="AW72" i="35"/>
  <c r="DQ23" i="13"/>
  <c r="DS9" i="13"/>
  <c r="BR22" i="37"/>
  <c r="BQ24" i="37"/>
  <c r="BQ23" i="37"/>
  <c r="EC36" i="2"/>
  <c r="CS62" i="35" s="1"/>
  <c r="EC145" i="2"/>
  <c r="EC142" i="2"/>
  <c r="EC86" i="2"/>
  <c r="EC132" i="2" s="1"/>
  <c r="EC12" i="2"/>
  <c r="EC144" i="2"/>
  <c r="ED11" i="2"/>
  <c r="EC66" i="13"/>
  <c r="EC20" i="14"/>
  <c r="EC51" i="12"/>
  <c r="EC53" i="12" s="1"/>
  <c r="CD13" i="37"/>
  <c r="CC14" i="37"/>
  <c r="CF13" i="37"/>
  <c r="CC36" i="37"/>
  <c r="BA50" i="35"/>
  <c r="EB28" i="2"/>
  <c r="EB30" i="2"/>
  <c r="EC10" i="12"/>
  <c r="EB18" i="13"/>
  <c r="BA49" i="35"/>
  <c r="EB26" i="2"/>
  <c r="BA54" i="35" s="1"/>
  <c r="EB88" i="2"/>
  <c r="DX27" i="12"/>
  <c r="DY22" i="13" s="1"/>
  <c r="DW22" i="13"/>
  <c r="AW66" i="35"/>
  <c r="DW44" i="2"/>
  <c r="DW43" i="2"/>
  <c r="EC85" i="2"/>
  <c r="EC131" i="2" s="1"/>
  <c r="DX11" i="12"/>
  <c r="DY19" i="13" s="1"/>
  <c r="BA44" i="35"/>
  <c r="EB21" i="2"/>
  <c r="BA45" i="35" s="1"/>
  <c r="EB25" i="12"/>
  <c r="EC32" i="2"/>
  <c r="CS58" i="35" s="1"/>
  <c r="DX35" i="2"/>
  <c r="CR61" i="35" s="1"/>
  <c r="DW9" i="13"/>
  <c r="DW10" i="13" s="1"/>
  <c r="DW77" i="2" s="1"/>
  <c r="DW119" i="2"/>
  <c r="DW96" i="2"/>
  <c r="DW29" i="2"/>
  <c r="DW30" i="12"/>
  <c r="DX25" i="12"/>
  <c r="DW20" i="13"/>
  <c r="EB27" i="12"/>
  <c r="EB11" i="12"/>
  <c r="EB31" i="12"/>
  <c r="EC31" i="12" s="1"/>
  <c r="BA58" i="35"/>
  <c r="EB42" i="2"/>
  <c r="EB58" i="12" s="1"/>
  <c r="DW45" i="2"/>
  <c r="EB95" i="2"/>
  <c r="EC25" i="2"/>
  <c r="DZ18" i="13"/>
  <c r="DZ88" i="2"/>
  <c r="DZ11" i="13" s="1"/>
  <c r="BR19" i="37"/>
  <c r="BT19" i="37"/>
  <c r="BQ20" i="37"/>
  <c r="BQ21" i="37"/>
  <c r="AZ25" i="37"/>
  <c r="BB25" i="37"/>
  <c r="AY26" i="37"/>
  <c r="AY50" i="35"/>
  <c r="DZ28" i="2"/>
  <c r="DZ30" i="2"/>
  <c r="DZ95" i="2"/>
  <c r="AU66" i="35"/>
  <c r="DU44" i="2"/>
  <c r="DU43" i="2"/>
  <c r="DQ58" i="2"/>
  <c r="DU11" i="13"/>
  <c r="AU72" i="35"/>
  <c r="DU89" i="2"/>
  <c r="DU117" i="2"/>
  <c r="EC38" i="2"/>
  <c r="DY11" i="13"/>
  <c r="AX72" i="35"/>
  <c r="DY117" i="2"/>
  <c r="DY89" i="2"/>
  <c r="CR31" i="35"/>
  <c r="CR185" i="35" s="1"/>
  <c r="CV12" i="25"/>
  <c r="DX25" i="14"/>
  <c r="DX23" i="14"/>
  <c r="DX39" i="14"/>
  <c r="DU20" i="13"/>
  <c r="DU30" i="12"/>
  <c r="DU36" i="12" s="1"/>
  <c r="DV20" i="13"/>
  <c r="AU55" i="35"/>
  <c r="DU29" i="2"/>
  <c r="EC84" i="2"/>
  <c r="EC130" i="2" s="1"/>
  <c r="DT35" i="12"/>
  <c r="DT10" i="13"/>
  <c r="DT77" i="2" s="1"/>
  <c r="DP17" i="12"/>
  <c r="DQ17" i="12" s="1"/>
  <c r="DR17" i="12" s="1"/>
  <c r="DS17" i="12" s="1"/>
  <c r="DT17" i="12" s="1"/>
  <c r="DR58" i="2"/>
  <c r="DU22" i="13"/>
  <c r="DV22" i="13"/>
  <c r="AX66" i="35"/>
  <c r="DY44" i="2"/>
  <c r="DY43" i="2"/>
  <c r="CQ50" i="35"/>
  <c r="CQ55" i="35" s="1"/>
  <c r="DS30" i="2"/>
  <c r="DS28" i="2"/>
  <c r="DS10" i="13"/>
  <c r="DS77" i="2" s="1"/>
  <c r="CR62" i="35"/>
  <c r="DX37" i="2"/>
  <c r="CR63" i="35" s="1"/>
  <c r="DO58" i="2"/>
  <c r="CR44" i="35"/>
  <c r="DX21" i="2"/>
  <c r="CR45" i="35" s="1"/>
  <c r="DZ11" i="12"/>
  <c r="DZ31" i="12"/>
  <c r="DZ27" i="12"/>
  <c r="DR35" i="12"/>
  <c r="DY9" i="13"/>
  <c r="DY96" i="2"/>
  <c r="DY119" i="2"/>
  <c r="DT23" i="13"/>
  <c r="DP38" i="12"/>
  <c r="DS35" i="12"/>
  <c r="DU9" i="13"/>
  <c r="DU10" i="13" s="1"/>
  <c r="DU77" i="2" s="1"/>
  <c r="DU96" i="2"/>
  <c r="DU119" i="2"/>
  <c r="DX42" i="2"/>
  <c r="DX58" i="12" s="1"/>
  <c r="EC34" i="2"/>
  <c r="DZ25" i="12"/>
  <c r="AY44" i="35"/>
  <c r="DZ21" i="2"/>
  <c r="AY45" i="35" s="1"/>
  <c r="CR49" i="35"/>
  <c r="DX26" i="2"/>
  <c r="CR54" i="35" s="1"/>
  <c r="DP55" i="2"/>
  <c r="DS55" i="2" s="1"/>
  <c r="DP47" i="2"/>
  <c r="DP76" i="2"/>
  <c r="DP46" i="2"/>
  <c r="AY58" i="35"/>
  <c r="DZ42" i="2"/>
  <c r="DZ58" i="12" s="1"/>
  <c r="DP35" i="12"/>
  <c r="DX27" i="2"/>
  <c r="DX30" i="2" s="1"/>
  <c r="BW19" i="37"/>
  <c r="Z20" i="42"/>
  <c r="Z22" i="42"/>
  <c r="AD19" i="42"/>
  <c r="CC19" i="37"/>
  <c r="BQ25" i="37"/>
  <c r="Z21" i="42"/>
  <c r="DT79" i="2" l="1"/>
  <c r="DT80" i="2" s="1"/>
  <c r="DY20" i="13"/>
  <c r="DO105" i="2"/>
  <c r="DY29" i="2"/>
  <c r="DX126" i="14"/>
  <c r="M35" i="45" s="1"/>
  <c r="M24" i="45"/>
  <c r="M25" i="45" s="1"/>
  <c r="CS55" i="35"/>
  <c r="CS9" i="35"/>
  <c r="CR67" i="35"/>
  <c r="DS23" i="13"/>
  <c r="DQ79" i="2"/>
  <c r="DS46" i="2"/>
  <c r="DX122" i="14"/>
  <c r="M31" i="45" s="1"/>
  <c r="DX120" i="14"/>
  <c r="M29" i="45" s="1"/>
  <c r="DR79" i="2"/>
  <c r="EB19" i="13"/>
  <c r="EA19" i="13"/>
  <c r="DZ19" i="13"/>
  <c r="BQ26" i="37"/>
  <c r="BR25" i="37"/>
  <c r="BT25" i="37"/>
  <c r="DT105" i="2"/>
  <c r="DT106" i="2" s="1"/>
  <c r="DS133" i="14"/>
  <c r="L42" i="45" s="1"/>
  <c r="DS135" i="14"/>
  <c r="L44" i="45" s="1"/>
  <c r="DS139" i="14"/>
  <c r="L48" i="45" s="1"/>
  <c r="EC25" i="14"/>
  <c r="EC104" i="14"/>
  <c r="N24" i="45" s="1"/>
  <c r="EA119" i="2"/>
  <c r="BP13" i="25"/>
  <c r="EA96" i="2"/>
  <c r="CV13" i="25"/>
  <c r="CW13" i="25" s="1"/>
  <c r="EA30" i="12"/>
  <c r="EA36" i="12" s="1"/>
  <c r="EA35" i="12" s="1"/>
  <c r="EA43" i="2"/>
  <c r="EA44" i="2"/>
  <c r="AZ66" i="35"/>
  <c r="EA58" i="12"/>
  <c r="AZ50" i="35"/>
  <c r="EA30" i="2"/>
  <c r="EA28" i="2"/>
  <c r="EA45" i="2"/>
  <c r="DV76" i="2"/>
  <c r="DV47" i="2"/>
  <c r="DV55" i="2"/>
  <c r="DV58" i="2" s="1"/>
  <c r="DV46" i="2"/>
  <c r="DV29" i="2"/>
  <c r="AV55" i="35"/>
  <c r="EA117" i="2"/>
  <c r="EA89" i="2"/>
  <c r="AZ72" i="35"/>
  <c r="EA11" i="13"/>
  <c r="DZ117" i="2"/>
  <c r="DX117" i="2"/>
  <c r="EC21" i="2"/>
  <c r="CS45" i="35" s="1"/>
  <c r="EC37" i="2"/>
  <c r="CS63" i="35" s="1"/>
  <c r="CS44" i="35"/>
  <c r="DY76" i="2"/>
  <c r="DY47" i="2"/>
  <c r="DY55" i="2"/>
  <c r="DY58" i="2" s="1"/>
  <c r="AY72" i="35"/>
  <c r="CS31" i="35"/>
  <c r="CS185" i="35" s="1"/>
  <c r="EC23" i="14"/>
  <c r="DX11" i="13"/>
  <c r="EC95" i="2"/>
  <c r="EC96" i="2" s="1"/>
  <c r="DU76" i="2"/>
  <c r="DU105" i="2" s="1"/>
  <c r="DU46" i="2"/>
  <c r="EF12" i="25"/>
  <c r="EK12" i="25" s="1"/>
  <c r="DX45" i="2"/>
  <c r="DU55" i="2"/>
  <c r="DU58" i="2" s="1"/>
  <c r="DU23" i="13"/>
  <c r="DZ89" i="2"/>
  <c r="EC18" i="13"/>
  <c r="EC39" i="14"/>
  <c r="EC88" i="2"/>
  <c r="EC89" i="2" s="1"/>
  <c r="ED27" i="2"/>
  <c r="EC28" i="2"/>
  <c r="CD19" i="37"/>
  <c r="CF19" i="37"/>
  <c r="CC21" i="37"/>
  <c r="DX119" i="2"/>
  <c r="EC33" i="2"/>
  <c r="CS59" i="35" s="1"/>
  <c r="DW23" i="13"/>
  <c r="DX22" i="13"/>
  <c r="BA55" i="35"/>
  <c r="EB29" i="2"/>
  <c r="EC11" i="12"/>
  <c r="EB45" i="2"/>
  <c r="EC27" i="12"/>
  <c r="EB22" i="13"/>
  <c r="EB11" i="13"/>
  <c r="BA72" i="35"/>
  <c r="EB89" i="2"/>
  <c r="EB117" i="2"/>
  <c r="EC26" i="2"/>
  <c r="CS54" i="35" s="1"/>
  <c r="CS49" i="35"/>
  <c r="EB9" i="13"/>
  <c r="EB10" i="13" s="1"/>
  <c r="EB77" i="2" s="1"/>
  <c r="EB96" i="2"/>
  <c r="EB119" i="2"/>
  <c r="EB20" i="13"/>
  <c r="EC25" i="12"/>
  <c r="EB30" i="12"/>
  <c r="DW55" i="2"/>
  <c r="DW58" i="2" s="1"/>
  <c r="DW56" i="2" s="1"/>
  <c r="DW57" i="2" s="1"/>
  <c r="DW46" i="2"/>
  <c r="DW47" i="2"/>
  <c r="DW76" i="2"/>
  <c r="DW36" i="12"/>
  <c r="DW35" i="12" s="1"/>
  <c r="DX30" i="12"/>
  <c r="DX36" i="12" s="1"/>
  <c r="DX35" i="12" s="1"/>
  <c r="BA66" i="35"/>
  <c r="EB44" i="2"/>
  <c r="EB43" i="2"/>
  <c r="DV23" i="13"/>
  <c r="BX19" i="37"/>
  <c r="BZ19" i="37"/>
  <c r="BW20" i="37"/>
  <c r="BW21" i="37"/>
  <c r="CC20" i="37"/>
  <c r="BX22" i="37"/>
  <c r="BW24" i="37"/>
  <c r="BW23" i="37"/>
  <c r="DQ106" i="2"/>
  <c r="DQ108" i="2"/>
  <c r="CW12" i="25"/>
  <c r="CY12" i="25"/>
  <c r="EJ13" i="25"/>
  <c r="EL13" i="25" s="1"/>
  <c r="CS64" i="35"/>
  <c r="EC39" i="2"/>
  <c r="CS65" i="35" s="1"/>
  <c r="DZ9" i="13"/>
  <c r="DZ10" i="13" s="1"/>
  <c r="DZ77" i="2" s="1"/>
  <c r="DZ96" i="2"/>
  <c r="DZ119" i="2"/>
  <c r="DR107" i="2"/>
  <c r="DR106" i="2"/>
  <c r="DR108" i="2"/>
  <c r="DP79" i="2"/>
  <c r="DP82" i="2" s="1"/>
  <c r="DP105" i="2"/>
  <c r="DQ107" i="2" s="1"/>
  <c r="DY35" i="12"/>
  <c r="DY23" i="13"/>
  <c r="DY10" i="13"/>
  <c r="DY77" i="2" s="1"/>
  <c r="DR61" i="2"/>
  <c r="DR63" i="2" s="1"/>
  <c r="DR56" i="2"/>
  <c r="DR57" i="2" s="1"/>
  <c r="AY66" i="35"/>
  <c r="DZ43" i="2"/>
  <c r="DZ44" i="2"/>
  <c r="DQ38" i="12"/>
  <c r="DX19" i="13"/>
  <c r="DS29" i="2"/>
  <c r="DX20" i="13"/>
  <c r="DU35" i="12"/>
  <c r="DQ61" i="2"/>
  <c r="DQ63" i="2" s="1"/>
  <c r="DQ56" i="2"/>
  <c r="DQ57" i="2" s="1"/>
  <c r="DZ45" i="2"/>
  <c r="DO80" i="2"/>
  <c r="DT81" i="2"/>
  <c r="DO82" i="2"/>
  <c r="DO110" i="2"/>
  <c r="DO67" i="13" s="1"/>
  <c r="DO81" i="2"/>
  <c r="DZ22" i="13"/>
  <c r="EA22" i="13"/>
  <c r="DP58" i="2"/>
  <c r="DS58" i="2" s="1"/>
  <c r="DZ20" i="13"/>
  <c r="DZ30" i="12"/>
  <c r="DZ36" i="12" s="1"/>
  <c r="EA20" i="13"/>
  <c r="DO56" i="2"/>
  <c r="DO57" i="2" s="1"/>
  <c r="DO61" i="2"/>
  <c r="EC42" i="2"/>
  <c r="EC58" i="12" s="1"/>
  <c r="DX10" i="13"/>
  <c r="DX77" i="2" s="1"/>
  <c r="AY55" i="35"/>
  <c r="DZ29" i="2"/>
  <c r="CS60" i="35"/>
  <c r="EC35" i="2"/>
  <c r="CS61" i="35" s="1"/>
  <c r="DU17" i="12"/>
  <c r="DV17" i="12" s="1"/>
  <c r="DW17" i="12" s="1"/>
  <c r="DX17" i="12" s="1"/>
  <c r="DY17" i="12" s="1"/>
  <c r="DX9" i="13"/>
  <c r="DT61" i="2"/>
  <c r="DT56" i="2"/>
  <c r="DT57" i="2" s="1"/>
  <c r="DO108" i="2"/>
  <c r="DO107" i="2"/>
  <c r="DO106" i="2"/>
  <c r="CR50" i="35"/>
  <c r="CR55" i="35" s="1"/>
  <c r="DX28" i="2"/>
  <c r="EC30" i="2"/>
  <c r="CR66" i="35"/>
  <c r="DX44" i="2"/>
  <c r="DX43" i="2"/>
  <c r="DS76" i="2"/>
  <c r="AD20" i="42"/>
  <c r="BE29" i="37"/>
  <c r="AD21" i="42"/>
  <c r="BW25" i="37"/>
  <c r="BK29" i="37"/>
  <c r="AS27" i="37"/>
  <c r="DT110" i="2" l="1"/>
  <c r="DT67" i="13" s="1"/>
  <c r="DQ81" i="2"/>
  <c r="DQ80" i="2"/>
  <c r="DR82" i="2"/>
  <c r="DQ110" i="2"/>
  <c r="DR81" i="2"/>
  <c r="DT82" i="2"/>
  <c r="DR80" i="2"/>
  <c r="DR110" i="2"/>
  <c r="DX139" i="14"/>
  <c r="M48" i="45" s="1"/>
  <c r="N25" i="45"/>
  <c r="CS67" i="35"/>
  <c r="DX135" i="14"/>
  <c r="M44" i="45" s="1"/>
  <c r="DX133" i="14"/>
  <c r="M42" i="45" s="1"/>
  <c r="DT108" i="2"/>
  <c r="DT107" i="2"/>
  <c r="EC122" i="14"/>
  <c r="EC120" i="14"/>
  <c r="EC126" i="14"/>
  <c r="EC116" i="14"/>
  <c r="EC11" i="13"/>
  <c r="CY13" i="25"/>
  <c r="EF13" i="25"/>
  <c r="EI13" i="25" s="1"/>
  <c r="AZ55" i="35"/>
  <c r="EA29" i="2"/>
  <c r="EA55" i="2"/>
  <c r="EA58" i="2" s="1"/>
  <c r="EA61" i="2" s="1"/>
  <c r="EA63" i="2" s="1"/>
  <c r="EA47" i="2"/>
  <c r="EA76" i="2"/>
  <c r="EA46" i="2"/>
  <c r="DV105" i="2"/>
  <c r="DV79" i="2"/>
  <c r="DV56" i="2"/>
  <c r="DV57" i="2" s="1"/>
  <c r="DV61" i="2"/>
  <c r="DV63" i="2" s="1"/>
  <c r="DV65" i="2" s="1"/>
  <c r="EC117" i="2"/>
  <c r="DY105" i="2"/>
  <c r="DY106" i="2" s="1"/>
  <c r="DY79" i="2"/>
  <c r="DY81" i="2" s="1"/>
  <c r="DS105" i="2"/>
  <c r="DX76" i="2"/>
  <c r="EG12" i="25"/>
  <c r="EI12" i="25"/>
  <c r="DU79" i="2"/>
  <c r="DX46" i="2"/>
  <c r="DX47" i="2"/>
  <c r="BW26" i="37"/>
  <c r="BZ25" i="37"/>
  <c r="BX25" i="37"/>
  <c r="EC119" i="2"/>
  <c r="EC9" i="13"/>
  <c r="DS79" i="2"/>
  <c r="EB23" i="13"/>
  <c r="EB47" i="2"/>
  <c r="EB76" i="2"/>
  <c r="EB55" i="2"/>
  <c r="EB58" i="2" s="1"/>
  <c r="EC30" i="12"/>
  <c r="EC36" i="12" s="1"/>
  <c r="EC35" i="12" s="1"/>
  <c r="EB36" i="12"/>
  <c r="EB35" i="12" s="1"/>
  <c r="EC19" i="13"/>
  <c r="DW61" i="2"/>
  <c r="DW63" i="2" s="1"/>
  <c r="DW65" i="2" s="1"/>
  <c r="DX58" i="2"/>
  <c r="EB46" i="2"/>
  <c r="DW79" i="2"/>
  <c r="DW105" i="2"/>
  <c r="DX55" i="2"/>
  <c r="DZ17" i="12"/>
  <c r="EA17" i="12" s="1"/>
  <c r="EB17" i="12" s="1"/>
  <c r="EC17" i="12" s="1"/>
  <c r="EC22" i="13"/>
  <c r="DZ23" i="13"/>
  <c r="DX23" i="13"/>
  <c r="CD22" i="37"/>
  <c r="CC23" i="37"/>
  <c r="CC24" i="37"/>
  <c r="AT27" i="37"/>
  <c r="AV27" i="37"/>
  <c r="AS28" i="37"/>
  <c r="BL29" i="37"/>
  <c r="BN29" i="37"/>
  <c r="BK30" i="37"/>
  <c r="BF29" i="37"/>
  <c r="BH29" i="37"/>
  <c r="BE30" i="37"/>
  <c r="DZ35" i="12"/>
  <c r="DZ55" i="2"/>
  <c r="DZ47" i="2"/>
  <c r="DZ76" i="2"/>
  <c r="EC45" i="2"/>
  <c r="DZ46" i="2"/>
  <c r="CS66" i="35"/>
  <c r="EC44" i="2"/>
  <c r="EC43" i="2"/>
  <c r="DP56" i="2"/>
  <c r="DP57" i="2" s="1"/>
  <c r="DS57" i="2" s="1"/>
  <c r="DP61" i="2"/>
  <c r="DP63" i="2" s="1"/>
  <c r="EC20" i="13"/>
  <c r="EC10" i="13"/>
  <c r="EC77" i="2" s="1"/>
  <c r="DP106" i="2"/>
  <c r="DP108" i="2"/>
  <c r="DU106" i="2"/>
  <c r="DP107" i="2"/>
  <c r="AT69" i="35"/>
  <c r="AT73" i="35" s="1"/>
  <c r="DT113" i="2"/>
  <c r="BT18" i="25"/>
  <c r="DO63" i="2"/>
  <c r="DO67" i="12"/>
  <c r="AP69" i="35"/>
  <c r="AP73" i="35" s="1"/>
  <c r="DO111" i="2"/>
  <c r="AK18" i="25"/>
  <c r="DO113" i="2"/>
  <c r="DT111" i="2"/>
  <c r="DO112" i="2"/>
  <c r="DP81" i="2"/>
  <c r="DQ82" i="2"/>
  <c r="DP80" i="2"/>
  <c r="DP110" i="2"/>
  <c r="DU108" i="2"/>
  <c r="DU107" i="2"/>
  <c r="DR7" i="13"/>
  <c r="DR70" i="2"/>
  <c r="DR65" i="2"/>
  <c r="DR64" i="2"/>
  <c r="DR116" i="2"/>
  <c r="DX29" i="2"/>
  <c r="DY61" i="2"/>
  <c r="DY56" i="2"/>
  <c r="DY57" i="2" s="1"/>
  <c r="DQ7" i="13"/>
  <c r="DQ65" i="2"/>
  <c r="DQ64" i="2"/>
  <c r="DQ70" i="2"/>
  <c r="DQ116" i="2"/>
  <c r="DU61" i="2"/>
  <c r="DU63" i="2" s="1"/>
  <c r="DU56" i="2"/>
  <c r="EC29" i="2"/>
  <c r="EA23" i="13"/>
  <c r="DT63" i="2"/>
  <c r="DR38" i="12"/>
  <c r="AY27" i="37"/>
  <c r="BK31" i="37"/>
  <c r="BE31" i="37"/>
  <c r="CC25" i="37"/>
  <c r="AD22" i="42"/>
  <c r="AY29" i="37"/>
  <c r="AS29" i="37"/>
  <c r="AR69" i="35" l="1"/>
  <c r="AR73" i="35" s="1"/>
  <c r="DQ111" i="2"/>
  <c r="DQ113" i="2"/>
  <c r="AR70" i="35" s="1"/>
  <c r="AY18" i="25"/>
  <c r="DT67" i="12"/>
  <c r="AS69" i="35"/>
  <c r="AS73" i="35" s="1"/>
  <c r="DR112" i="2"/>
  <c r="BF18" i="25"/>
  <c r="DQ67" i="13"/>
  <c r="DR67" i="13"/>
  <c r="DR111" i="2"/>
  <c r="DR113" i="2"/>
  <c r="AS70" i="35" s="1"/>
  <c r="EC139" i="14"/>
  <c r="N48" i="45" s="1"/>
  <c r="N35" i="45"/>
  <c r="EC133" i="14"/>
  <c r="N42" i="45" s="1"/>
  <c r="N29" i="45"/>
  <c r="EC135" i="14"/>
  <c r="N44" i="45" s="1"/>
  <c r="N31" i="45"/>
  <c r="DV64" i="2"/>
  <c r="DX56" i="2"/>
  <c r="DV70" i="2"/>
  <c r="DV71" i="2" s="1"/>
  <c r="DV7" i="13"/>
  <c r="DV25" i="13" s="1"/>
  <c r="DV116" i="2"/>
  <c r="DV123" i="2" s="1"/>
  <c r="DV124" i="2" s="1"/>
  <c r="DV125" i="2" s="1"/>
  <c r="DY80" i="2"/>
  <c r="EA56" i="2"/>
  <c r="EA57" i="2" s="1"/>
  <c r="DY110" i="2"/>
  <c r="DY111" i="2" s="1"/>
  <c r="DY108" i="2"/>
  <c r="DY107" i="2"/>
  <c r="EK13" i="25"/>
  <c r="EG13" i="25"/>
  <c r="EA105" i="2"/>
  <c r="EA79" i="2"/>
  <c r="DV108" i="2"/>
  <c r="DV106" i="2"/>
  <c r="DV107" i="2"/>
  <c r="DV81" i="2"/>
  <c r="DV80" i="2"/>
  <c r="DV110" i="2"/>
  <c r="DV82" i="2"/>
  <c r="DS106" i="2"/>
  <c r="DS108" i="2"/>
  <c r="DU81" i="2"/>
  <c r="DU82" i="2"/>
  <c r="DU80" i="2"/>
  <c r="DU110" i="2"/>
  <c r="DU113" i="2" s="1"/>
  <c r="AU70" i="35" s="1"/>
  <c r="DX79" i="2"/>
  <c r="DX81" i="2" s="1"/>
  <c r="DS56" i="2"/>
  <c r="DS80" i="2"/>
  <c r="DS81" i="2"/>
  <c r="DQ67" i="12"/>
  <c r="DP67" i="13"/>
  <c r="DR67" i="12"/>
  <c r="DU57" i="2"/>
  <c r="DX57" i="2" s="1"/>
  <c r="DQ112" i="2"/>
  <c r="DS110" i="2"/>
  <c r="CQ69" i="35" s="1"/>
  <c r="DW70" i="2"/>
  <c r="DW71" i="2" s="1"/>
  <c r="DW64" i="2"/>
  <c r="DW7" i="13"/>
  <c r="DW24" i="13" s="1"/>
  <c r="DW107" i="2"/>
  <c r="DX105" i="2"/>
  <c r="DW106" i="2"/>
  <c r="DW108" i="2"/>
  <c r="DW81" i="2"/>
  <c r="DW80" i="2"/>
  <c r="DY82" i="2"/>
  <c r="DW110" i="2"/>
  <c r="DW82" i="2"/>
  <c r="EB61" i="2"/>
  <c r="EB63" i="2" s="1"/>
  <c r="EB56" i="2"/>
  <c r="EB57" i="2" s="1"/>
  <c r="DW116" i="2"/>
  <c r="DW123" i="2" s="1"/>
  <c r="DW124" i="2" s="1"/>
  <c r="DW125" i="2" s="1"/>
  <c r="EB105" i="2"/>
  <c r="EB106" i="2" s="1"/>
  <c r="EB79" i="2"/>
  <c r="EC23" i="13"/>
  <c r="DX61" i="2"/>
  <c r="DX59" i="2" s="1"/>
  <c r="BL31" i="37"/>
  <c r="BN31" i="37"/>
  <c r="AZ29" i="37"/>
  <c r="BB29" i="37"/>
  <c r="AY30" i="37"/>
  <c r="AT29" i="37"/>
  <c r="AV29" i="37"/>
  <c r="AS30" i="37"/>
  <c r="CD25" i="37"/>
  <c r="CC26" i="37"/>
  <c r="CF25" i="37"/>
  <c r="BF31" i="37"/>
  <c r="BH31" i="37"/>
  <c r="AZ27" i="37"/>
  <c r="BB27" i="37"/>
  <c r="AY28" i="37"/>
  <c r="DR71" i="2"/>
  <c r="BF23" i="25"/>
  <c r="DR24" i="13"/>
  <c r="DR25" i="13"/>
  <c r="DY63" i="2"/>
  <c r="DY64" i="2" s="1"/>
  <c r="DP7" i="13"/>
  <c r="DP64" i="2"/>
  <c r="DU64" i="2"/>
  <c r="DP70" i="2"/>
  <c r="DP116" i="2"/>
  <c r="DP65" i="2"/>
  <c r="DZ58" i="2"/>
  <c r="EC55" i="2"/>
  <c r="ED55" i="2" s="1"/>
  <c r="BU18" i="25"/>
  <c r="BW18" i="25"/>
  <c r="BT19" i="25"/>
  <c r="DT7" i="13"/>
  <c r="DX63" i="2"/>
  <c r="DT70" i="2"/>
  <c r="DT65" i="2"/>
  <c r="DT116" i="2"/>
  <c r="DQ24" i="13"/>
  <c r="DQ25" i="13"/>
  <c r="DO42" i="12"/>
  <c r="DO70" i="12" s="1"/>
  <c r="DO7" i="13"/>
  <c r="DS63" i="2"/>
  <c r="DT64" i="2"/>
  <c r="DO70" i="2"/>
  <c r="DO65" i="2"/>
  <c r="DO116" i="2"/>
  <c r="AT70" i="35"/>
  <c r="DR123" i="2"/>
  <c r="DR124" i="2" s="1"/>
  <c r="DR125" i="2" s="1"/>
  <c r="DS61" i="2"/>
  <c r="DS59" i="2" s="1"/>
  <c r="EC47" i="2"/>
  <c r="ED45" i="2"/>
  <c r="EC46" i="2"/>
  <c r="EA7" i="13"/>
  <c r="EA70" i="2"/>
  <c r="DQ23" i="25" s="1"/>
  <c r="EA65" i="2"/>
  <c r="EA116" i="2"/>
  <c r="DU7" i="13"/>
  <c r="DU70" i="2"/>
  <c r="DU65" i="2"/>
  <c r="DU116" i="2"/>
  <c r="DQ123" i="2"/>
  <c r="DQ124" i="2" s="1"/>
  <c r="DQ125" i="2" s="1"/>
  <c r="DZ105" i="2"/>
  <c r="DZ79" i="2"/>
  <c r="EC76" i="2"/>
  <c r="EA64" i="2"/>
  <c r="AK19" i="25"/>
  <c r="AL18" i="25"/>
  <c r="AN18" i="25"/>
  <c r="DS38" i="12"/>
  <c r="DQ71" i="2"/>
  <c r="AY23" i="25"/>
  <c r="DP67" i="12"/>
  <c r="AQ69" i="35"/>
  <c r="AQ73" i="35" s="1"/>
  <c r="DP112" i="2"/>
  <c r="DP111" i="2"/>
  <c r="DP113" i="2"/>
  <c r="AQ70" i="35" s="1"/>
  <c r="AR18" i="25"/>
  <c r="AP70" i="35"/>
  <c r="AS31" i="37"/>
  <c r="BQ29" i="37"/>
  <c r="BE32" i="37"/>
  <c r="BK27" i="37"/>
  <c r="BW29" i="37"/>
  <c r="BK32" i="37"/>
  <c r="BQ27" i="37"/>
  <c r="Z25" i="42"/>
  <c r="AY31" i="37"/>
  <c r="BE27" i="37"/>
  <c r="AD25" i="42"/>
  <c r="Z23" i="42"/>
  <c r="AZ18" i="25" l="1"/>
  <c r="BB18" i="25"/>
  <c r="AY19" i="25"/>
  <c r="BF19" i="25"/>
  <c r="BG18" i="25"/>
  <c r="BI18" i="25"/>
  <c r="BH27" i="37"/>
  <c r="BF27" i="37"/>
  <c r="BE28" i="37"/>
  <c r="BK28" i="37"/>
  <c r="BN27" i="37"/>
  <c r="BL27" i="37"/>
  <c r="DV24" i="13"/>
  <c r="CH23" i="25"/>
  <c r="CK23" i="25" s="1"/>
  <c r="DY113" i="2"/>
  <c r="DC18" i="25"/>
  <c r="DC19" i="25" s="1"/>
  <c r="AX69" i="35"/>
  <c r="AX73" i="35" s="1"/>
  <c r="DY67" i="13"/>
  <c r="DU112" i="2"/>
  <c r="CA18" i="25"/>
  <c r="CA19" i="25" s="1"/>
  <c r="DX80" i="2"/>
  <c r="AU69" i="35"/>
  <c r="AU73" i="35" s="1"/>
  <c r="DU111" i="2"/>
  <c r="EA108" i="2"/>
  <c r="EA106" i="2"/>
  <c r="EA80" i="2"/>
  <c r="EA110" i="2"/>
  <c r="EA81" i="2"/>
  <c r="CH18" i="25"/>
  <c r="DV111" i="2"/>
  <c r="AV69" i="35"/>
  <c r="AV73" i="35" s="1"/>
  <c r="DV113" i="2"/>
  <c r="AV70" i="35" s="1"/>
  <c r="DV67" i="13"/>
  <c r="DV112" i="2"/>
  <c r="DU67" i="13"/>
  <c r="DU67" i="12"/>
  <c r="DS113" i="2"/>
  <c r="CQ70" i="35" s="1"/>
  <c r="CO23" i="25"/>
  <c r="CR23" i="25" s="1"/>
  <c r="DY67" i="12"/>
  <c r="DW67" i="13"/>
  <c r="DV67" i="12"/>
  <c r="DS67" i="13"/>
  <c r="DQ26" i="13"/>
  <c r="DS67" i="12"/>
  <c r="H21" i="26"/>
  <c r="BM18" i="25"/>
  <c r="BP18" i="25" s="1"/>
  <c r="DS111" i="2"/>
  <c r="DW67" i="12"/>
  <c r="BR27" i="37"/>
  <c r="BT27" i="37"/>
  <c r="BQ28" i="37"/>
  <c r="DW25" i="13"/>
  <c r="DW26" i="13" s="1"/>
  <c r="DT112" i="2"/>
  <c r="EB65" i="2"/>
  <c r="EB7" i="13"/>
  <c r="EB70" i="2"/>
  <c r="EB64" i="2"/>
  <c r="EB116" i="2"/>
  <c r="EB123" i="2" s="1"/>
  <c r="EB124" i="2" s="1"/>
  <c r="EB125" i="2" s="1"/>
  <c r="EB126" i="2" s="1"/>
  <c r="DX108" i="2"/>
  <c r="DX106" i="2"/>
  <c r="CO18" i="25"/>
  <c r="DX110" i="2"/>
  <c r="DX67" i="13" s="1"/>
  <c r="DW113" i="2"/>
  <c r="AW70" i="35" s="1"/>
  <c r="AW69" i="35"/>
  <c r="AW73" i="35" s="1"/>
  <c r="DW112" i="2"/>
  <c r="DW111" i="2"/>
  <c r="EB80" i="2"/>
  <c r="EB110" i="2"/>
  <c r="EB82" i="2"/>
  <c r="EB81" i="2"/>
  <c r="EB108" i="2"/>
  <c r="EB107" i="2"/>
  <c r="DR26" i="13"/>
  <c r="BR29" i="37"/>
  <c r="BT29" i="37"/>
  <c r="BQ30" i="37"/>
  <c r="BX29" i="37"/>
  <c r="BZ29" i="37"/>
  <c r="BW30" i="37"/>
  <c r="AT31" i="37"/>
  <c r="AV31" i="37"/>
  <c r="BF32" i="37"/>
  <c r="BH32" i="37"/>
  <c r="BE33" i="37"/>
  <c r="AZ31" i="37"/>
  <c r="BB31" i="37"/>
  <c r="BL32" i="37"/>
  <c r="BN32" i="37"/>
  <c r="BK33" i="37"/>
  <c r="DV126" i="2"/>
  <c r="DQ126" i="2"/>
  <c r="DR126" i="2"/>
  <c r="DW126" i="2"/>
  <c r="DR127" i="2"/>
  <c r="AZ23" i="25"/>
  <c r="BB23" i="25"/>
  <c r="DX64" i="2"/>
  <c r="DS70" i="2"/>
  <c r="DS65" i="2"/>
  <c r="DS64" i="2"/>
  <c r="AK22" i="25"/>
  <c r="BM22" i="25"/>
  <c r="DX70" i="2"/>
  <c r="DX65" i="2"/>
  <c r="CV22" i="25"/>
  <c r="DW127" i="2"/>
  <c r="EA82" i="2"/>
  <c r="DZ80" i="2"/>
  <c r="DZ110" i="2"/>
  <c r="DZ67" i="13" s="1"/>
  <c r="EC79" i="2"/>
  <c r="DZ82" i="2"/>
  <c r="DZ81" i="2"/>
  <c r="DZ108" i="2"/>
  <c r="DZ107" i="2"/>
  <c r="DZ106" i="2"/>
  <c r="EA107" i="2"/>
  <c r="EC105" i="2"/>
  <c r="DU24" i="13"/>
  <c r="DU25" i="13"/>
  <c r="DT71" i="2"/>
  <c r="AK23" i="25"/>
  <c r="DQ46" i="13"/>
  <c r="DQ54" i="13"/>
  <c r="DQ57" i="13" s="1"/>
  <c r="DQ62" i="13" s="1"/>
  <c r="BT23" i="25"/>
  <c r="DP24" i="13"/>
  <c r="DP25" i="13"/>
  <c r="DT38" i="12"/>
  <c r="DU123" i="2"/>
  <c r="DU124" i="2" s="1"/>
  <c r="DU125" i="2" s="1"/>
  <c r="EA71" i="2"/>
  <c r="DZ61" i="2"/>
  <c r="DZ56" i="2"/>
  <c r="EC56" i="2" s="1"/>
  <c r="EC58" i="2"/>
  <c r="DY7" i="13"/>
  <c r="DY65" i="2"/>
  <c r="DY70" i="2"/>
  <c r="DC23" i="25" s="1"/>
  <c r="DY116" i="2"/>
  <c r="AL19" i="25"/>
  <c r="AN19" i="25"/>
  <c r="BG23" i="25"/>
  <c r="BI23" i="25"/>
  <c r="AR19" i="25"/>
  <c r="AS18" i="25"/>
  <c r="AU18" i="25"/>
  <c r="CA23" i="25"/>
  <c r="EA123" i="2"/>
  <c r="EA124" i="2" s="1"/>
  <c r="EA125" i="2" s="1"/>
  <c r="BU19" i="25"/>
  <c r="BW19" i="25"/>
  <c r="DU71" i="2"/>
  <c r="DP71" i="2"/>
  <c r="AR23" i="25"/>
  <c r="DP123" i="2"/>
  <c r="DP124" i="2" s="1"/>
  <c r="DP125" i="2" s="1"/>
  <c r="DQ127" i="2" s="1"/>
  <c r="DR23" i="25"/>
  <c r="DT23" i="25"/>
  <c r="DO24" i="13"/>
  <c r="DS7" i="13"/>
  <c r="DS25" i="13" s="1"/>
  <c r="DO25" i="13"/>
  <c r="DX7" i="13"/>
  <c r="DX25" i="13" s="1"/>
  <c r="DT24" i="13"/>
  <c r="DT25" i="13"/>
  <c r="DP42" i="12"/>
  <c r="DP70" i="12" s="1"/>
  <c r="DO44" i="12"/>
  <c r="DO43" i="12"/>
  <c r="DX116" i="2"/>
  <c r="DT123" i="2"/>
  <c r="EA24" i="13"/>
  <c r="EA25" i="13"/>
  <c r="DS116" i="2"/>
  <c r="DO123" i="2"/>
  <c r="DW54" i="13"/>
  <c r="DW57" i="13" s="1"/>
  <c r="DW46" i="13"/>
  <c r="DR46" i="13"/>
  <c r="DR54" i="13"/>
  <c r="DR57" i="13" s="1"/>
  <c r="DR62" i="13" s="1"/>
  <c r="BW31" i="37"/>
  <c r="AD26" i="42"/>
  <c r="Z26" i="42"/>
  <c r="AY32" i="37"/>
  <c r="BE37" i="37"/>
  <c r="BQ31" i="37"/>
  <c r="Z27" i="42"/>
  <c r="AD23" i="42"/>
  <c r="AS32" i="37"/>
  <c r="BW27" i="37"/>
  <c r="AD27" i="42"/>
  <c r="BK37" i="37"/>
  <c r="Z24" i="42"/>
  <c r="BB19" i="25" l="1"/>
  <c r="AZ19" i="25"/>
  <c r="DV26" i="13"/>
  <c r="DV46" i="13"/>
  <c r="DV54" i="13"/>
  <c r="DV57" i="13" s="1"/>
  <c r="DV60" i="13" s="1"/>
  <c r="BI19" i="25"/>
  <c r="BG19" i="25"/>
  <c r="AX70" i="35"/>
  <c r="CI23" i="25"/>
  <c r="DF18" i="25"/>
  <c r="DD18" i="25"/>
  <c r="H22" i="26"/>
  <c r="G22" i="26" s="1"/>
  <c r="G21" i="26" s="1"/>
  <c r="CD18" i="25"/>
  <c r="CB18" i="25"/>
  <c r="AZ69" i="35"/>
  <c r="AZ73" i="35" s="1"/>
  <c r="EA111" i="2"/>
  <c r="DQ18" i="25"/>
  <c r="EA113" i="2"/>
  <c r="AZ70" i="35" s="1"/>
  <c r="EA67" i="13"/>
  <c r="CH19" i="25"/>
  <c r="CK18" i="25"/>
  <c r="CI18" i="25"/>
  <c r="CP23" i="25"/>
  <c r="DW62" i="13"/>
  <c r="EB111" i="2"/>
  <c r="EB67" i="13"/>
  <c r="BN18" i="25"/>
  <c r="BM19" i="25"/>
  <c r="BN19" i="25" s="1"/>
  <c r="DP26" i="13"/>
  <c r="DS123" i="2"/>
  <c r="DS122" i="2" s="1"/>
  <c r="DX123" i="2"/>
  <c r="DX122" i="2" s="1"/>
  <c r="BZ27" i="37"/>
  <c r="BW28" i="37"/>
  <c r="BX27" i="37"/>
  <c r="CR18" i="25"/>
  <c r="CP18" i="25"/>
  <c r="CO19" i="25"/>
  <c r="DX23" i="25"/>
  <c r="EB71" i="2"/>
  <c r="DX18" i="25"/>
  <c r="BA69" i="35"/>
  <c r="BA73" i="35" s="1"/>
  <c r="EB113" i="2"/>
  <c r="BA70" i="35" s="1"/>
  <c r="EB112" i="2"/>
  <c r="EB24" i="13"/>
  <c r="EB25" i="13"/>
  <c r="DX67" i="12"/>
  <c r="CR69" i="35"/>
  <c r="DX113" i="2"/>
  <c r="DY112" i="2"/>
  <c r="CV18" i="25"/>
  <c r="DX111" i="2"/>
  <c r="DU26" i="13"/>
  <c r="DY71" i="2"/>
  <c r="DO26" i="13"/>
  <c r="BF37" i="37"/>
  <c r="BH37" i="37"/>
  <c r="BE39" i="37"/>
  <c r="BE38" i="37"/>
  <c r="AT32" i="37"/>
  <c r="AV32" i="37"/>
  <c r="AS33" i="37"/>
  <c r="AZ32" i="37"/>
  <c r="BB32" i="37"/>
  <c r="AY33" i="37"/>
  <c r="BL37" i="37"/>
  <c r="BN37" i="37"/>
  <c r="BK39" i="37"/>
  <c r="BK38" i="37"/>
  <c r="BX31" i="37"/>
  <c r="BZ31" i="37"/>
  <c r="BR31" i="37"/>
  <c r="BT31" i="37"/>
  <c r="DV127" i="2"/>
  <c r="EB127" i="2"/>
  <c r="EA126" i="2"/>
  <c r="BW23" i="25"/>
  <c r="BU23" i="25"/>
  <c r="DY24" i="13"/>
  <c r="DY25" i="13"/>
  <c r="AS23" i="25"/>
  <c r="AU23" i="25"/>
  <c r="DQ58" i="13"/>
  <c r="DQ59" i="13"/>
  <c r="DQ60" i="13"/>
  <c r="DQ61" i="13" s="1"/>
  <c r="DU46" i="13"/>
  <c r="DU54" i="13"/>
  <c r="DU57" i="13" s="1"/>
  <c r="DU62" i="13" s="1"/>
  <c r="CW22" i="25"/>
  <c r="CY22" i="25"/>
  <c r="DW58" i="13"/>
  <c r="DW60" i="13"/>
  <c r="DW59" i="13"/>
  <c r="DO54" i="13"/>
  <c r="DO57" i="13" s="1"/>
  <c r="DO62" i="13" s="1"/>
  <c r="DS24" i="13"/>
  <c r="DO46" i="13"/>
  <c r="DP46" i="13"/>
  <c r="DP54" i="13"/>
  <c r="DP57" i="13" s="1"/>
  <c r="DP62" i="13" s="1"/>
  <c r="EA46" i="13"/>
  <c r="EA54" i="13"/>
  <c r="EA57" i="13" s="1"/>
  <c r="DY123" i="2"/>
  <c r="DO124" i="2"/>
  <c r="AS19" i="25"/>
  <c r="AU19" i="25"/>
  <c r="EC108" i="2"/>
  <c r="EC106" i="2"/>
  <c r="DZ67" i="12"/>
  <c r="AY69" i="35"/>
  <c r="AY73" i="35" s="1"/>
  <c r="DZ112" i="2"/>
  <c r="DJ18" i="25"/>
  <c r="DZ113" i="2"/>
  <c r="AY70" i="35" s="1"/>
  <c r="EB67" i="12"/>
  <c r="EA67" i="12"/>
  <c r="EA112" i="2"/>
  <c r="DZ111" i="2"/>
  <c r="EC110" i="2"/>
  <c r="EC67" i="13" s="1"/>
  <c r="CB23" i="25"/>
  <c r="CD23" i="25"/>
  <c r="DD23" i="25"/>
  <c r="DF23" i="25"/>
  <c r="DR59" i="13"/>
  <c r="DR58" i="13"/>
  <c r="DR60" i="13"/>
  <c r="DR61" i="13" s="1"/>
  <c r="DT26" i="13"/>
  <c r="CB19" i="25"/>
  <c r="CD19" i="25"/>
  <c r="DZ57" i="2"/>
  <c r="EC57" i="2" s="1"/>
  <c r="DQ42" i="12"/>
  <c r="DQ70" i="12" s="1"/>
  <c r="DP44" i="12"/>
  <c r="DP43" i="12"/>
  <c r="AN23" i="25"/>
  <c r="AL23" i="25"/>
  <c r="EC80" i="2"/>
  <c r="EC81" i="2"/>
  <c r="CV23" i="25"/>
  <c r="DX71" i="2"/>
  <c r="BM23" i="25"/>
  <c r="DS71" i="2"/>
  <c r="DT124" i="2"/>
  <c r="EA26" i="13"/>
  <c r="DX24" i="13"/>
  <c r="DX26" i="13" s="1"/>
  <c r="DT46" i="13"/>
  <c r="DT54" i="13"/>
  <c r="DT57" i="13" s="1"/>
  <c r="DT62" i="13" s="1"/>
  <c r="DU126" i="2"/>
  <c r="DP126" i="2"/>
  <c r="DF19" i="25"/>
  <c r="DD19" i="25"/>
  <c r="EC61" i="2"/>
  <c r="EC59" i="2" s="1"/>
  <c r="DZ63" i="2"/>
  <c r="BN22" i="25"/>
  <c r="BP22" i="25"/>
  <c r="DU38" i="12"/>
  <c r="AL22" i="25"/>
  <c r="AN22" i="25"/>
  <c r="AD24" i="42"/>
  <c r="CC27" i="37"/>
  <c r="AD29" i="42"/>
  <c r="BQ32" i="37"/>
  <c r="AY37" i="37"/>
  <c r="Z29" i="42"/>
  <c r="BW32" i="37"/>
  <c r="AS37" i="37"/>
  <c r="CC28" i="37" l="1"/>
  <c r="DV59" i="13"/>
  <c r="DV62" i="13"/>
  <c r="DV58" i="13"/>
  <c r="I22" i="26"/>
  <c r="I21" i="26" s="1"/>
  <c r="J22" i="26"/>
  <c r="J21" i="26" s="1"/>
  <c r="F22" i="26"/>
  <c r="F21" i="26" s="1"/>
  <c r="DT18" i="25"/>
  <c r="DR18" i="25"/>
  <c r="DQ19" i="25"/>
  <c r="CI19" i="25"/>
  <c r="CK19" i="25"/>
  <c r="EA62" i="13"/>
  <c r="BP19" i="25"/>
  <c r="EB26" i="13"/>
  <c r="CP19" i="25"/>
  <c r="CR19" i="25"/>
  <c r="EB54" i="13"/>
  <c r="EB57" i="13" s="1"/>
  <c r="EB62" i="13" s="1"/>
  <c r="EB46" i="13"/>
  <c r="EC23" i="25"/>
  <c r="EA23" i="25"/>
  <c r="DY23" i="25"/>
  <c r="CW18" i="25"/>
  <c r="CY18" i="25"/>
  <c r="CV19" i="25"/>
  <c r="CR70" i="35"/>
  <c r="DY18" i="25"/>
  <c r="EA18" i="25"/>
  <c r="DX19" i="25"/>
  <c r="EC18" i="25"/>
  <c r="DY26" i="13"/>
  <c r="AZ37" i="37"/>
  <c r="BB37" i="37"/>
  <c r="AY39" i="37"/>
  <c r="AY38" i="37"/>
  <c r="BR32" i="37"/>
  <c r="BT32" i="37"/>
  <c r="BQ33" i="37"/>
  <c r="AT37" i="37"/>
  <c r="AV37" i="37"/>
  <c r="AS39" i="37"/>
  <c r="AS38" i="37"/>
  <c r="CD27" i="37"/>
  <c r="CF27" i="37"/>
  <c r="BX32" i="37"/>
  <c r="BZ32" i="37"/>
  <c r="BW33" i="37"/>
  <c r="DP59" i="13"/>
  <c r="DP60" i="13"/>
  <c r="DP61" i="13" s="1"/>
  <c r="DP58" i="13"/>
  <c r="DU58" i="13"/>
  <c r="DU60" i="13"/>
  <c r="DU59" i="13"/>
  <c r="DV38" i="12"/>
  <c r="DY124" i="2"/>
  <c r="DW61" i="13"/>
  <c r="DY46" i="13"/>
  <c r="DY54" i="13"/>
  <c r="DY57" i="13" s="1"/>
  <c r="DY62" i="13" s="1"/>
  <c r="EA59" i="13"/>
  <c r="EA58" i="13"/>
  <c r="EA60" i="13"/>
  <c r="EA61" i="13" s="1"/>
  <c r="DS46" i="13"/>
  <c r="DO48" i="13"/>
  <c r="DV61" i="13"/>
  <c r="DJ19" i="25"/>
  <c r="DK18" i="25"/>
  <c r="DM18" i="25"/>
  <c r="DS54" i="13"/>
  <c r="DS57" i="13" s="1"/>
  <c r="BN23" i="25"/>
  <c r="BP23" i="25"/>
  <c r="CW23" i="25"/>
  <c r="CY23" i="25"/>
  <c r="DO59" i="13"/>
  <c r="DO60" i="13"/>
  <c r="DO61" i="13" s="1"/>
  <c r="DO58" i="13"/>
  <c r="DZ7" i="13"/>
  <c r="DZ70" i="2"/>
  <c r="DZ65" i="2"/>
  <c r="DZ116" i="2"/>
  <c r="DZ64" i="2"/>
  <c r="EC63" i="2"/>
  <c r="EC67" i="12"/>
  <c r="CS69" i="35"/>
  <c r="EC113" i="2"/>
  <c r="CS70" i="35" s="1"/>
  <c r="EF18" i="25"/>
  <c r="EC111" i="2"/>
  <c r="DS124" i="2"/>
  <c r="DO125" i="2"/>
  <c r="DS26" i="13"/>
  <c r="DT59" i="13"/>
  <c r="DT60" i="13"/>
  <c r="DT58" i="13"/>
  <c r="DX46" i="13"/>
  <c r="DX54" i="13"/>
  <c r="DX124" i="2"/>
  <c r="DT125" i="2"/>
  <c r="DR42" i="12"/>
  <c r="DR70" i="12" s="1"/>
  <c r="DQ44" i="12"/>
  <c r="DQ43" i="12"/>
  <c r="CC29" i="37"/>
  <c r="CQ75" i="35" a="1"/>
  <c r="CQ75" i="35" l="1"/>
  <c r="CQ76" i="35" s="1"/>
  <c r="DT19" i="25"/>
  <c r="DR19" i="25"/>
  <c r="DU61" i="13"/>
  <c r="DY19" i="25"/>
  <c r="EA19" i="25"/>
  <c r="EC19" i="25"/>
  <c r="EB59" i="13"/>
  <c r="EB58" i="13"/>
  <c r="EB60" i="13"/>
  <c r="EB61" i="13" s="1"/>
  <c r="CW19" i="25"/>
  <c r="CY19" i="25"/>
  <c r="CD29" i="37"/>
  <c r="CC30" i="37"/>
  <c r="CF29" i="37"/>
  <c r="DT126" i="2"/>
  <c r="DO127" i="2"/>
  <c r="DO126" i="2"/>
  <c r="DP127" i="2"/>
  <c r="DS125" i="2"/>
  <c r="DT127" i="2" s="1"/>
  <c r="BM20" i="25"/>
  <c r="AK20" i="25"/>
  <c r="DS42" i="12"/>
  <c r="DR43" i="12"/>
  <c r="DR44" i="12"/>
  <c r="DZ123" i="2"/>
  <c r="EC123" i="2" s="1"/>
  <c r="EC116" i="2"/>
  <c r="DY125" i="2"/>
  <c r="DY126" i="2" s="1"/>
  <c r="DX125" i="2"/>
  <c r="CV20" i="25"/>
  <c r="EK18" i="25"/>
  <c r="EF19" i="25"/>
  <c r="EG18" i="25"/>
  <c r="EI18" i="25"/>
  <c r="DJ23" i="25"/>
  <c r="DZ71" i="2"/>
  <c r="DK19" i="25"/>
  <c r="DM19" i="25"/>
  <c r="DY58" i="13"/>
  <c r="DY59" i="13"/>
  <c r="DY60" i="13"/>
  <c r="DY61" i="13" s="1"/>
  <c r="DU127" i="2"/>
  <c r="DX57" i="13"/>
  <c r="F7" i="21"/>
  <c r="F9" i="21" s="1"/>
  <c r="DT61" i="13"/>
  <c r="DZ24" i="13"/>
  <c r="DZ25" i="13"/>
  <c r="EC7" i="13"/>
  <c r="EC25" i="13" s="1"/>
  <c r="DW38" i="12"/>
  <c r="EC70" i="2"/>
  <c r="EC65" i="2"/>
  <c r="EF22" i="25"/>
  <c r="ED63" i="2"/>
  <c r="EC64" i="2"/>
  <c r="E7" i="21"/>
  <c r="E9" i="21" s="1"/>
  <c r="DS62" i="13"/>
  <c r="DO50" i="13"/>
  <c r="DO52" i="13" s="1"/>
  <c r="DO8" i="12" s="1"/>
  <c r="DP47" i="13"/>
  <c r="DP48" i="13" s="1"/>
  <c r="CC31" i="37"/>
  <c r="BW37" i="37"/>
  <c r="Z33" i="42"/>
  <c r="BQ37" i="37"/>
  <c r="CR75" i="35" a="1"/>
  <c r="AD33" i="42"/>
  <c r="CR75" i="35" l="1"/>
  <c r="CR76" i="35" s="1"/>
  <c r="DX62" i="13"/>
  <c r="BQ38" i="37"/>
  <c r="DZ26" i="13"/>
  <c r="CD31" i="37"/>
  <c r="CF31" i="37"/>
  <c r="BR37" i="37"/>
  <c r="BT37" i="37"/>
  <c r="BQ39" i="37"/>
  <c r="BX37" i="37"/>
  <c r="BZ37" i="37"/>
  <c r="BW39" i="37"/>
  <c r="BW38" i="37"/>
  <c r="CW20" i="25"/>
  <c r="CY20" i="25"/>
  <c r="DP50" i="13"/>
  <c r="DP52" i="13" s="1"/>
  <c r="DP8" i="12" s="1"/>
  <c r="DQ47" i="13"/>
  <c r="DQ48" i="13" s="1"/>
  <c r="EF23" i="25"/>
  <c r="EC71" i="2"/>
  <c r="CV21" i="25"/>
  <c r="DT42" i="12"/>
  <c r="DS70" i="12"/>
  <c r="DS44" i="12"/>
  <c r="DS43" i="12"/>
  <c r="DO7" i="12"/>
  <c r="DO14" i="12"/>
  <c r="DO23" i="12" s="1"/>
  <c r="DO47" i="12"/>
  <c r="DO49" i="12" s="1"/>
  <c r="DO71" i="12"/>
  <c r="DZ46" i="13"/>
  <c r="DZ54" i="13"/>
  <c r="DZ57" i="13" s="1"/>
  <c r="DZ62" i="13" s="1"/>
  <c r="EC24" i="13"/>
  <c r="DK23" i="25"/>
  <c r="DM23" i="25"/>
  <c r="DY127" i="2"/>
  <c r="AL20" i="25"/>
  <c r="AN20" i="25"/>
  <c r="E10" i="21"/>
  <c r="BN20" i="25"/>
  <c r="BP20" i="25"/>
  <c r="EG22" i="25"/>
  <c r="EI22" i="25"/>
  <c r="EK22" i="25"/>
  <c r="DS59" i="13"/>
  <c r="DS58" i="13"/>
  <c r="DS60" i="13"/>
  <c r="F10" i="21"/>
  <c r="EC122" i="2"/>
  <c r="DS126" i="2"/>
  <c r="BM21" i="25"/>
  <c r="AK21" i="25"/>
  <c r="DX126" i="2"/>
  <c r="DX38" i="12"/>
  <c r="DX58" i="13"/>
  <c r="DX60" i="13"/>
  <c r="DX59" i="13"/>
  <c r="EG19" i="25"/>
  <c r="EI19" i="25"/>
  <c r="EK19" i="25"/>
  <c r="DZ124" i="2"/>
  <c r="Z34" i="42"/>
  <c r="CC32" i="37"/>
  <c r="AD34" i="42"/>
  <c r="CD32" i="37" l="1"/>
  <c r="CC33" i="37"/>
  <c r="CF32" i="37"/>
  <c r="DS61" i="13"/>
  <c r="DZ125" i="2"/>
  <c r="EC124" i="2"/>
  <c r="AL21" i="25"/>
  <c r="AN21" i="25"/>
  <c r="DZ59" i="13"/>
  <c r="DZ58" i="13"/>
  <c r="DZ60" i="13"/>
  <c r="DZ61" i="13" s="1"/>
  <c r="EC46" i="13"/>
  <c r="EG23" i="25"/>
  <c r="EI23" i="25"/>
  <c r="EK23" i="25"/>
  <c r="DU42" i="12"/>
  <c r="DU70" i="12" s="1"/>
  <c r="DT44" i="12"/>
  <c r="DT43" i="12"/>
  <c r="DT70" i="12"/>
  <c r="DR47" i="13"/>
  <c r="DR48" i="13" s="1"/>
  <c r="DQ50" i="13"/>
  <c r="DQ52" i="13" s="1"/>
  <c r="DQ8" i="12" s="1"/>
  <c r="DO66" i="12"/>
  <c r="DO68" i="12"/>
  <c r="DP7" i="12"/>
  <c r="DP14" i="12"/>
  <c r="DP23" i="12" s="1"/>
  <c r="DP47" i="12"/>
  <c r="DP49" i="12" s="1"/>
  <c r="DP71" i="12"/>
  <c r="EC54" i="13"/>
  <c r="CW21" i="25"/>
  <c r="CY21" i="25"/>
  <c r="DX61" i="13"/>
  <c r="DY38" i="12"/>
  <c r="BN21" i="25"/>
  <c r="BP21" i="25"/>
  <c r="DO69" i="12"/>
  <c r="DO45" i="12"/>
  <c r="EC26" i="13"/>
  <c r="DP68" i="12" l="1"/>
  <c r="DP66" i="12"/>
  <c r="DZ38" i="12"/>
  <c r="DP69" i="12"/>
  <c r="DP45" i="12"/>
  <c r="DV42" i="12"/>
  <c r="DV70" i="12" s="1"/>
  <c r="DU43" i="12"/>
  <c r="DU44" i="12"/>
  <c r="DQ7" i="12"/>
  <c r="DQ14" i="12"/>
  <c r="DQ23" i="12" s="1"/>
  <c r="DQ47" i="12"/>
  <c r="DQ49" i="12" s="1"/>
  <c r="DQ71" i="12"/>
  <c r="EC57" i="13"/>
  <c r="G7" i="21"/>
  <c r="G9" i="21" s="1"/>
  <c r="DT47" i="13"/>
  <c r="DT48" i="13" s="1"/>
  <c r="DR50" i="13"/>
  <c r="DS48" i="13"/>
  <c r="DX47" i="13" s="1"/>
  <c r="EF20" i="25"/>
  <c r="EC125" i="2"/>
  <c r="DZ127" i="2"/>
  <c r="DZ126" i="2"/>
  <c r="EA127" i="2"/>
  <c r="CS75" i="35" a="1"/>
  <c r="CC37" i="37"/>
  <c r="CS75" i="35" l="1"/>
  <c r="CS76" i="35" s="1"/>
  <c r="EC62" i="13"/>
  <c r="CD37" i="37"/>
  <c r="CC38" i="37"/>
  <c r="CF37" i="37"/>
  <c r="CC39" i="37"/>
  <c r="G10" i="21"/>
  <c r="H9" i="21"/>
  <c r="EA38" i="12"/>
  <c r="EC58" i="13"/>
  <c r="EC60" i="13"/>
  <c r="EC59" i="13"/>
  <c r="EF21" i="25"/>
  <c r="EC126" i="2"/>
  <c r="DQ68" i="12"/>
  <c r="DQ66" i="12"/>
  <c r="DW42" i="12"/>
  <c r="DV43" i="12"/>
  <c r="DV44" i="12"/>
  <c r="EG20" i="25"/>
  <c r="EI20" i="25"/>
  <c r="EK20" i="25"/>
  <c r="DQ69" i="12"/>
  <c r="DQ45" i="12"/>
  <c r="DR52" i="13"/>
  <c r="DS50" i="13"/>
  <c r="DU47" i="13"/>
  <c r="DU48" i="13" s="1"/>
  <c r="DT50" i="13"/>
  <c r="DT52" i="13" s="1"/>
  <c r="DT8" i="12" s="1"/>
  <c r="I9" i="21" l="1"/>
  <c r="J9" i="21" s="1"/>
  <c r="S9" i="21" s="1"/>
  <c r="EC61" i="13"/>
  <c r="EK21" i="25"/>
  <c r="EG21" i="25"/>
  <c r="EI21" i="25"/>
  <c r="DX42" i="12"/>
  <c r="DW43" i="12"/>
  <c r="DW44" i="12"/>
  <c r="DW70" i="12"/>
  <c r="EB38" i="12"/>
  <c r="DU50" i="13"/>
  <c r="DU52" i="13" s="1"/>
  <c r="DU8" i="12" s="1"/>
  <c r="DV47" i="13"/>
  <c r="DV48" i="13" s="1"/>
  <c r="DT14" i="12"/>
  <c r="DT23" i="12" s="1"/>
  <c r="DT47" i="12"/>
  <c r="DT49" i="12" s="1"/>
  <c r="DT7" i="12"/>
  <c r="DR8" i="12"/>
  <c r="DS52" i="13"/>
  <c r="K9" i="21" l="1"/>
  <c r="DY42" i="12"/>
  <c r="DX44" i="12"/>
  <c r="DX70" i="12"/>
  <c r="DX43" i="12"/>
  <c r="DR47" i="12"/>
  <c r="DR7" i="12"/>
  <c r="DS7" i="12" s="1"/>
  <c r="DS8" i="12"/>
  <c r="DS71" i="12" s="1"/>
  <c r="DR14" i="12"/>
  <c r="DR71" i="12"/>
  <c r="EC38" i="12"/>
  <c r="DU14" i="12"/>
  <c r="DU23" i="12" s="1"/>
  <c r="DU47" i="12"/>
  <c r="DU49" i="12" s="1"/>
  <c r="DU7" i="12"/>
  <c r="DU71" i="12"/>
  <c r="DT68" i="12"/>
  <c r="DT66" i="12"/>
  <c r="DT45" i="12"/>
  <c r="DT71" i="12"/>
  <c r="DV50" i="13"/>
  <c r="DV52" i="13" s="1"/>
  <c r="DV8" i="12" s="1"/>
  <c r="DW47" i="13"/>
  <c r="DW48" i="13" s="1"/>
  <c r="L9" i="21" l="1"/>
  <c r="M9" i="21" s="1"/>
  <c r="N9" i="21" s="1"/>
  <c r="O9" i="21" s="1"/>
  <c r="D13" i="21" s="1"/>
  <c r="DS47" i="12"/>
  <c r="DR49" i="12"/>
  <c r="DW50" i="13"/>
  <c r="DX48" i="13"/>
  <c r="EC47" i="13" s="1"/>
  <c r="DY47" i="13"/>
  <c r="DY48" i="13" s="1"/>
  <c r="DU69" i="12"/>
  <c r="DU45" i="12"/>
  <c r="DR23" i="12"/>
  <c r="DS14" i="12"/>
  <c r="DV14" i="12"/>
  <c r="DV23" i="12" s="1"/>
  <c r="DV47" i="12"/>
  <c r="DV49" i="12" s="1"/>
  <c r="DV7" i="12"/>
  <c r="DV71" i="12"/>
  <c r="DU68" i="12"/>
  <c r="DU66" i="12"/>
  <c r="DZ42" i="12"/>
  <c r="DZ70" i="12" s="1"/>
  <c r="DY44" i="12"/>
  <c r="DY43" i="12"/>
  <c r="DY70" i="12"/>
  <c r="D18" i="21" l="1"/>
  <c r="E18" i="21" s="1"/>
  <c r="D15" i="21"/>
  <c r="DV66" i="12"/>
  <c r="DV68" i="12"/>
  <c r="DV69" i="12"/>
  <c r="DV45" i="12"/>
  <c r="DY50" i="13"/>
  <c r="DY52" i="13" s="1"/>
  <c r="DY8" i="12" s="1"/>
  <c r="DZ47" i="13"/>
  <c r="DZ48" i="13" s="1"/>
  <c r="EA42" i="12"/>
  <c r="EA70" i="12" s="1"/>
  <c r="DZ43" i="12"/>
  <c r="DZ44" i="12"/>
  <c r="DW52" i="13"/>
  <c r="DX50" i="13"/>
  <c r="DS49" i="12"/>
  <c r="DR68" i="12"/>
  <c r="DR66" i="12"/>
  <c r="DS23" i="12"/>
  <c r="DR69" i="12"/>
  <c r="DR45" i="12"/>
  <c r="DT69" i="12"/>
  <c r="D23" i="21" l="1"/>
  <c r="D20" i="21"/>
  <c r="EA47" i="13"/>
  <c r="EA48" i="13" s="1"/>
  <c r="DZ50" i="13"/>
  <c r="DZ52" i="13" s="1"/>
  <c r="DZ8" i="12" s="1"/>
  <c r="DY7" i="12"/>
  <c r="DY14" i="12"/>
  <c r="DY23" i="12" s="1"/>
  <c r="DY47" i="12"/>
  <c r="DY49" i="12" s="1"/>
  <c r="DS68" i="12"/>
  <c r="DS66" i="12"/>
  <c r="DX52" i="13"/>
  <c r="DW8" i="12"/>
  <c r="DS69" i="12"/>
  <c r="DS45" i="12"/>
  <c r="EB42" i="12"/>
  <c r="EB70" i="12" s="1"/>
  <c r="EA44" i="12"/>
  <c r="EA43" i="12"/>
  <c r="E20" i="21" l="1"/>
  <c r="E28" i="21"/>
  <c r="D19" i="21" s="1"/>
  <c r="H25" i="26"/>
  <c r="DW7" i="12"/>
  <c r="DX7" i="12" s="1"/>
  <c r="DX8" i="12"/>
  <c r="DX71" i="12" s="1"/>
  <c r="DW14" i="12"/>
  <c r="DW47" i="12"/>
  <c r="DW71" i="12"/>
  <c r="DY45" i="12"/>
  <c r="DZ47" i="12"/>
  <c r="DZ49" i="12" s="1"/>
  <c r="DZ7" i="12"/>
  <c r="DZ14" i="12"/>
  <c r="DZ23" i="12" s="1"/>
  <c r="DY68" i="12"/>
  <c r="DY66" i="12"/>
  <c r="DY71" i="12"/>
  <c r="DZ71" i="12"/>
  <c r="EC42" i="12"/>
  <c r="EB43" i="12"/>
  <c r="EB44" i="12"/>
  <c r="EB47" i="13"/>
  <c r="EB48" i="13" s="1"/>
  <c r="EA50" i="13"/>
  <c r="EA52" i="13" s="1"/>
  <c r="EA8" i="12" s="1"/>
  <c r="EA71" i="12" s="1"/>
  <c r="E19" i="21" l="1"/>
  <c r="K18" i="21"/>
  <c r="P13" i="21"/>
  <c r="L19" i="21"/>
  <c r="Q17" i="21"/>
  <c r="O17" i="21"/>
  <c r="L15" i="21"/>
  <c r="O13" i="21"/>
  <c r="O14" i="21"/>
  <c r="M21" i="21"/>
  <c r="P14" i="21"/>
  <c r="N20" i="21"/>
  <c r="N21" i="21"/>
  <c r="P16" i="21"/>
  <c r="P21" i="21"/>
  <c r="K19" i="21"/>
  <c r="L16" i="21"/>
  <c r="Q13" i="21"/>
  <c r="P15" i="21"/>
  <c r="K20" i="21"/>
  <c r="Q18" i="21"/>
  <c r="N14" i="21"/>
  <c r="M14" i="21"/>
  <c r="M18" i="21"/>
  <c r="K17" i="21"/>
  <c r="N18" i="21"/>
  <c r="Q15" i="21"/>
  <c r="M16" i="21"/>
  <c r="M17" i="21"/>
  <c r="K15" i="21"/>
  <c r="P19" i="21"/>
  <c r="Q21" i="21"/>
  <c r="N19" i="21"/>
  <c r="O16" i="21"/>
  <c r="M13" i="21"/>
  <c r="O19" i="21"/>
  <c r="Q20" i="21"/>
  <c r="L20" i="21"/>
  <c r="N17" i="21"/>
  <c r="O18" i="21"/>
  <c r="O21" i="21"/>
  <c r="Q14" i="21"/>
  <c r="N16" i="21"/>
  <c r="K13" i="21"/>
  <c r="K21" i="21"/>
  <c r="L14" i="21"/>
  <c r="O15" i="21"/>
  <c r="P17" i="21"/>
  <c r="K16" i="21"/>
  <c r="L17" i="21"/>
  <c r="M20" i="21"/>
  <c r="L13" i="21"/>
  <c r="L18" i="21"/>
  <c r="Q19" i="21"/>
  <c r="Q16" i="21"/>
  <c r="M19" i="21"/>
  <c r="O20" i="21"/>
  <c r="N13" i="21"/>
  <c r="N15" i="21"/>
  <c r="L21" i="21"/>
  <c r="P18" i="21"/>
  <c r="M15" i="21"/>
  <c r="K14" i="21"/>
  <c r="P20" i="21"/>
  <c r="D21" i="21"/>
  <c r="E21" i="21" s="1"/>
  <c r="DZ68" i="12"/>
  <c r="DZ66" i="12"/>
  <c r="DZ69" i="12"/>
  <c r="DZ45" i="12"/>
  <c r="EC43" i="12"/>
  <c r="EC70" i="12"/>
  <c r="EC44" i="12"/>
  <c r="EA47" i="12"/>
  <c r="EA49" i="12" s="1"/>
  <c r="EA7" i="12"/>
  <c r="EA14" i="12"/>
  <c r="EA23" i="12" s="1"/>
  <c r="I25" i="26"/>
  <c r="G25" i="26"/>
  <c r="F25" i="26"/>
  <c r="J25" i="26"/>
  <c r="EC48" i="13"/>
  <c r="EB50" i="13"/>
  <c r="DW49" i="12"/>
  <c r="DX47" i="12"/>
  <c r="DW23" i="12"/>
  <c r="DX14" i="12"/>
  <c r="EC50" i="13" l="1"/>
  <c r="EB52" i="13"/>
  <c r="EA69" i="12"/>
  <c r="EA45" i="12"/>
  <c r="EA68" i="12"/>
  <c r="EA66" i="12"/>
  <c r="DX23" i="12"/>
  <c r="DW69" i="12"/>
  <c r="DW45" i="12"/>
  <c r="DY69" i="12"/>
  <c r="DW66" i="12"/>
  <c r="DX49" i="12"/>
  <c r="DW68" i="12"/>
  <c r="H31" i="26" l="1"/>
  <c r="H32" i="26" s="1"/>
  <c r="H23" i="26"/>
  <c r="EB8" i="12"/>
  <c r="EC52" i="13"/>
  <c r="DX45" i="12"/>
  <c r="DX69" i="12"/>
  <c r="DX68" i="12"/>
  <c r="DX66" i="12"/>
  <c r="G23" i="26" l="1"/>
  <c r="G24" i="26" s="1"/>
  <c r="G26" i="26" s="1"/>
  <c r="G28" i="26" s="1"/>
  <c r="G29" i="26" s="1"/>
  <c r="J23" i="26"/>
  <c r="J24" i="26" s="1"/>
  <c r="J26" i="26" s="1"/>
  <c r="J28" i="26" s="1"/>
  <c r="J29" i="26" s="1"/>
  <c r="I23" i="26"/>
  <c r="I24" i="26" s="1"/>
  <c r="I26" i="26" s="1"/>
  <c r="I28" i="26" s="1"/>
  <c r="H24" i="26"/>
  <c r="H26" i="26" s="1"/>
  <c r="H28" i="26" s="1"/>
  <c r="F23" i="26"/>
  <c r="F24" i="26" s="1"/>
  <c r="F26" i="26" s="1"/>
  <c r="F28" i="26" s="1"/>
  <c r="EB14" i="12"/>
  <c r="EB47" i="12"/>
  <c r="EB7" i="12"/>
  <c r="EC7" i="12" s="1"/>
  <c r="EC8" i="12"/>
  <c r="EC71" i="12" s="1"/>
  <c r="EB71" i="12"/>
  <c r="EC14" i="12" l="1"/>
  <c r="EB23" i="12"/>
  <c r="F29" i="26"/>
  <c r="H30" i="26"/>
  <c r="H40" i="26" s="1"/>
  <c r="EB49" i="12"/>
  <c r="EC47" i="12"/>
  <c r="I41" i="26"/>
  <c r="I29" i="26"/>
  <c r="H29" i="26"/>
  <c r="G41" i="26"/>
  <c r="EC49" i="12" l="1"/>
  <c r="EB68" i="12"/>
  <c r="EB66" i="12"/>
  <c r="EC23" i="12"/>
  <c r="EB69" i="12"/>
  <c r="EB45" i="12"/>
  <c r="EC45" i="12" l="1"/>
  <c r="EC69" i="12"/>
  <c r="EC68" i="12"/>
  <c r="EC66" i="12"/>
  <c r="DT56" i="14" l="1"/>
  <c r="DU56" i="14"/>
  <c r="DV56" i="14"/>
  <c r="DW56" i="14"/>
  <c r="AV14" i="35" l="1"/>
  <c r="DV59" i="14"/>
  <c r="EB56" i="14"/>
  <c r="EB59" i="14" s="1"/>
  <c r="DW59" i="14"/>
  <c r="AU14" i="35"/>
  <c r="DU59" i="14"/>
  <c r="AT14" i="35"/>
  <c r="DT59" i="14"/>
  <c r="DV57" i="14"/>
  <c r="DU57" i="14"/>
  <c r="DT57" i="14"/>
  <c r="EA56" i="14"/>
  <c r="AZ14" i="35" s="1"/>
  <c r="DZ56" i="14"/>
  <c r="DZ59" i="14" s="1"/>
  <c r="DY56" i="14"/>
  <c r="DY59" i="14" s="1"/>
  <c r="DW57" i="14"/>
  <c r="AW14" i="35"/>
  <c r="AP15" i="35"/>
  <c r="AQ15" i="35"/>
  <c r="AR15" i="35"/>
  <c r="AS15" i="35"/>
  <c r="DS66" i="14"/>
  <c r="DX68" i="14" s="1"/>
  <c r="DO68" i="14"/>
  <c r="DP68" i="14"/>
  <c r="DQ68" i="14"/>
  <c r="DR68" i="14"/>
  <c r="DT68" i="14"/>
  <c r="DU68" i="14"/>
  <c r="DV68" i="14"/>
  <c r="DW68" i="14"/>
  <c r="DO69" i="14"/>
  <c r="AP149" i="35" s="1"/>
  <c r="DP69" i="14"/>
  <c r="AQ149" i="35" s="1"/>
  <c r="DQ69" i="14"/>
  <c r="AR149" i="35" s="1"/>
  <c r="DR69" i="14"/>
  <c r="BA14" i="35" l="1"/>
  <c r="DR70" i="14"/>
  <c r="AS149" i="35"/>
  <c r="AR19" i="35"/>
  <c r="DQ70" i="14"/>
  <c r="AQ19" i="35"/>
  <c r="DP70" i="14"/>
  <c r="DO71" i="14"/>
  <c r="AP151" i="35" s="1"/>
  <c r="AP155" i="35" s="1"/>
  <c r="DO70" i="14"/>
  <c r="EB57" i="14"/>
  <c r="EA59" i="14"/>
  <c r="DP73" i="14"/>
  <c r="DR72" i="14"/>
  <c r="AS152" i="35" s="1"/>
  <c r="DO73" i="14"/>
  <c r="AP20" i="35" s="1"/>
  <c r="AP21" i="35" s="1"/>
  <c r="EA57" i="14"/>
  <c r="DS68" i="14"/>
  <c r="AX14" i="35"/>
  <c r="DY57" i="14"/>
  <c r="AY14" i="35"/>
  <c r="DZ57" i="14"/>
  <c r="DQ72" i="14"/>
  <c r="AR152" i="35" s="1"/>
  <c r="DP72" i="14"/>
  <c r="AQ152" i="35" s="1"/>
  <c r="DO72" i="14"/>
  <c r="AP152" i="35" s="1"/>
  <c r="AP19" i="35"/>
  <c r="DS69" i="14"/>
  <c r="CQ145" i="35" s="1"/>
  <c r="AS19" i="35"/>
  <c r="DR73" i="14"/>
  <c r="DR71" i="14"/>
  <c r="AS151" i="35" s="1"/>
  <c r="AS155" i="35" s="1"/>
  <c r="DQ71" i="14"/>
  <c r="AR151" i="35" s="1"/>
  <c r="AR155" i="35" s="1"/>
  <c r="CQ15" i="35"/>
  <c r="DQ73" i="14"/>
  <c r="DP71" i="14"/>
  <c r="AQ151" i="35" s="1"/>
  <c r="AQ155" i="35" s="1"/>
  <c r="AS150" i="35" l="1"/>
  <c r="AS26" i="35"/>
  <c r="AR26" i="35"/>
  <c r="AR150" i="35"/>
  <c r="AQ26" i="35"/>
  <c r="AQ150" i="35"/>
  <c r="AP26" i="35"/>
  <c r="AP150" i="35"/>
  <c r="CQ158" i="35"/>
  <c r="CQ152" i="35"/>
  <c r="AQ20" i="35"/>
  <c r="AQ21" i="35" s="1"/>
  <c r="DP75" i="14"/>
  <c r="DP74" i="14"/>
  <c r="AQ27" i="35" s="1"/>
  <c r="DP78" i="14"/>
  <c r="DP77" i="14"/>
  <c r="DP76" i="14"/>
  <c r="DO74" i="14"/>
  <c r="AP27" i="35" s="1"/>
  <c r="DO75" i="14"/>
  <c r="DO77" i="14"/>
  <c r="DO76" i="14"/>
  <c r="DO78" i="14"/>
  <c r="DO82" i="14" s="1"/>
  <c r="DR76" i="14"/>
  <c r="DR75" i="14"/>
  <c r="DR74" i="14"/>
  <c r="AS27" i="35" s="1"/>
  <c r="DR78" i="14"/>
  <c r="DR77" i="14"/>
  <c r="AS20" i="35"/>
  <c r="AS21" i="35" s="1"/>
  <c r="DQ76" i="14"/>
  <c r="DQ75" i="14"/>
  <c r="DQ74" i="14"/>
  <c r="AR27" i="35" s="1"/>
  <c r="DQ78" i="14"/>
  <c r="DQ77" i="14"/>
  <c r="AR20" i="35"/>
  <c r="AR21" i="35" s="1"/>
  <c r="DS70" i="14"/>
  <c r="CQ19" i="35"/>
  <c r="CQ26" i="35" s="1"/>
  <c r="DS73" i="14"/>
  <c r="DS71" i="14"/>
  <c r="CQ190" i="35" s="1"/>
  <c r="DP82" i="14" l="1"/>
  <c r="DP79" i="14"/>
  <c r="DP80" i="14"/>
  <c r="DP81" i="14"/>
  <c r="DO81" i="14"/>
  <c r="DO79" i="14"/>
  <c r="DO80" i="14"/>
  <c r="DR81" i="14"/>
  <c r="DR80" i="14"/>
  <c r="DR79" i="14"/>
  <c r="DR82" i="14"/>
  <c r="DQ80" i="14"/>
  <c r="DQ79" i="14"/>
  <c r="DQ82" i="14"/>
  <c r="DS78" i="14"/>
  <c r="CQ146" i="35" s="1"/>
  <c r="DQ81" i="14"/>
  <c r="CQ20" i="35"/>
  <c r="DS75" i="14"/>
  <c r="DS74" i="14"/>
  <c r="DS77" i="14"/>
  <c r="CQ148" i="35" l="1"/>
  <c r="CQ159" i="35"/>
  <c r="CQ153" i="35"/>
  <c r="DS80" i="14"/>
  <c r="DS79" i="14"/>
  <c r="DS82" i="14"/>
  <c r="CQ27" i="35"/>
  <c r="CQ21" i="35"/>
  <c r="CQ28" i="35" s="1"/>
  <c r="AT18" i="35"/>
  <c r="AU18" i="35"/>
  <c r="AV18" i="35"/>
  <c r="AW18" i="35"/>
  <c r="DX59" i="14"/>
  <c r="DT60" i="14"/>
  <c r="DU60" i="14"/>
  <c r="DV60" i="14"/>
  <c r="DW60" i="14"/>
  <c r="DT61" i="14"/>
  <c r="DU61" i="14"/>
  <c r="DV61" i="14"/>
  <c r="DW61" i="14"/>
  <c r="DT62" i="14"/>
  <c r="DU62" i="14"/>
  <c r="DV62" i="14"/>
  <c r="DW62" i="14"/>
  <c r="DX56" i="14" l="1"/>
  <c r="DX58" i="14" s="1"/>
  <c r="CR144" i="35"/>
  <c r="DX60" i="14"/>
  <c r="CR18" i="35"/>
  <c r="CR25" i="35" s="1"/>
  <c r="DX61" i="14"/>
  <c r="CR14" i="35" l="1"/>
  <c r="CR157" i="35"/>
  <c r="CR151" i="35"/>
  <c r="AX18" i="35"/>
  <c r="AY18" i="35"/>
  <c r="AZ18" i="35"/>
  <c r="BA18" i="35"/>
  <c r="EC59" i="14"/>
  <c r="DY60" i="14"/>
  <c r="DZ60" i="14"/>
  <c r="EA60" i="14"/>
  <c r="EB60" i="14"/>
  <c r="DY61" i="14"/>
  <c r="DZ61" i="14"/>
  <c r="EA61" i="14"/>
  <c r="EB61" i="14"/>
  <c r="DY62" i="14"/>
  <c r="DZ62" i="14"/>
  <c r="EA62" i="14"/>
  <c r="EB62" i="14"/>
  <c r="CS18" i="35" l="1"/>
  <c r="CS25" i="35" s="1"/>
  <c r="CS144" i="35"/>
  <c r="EC60" i="14"/>
  <c r="EC61" i="14"/>
  <c r="EC56" i="14"/>
  <c r="EC58" i="14" s="1"/>
  <c r="CS14" i="35"/>
  <c r="AT19" i="35"/>
  <c r="AU19" i="35"/>
  <c r="AV19" i="35"/>
  <c r="AW19" i="35"/>
  <c r="DX69" i="14"/>
  <c r="DT70" i="14"/>
  <c r="DU70" i="14"/>
  <c r="DV70" i="14"/>
  <c r="DW70" i="14"/>
  <c r="DT71" i="14"/>
  <c r="AT151" i="35" s="1"/>
  <c r="AT155" i="35" s="1"/>
  <c r="DU71" i="14"/>
  <c r="AU151" i="35" s="1"/>
  <c r="AU155" i="35" s="1"/>
  <c r="DV71" i="14"/>
  <c r="AV151" i="35" s="1"/>
  <c r="AV155" i="35" s="1"/>
  <c r="DW71" i="14"/>
  <c r="AW151" i="35" s="1"/>
  <c r="AW155" i="35" s="1"/>
  <c r="DT72" i="14"/>
  <c r="AT152" i="35" s="1"/>
  <c r="DU72" i="14"/>
  <c r="AU152" i="35" s="1"/>
  <c r="DV72" i="14"/>
  <c r="AV152" i="35" s="1"/>
  <c r="DW72" i="14"/>
  <c r="AW152" i="35" s="1"/>
  <c r="DT73" i="14"/>
  <c r="DT74" i="14" s="1"/>
  <c r="AT27" i="35" s="1"/>
  <c r="DU73" i="14"/>
  <c r="AU20" i="35" s="1"/>
  <c r="AU21" i="35" s="1"/>
  <c r="DV73" i="14"/>
  <c r="AV20" i="35" s="1"/>
  <c r="AV21" i="35" s="1"/>
  <c r="DW73" i="14"/>
  <c r="DW78" i="14" s="1"/>
  <c r="AT26" i="35" l="1"/>
  <c r="AT150" i="35"/>
  <c r="AU26" i="35"/>
  <c r="AU150" i="35"/>
  <c r="AV26" i="35"/>
  <c r="AV150" i="35"/>
  <c r="AW26" i="35"/>
  <c r="AW150" i="35"/>
  <c r="DX71" i="14"/>
  <c r="CR190" i="35" s="1"/>
  <c r="CR145" i="35"/>
  <c r="CS157" i="35"/>
  <c r="CS151" i="35"/>
  <c r="AW20" i="35"/>
  <c r="AW21" i="35" s="1"/>
  <c r="DW74" i="14"/>
  <c r="AW27" i="35" s="1"/>
  <c r="DU77" i="14"/>
  <c r="DV76" i="14"/>
  <c r="DV75" i="14"/>
  <c r="DU75" i="14"/>
  <c r="DV78" i="14"/>
  <c r="DV74" i="14"/>
  <c r="AV27" i="35" s="1"/>
  <c r="DT78" i="14"/>
  <c r="DT79" i="14" s="1"/>
  <c r="DU74" i="14"/>
  <c r="AU27" i="35" s="1"/>
  <c r="DU78" i="14"/>
  <c r="DV77" i="14"/>
  <c r="DW79" i="14"/>
  <c r="DX73" i="14"/>
  <c r="DX74" i="14" s="1"/>
  <c r="DX70" i="14"/>
  <c r="DW80" i="14"/>
  <c r="DU76" i="14"/>
  <c r="DW75" i="14"/>
  <c r="DT77" i="14"/>
  <c r="DT76" i="14"/>
  <c r="AT20" i="35"/>
  <c r="AT21" i="35" s="1"/>
  <c r="DT75" i="14"/>
  <c r="CR19" i="35"/>
  <c r="CR26" i="35" s="1"/>
  <c r="DW82" i="14"/>
  <c r="DW77" i="14"/>
  <c r="DW76" i="14"/>
  <c r="CR158" i="35" l="1"/>
  <c r="CR152" i="35"/>
  <c r="CR20" i="35"/>
  <c r="CR27" i="35" s="1"/>
  <c r="DU81" i="14"/>
  <c r="DU79" i="14"/>
  <c r="DU82" i="14"/>
  <c r="DU80" i="14"/>
  <c r="DV79" i="14"/>
  <c r="DV82" i="14"/>
  <c r="DT81" i="14"/>
  <c r="DX78" i="14"/>
  <c r="DT82" i="14"/>
  <c r="DT80" i="14"/>
  <c r="DV80" i="14"/>
  <c r="DV81" i="14"/>
  <c r="DW81" i="14"/>
  <c r="DX77" i="14"/>
  <c r="DX75" i="14"/>
  <c r="AX19" i="35"/>
  <c r="AY19" i="35"/>
  <c r="AZ19" i="35"/>
  <c r="BA19" i="35"/>
  <c r="EC69" i="14"/>
  <c r="DY70" i="14"/>
  <c r="DZ70" i="14"/>
  <c r="EA70" i="14"/>
  <c r="AZ26" i="35" s="1"/>
  <c r="EB70" i="14"/>
  <c r="BA26" i="35" s="1"/>
  <c r="DY71" i="14"/>
  <c r="AX151" i="35" s="1"/>
  <c r="AX155" i="35" s="1"/>
  <c r="DZ71" i="14"/>
  <c r="AY151" i="35" s="1"/>
  <c r="AY155" i="35" s="1"/>
  <c r="EA71" i="14"/>
  <c r="EB71" i="14"/>
  <c r="DY72" i="14"/>
  <c r="AX152" i="35" s="1"/>
  <c r="DZ72" i="14"/>
  <c r="AY152" i="35" s="1"/>
  <c r="EA72" i="14"/>
  <c r="EB72" i="14"/>
  <c r="DY73" i="14"/>
  <c r="DY74" i="14" s="1"/>
  <c r="AX27" i="35" s="1"/>
  <c r="DZ73" i="14"/>
  <c r="DZ77" i="14" s="1"/>
  <c r="EA73" i="14"/>
  <c r="EA75" i="14" s="1"/>
  <c r="EB73" i="14"/>
  <c r="EB75" i="14" s="1"/>
  <c r="AX26" i="35" l="1"/>
  <c r="AX150" i="35"/>
  <c r="AY26" i="35"/>
  <c r="AY150" i="35"/>
  <c r="CR21" i="35"/>
  <c r="CR28" i="35" s="1"/>
  <c r="EC73" i="14"/>
  <c r="CS20" i="35" s="1"/>
  <c r="CS145" i="35"/>
  <c r="DX80" i="14"/>
  <c r="CR146" i="35"/>
  <c r="DX82" i="14"/>
  <c r="EB74" i="14"/>
  <c r="BA27" i="35" s="1"/>
  <c r="EB78" i="14"/>
  <c r="EB77" i="14"/>
  <c r="DX79" i="14"/>
  <c r="DY75" i="14"/>
  <c r="DY78" i="14"/>
  <c r="DY80" i="14" s="1"/>
  <c r="EA78" i="14"/>
  <c r="EA80" i="14" s="1"/>
  <c r="DY77" i="14"/>
  <c r="DZ75" i="14"/>
  <c r="EC71" i="14"/>
  <c r="CS190" i="35" s="1"/>
  <c r="BA20" i="35"/>
  <c r="BA21" i="35" s="1"/>
  <c r="DZ78" i="14"/>
  <c r="DZ76" i="14"/>
  <c r="AZ20" i="35"/>
  <c r="AZ21" i="35" s="1"/>
  <c r="DY76" i="14"/>
  <c r="EA74" i="14"/>
  <c r="AZ27" i="35" s="1"/>
  <c r="AY20" i="35"/>
  <c r="AY21" i="35" s="1"/>
  <c r="DZ74" i="14"/>
  <c r="AY27" i="35" s="1"/>
  <c r="EC70" i="14"/>
  <c r="AX20" i="35"/>
  <c r="AX21" i="35" s="1"/>
  <c r="EA77" i="14"/>
  <c r="CS19" i="35"/>
  <c r="CS26" i="35" s="1"/>
  <c r="EB76" i="14"/>
  <c r="EA76" i="14"/>
  <c r="EC75" i="14" l="1"/>
  <c r="EC74" i="14"/>
  <c r="EC77" i="14"/>
  <c r="CS158" i="35"/>
  <c r="CS152" i="35"/>
  <c r="CR148" i="35"/>
  <c r="CR159" i="35"/>
  <c r="CR153" i="35"/>
  <c r="EB80" i="14"/>
  <c r="EB82" i="14"/>
  <c r="EB79" i="14"/>
  <c r="EA81" i="14"/>
  <c r="DY79" i="14"/>
  <c r="DY81" i="14"/>
  <c r="DY82" i="14"/>
  <c r="EA82" i="14"/>
  <c r="EA79" i="14"/>
  <c r="EB81" i="14"/>
  <c r="CS21" i="35"/>
  <c r="CS28" i="35" s="1"/>
  <c r="CS27" i="35"/>
  <c r="DZ82" i="14"/>
  <c r="DZ79" i="14"/>
  <c r="DZ81" i="14"/>
  <c r="DZ80" i="14"/>
  <c r="EC78" i="14"/>
  <c r="CS146" i="35" s="1"/>
  <c r="CS148" i="35" l="1"/>
  <c r="CS153" i="35"/>
  <c r="CS159" i="35"/>
  <c r="EC79" i="14"/>
  <c r="EC80" i="14"/>
  <c r="EC82" i="14"/>
  <c r="CH170" i="35" l="1"/>
  <c r="DN221" i="14"/>
  <c r="DM228" i="14"/>
  <c r="L40" i="45" l="1"/>
  <c r="L41" i="45"/>
  <c r="L53" i="45"/>
  <c r="L54" i="45"/>
  <c r="L58" i="45"/>
  <c r="M40" i="45"/>
  <c r="M53" i="45" s="1"/>
  <c r="M41" i="45"/>
  <c r="M58" i="45" s="1"/>
  <c r="M54" i="45"/>
  <c r="N40" i="45"/>
  <c r="N53" i="45" s="1"/>
  <c r="N41" i="45"/>
  <c r="N58" i="45" s="1"/>
  <c r="N54" i="45" l="1"/>
  <c r="CQ116" i="35" l="1"/>
  <c r="CR116" i="35"/>
  <c r="CS116" i="35"/>
  <c r="DS95" i="14"/>
  <c r="DX95" i="14"/>
  <c r="EC95" i="14"/>
  <c r="DS97" i="14"/>
  <c r="DX97" i="14"/>
  <c r="EC97" i="14"/>
  <c r="DS100" i="14"/>
  <c r="DX100" i="14"/>
  <c r="EC100" i="14"/>
  <c r="DS107" i="14"/>
  <c r="DX107" i="14"/>
  <c r="EC107" i="14"/>
  <c r="DS109" i="14"/>
  <c r="DX109" i="14"/>
  <c r="EC109" i="14"/>
  <c r="DS119" i="14"/>
  <c r="DX119" i="14"/>
  <c r="EC119" i="14"/>
  <c r="DS121" i="14"/>
  <c r="DX121" i="14"/>
  <c r="EC121" i="14"/>
  <c r="DS124" i="14"/>
  <c r="DX124" i="14"/>
  <c r="EC124" i="14"/>
  <c r="DS128" i="14"/>
  <c r="DX128" i="14"/>
  <c r="EC128" i="14"/>
  <c r="DS134" i="14"/>
  <c r="DX134" i="14"/>
  <c r="EC134" i="14"/>
  <c r="DS137" i="14"/>
  <c r="DX137" i="14"/>
  <c r="EC137" i="14"/>
  <c r="L6" i="45"/>
  <c r="M6" i="45"/>
  <c r="N6" i="45"/>
  <c r="L7" i="45"/>
  <c r="M7" i="45"/>
  <c r="N7" i="45"/>
  <c r="L10" i="45"/>
  <c r="M10" i="45"/>
  <c r="N10" i="45"/>
  <c r="L11" i="45"/>
  <c r="M11" i="45"/>
  <c r="N11" i="45"/>
  <c r="L16" i="45"/>
  <c r="M16" i="45"/>
  <c r="N16" i="45"/>
  <c r="L17" i="45"/>
  <c r="M17" i="45"/>
  <c r="N17" i="45"/>
  <c r="L28" i="45"/>
  <c r="M28" i="45"/>
  <c r="N28" i="45"/>
  <c r="L30" i="45"/>
  <c r="M30" i="45"/>
  <c r="N30" i="45"/>
  <c r="L33" i="45"/>
  <c r="M33" i="45"/>
  <c r="N33" i="45"/>
  <c r="L37" i="45"/>
  <c r="M37" i="45"/>
  <c r="N37" i="45"/>
  <c r="L43" i="45"/>
  <c r="M43" i="45"/>
  <c r="N43" i="45"/>
  <c r="L46" i="45"/>
  <c r="M46" i="45"/>
  <c r="N46"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 Salmon</author>
  </authors>
  <commentList>
    <comment ref="A1" authorId="0" shapeId="0" xr:uid="{0B3F3AEC-C381-462E-BFDF-EB1935BD1876}">
      <text>
        <r>
          <rPr>
            <b/>
            <sz val="9"/>
            <color indexed="81"/>
            <rFont val="Tahoma"/>
            <family val="2"/>
          </rPr>
          <t>&lt;?xml version="1.0" encoding="utf-8"?&gt;&lt;Schema xmlns:xsd="http://www.w3.org/2001/XMLSchema" xmlns:xsi="http://www.w3.org/2001/XMLSchema-instance" Version="2" Timestamp="1736444332"&gt;&lt;FQL&gt;&lt;Q&gt;SHOP-US^FE_TIMESERIES(DEPR_AMORT,MEAN,2027,,Y,'CURRENCY=USD')&lt;/Q&gt;&lt;R&gt;0&lt;/R&gt;&lt;C&gt;0&lt;/C&gt;&lt;/FQL&gt;&lt;FQL&gt;&lt;Q&gt;SHOP-US^FE_TIMESERIES(DEPR_AMORT,MEAN,2021,,Y,'CURRENCY=USD')&lt;/Q&gt;&lt;R&gt;1&lt;/R&gt;&lt;C&gt;1&lt;/C&gt;&lt;D xsi:type="xsd:double"&gt;64.22754&lt;/D&gt;&lt;/FQL&gt;&lt;FQL&gt;&lt;Q&gt;SHOP-US^FE_TIMESERIES(FCF,MEAN,2023,,Y,'CURRENCY=USD')&lt;/Q&gt;&lt;R&gt;1&lt;/R&gt;&lt;C&gt;1&lt;/C&gt;&lt;D xsi:type="xsd:double"&gt;904.9133&lt;/D&gt;&lt;/FQL&gt;&lt;FQL&gt;&lt;Q&gt;SHOP-US^FE_TIMESERIES(CAPEX,MEAN,2025,,Y,'CURRENCY=USD')&lt;/Q&gt;&lt;R&gt;1&lt;/R&gt;&lt;C&gt;1&lt;/C&gt;&lt;D xsi:type="xsd:double"&gt;32.17273&lt;/D&gt;&lt;/FQL&gt;&lt;FQL&gt;&lt;Q&gt;SHOP-US^FE_TIMESERIES(CFO,MEAN,2027,,Y,'CURRENCY=USD')&lt;/Q&gt;&lt;R&gt;1&lt;/R&gt;&lt;C&gt;1&lt;/C&gt;&lt;D xsi:type="xsd:double"&gt;3720&lt;/D&gt;&lt;/FQL&gt;&lt;FQL&gt;&lt;Q&gt;SHOP-US^FE_TIMESERIES(CFO,MEAN,2021,,Y,'CURRENCY=USD')&lt;/Q&gt;&lt;R&gt;1&lt;/R&gt;&lt;C&gt;1&lt;/C&gt;&lt;D xsi:type="xsd:double"&gt;552.4646&lt;/D&gt;&lt;/FQL&gt;&lt;FQL&gt;&lt;Q&gt;SHOP-US^FE_TIMESERIES(EAG,MEAN,2023,,Y,'CURRENCY=USD')&lt;/Q&gt;&lt;R&gt;1&lt;/R&gt;&lt;C&gt;1&lt;/C&gt;&lt;D xsi:type="xsd:double"&gt;0.1&lt;/D&gt;&lt;/FQL&gt;&lt;FQL&gt;&lt;Q&gt;SHOP-US^FE_TIMESERIES(EPS,MEAN,2025,,Y,'CURRENCY=USD')&lt;/Q&gt;&lt;R&gt;1&lt;/R&gt;&lt;C&gt;1&lt;/C&gt;&lt;D xsi:type="xsd:double"&gt;1.5340447&lt;/D&gt;&lt;/FQL&gt;&lt;FQL&gt;&lt;Q&gt;SHOP-US^FE_TIMESERIES(NETPROFIT,MEAN,2027,,Y,'CURRENCY=USD')&lt;/Q&gt;&lt;R&gt;1&lt;/R&gt;&lt;C&gt;1&lt;/C&gt;&lt;D xsi:type="xsd:double"&gt;3250.2156&lt;/D&gt;&lt;/FQL&gt;&lt;FQL&gt;&lt;Q&gt;SHOP-US^FE_TIMESERIES(NETPROFIT,MEAN,2021,,Y,'CURRENCY=USD')&lt;/Q&gt;&lt;R&gt;1&lt;/R&gt;&lt;C&gt;1&lt;/C&gt;&lt;D xsi:type="xsd:double"&gt;814.4&lt;/D&gt;&lt;/FQL&gt;&lt;FQL&gt;&lt;Q&gt;SHOP-US^FE_TIMESERIES(EBITDA_ADJ,MEAN,2023,,Y,'CURRENCY=USD')&lt;/Q&gt;&lt;R&gt;1&lt;/R&gt;&lt;C&gt;1&lt;/C&gt;&lt;D xsi:type="xsd:double"&gt;824.5797&lt;/D&gt;&lt;/FQL&gt;&lt;FQL&gt;&lt;Q&gt;SHOP-US^FE_TIMESERIES(EBITDA_REP,MEAN,2025,,Y,'CURRENCY=USD')&lt;/Q&gt;&lt;R&gt;1&lt;/R&gt;&lt;C&gt;1&lt;/C&gt;&lt;D xsi:type="xsd:double"&gt;1717.8488&lt;/D&gt;&lt;/FQL&gt;&lt;FQL&gt;&lt;Q&gt;SHOP-US^FE_TIMESERIES(EBIT_ADJ,MEAN,2027,,Y,'CURRENCY=USD')&lt;/Q&gt;&lt;R&gt;1&lt;/R&gt;&lt;C&gt;1&lt;/C&gt;&lt;D xsi:type="xsd:double"&gt;3639.985&lt;/D&gt;&lt;/FQL&gt;&lt;FQL&gt;&lt;Q&gt;SHOP-US^FE_TIMESERIES(DEPR_AMORT,MEAN,2026,,Y,'CURRENCY=USD')&lt;/Q&gt;&lt;R&gt;1&lt;/R&gt;&lt;C&gt;1&lt;/C&gt;&lt;D xsi:type="xsd:double"&gt;48.1825&lt;/D&gt;&lt;/FQL&gt;&lt;FQL&gt;&lt;Q&gt;SHOP-US^FE_TIMESERIES(DEPR_AMORT,MEAN,2020,,Y,'CURRENCY=USD')&lt;/Q&gt;&lt;R&gt;1&lt;/R&gt;&lt;C&gt;1&lt;/C&gt;&lt;D xsi:type="xsd:double"&gt;66.02623&lt;/D&gt;&lt;/FQL&gt;&lt;FQL&gt;&lt;Q&gt;SHOP-US^FE_TIMESERIES(FCF,MEAN,2022,,Y,'CURRENCY=USD')&lt;/Q&gt;&lt;R&gt;1&lt;/R&gt;&lt;C&gt;1&lt;/C&gt;&lt;D xsi:type="xsd:double"&gt;-190.181&lt;/D&gt;&lt;/FQL&gt;&lt;FQL&gt;&lt;Q&gt;SHOP-US^FE_TIMESERIES(CAPEX,MEAN,2024,,Y,'CURRENCY=USD')&lt;/Q&gt;&lt;R&gt;1&lt;/R&gt;&lt;C&gt;1&lt;/C&gt;&lt;D xsi:type="xsd:double"&gt;21.771305&lt;/D&gt;&lt;/FQL&gt;&lt;FQL&gt;&lt;Q&gt;SHOP-US^FE_TIMESERIES(CFO,MEAN,2026,,Y,'CURRENCY=USD')&lt;/Q&gt;&lt;R&gt;1&lt;/R&gt;&lt;C&gt;1&lt;/C&gt;&lt;D xsi:type="xsd:double"&gt;2603.751&lt;/D&gt;&lt;/FQL&gt;&lt;FQL&gt;&lt;Q&gt;SHOP-US^FE_TIMESERIES(CFO,MEAN,2020,,Y,'CURRENCY=USD')&lt;/Q&gt;&lt;R&gt;1&lt;/R&gt;&lt;C&gt;1&lt;/C&gt;&lt;D xsi:type="xsd:double"&gt;385.94446&lt;/D&gt;&lt;/FQL&gt;&lt;FQL&gt;&lt;Q&gt;SHOP-US^FE_TIMESERIES(EAG,MEAN,2022,,Y,'CURRENCY=USD')&lt;/Q&gt;&lt;R&gt;1&lt;/R&gt;&lt;C&gt;1&lt;/C&gt;&lt;D xsi:type="xsd:double"&gt;-2.69&lt;/D&gt;&lt;/FQL&gt;&lt;FQL&gt;&lt;Q&gt;SHOP-US^FE_TIMESERIES(EPS,MEAN,2024,,Y,'CURRENCY=USD')&lt;/Q&gt;&lt;R&gt;1&lt;/R&gt;&lt;C&gt;1&lt;/C&gt;&lt;D xsi:type="xsd:double"&gt;1.2719381&lt;/D&gt;&lt;/FQL&gt;&lt;FQL&gt;&lt;Q&gt;SHOP-US^FE_TIMESERIES(NETPROFIT,MEAN,2026,,Y,'CURRENCY=USD')&lt;/Q&gt;&lt;R&gt;1&lt;/R&gt;&lt;C&gt;1&lt;/C&gt;&lt;D xsi:type="xsd:double"&gt;2556.6604&lt;/D&gt;&lt;/FQL&gt;&lt;FQL&gt;&lt;Q&gt;SHOP-US^FE_TIMESERIES(NETPROFIT,MEAN,2020,,Y,'CURRENCY=USD')&lt;/Q&gt;&lt;R&gt;1&lt;/R&gt;&lt;C&gt;1&lt;/C&gt;&lt;D xsi:type="xsd:double"&gt;491.291&lt;/D&gt;&lt;/FQL&gt;&lt;FQL&gt;&lt;Q&gt;SHOP-US^FE_TIMESERIES(EBITDA_ADJ,MEAN,2022,,Y,'CURRENCY=USD')&lt;/Q&gt;&lt;R&gt;1&lt;/R&gt;&lt;C&gt;1&lt;/C&gt;&lt;D xsi:type="xsd:double"&gt;79.164&lt;/D&gt;&lt;/FQL&gt;&lt;FQL&gt;&lt;Q&gt;SHOP-US^FE_TIMESERIES(EBITDA_REP,MEAN,2024,,Y,'CURRENCY=USD')&lt;/Q&gt;&lt;R&gt;1&lt;/R&gt;&lt;C&gt;1&lt;/C&gt;&lt;D xsi:type="xsd:double"&gt;1176.1501&lt;/D&gt;&lt;/FQL&gt;&lt;FQL&gt;&lt;Q&gt;SHOP-US^FE_TIMESERIES(EBIT_ADJ,MEAN,2026,,Y,'CURRENCY=USD')&lt;/Q&gt;&lt;R&gt;1&lt;/R&gt;&lt;C&gt;1&lt;/C&gt;&lt;D xsi:type="xsd:double"&gt;2581.489&lt;/D&gt;&lt;/FQL&gt;&lt;FQL&gt;&lt;Q&gt;SHOP-US^FE_TIMESERIES(EBIT_ADJ,MEAN,2020,,Y,'CURRENCY=USD')&lt;/Q&gt;&lt;R&gt;1&lt;/R&gt;&lt;C&gt;1&lt;/C&gt;&lt;D xsi:type="xsd:double"&gt;437.351&lt;/D&gt;&lt;/FQL&gt;&lt;FQL&gt;&lt;Q&gt;SHOP-US^FE_TIMESERIES(EBITR,MEAN,2022,,Y,'CURRENCY=USD')&lt;/Q&gt;&lt;R&gt;1&lt;/R&gt;&lt;C&gt;1&lt;/C&gt;&lt;D xsi:type="xsd:double"&gt;-822.1685&lt;/D&gt;&lt;/FQL&gt;&lt;FQL&gt;&lt;Q&gt;SHOP-US^FE_TIMESERIES(GROSSINCOME,MEAN,2024,,Y,'CURRENCY=USD')&lt;/Q&gt;&lt;R&gt;1&lt;/R&gt;&lt;C&gt;1&lt;/C&gt;&lt;D xsi:type="xsd:double"&gt;4454.647&lt;/D&gt;&lt;/FQL&gt;&lt;FQL&gt;&lt;Q&gt;SHOP-US^FE_TIMESERIES(PRODLINE_SALES_2,MEAN,2026,,Y,'CURRENCY=USD')&lt;/Q&gt;&lt;R&gt;1&lt;/R&gt;&lt;C&gt;1&lt;/C&gt;&lt;D xsi:type="xsd:double"&gt;9683.017&lt;/D&gt;&lt;/FQL&gt;&lt;FQL&gt;&lt;Q&gt;SHOP-US^FE_TIMESERIES(PRODLINE_SALES_2,MEAN,2020,,Y,'CURRENCY=USD')&lt;/Q&gt;&lt;R&gt;1&lt;/R&gt;&lt;C&gt;1&lt;/C&gt;&lt;D xsi:type="xsd:double"&gt;2020.734&lt;/D&gt;&lt;/FQL&gt;&lt;FQL&gt;&lt;Q&gt;SHOP-US^FE_TIMESERIES(PRODLINE_SALES_1,MEAN,2022,,Y,'CURRENCY=USD')&lt;/Q&gt;&lt;R&gt;1&lt;/R&gt;&lt;C&gt;1&lt;/C&gt;&lt;D xsi:type="xsd:double"&gt;1487.759&lt;/D&gt;&lt;/FQL&gt;&lt;FQL&gt;&lt;Q&gt;SHOP-US^FE_TIMESERIES(SALES,MEAN,2024,,Y,'CURRENCY=USD')&lt;/Q&gt;&lt;R&gt;1&lt;/R&gt;&lt;C&gt;1&lt;/C&gt;&lt;D xsi:type="xsd:double"&gt;8799.232&lt;/D&gt;&lt;/FQL&gt;&lt;FQL&gt;&lt;Q&gt;SHOP-US^FE_TIMESERIES(GMV,MEAN,2026,,Y,'CURRENCY=USD')&lt;/Q&gt;&lt;R&gt;1&lt;/R&gt;&lt;C&gt;1&lt;/C&gt;&lt;D xsi:type="xsd:double"&gt;415727.38&lt;/D&gt;&lt;/FQL&gt;&lt;FQL&gt;&lt;Q&gt;SHOP-US^FE_TIMESERIES(GMV,MEAN,2020,,Y,'CURRENCY=USD')&lt;/Q&gt;&lt;R&gt;1&lt;/R&gt;&lt;C&gt;1&lt;/C&gt;&lt;D xsi:type="xsd:double"&gt;119496.14&lt;/D&gt;&lt;/FQL&gt;&lt;FQL&gt;&lt;Q&gt;SHOP-US^FE_TIMESERIES(DEPR_AMORT,MEAN,2024/3F,,Q,'CURRENCY=USD')&lt;/Q&gt;&lt;R&gt;1&lt;/R&gt;&lt;C&gt;1&lt;/C&gt;&lt;D xsi:type="xsd:double"&gt;8&lt;/D&gt;&lt;/FQL&gt;&lt;FQL&gt;&lt;Q&gt;SHOP-US^FE_TIMESERIES(DEPR_AMORT,MEAN,2023/1F,,Q,'CURRENCY=USD')&lt;/Q&gt;&lt;R&gt;1&lt;/R&gt;&lt;C&gt;1&lt;/C&gt;&lt;D xsi:type="xsd:double"&gt;29&lt;/D&gt;&lt;/FQL&gt;&lt;FQL&gt;&lt;Q&gt;SHOP-US^FE_TIMESERIES(DEPR_AMORT,MEAN,2021/3F,,Q,'CURRENCY=USD')&lt;/Q&gt;&lt;R&gt;1&lt;/R&gt;&lt;C&gt;1&lt;/C&gt;&lt;D xsi:type="xsd:double"&gt;18.3045&lt;/D&gt;&lt;/FQL&gt;&lt;FQL&gt;&lt;Q&gt;SHOP-US^FE_TIMESERIES(DEPR_AMORT,MEAN,2020/1F,,Q,'CURRENCY=USD')&lt;/Q&gt;&lt;R&gt;1&lt;/R&gt;&lt;C&gt;1&lt;/C&gt;&lt;D xsi:type="xsd:double"&gt;14.3796&lt;/D&gt;&lt;/FQL&gt;&lt;FQL&gt;&lt;Q&gt;SHOP-US^FE_TIMESERIES(FCF,MEAN,2024/3F,,Q,'CURRENCY=USD')&lt;/Q&gt;&lt;R&gt;1&lt;/R&gt;&lt;C&gt;1&lt;/C&gt;&lt;D xsi:type="xsd:double"&gt;421&lt;/D&gt;&lt;/FQL&gt;&lt;FQL&gt;&lt;Q&gt;SHOP-US^FE_TIMESERIES(FCF,MEAN,2023/1F,,Q,'CURRENCY=USD')&lt;/Q&gt;&lt;R&gt;1&lt;/R&gt;&lt;C&gt;1&lt;/C&gt;&lt;D xsi:type="xsd:double"&gt;87.76428&lt;/D&gt;&lt;/FQL&gt;&lt;FQL&gt;&lt;Q&gt;SHOP-US^FE_TIMESERIES(FCF,MEAN,2021/3F,,Q,'CURRENCY=USD')&lt;/Q&gt;&lt;R&gt;1&lt;/R&gt;&lt;C&gt;1&lt;/C&gt;&lt;D xsi:type="xsd:double"&gt;45.403&lt;/D&gt;&lt;/FQL&gt;&lt;FQL&gt;&lt;Q&gt;SHOP-US^FE_TIMESERIES(FCF,MEAN,2020/1F,,Q,'CURRENCY=USD')&lt;/Q&gt;&lt;R&gt;1&lt;/R&gt;&lt;C&gt;1&lt;/C&gt;&lt;D xsi:type="xsd:double"&gt;-101.69583&lt;/D&gt;&lt;/FQL&gt;&lt;FQL&gt;&lt;Q&gt;SHOP-US^FE_TIMESERIES(CAPEX,MEAN,2024/3F,,Q,'CURRENCY=USD')&lt;/Q&gt;&lt;R&gt;1&lt;/R&gt;&lt;C&gt;1&lt;/C&gt;&lt;D xsi:type="xsd:double"&gt;2&lt;/D&gt;&lt;/FQL&gt;&lt;FQL&gt;&lt;Q&gt;SHOP-US^FE_TIMESERIES(CAPEX,MEAN,2023/1F,,Q,'CURRENCY=USD')&lt;/Q&gt;&lt;R&gt;1&lt;/R&gt;&lt;C&gt;1&lt;/C&gt;&lt;D xsi:type="xsd:double"&gt;14&lt;/D&gt;&lt;/FQL&gt;&lt;FQL&gt;&lt;Q&gt;SHOP-US^FE_TIMESERIES(CAPEX,MEAN,2021/3F,,Q,'CURRENCY=USD')&lt;/Q&gt;&lt;R&gt;1&lt;/R&gt;&lt;C&gt;1&lt;/C&gt;&lt;D xsi:type="xsd:double"&gt;11.902445&lt;/D&gt;&lt;/FQL&gt;&lt;FQL&gt;&lt;Q&gt;SHOP-US^FE_TIMESERIES(CAPEX,MEAN,2020/1F,,Q,'CURRENCY=USD')&lt;/Q&gt;&lt;R&gt;1&lt;/R&gt;&lt;C&gt;1&lt;/C&gt;&lt;D xsi:type="xsd:double"&gt;16.734285&lt;/D&gt;&lt;/FQL&gt;&lt;FQL&gt;&lt;Q&gt;SHOP-US^FE_TIMESERIES(CFO,MEAN,2024/3F,,Q,'CURRENCY=USD')&lt;/Q&gt;&lt;R&gt;1&lt;/R&gt;&lt;C&gt;1&lt;/C&gt;&lt;D xsi:type="xsd:double"&gt;423&lt;/D&gt;&lt;/FQL&gt;&lt;FQL&gt;&lt;Q&gt;SHOP-US^FE_TIMESERIES(CFO,MEAN,2023/1F,,Q,'CURRENCY=USD')&lt;/Q&gt;&lt;R&gt;1&lt;/R&gt;&lt;C&gt;1&lt;/C&gt;&lt;D xsi:type="xsd:double"&gt;100&lt;/D&gt;&lt;/FQL&gt;&lt;FQL&gt;&lt;Q&gt;SHOP-US^FE_TIMESERIES(CFO,MEAN,2021/3F,,Q,'CURRENCY=USD')&lt;/Q&gt;&lt;R&gt;1&lt;/R&gt;&lt;C&gt;1&lt;/C&gt;&lt;D xsi:type="xsd:double"&gt;41.887&lt;/D&gt;&lt;/FQL&gt;&lt;FQL&gt;&lt;Q&gt;SHOP-US^FE_TIMESERIES(CFO,MEAN,2020/1F,,Q,'CURRENCY=USD')&lt;/Q&gt;&lt;R&gt;1&lt;/R&gt;&lt;C&gt;1&lt;/C&gt;&lt;D xsi:type="xsd:double"&gt;-84.961426&lt;/D&gt;&lt;/FQL&gt;&lt;FQL&gt;&lt;Q&gt;SHOP-US^FE_TIMESERIES(EAG,MEAN,2024/3F,,Q,'CURRENCY=USD')&lt;/Q&gt;&lt;R&gt;1&lt;/R&gt;&lt;C&gt;1&lt;/C&gt;&lt;D xsi:type="xsd:double"&gt;0.6380796&lt;/D&gt;&lt;/FQL&gt;&lt;FQL&gt;&lt;Q&gt;SHOP-US^FE_TIMESERIES(EAG,MEAN,2023/1F,,Q,'CURRENCY=USD')&lt;/Q&gt;&lt;R&gt;1&lt;/R&gt;&lt;C&gt;1&lt;/C&gt;&lt;D xsi:type="xsd:double"&gt;0.05&lt;/D&gt;&lt;/FQL&gt;&lt;FQL&gt;&lt;Q&gt;SHOP-US^FE_TIMESERIES(EAG,MEAN,2021/3F,,Q,'CURRENCY=USD')&lt;/Q&gt;&lt;R&gt;1&lt;/R&gt;&lt;C&gt;1&lt;/C&gt;&lt;D xsi:type="xsd:double"&gt;0.9&lt;/D&gt;&lt;/FQL&gt;&lt;FQL&gt;&lt;Q&gt;SHOP-US^FE_TIMESERIES(EAG,MEAN,2020/1F,,Q,'CURRENCY=USD')&lt;/Q&gt;&lt;R&gt;1&lt;/R&gt;&lt;C&gt;1&lt;/C&gt;&lt;D xsi:type="xsd:double"&gt;-0.027&lt;/D&gt;&lt;/FQL&gt;&lt;FQL&gt;&lt;Q&gt;SHOP-US^FE_TIMESERIES(EPS,MEAN,2024/3F,,Q,'CURRENCY=USD')&lt;/Q&gt;&lt;R&gt;1&lt;/R&gt;&lt;C&gt;1&lt;/C&gt;&lt;D xsi:type="xsd:double"&gt;0.34206286&lt;/D&gt;&lt;/FQL&gt;&lt;FQL&gt;&lt;Q&gt;SHOP-US^FE_TIMESERIES(EPS,MEAN,2023/1F,,Q,'CURRENCY=USD')&lt;/Q&gt;&lt;R&gt;1&lt;/R&gt;&lt;C&gt;1&lt;/C&gt;&lt;D xsi:type="xsd:double"&gt;0.01&lt;/D&gt;&lt;/FQL&gt;&lt;FQL&gt;&lt;Q&gt;SHOP-US^FE_TIMESERIES(EPS,MEAN,2021/3F,,Q,'CURRENCY=USD')&lt;/Q&gt;&lt;R&gt;1&lt;/R&gt;&lt;C&gt;1&lt;/C&gt;&lt;D xsi:type="xsd:double"&gt;0.081&lt;/D&gt;&lt;/FQL&gt;&lt;FQL&gt;&lt;Q&gt;SHOP-US^FE_TIMESERIES(EPS,MEAN,2020/1F,,Q,'CURRENCY=USD')&lt;/Q&gt;&lt;R&gt;1&lt;/R&gt;&lt;C&gt;1&lt;/C&gt;&lt;D xsi:type="xsd:double"&gt;0.019&lt;/D&gt;&lt;/FQL&gt;&lt;FQL&gt;&lt;Q&gt;SHOP-US^FE_TIMESERIES(NETPROFIT,MEAN,2024/3F,,Q,'CURRENCY=USD')&lt;/Q&gt;&lt;R&gt;1&lt;/R&gt;&lt;C&gt;1&lt;/C&gt;&lt;D xsi:type="xsd:double"&gt;344&lt;/D&gt;&lt;/FQL&gt;&lt;FQL&gt;&lt;Q&gt;SHOP-US^FE_TIMESERIES(EBITR,MEAN,2026,,Y,'CURRENCY=USD')&lt;/Q&gt;&lt;R&gt;1&lt;/R&gt;&lt;C&gt;1&lt;/C&gt;&lt;D xsi:type="xsd:double"&gt;2009.6965&lt;/D&gt;&lt;/FQL&gt;&lt;FQL&gt;&lt;Q&gt;SHOP-US^FE_TIMESERIES(PRODLINE_SALES_1,MEAN,2026,,Y,'CURRENCY=USD')&lt;/Q&gt;&lt;R&gt;1&lt;/R&gt;&lt;C&gt;1&lt;/C&gt;&lt;D xsi:type="xsd:double"&gt;3247.7937&lt;/D&gt;&lt;/FQL&gt;&lt;FQL&gt;&lt;Q&gt;SHOP-US^FE_TIMESERIES(DEPR_AMORT,MEAN,2025/3F,,Q,'CURRENCY=USD')&lt;/Q&gt;&lt;R&gt;1&lt;/R&gt;&lt;C&gt;1&lt;/C&gt;&lt;D xsi:type="xsd:double"&gt;14.502&lt;/D&gt;&lt;/FQL&gt;&lt;FQL&gt;&lt;Q&gt;SHOP-US^FE_TIMESERIES(FCF,MEAN,2025/3F,,Q,'CURRENCY=USD')&lt;/Q&gt;&lt;R&gt;1&lt;/R&gt;&lt;C&gt;1&lt;/C&gt;&lt;D xsi:type="xsd:double"&gt;463.75244&lt;/D&gt;&lt;/FQL&gt;&lt;FQL&gt;&lt;Q&gt;SHOP-US^FE_TIMESERIES(CAPEX,MEAN,2025/3F,,Q,'CURRENCY=USD')&lt;/Q&gt;&lt;R&gt;1&lt;/R&gt;&lt;C&gt;1&lt;/C&gt;&lt;D xsi:type="xsd:double"&gt;6.5946&lt;/D&gt;&lt;/FQL&gt;&lt;FQL&gt;&lt;Q&gt;SHOP-US^FE_TIMESERIES(CFO,MEAN,2025/3F,,Q,'CURRENCY=USD')&lt;/Q&gt;&lt;R&gt;1&lt;/R&gt;&lt;C&gt;1&lt;/C&gt;&lt;D xsi:type="xsd:double"&gt;478.64713&lt;/D&gt;&lt;/FQL&gt;&lt;FQL&gt;&lt;Q&gt;SHOP-US^FE_TIMESERIES(EAG,MEAN,2025/3F,,Q,'CURRENCY=USD')&lt;/Q&gt;&lt;R&gt;1&lt;/R&gt;&lt;C&gt;1&lt;/C&gt;&lt;D xsi:type="xsd:double"&gt;0.29405507&lt;/D&gt;&lt;/FQL&gt;&lt;FQL&gt;&lt;Q&gt;SHOP-US^FE_TIMESERIES(EPS,MEAN,2025/3F,,Q,'CURRENCY=USD')&lt;/Q&gt;&lt;R&gt;1&lt;/R&gt;&lt;C&gt;1&lt;/C&gt;&lt;D xsi:type="xsd:double"&gt;0.37531054&lt;/D&gt;&lt;/FQL&gt;&lt;FQL&gt;&lt;Q&gt;SHOP-US^FE_TIMESERIES(NETPROFIT,MEAN,2025/3F,,Q,'CURRENCY=USD')&lt;/Q&gt;&lt;R&gt;1&lt;/R&gt;&lt;C&gt;1&lt;/C&gt;&lt;D xsi:type="xsd:double"&gt;480.82443&lt;/D&gt;&lt;/FQL&gt;&lt;FQL&gt;&lt;Q&gt;SHOP-US^FE_TIMESERIES(NETPROFIT,MEAN,2021/4F,,Q,'CURRENCY=USD')&lt;/Q&gt;&lt;R&gt;1&lt;/R&gt;&lt;C&gt;1&lt;/C&gt;&lt;D xsi:type="xsd:double"&gt;172.8&lt;/D&gt;&lt;/FQL&gt;&lt;FQL&gt;&lt;Q&gt;SHOP-US^FE_TIMESERIES(EBITDA_REP,MEAN,2024/4F,,Q,'CURRENCY=USD')&lt;/Q&gt;&lt;R&gt;1&lt;/R&gt;&lt;C&gt;1&lt;/C&gt;&lt;D xsi:type="xsd:double"&gt;477.86685&lt;/D&gt;&lt;/FQL&gt;&lt;FQL&gt;&lt;Q&gt;SHOP-US^FE_TIMESERIES(EBIT_ADJ,MEAN,2021/4F,,Q,'CURRENCY=USD')&lt;/Q&gt;&lt;R&gt;1&lt;/R&gt;&lt;C&gt;1&lt;/C&gt;&lt;D xsi:type="xsd:double"&gt;130.17845&lt;/D&gt;&lt;/FQL&gt;&lt;FQL&gt;&lt;Q&gt;SHOP-US^FE_TIMESERIES(GROSSINCOME,MEAN,2024/4F,,Q,'CURRENCY=USD')&lt;/Q&gt;&lt;R&gt;1&lt;/R&gt;&lt;C&gt;1&lt;/C&gt;&lt;D xsi:type="xsd:double"&gt;1321.9026&lt;/D&gt;&lt;/FQL&gt;&lt;FQL&gt;&lt;Q&gt;SHOP-US^FE_TIMESERIES(PRODLINE_SALES_2,MEAN,2021/4F,,Q,'CURRENCY=USD')&lt;/Q&gt;&lt;R&gt;1&lt;/R&gt;&lt;C&gt;1&lt;/C&gt;&lt;D xsi:type="xsd:double"&gt;1028.816&lt;/D&gt;&lt;/FQL&gt;&lt;FQL&gt;&lt;Q&gt;SHOP-US^FE_TIMESERIES(SALES,MEAN,2024/4F,,Q,'CURRENCY=USD')&lt;/Q&gt;&lt;R&gt;1&lt;/R&gt;&lt;C&gt;1&lt;/C&gt;&lt;D xsi:type="xsd:double"&gt;2725.7952&lt;/D&gt;&lt;/FQL&gt;&lt;FQL&gt;&lt;Q&gt;SHOP-US^FE_TIMESERIES(GMV,MEAN,2021/4F,,Q,'CURRENCY=USD')&lt;/Q&gt;&lt;R&gt;1&lt;/R&gt;&lt;C&gt;1&lt;/C&gt;&lt;D xsi:type="xsd:double"&gt;54088.273&lt;/D&gt;&lt;/FQL&gt;&lt;FQL&gt;&lt;Q&gt;SHOP-US^FE_ESTIMATE(GMV,MEAN,QTR,2024/1F,NOW,,,'')&lt;/Q&gt;&lt;R&gt;1&lt;/R&gt;&lt;C&gt;1&lt;/C&gt;&lt;D xsi:type="xsd:double"&gt;60855&lt;/D&gt;&lt;/FQL&gt;&lt;FQL&gt;&lt;Q&gt;SHOP-US^FE_ESTIMATE(NETBG,MEAN,QTR,2024/1F,NOW,,,'')&lt;/Q&gt;&lt;R&gt;1&lt;/R&gt;&lt;C&gt;1&lt;/C&gt;&lt;D xsi:type="xsd:double"&gt;256&lt;/D&gt;&lt;/FQL&gt;&lt;FQL&gt;&lt;Q&gt;SHOP-US^FE_ESTIMATE(SALES,MEAN,QTR,2024/2F,NOW,,,'')&lt;/Q&gt;&lt;R&gt;1&lt;/R&gt;&lt;C&gt;1&lt;/C&gt;&lt;D xsi:type="xsd:double"&gt;2045&lt;/D&gt;&lt;/FQL&gt;&lt;FQL&gt;&lt;Q&gt;SHOP-US^FE_ESTIMATE(BFNG,MEAN,QTR,2024/2F,NOW,,,'')&lt;/Q&gt;&lt;R&gt;1&lt;/R&gt;&lt;C&gt;1&lt;/C&gt;&lt;D xsi:type="xsd:double"&gt;171&lt;/D&gt;&lt;/FQL&gt;&lt;FQL&gt;&lt;Q&gt;SHOP-US^FE_ESTIMATE(PRODLINE_SALES_2,MEAN,QTR,2024/3F,NOW,,,'')&lt;/Q&gt;&lt;R&gt;1&lt;/R&gt;&lt;C&gt;1&lt;/C&gt;&lt;D xsi:type="xsd:double"&gt;1552&lt;/D&gt;&lt;/FQL&gt;&lt;FQL&gt;&lt;Q&gt;SHOP-US^FE_ESTIMATE(GMV,MEAN,QTR,2024/4F,NOW,,,'')&lt;/Q&gt;&lt;R&gt;1&lt;/R&gt;&lt;C&gt;1&lt;/C&gt;&lt;D xsi:type="xsd:double"&gt;92277.09&lt;/D&gt;&lt;/FQL&gt;&lt;FQL&gt;&lt;Q&gt;SHOP-US^FE_ESTIMATE(NETBG,MEAN,QTR,2024/4F,NOW,,,'')&lt;/Q&gt;&lt;R&gt;1&lt;/R&gt;&lt;C&gt;1&lt;/C&gt;&lt;D xsi:type="xsd:double"&gt;568.6455&lt;/D&gt;&lt;/FQL&gt;&lt;FQL&gt;&lt;Q&gt;SHOP-US^FE_ESTIMATE(SALES,MEAN,ANNUAL_ROLL,2024,NOW,,,'')&lt;/Q&gt;&lt;R&gt;1&lt;/R&gt;&lt;C&gt;1&lt;/C&gt;&lt;D xsi:type="xsd:double"&gt;8799.232&lt;/D&gt;&lt;/FQL&gt;&lt;FQL&gt;&lt;Q&gt;SHOP-US^FE_ESTIMATE(BFNG,MEAN,ANNUAL_ROLL,2024,NOW,,,'')&lt;/Q&gt;&lt;R&gt;1&lt;/R&gt;&lt;C&gt;1&lt;/C&gt;&lt;D xsi:type="xsd:double"&gt;1155.2559&lt;/D&gt;&lt;/FQL&gt;&lt;FQL&gt;&lt;Q&gt;SHOP-US^FE_ESTIMATE(PRODLINE_SALES_2,MEAN,QTR,2025/1F,NOW,,,'')&lt;/Q&gt;&lt;R&gt;1&lt;/R&gt;&lt;C&gt;1&lt;/C&gt;&lt;D xsi:type="xsd:double"&gt;1688.2764&lt;/D&gt;&lt;/FQL&gt;&lt;FQL&gt;&lt;Q&gt;SHOP-US^FE_ESTIMATE(GMV,MEAN,QTR,2025/2F,NOW,,,'')&lt;/Q&gt;&lt;R&gt;1&lt;/R&gt;&lt;C&gt;1&lt;/C&gt;&lt;D xsi:type="xsd:double"&gt;81665.945&lt;/D&gt;&lt;/FQL&gt;&lt;FQL&gt;&lt;Q&gt;SHOP-US^FE_ESTIMATE(NETBG,MEAN,QTR,2025/2F,NOW,,,'')&lt;/Q&gt;&lt;R&gt;1&lt;/R&gt;&lt;C&gt;1&lt;/C&gt;&lt;D xsi:type="xsd:double"&gt;434.8261&lt;/D&gt;&lt;/FQL&gt;&lt;FQL&gt;&lt;Q&gt;SHOP-US^FE_ESTIMATE(SALES,MEAN,QTR,2025/3F,NOW,,,'')&lt;/Q&gt;&lt;R&gt;1&lt;/R&gt;&lt;C&gt;1&lt;/C&gt;&lt;D xsi:type="xsd:double"&gt;2637.6206&lt;/D&gt;&lt;/FQL&gt;&lt;FQL&gt;&lt;Q&gt;SHOP-US^FE_ESTIMATE(BFNG,MEAN,QTR,2025/3F,NOW,,,'')&lt;/Q&gt;&lt;R&gt;1&lt;/R&gt;&lt;C&gt;1&lt;/C&gt;&lt;D xsi:type="xsd:double"&gt;381.7996&lt;/D&gt;&lt;/FQL&gt;&lt;FQL&gt;&lt;Q&gt;SHOP-US^FE_ESTIMATE(PRODLINE_SALES_2,MEAN,QTR,2025/4F,NOW,,,'')&lt;/Q&gt;&lt;R&gt;1&lt;/R&gt;&lt;C&gt;1&lt;/C&gt;&lt;D xsi:type="xsd:double"&gt;2531.854&lt;/D&gt;&lt;/FQL&gt;&lt;FQL&gt;&lt;Q&gt;SHOP-US^FE_ESTIMATE(GMV,MEAN,ANNUAL_ROLL,2025,NOW,,,'')&lt;/Q&gt;&lt;R&gt;1&lt;/R&gt;&lt;C&gt;1&lt;/C&gt;&lt;D xsi:type="xsd:double"&gt;348713.47&lt;/D&gt;&lt;/FQL&gt;&lt;FQL&gt;&lt;Q&gt;SHOP-US^FE_ESTIMATE(NETBG,MEAN,ANNUAL_ROLL,2025,NOW,,,'')&lt;/Q&gt;&lt;R&gt;1&lt;/R&gt;&lt;C&gt;1&lt;/C&gt;&lt;D xsi:type="xsd:double"&gt;2017.6532&lt;/D&gt;&lt;/FQL&gt;&lt;FQL&gt;&lt;Q&gt;SHOP-US^FE_ESTIMATE(SALES,MEAN,QTR,2026/1F,NOW,,,'')&lt;/Q&gt;&lt;R&gt;1&lt;/R&gt;&lt;C&gt;1&lt;/C&gt;&lt;D xsi:type="xsd:double"&gt;2786.8684&lt;/D&gt;&lt;/FQL&gt;&lt;FQL&gt;&lt;Q&gt;SHOP-US^FE_ESTIMATE(BFNG,MEAN,QTR,2026/1F,NOW,,,'')&lt;/Q&gt;&lt;R&gt;1&lt;/R&gt;&lt;C&gt;1&lt;/C&gt;&lt;D xsi:type="xsd:double"&gt;377.68954&lt;/D&gt;&lt;/FQL&gt;&lt;FQL&gt;&lt;Q&gt;SHOP-US^FE_ESTIMATE(PRODLINE_SALES_2,MEAN,QTR,2026/2F,NOW,,,'')&lt;/Q&gt;&lt;R&gt;1&lt;/R&gt;&lt;C&gt;1&lt;/C&gt;&lt;D xsi:type="xsd:double"&gt;2208.6367&lt;/D&gt;&lt;/FQL&gt;&lt;FQL&gt;&lt;Q&gt;SHOP-US^FE_ESTIMATE(GMV,MEAN,QTR,2026/3F,NOW,,,'')&lt;/Q&gt;&lt;R&gt;1&lt;/R&gt;&lt;C&gt;1&lt;/C&gt;&lt;D xsi:type="xsd:double"&gt;101578&lt;/D&gt;&lt;/FQL&gt;&lt;FQL&gt;&lt;Q&gt;SHOP-US^FE_ESTIMATE(NETBG,MEAN,QTR,2026/3F,NOW,,,'')&lt;/Q&gt;&lt;R&gt;1&lt;/R&gt;&lt;C&gt;1&lt;/C&gt;&lt;D xsi:type="xsd:double"&gt;644.3727&lt;/D&gt;&lt;/FQL&gt;&lt;FQL&gt;&lt;Q&gt;SHOP-US^FE_ESTIMATE(SALES,MEAN,QTR,2026/4F,NOW,,,'')&lt;/Q&gt;&lt;R&gt;1&lt;/R&gt;&lt;C&gt;1&lt;/C&gt;&lt;D xsi:type="xsd:double"&gt;3918.613&lt;/D&gt;&lt;/FQL&gt;&lt;FQL&gt;&lt;Q&gt;SHOP-US^FE_ESTIMATE(BFNG,MEAN,QTR,2026/4F,NOW,,,'')&lt;/Q&gt;&lt;R&gt;1&lt;/R&gt;&lt;C&gt;1&lt;/C&gt;&lt;D xsi:type="xsd:double"&gt;841.9171&lt;/D&gt;&lt;/FQL&gt;&lt;FQL&gt;&lt;Q&gt;SHOP-US^FE_ESTIMATE(PRODLINE_SALES_2,MEAN,ANNUAL_ROLL,2026,NOW,,,'')&lt;/Q&gt;&lt;R&gt;1&lt;/R&gt;&lt;C&gt;1&lt;/C&gt;&lt;D xsi:type="xsd:double"&gt;9683.017&lt;/D&gt;&lt;/FQL&gt;&lt;FQL&gt;&lt;Q&gt;SHOP-US^FE_ESTIMATE(GMV,MEAN,QTR,2027/1F,NOW,,,'')&lt;/Q&gt;&lt;R&gt;0&lt;/R&gt;&lt;C&gt;0&lt;/C&gt;&lt;/FQL&gt;&lt;FQL&gt;&lt;Q&gt;SHOP-US^FE_ESTIMATE(NETBG,MEAN,QTR,2027/1F,NOW,,,'')&lt;/Q&gt;&lt;R&gt;1&lt;/R&gt;&lt;C&gt;1&lt;/C&gt;&lt;D xsi:type="xsd:double"&gt;623&lt;/D&gt;&lt;/FQL&gt;&lt;FQL&gt;&lt;Q&gt;SHOP-US^FE_ESTIMATE(SALES,MEAN,QTR,2027/2F,NOW,,,'')&lt;/Q&gt;&lt;R&gt;1&lt;/R&gt;&lt;C&gt;1&lt;/C&gt;&lt;D xsi:type="xsd:double"&gt;3782&lt;/D&gt;&lt;/FQL&gt;&lt;FQL&gt;&lt;Q&gt;SHOP-US^FE_ESTIMATE(BFNG,MEAN,QTR,2027/2F,NOW,,,'')&lt;/Q&gt;&lt;R&gt;0&lt;/R&gt;&lt;C&gt;0&lt;/C&gt;&lt;/FQL&gt;&lt;FQL&gt;&lt;Q&gt;SHOP-US^FE_ESTIMATE(PRODLINE_SALES_2,MEAN,QTR,2027/3F,NOW,,,'')&lt;/Q&gt;&lt;R&gt;1&lt;/R&gt;&lt;C&gt;1&lt;/C&gt;&lt;D xsi:type="xsd:double"&gt;2967&lt;/D&gt;&lt;/FQL&gt;&lt;FQL&gt;&lt;Q&gt;SHOP-US^FE_ESTIMATE(GMV,MEAN,QTR,2027/4F,NOW,,,'')&lt;/Q&gt;&lt;R&gt;0&lt;/R&gt;&lt;C&gt;0&lt;/C&gt;&lt;/FQL&gt;&lt;FQL&gt;&lt;Q&gt;SHOP-US^FE_ESTIMATE(NETBG,MEAN,QTR,2027/4F,NOW,,,'')&lt;/Q&gt;&lt;R&gt;1&lt;/R&gt;&lt;C&gt;1&lt;/C&gt;&lt;D xsi:type="xsd:double"&gt;1380&lt;/D&gt;&lt;/FQL&gt;&lt;FQL&gt;&lt;Q&gt;SHOP-US^FE_ESTIMATE(SALES,MEAN,ANNUAL_ROLL,2027,NOW,,,'')&lt;/Q&gt;&lt;R&gt;1&lt;/R&gt;&lt;C&gt;1&lt;/C&gt;&lt;D xsi:type="xsd:double"&gt;17304.154&lt;/D&gt;&lt;/FQL&gt;&lt;FQL&gt;&lt;Q&gt;SHOP-US^FE_ESTIMATE(BFNG,MEAN,ANNUAL_ROLL,2027,NOW,,,'')&lt;/Q&gt;&lt;R&gt;1&lt;/R&gt;&lt;C&gt;1&lt;/C&gt;&lt;D xsi:type="xsd:double"&gt;2940.2495&lt;/D&gt;&lt;/FQL&gt;&lt;FQL&gt;&lt;Q&gt;SHOP-US^FE_TIMESERIES(SALES,MEAN,2024/3F,,Q,'CURRENCY=USD')&lt;/Q&gt;&lt;R&gt;1&lt;/R&gt;&lt;C&gt;1&lt;/C&gt;&lt;D xsi:type="xsd:double"&gt;2162&lt;/D&gt;&lt;/FQL&gt;&lt;FQL&gt;&lt;Q&gt;SHOP-US^FE_TIMESERIES(GMV,MEAN,2023/3F,,Q,'CURRENCY=USD')&lt;/Q&gt;&lt;R&gt;1&lt;/R&gt;&lt;C&gt;1&lt;/C&gt;&lt;D xsi:type="xsd:double"&gt;56205&lt;/D&gt;&lt;/FQL&gt;&lt;FQL&gt;&lt;Q&gt;SHOP-US^FE_TIMESERIES(GMV,MEAN,2021/3F,,Q,'CURRENCY=USD')&lt;/Q&gt;&lt;R&gt;1&lt;/R&gt;&lt;C&gt;1&lt;/C&gt;&lt;D xsi:type="xsd:double"&gt;41792.223&lt;/D&gt;&lt;/FQL&gt;&lt;FQL&gt;&lt;Q&gt;SHOP-US^FE_TIMESERIES(GMV,MEAN,2020/1F,,Q,'CURRENCY=USD')&lt;/Q&gt;&lt;R&gt;1&lt;/R&gt;&lt;C&gt;1&lt;/C&gt;&lt;D xsi:type="xsd:double"&gt;17284.334&lt;/D&gt;&lt;/FQL&gt;&lt;FQL&gt;&lt;Q&gt;SHOP-US^FE_ESTIMATE(SALES,MEAN,QTR_ROLL,2026/4F,NOW,,,'')&lt;/Q&gt;&lt;R&gt;1&lt;/R&gt;&lt;C&gt;1&lt;/C&gt;&lt;D xsi:type="xsd:double"&gt;3918.613&lt;/D&gt;&lt;/FQL&gt;&lt;FQL&gt;&lt;Q&gt;SHOP-US^FE_ESTIMATE(SALES,MEAN,QTR_ROLL,2025/3F,NOW,,,'')&lt;/Q&gt;&lt;R&gt;1&lt;/R&gt;&lt;C&gt;1&lt;/C&gt;&lt;D xsi:type="xsd:double"&gt;2637.6206&lt;/D&gt;&lt;/FQL&gt;&lt;FQL&gt;&lt;Q&gt;SHOP^FE_ESTIMATE(EBITDA_ADJ,MEAN,ANNUAL_ROLL,2027,NOW,,,'')&lt;/Q&gt;&lt;R&gt;1&lt;/R&gt;&lt;C&gt;1&lt;/C&gt;&lt;D xsi:type="xsd:double"&gt;3219.5&lt;/D&gt;&lt;/FQL&gt;&lt;FQL&gt;&lt;Q&gt;SHOP-US^P_PRICE(NOW)&lt;/Q&gt;&lt;R&gt;1&lt;/R&gt;&lt;C&gt;1&lt;/C&gt;&lt;D xsi:type="xsd:double"&gt;107.64&lt;/D&gt;&lt;/FQL&gt;&lt;FQL&gt;&lt;Q&gt;SHOP-US^FE_TIMESERIES(DEPR_AMORT,MEAN,2022/4F,,Q,'CURRENCY=USD')&lt;/Q&gt;&lt;R&gt;1&lt;/R&gt;&lt;C&gt;1&lt;/C&gt;&lt;D xsi:type="xsd:double"&gt;29.832&lt;/D&gt;&lt;/FQL&gt;&lt;FQL&gt;&lt;Q&gt;SHOP-US^FE_TIMESERIES(CAPEX,MEAN,2022/4F,,Q,'CURRENCY=USD')&lt;/Q&gt;&lt;R&gt;1&lt;/R&gt;&lt;C&gt;1&lt;/C&gt;&lt;D xsi:type="xsd:double"&gt;7.6604443&lt;/D&gt;&lt;/FQL&gt;&lt;FQL&gt;&lt;Q&gt;SHOP-US^FE_TIMESERIES(EAG,MEAN,2022/4F,,Q,'CURRENCY=USD')&lt;/Q&gt;&lt;R&gt;1&lt;/R&gt;&lt;C&gt;1&lt;/C&gt;&lt;D xsi:type="xsd:double"&gt;-0.48&lt;/D&gt;&lt;/FQL&gt;&lt;FQL&gt;&lt;Q&gt;SHOP-US^FE_TIMESERIES(EBITDA_ADJ,MEAN,2021/4F,,Q,'CURRENCY=USD')&lt;/Q&gt;&lt;R&gt;1&lt;/R&gt;&lt;C&gt;1&lt;/C&gt;&lt;D xsi:type="xsd:double"&gt;147.48819&lt;/D&gt;&lt;/FQL&gt;&lt;FQL&gt;&lt;Q&gt;SHOP-US^FE_TIMESERIES(EBITR,MEAN,2021/4F,,Q,'CURRENCY=USD')&lt;/Q&gt;&lt;R&gt;1&lt;/R&gt;&lt;C&gt;1&lt;/C&gt;&lt;D xsi:type="xsd:double"&gt;14.329091&lt;/D&gt;&lt;/FQL&gt;&lt;FQL&gt;&lt;Q&gt;SHOP-US^FE_ESTIMATE(PRODLINE_SALES_2,MEAN,ANNUAL_ROLL,2024,NOW,,,'')&lt;/Q&gt;&lt;R&gt;1&lt;/R&gt;&lt;C&gt;1&lt;/C&gt;&lt;D xsi:type="xsd:double"&gt;6460.0054&lt;/D&gt;&lt;/FQL&gt;&lt;FQL&gt;&lt;Q&gt;SHOP-US^FE_ESTIMATE(PRODLINE_SALES_2,MEAN,QTR,2025/3F,NOW,,,'')&lt;/Q&gt;&lt;R&gt;1&lt;/R&gt;&lt;C&gt;1&lt;/C&gt;&lt;D xsi:type="xsd:double"&gt;1913.0764&lt;/D&gt;&lt;/FQL&gt;&lt;FQL&gt;&lt;Q&gt;SHOP-US^FE_ESTIMATE(PRODLINE_SALES_2,MEAN,QTR,2026/1F,NOW,,,'')&lt;/Q&gt;&lt;R&gt;1&lt;/R&gt;&lt;C&gt;1&lt;/C&gt;&lt;D xsi:type="xsd:double"&gt;2031.7443&lt;/D&gt;&lt;/FQL&gt;&lt;FQL&gt;&lt;Q&gt;SHOP-US^FE_ESTIMATE(BFNG,MEAN,QTR,2026/3F,NOW,,,'')&lt;/Q&gt;&lt;R&gt;1&lt;/R&gt;&lt;C&gt;1&lt;/C&gt;&lt;D xsi:type="xsd:double"&gt;594.6461&lt;/D&gt;&lt;/FQL&gt;&lt;FQL&gt;&lt;Q&gt;SHOP-US^FE_ESTIMATE(BFNG,MEAN,QTR,2027/1F,NOW,,,'')&lt;/Q&gt;&lt;R&gt;0&lt;/R&gt;&lt;C&gt;0&lt;/C&gt;&lt;/FQL&gt;&lt;FQL&gt;&lt;Q&gt;SHOP-US^FE_ESTIMATE(BFNG,MEAN,QTR,2027/4F,NOW,,,'')&lt;/Q&gt;&lt;R&gt;0&lt;/R&gt;&lt;C&gt;0&lt;/C&gt;&lt;/FQL&gt;&lt;FQL&gt;&lt;Q&gt;SHOP-US^FE_TIMESERIES(DEPR_AMORT,MEAN,2025,,Y,'CURRENCY=USD')&lt;/Q&gt;&lt;R&gt;1&lt;/R&gt;&lt;C&gt;1&lt;/C&gt;&lt;D xsi:type="xsd:double"&gt;42.768715&lt;/D&gt;&lt;/FQL&gt;&lt;FQL&gt;&lt;Q&gt;SHOP-US^FE_TIMESERIES(FCF,MEAN,2025,,Y,'CURRENCY=USD')&lt;/Q&gt;&lt;R&gt;1&lt;/R&gt;&lt;C&gt;1&lt;/C&gt;&lt;D xsi:type="xsd:double"&gt;2012.9906&lt;/D&gt;&lt;/FQL&gt;&lt;FQL&gt;&lt;Q&gt;SHOP-US^FE_TIMESERIES(CAPEX,MEAN,2023,,Y,'CURRENCY=USD')&lt;/Q&gt;&lt;R&gt;1&lt;/R&gt;&lt;C&gt;1&lt;/C&gt;&lt;D xsi:type="xsd:double"&gt;39&lt;/D&gt;&lt;/FQL&gt;&lt;FQL&gt;&lt;Q&gt;SHOP-US^FE_TIMESERIES(CFO,MEAN,2023,,Y,'CURRENCY=USD')&lt;/Q&gt;&lt;R&gt;1&lt;/R&gt;&lt;C&gt;1&lt;/C&gt;&lt;D xsi:type="xsd:double"&gt;944.0769&lt;/D&gt;&lt;/FQL&gt;&lt;FQL&gt;&lt;Q&gt;SHOP-US^FE_TIMESERIES(EAG,MEAN,2021,,Y,'CURRENCY=USD')&lt;/Q&gt;&lt;R&gt;1&lt;/R&gt;&lt;C&gt;1&lt;/C&gt;&lt;D xsi:type="xsd:double"&gt;2.29&lt;/D&gt;&lt;/FQL&gt;&lt;FQL&gt;&lt;Q&gt;SHOP-US^FE_TIMESERIES(EPS,MEAN,2021,,Y,'CURRENCY=USD')&lt;/Q&gt;&lt;R&gt;1&lt;/R&gt;&lt;C&gt;1&lt;/C&gt;&lt;D xsi:type="xsd:double"&gt;0.641&lt;/D&gt;&lt;/FQL&gt;&lt;FQL&gt;&lt;Q&gt;SHOP-US^FE_TIMESERIES(EBITDA_ADJ,MEAN,2027,,Y,'CURRENCY=USD')&lt;/Q&gt;&lt;R&gt;1&lt;/R&gt;&lt;C&gt;1&lt;/C&gt;&lt;D xsi:type="xsd:double"&gt;3219.5&lt;/D&gt;&lt;/FQL&gt;&lt;FQL&gt;&lt;Q&gt;SHOP-US^FE_TIMESERIES(EBITDA_REP,MEAN,2027,,Y,'CURRENCY=USD')&lt;/Q&gt;&lt;R&gt;1&lt;/R&gt;&lt;C&gt;1&lt;/C&gt;&lt;D xsi:type="xsd:double"&gt;2708&lt;/D&gt;&lt;/FQL&gt;&lt;FQL&gt;&lt;Q&gt;SHOP-US^FE_TIMESERIES(EBIT_ADJ,MEAN,2025,,Y,'CURRENCY=USD')&lt;/Q&gt;&lt;R&gt;1&lt;/R&gt;&lt;C&gt;1&lt;/C&gt;&lt;D xsi:type="xsd:double"&gt;1978.1372&lt;/D&gt;&lt;/FQL&gt;&lt;FQL&gt;&lt;Q&gt;SHOP-US^FE_TIMESERIES(GROSSINCOME,MEAN,2026,,Y,'CURRENCY=USD')&lt;/Q&gt;&lt;R&gt;1&lt;/R&gt;&lt;C&gt;1&lt;/C&gt;&lt;D xsi:type="xsd:double"&gt;6453.41&lt;/D&gt;&lt;/FQL&gt;&lt;FQL&gt;&lt;Q&gt;SHOP-US^FE_TIMESERIES(PRODLINE_SALES_2,MEAN,2025,,Y,'CURRENCY=USD')&lt;/Q&gt;&lt;R&gt;1&lt;/R&gt;&lt;C&gt;1&lt;/C&gt;&lt;D xsi:type="xsd:double"&gt;8000.8755&lt;/D&gt;&lt;/FQL&gt;&lt;FQL&gt;&lt;Q&gt;SHOP-US^FE_TIMESERIES(SALES,MEAN,2026,,Y,'CURRENCY=USD')&lt;/Q&gt;&lt;R&gt;1&lt;/R&gt;&lt;C&gt;1&lt;/C&gt;&lt;D xsi:type="xsd:double"&gt;13154.029&lt;/D&gt;&lt;/FQL&gt;&lt;FQL&gt;&lt;Q&gt;SHOP-US^FE_TIMESERIES(GMV,MEAN,2025,,Y,'CURRENCY=USD')&lt;/Q&gt;&lt;R&gt;1&lt;/R&gt;&lt;C&gt;1&lt;/C&gt;&lt;D xsi:type="xsd:double"&gt;348713.47&lt;/D&gt;&lt;/FQL&gt;&lt;FQL&gt;&lt;Q&gt;SHOP-US^FE_TIMESERIES(DEPR_AMORT,MEAN,2023/3F,,Q,'CURRENCY=USD')&lt;/Q&gt;&lt;R&gt;1&lt;/R&gt;&lt;C&gt;1&lt;/C&gt;&lt;D xsi:type="xsd:double"&gt;13&lt;/D&gt;&lt;/FQL&gt;&lt;FQL&gt;&lt;Q&gt;SHOP-US^FE_TIMESERIES(DEPR_AMORT,MEAN,2021/2F,,Q,'CURRENCY=USD')&lt;/Q&gt;&lt;R&gt;1&lt;/R&gt;&lt;C&gt;1&lt;/C&gt;&lt;D xsi:type="xsd:double"&gt;14.7378&lt;/D&gt;&lt;/FQL&gt;&lt;FQL&gt;&lt;Q&gt;SHOP-US^FE_TIMESERIES(FCF,MEAN,2023/3F,,Q,'CURRENCY=USD')&lt;/Q&gt;&lt;R&gt;1&lt;/R&gt;&lt;C&gt;1&lt;/C&gt;&lt;D xsi:type="xsd:double"&gt;276&lt;/D&gt;&lt;/FQL&gt;&lt;FQL&gt;&lt;Q&gt;SHOP-US^FE_TIMESERIES(FCF,MEAN,2021/2F,,Q,'CURRENCY=USD')&lt;/Q&gt;&lt;R&gt;1&lt;/R&gt;&lt;C&gt;1&lt;/C&gt;&lt;D xsi:type="xsd:double"&gt;85.33691&lt;/D&gt;&lt;/FQL&gt;&lt;FQL&gt;&lt;Q&gt;SHOP-US^FE_TIMESERIES(CAPEX,MEAN,2023/3F,,Q,'CURRENCY=USD')&lt;/Q&gt;&lt;R&gt;1&lt;/R&gt;&lt;C&gt;1&lt;/C&gt;&lt;D xsi:type="xsd:double"&gt;2&lt;/D&gt;&lt;/FQL&gt;&lt;FQL&gt;&lt;Q&gt;SHOP-US^FE_TIMESERIES(CAPEX,MEAN,2021/2F,,Q,'CURRENCY=USD')&lt;/Q&gt;&lt;R&gt;1&lt;/R&gt;&lt;C&gt;1&lt;/C&gt;&lt;D xsi:type="xsd:double"&gt;8.2141&lt;/D&gt;&lt;/FQL&gt;&lt;FQL&gt;&lt;Q&gt;SHOP-US^FE_TIMESERIES(CFO,MEAN,2023/3F,,Q,'CURRENCY=USD')&lt;/Q&gt;&lt;R&gt;1&lt;/R&gt;&lt;C&gt;1&lt;/C&gt;&lt;D xsi:type="xsd:double"&gt;310.83334&lt;/D&gt;&lt;/FQL&gt;&lt;FQL&gt;&lt;Q&gt;SHOP-US^FE_TIMESERIES(CFO,MEAN,2021/2F,,Q,'CURRENCY=USD')&lt;/Q&gt;&lt;R&gt;1&lt;/R&gt;&lt;C&gt;1&lt;/C&gt;&lt;D xsi:type="xsd:double"&gt;83.849724&lt;/D&gt;&lt;/FQL&gt;&lt;FQL&gt;&lt;Q&gt;SHOP-US^FE_TIMESERIES(EAG,MEAN,2023/3F,,Q,'CURRENCY=USD')&lt;/Q&gt;&lt;R&gt;1&lt;/R&gt;&lt;C&gt;1&lt;/C&gt;&lt;D xsi:type="xsd:double"&gt;0.55&lt;/D&gt;&lt;/FQL&gt;&lt;FQL&gt;&lt;Q&gt;SHOP-US^FE_TIMESERIES(EAG,MEAN,2021/2F,,Q,'CURRENCY=USD')&lt;/Q&gt;&lt;R&gt;1&lt;/R&gt;&lt;C&gt;1&lt;/C&gt;&lt;D xsi:type="xsd:double"&gt;0.69&lt;/D&gt;&lt;/FQL&gt;&lt;FQL&gt;&lt;Q&gt;SHOP-US^FE_TIMESERIES(EPS,MEAN,2023/3F,,Q,'CURRENCY=USD')&lt;/Q&gt;&lt;R&gt;1&lt;/R&gt;&lt;C&gt;1&lt;/C&gt;&lt;D xsi:type="xsd:double"&gt;0.24&lt;/D&gt;&lt;/FQL&gt;&lt;FQL&gt;&lt;Q&gt;SHOP-US^FE_TIMESERIES(EPS,MEAN,2021/2F,,Q,'CURRENCY=USD')&lt;/Q&gt;&lt;R&gt;1&lt;/R&gt;&lt;C&gt;1&lt;/C&gt;&lt;D xsi:type="xsd:double"&gt;0.224&lt;/D&gt;&lt;/FQL&gt;&lt;FQL&gt;&lt;Q&gt;SHOP-US^FE_TIMESERIES(NETPROFIT,MEAN,2023/3F,,Q,'CURRENCY=USD')&lt;/Q&gt;&lt;R&gt;1&lt;/R&gt;&lt;C&gt;1&lt;/C&gt;&lt;D xsi:type="xsd:double"&gt;316&lt;/D&gt;&lt;/FQL&gt;&lt;FQL&gt;&lt;Q&gt;SHOP-US^FE_TIMESERIES(NETPROFIT,MEAN,2021/3F,,Q,'CURRENCY=USD')&lt;/Q&gt;&lt;R&gt;1&lt;/R&gt;&lt;C&gt;1&lt;/C&gt;&lt;D xsi:type="xsd:double"&gt;102.82&lt;/D&gt;&lt;/FQL&gt;&lt;FQL&gt;&lt;Q&gt;SHOP-US^FE_TIMESERIES(EBITDA_ADJ,MEAN,2025/4F,,Q,'CURRENCY=USD')&lt;/Q&gt;&lt;R&gt;1&lt;/R&gt;&lt;C&gt;1&lt;/C&gt;&lt;D xsi:type="xsd:double"&gt;716.18854&lt;/D&gt;&lt;/FQL&gt;&lt;FQL&gt;&lt;Q&gt;SHOP-US^FE_TIMESERIES(EBITDA_ADJ,MEAN,2024/1F,,Q,'CURRENCY=USD')&lt;/Q&gt;&lt;R&gt;1&lt;/R&gt;&lt;C&gt;1&lt;/C&gt;&lt;D xsi:type="xsd:double"&gt;209.07143&lt;/D&gt;&lt;/FQL&gt;&lt;FQL&gt;&lt;Q&gt;SHOP-US^FE_TIMESERIES(EBITDA_ADJ,MEAN,2022/2F,,Q,'CURRENCY=USD')&lt;/Q&gt;&lt;R&gt;1&lt;/R&gt;&lt;C&gt;1&lt;/C&gt;&lt;D xsi:type="xsd:double"&gt;-27.44143&lt;/D&gt;&lt;/FQL&gt;&lt;FQL&gt;&lt;Q&gt;SHOP-US^FE_TIMESERIES(EBITDA_ADJ,MEAN,2020/3F,,Q,'CURRENCY=USD')&lt;/Q&gt;&lt;R&gt;1&lt;/R&gt;&lt;C&gt;1&lt;/C&gt;&lt;D xsi:type="xsd:double"&gt;146.3078&lt;/D&gt;&lt;/FQL&gt;&lt;FQL&gt;&lt;Q&gt;SHOP-US^FE_TIMESERIES(EBITDA_REP,MEAN,2024/3F,,Q,'CURRENCY=USD')&lt;/Q&gt;&lt;R&gt;1&lt;/R&gt;&lt;C&gt;1&lt;/C&gt;&lt;D xsi:type="xsd:double"&gt;329&lt;/D&gt;&lt;/FQL&gt;&lt;FQL&gt;&lt;Q&gt;SHOP-US^FE_TIMESERIES(EBITDA_REP,MEAN,2022/4F,,Q,'CURRENCY=USD')&lt;/Q&gt;&lt;R&gt;1&lt;/R&gt;&lt;C&gt;1&lt;/C&gt;&lt;D xsi:type="xsd:double"&gt;90.814&lt;/D&gt;&lt;/FQL&gt;&lt;FQL&gt;&lt;Q&gt;SHOP-US^FE_TIMESERIES(EBITDA_REP,MEAN,2021/1F,,Q,'CURRENCY=USD')&lt;/Q&gt;&lt;R&gt;1&lt;/R&gt;&lt;C&gt;1&lt;/C&gt;&lt;D xsi:type="xsd:double"&gt;134.6995&lt;/D&gt;&lt;/FQL&gt;&lt;FQL&gt;&lt;Q&gt;SHOP-US^FE_TIMESERIES(EBIT_ADJ,MEAN,2025/2F,,Q,'CURRENCY=USD')&lt;/Q&gt;&lt;R&gt;1&lt;/R&gt;&lt;C&gt;1&lt;/C&gt;&lt;D xsi:type="xsd:double"&gt;428.70016&lt;/D&gt;&lt;/FQL&gt;&lt;FQL&gt;&lt;Q&gt;SHOP-US^FE_TIMESERIES(EBIT_ADJ,MEAN,2023/3F,,Q,'CURRENCY=USD')&lt;/Q&gt;&lt;R&gt;1&lt;/R&gt;&lt;C&gt;1&lt;/C&gt;&lt;D xsi:type="xsd:double"&gt;271.02902&lt;/D&gt;&lt;/FQL&gt;&lt;FQL&gt;&lt;Q&gt;SHOP-US^FE_TIMESERIES(EBIT_ADJ,MEAN,2021/3F,,Q,'CURRENCY=USD')&lt;/Q&gt;&lt;R&gt;1&lt;/R&gt;&lt;C&gt;1&lt;/C&gt;&lt;D xsi:type="xsd:double"&gt;140.16113&lt;/D&gt;&lt;/FQL&gt;&lt;FQL&gt;&lt;Q&gt;SHOP-US^FE_TIMESERIES(EBITR,MEAN,2025/4F,,Q,'CURRENCY=USD')&lt;/Q&gt;&lt;R&gt;1&lt;/R&gt;&lt;C&gt;1&lt;/C&gt;&lt;D xsi:type="xsd:double"&gt;563.384&lt;/D&gt;&lt;/FQL&gt;&lt;FQL&gt;&lt;Q&gt;SHOP-US^FE_TIMESERIES(EBITR,MEAN,2024/1F,,Q,'CURRENCY=USD')&lt;/Q&gt;&lt;R&gt;1&lt;/R&gt;&lt;C&gt;1&lt;/C&gt;&lt;D xsi:type="xsd:double"&gt;86&lt;/D&gt;&lt;/FQL&gt;&lt;FQL&gt;&lt;Q&gt;SHOP-US^FE_TIMESERIES(EBITR,MEAN,2022/2F,,Q,'CURRENCY=USD')&lt;/Q&gt;&lt;R&gt;1&lt;/R&gt;&lt;C&gt;1&lt;/C&gt;&lt;D xsi:type="xsd:double"&gt;-190.1491&lt;/D&gt;&lt;/FQL&gt;&lt;FQL&gt;&lt;Q&gt;SHOP-US^FE_TIMESERIES(EBITR,MEAN,2020/3F,,Q,'CURRENCY=USD')&lt;/Q&gt;&lt;R&gt;1&lt;/R&gt;&lt;C&gt;1&lt;/C&gt;&lt;D xsi:type="xsd:double"&gt;50.561&lt;/D&gt;&lt;/FQL&gt;&lt;FQL&gt;&lt;Q&gt;SHOP-US^FE_TIMESERIES(GROSSINCOME,MEAN,2024/3F,,Q,'CURRENCY=USD')&lt;/Q&gt;&lt;R&gt;1&lt;/R&gt;&lt;C&gt;1&lt;/C&gt;&lt;D xsi:type="xsd:double"&gt;1120.2693&lt;/D&gt;&lt;/FQL&gt;&lt;FQL&gt;&lt;Q&gt;SHOP-US^FE_TIMESERIES(GROSSINCOME,MEAN,2022/4F,,Q,'CURRENCY=USD')&lt;/Q&gt;&lt;R&gt;1&lt;/R&gt;&lt;C&gt;1&lt;/C&gt;&lt;D xsi:type="xsd:double"&gt;812.59644&lt;/D&gt;&lt;/FQL&gt;&lt;FQL&gt;&lt;Q&gt;SHOP-US^FE_TIMESERIES(GROSSINCOME,MEAN,2021/1F,,Q,'CURRENCY=USD')&lt;/Q&gt;&lt;R&gt;1&lt;/R&gt;&lt;C&gt;1&lt;/C&gt;&lt;D xsi:type="xsd:double"&gt;562.9237&lt;/D&gt;&lt;/FQL&gt;&lt;FQL&gt;&lt;Q&gt;SHOP-US^FE_TIMESERIES(PRODLINE_SALES_2,MEAN,2025/2F,,Q,'CURRENCY=USD')&lt;/Q&gt;&lt;R&gt;1&lt;/R&gt;&lt;C&gt;1&lt;/C&gt;&lt;D xsi:type="xsd:double"&gt;1848.4647&lt;/D&gt;&lt;/FQL&gt;&lt;FQL&gt;&lt;Q&gt;SHOP-US^FE_TIMESERIES(PRODLINE_SALES_2,MEAN,2023/3F,,Q,'CURRENCY=USD')&lt;/Q&gt;&lt;R&gt;1&lt;/R&gt;&lt;C&gt;1&lt;/C&gt;&lt;D xsi:type="xsd:double"&gt;1228&lt;/D&gt;&lt;/FQL&gt;&lt;FQL&gt;&lt;Q&gt;SHOP-US^FE_TIMESERIES(PRODLINE_SALES_2,MEAN,2021/3F,,Q,'CURRENCY=USD')&lt;/Q&gt;&lt;R&gt;1&lt;/R&gt;&lt;C&gt;1&lt;/C&gt;&lt;D xsi:type="xsd:double"&gt;787.532&lt;/D&gt;&lt;/FQL&gt;&lt;FQL&gt;&lt;Q&gt;SHOP-US^FE_TIMESERIES(PRODLINE_SALES_1,MEAN,2025/4F,,Q,'CURRENCY=USD')&lt;/Q&gt;&lt;R&gt;1&lt;/R&gt;&lt;C&gt;1&lt;/C&gt;&lt;D xsi:type="xsd:double"&gt;759.7652&lt;/D&gt;&lt;/FQL&gt;&lt;FQL&gt;&lt;Q&gt;SHOP-US^FE_TIMESERIES(PRODLINE_SALES_1,MEAN,2024/1F,,Q,'CURRENCY=USD')&lt;/Q&gt;&lt;R&gt;1&lt;/R&gt;&lt;C&gt;1&lt;/C&gt;&lt;D xsi:type="xsd:double"&gt;511&lt;/D&gt;&lt;/FQL&gt;&lt;FQL&gt;&lt;Q&gt;SHOP-US^FE_TIMESERIES(PRODLINE_SALES_1,MEAN,2022/2F,,Q,'CURRENCY=USD')&lt;/Q&gt;&lt;R&gt;1&lt;/R&gt;&lt;C&gt;1&lt;/C&gt;&lt;D xsi:type="xsd:double"&gt;366.443&lt;/D&gt;&lt;/FQL&gt;&lt;FQL&gt;&lt;Q&gt;SHOP-US^FE_TIMESERIES(PRODLINE_SALES_1,MEAN,2020/3F,,Q,'CURRENCY=USD')&lt;/Q&gt;&lt;R&gt;1&lt;/R&gt;&lt;C&gt;1&lt;/C&gt;&lt;D xsi:type="xsd:double"&gt;245.274&lt;/D&gt;&lt;/FQL&gt;&lt;FQL&gt;&lt;Q&gt;SHOP-US^FE_TIMESERIES(SALES,MEAN,2022/4F,,Q,'CURRENCY=USD')&lt;/Q&gt;&lt;R&gt;1&lt;/R&gt;&lt;C&gt;1&lt;/C&gt;&lt;D xsi:type="xsd:double"&gt;1734.978&lt;/D&gt;&lt;/FQL&gt;&lt;FQL&gt;&lt;Q&gt;SHOP-US^FE_TIMESERIES(SALES,MEAN,2021/1F,,Q,'CURRENCY=USD')&lt;/Q&gt;&lt;R&gt;1&lt;/R&gt;&lt;C&gt;1&lt;/C&gt;&lt;D xsi:type="xsd:double"&gt;988.647&lt;/D&gt;&lt;/FQL&gt;&lt;FQL&gt;&lt;Q&gt;SHOP-US^FE_TIMESERIES(GMV,MEAN,2025/2F,,Q,'CURRENCY=USD')&lt;/Q&gt;&lt;R&gt;1&lt;/R&gt;&lt;C&gt;1&lt;/C&gt;&lt;D xsi:type="xsd:double"&gt;81665.945&lt;/D&gt;&lt;/FQL&gt;&lt;FQL&gt;&lt;Q&gt;SHOP-US^FE_ESTIMATE(SALES,MEAN,QTR_ROLL,2024/1F,NOW,,,'')&lt;/Q&gt;&lt;R&gt;1&lt;/R&gt;&lt;C&gt;1&lt;/C&gt;&lt;D xsi:type="xsd:double"&gt;1861&lt;/D&gt;&lt;/FQL&gt;&lt;FQL&gt;&lt;Q&gt;SHOP-US^FE_TIMESERIES(FCF,MEAN,2022/4F,,Q,'CURRENCY=USD')&lt;/Q&gt;&lt;R&gt;1&lt;/R&gt;&lt;C&gt;1&lt;/C&gt;&lt;D xsi:type="xsd:double"&gt;220.33885&lt;/D&gt;&lt;/FQL&gt;&lt;FQL&gt;&lt;Q&gt;SHOP-US^FE_TIMESERIES(EAG,MEAN,2025/1F,,Q,'CURRENCY=USD')&lt;/Q&gt;&lt;R&gt;1&lt;/R&gt;&lt;C&gt;1&lt;/C&gt;&lt;D xsi:type="xsd:double"&gt;0.1920025&lt;/D&gt;&lt;/FQL&gt;&lt;FQL&gt;&lt;Q&gt;SHOP-US^FE_TIMESERIES(EPS,MEAN,2025/1F,,Q,'CURRENCY=USD')&lt;/Q&gt;&lt;R&gt;1&lt;/R&gt;&lt;C&gt;1&lt;/C&gt;&lt;D xsi:type="xsd:double"&gt;0.27411988&lt;/D&gt;&lt;/FQL&gt;&lt;FQL&gt;&lt;Q&gt;SHOP-US^FE_TIMESERIES(EBIT_ADJ,MEAN,2024/4F,,Q,'CURRENCY=USD')&lt;/Q&gt;&lt;R&gt;1&lt;/R&gt;&lt;C&gt;1&lt;/C&gt;&lt;D xsi:type="xsd:double"&gt;550.71295&lt;/D&gt;&lt;/FQL&gt;&lt;FQL&gt;&lt;Q&gt;SHOP-US^FE_TIMESERIES(GMV,MEAN,2024/4F,,Q,'CURRENCY=USD')&lt;/Q&gt;&lt;R&gt;1&lt;/R&gt;&lt;C&gt;1&lt;/C&gt;&lt;D xsi:type="xsd:double"&gt;92277.09&lt;/D&gt;&lt;/FQL&gt;&lt;FQL&gt;&lt;Q&gt;SHOP-US^FE_ESTIMATE(SALES,MEAN,QTR,2024/1F,NOW,,,'')&lt;/Q&gt;&lt;R&gt;1&lt;/R&gt;&lt;C&gt;1&lt;/C&gt;&lt;D xsi:type="xsd:double"&gt;1861&lt;/D&gt;&lt;/FQL&gt;&lt;FQL&gt;&lt;Q&gt;SHOP-US^FE_ESTIMATE(SALES,MEAN,QTR,2024/4F,NOW,,,'')&lt;/Q&gt;&lt;R&gt;1&lt;/R&gt;&lt;C&gt;1&lt;/C&gt;&lt;D xsi:type="xsd:double"&gt;2725.7952&lt;/D&gt;&lt;/FQL&gt;&lt;FQL&gt;&lt;Q&gt;SHOP-US^FE_ESTIMATE(NETBG,MEAN,QTR,2025/1F,NOW,,,'')&lt;/Q&gt;&lt;R&gt;1&lt;/R&gt;&lt;C&gt;1&lt;/C&gt;&lt;D xsi:type="xsd:double"&gt;349.9797&lt;/D&gt;&lt;/FQL&gt;&lt;FQL&gt;&lt;Q&gt;SHOP-US^FE_ESTIMATE(GMV,MEAN,QTR,2025/4F,NOW,,,'')&lt;/Q&gt;&lt;R&gt;1&lt;/R&gt;&lt;C&gt;1&lt;/C&gt;&lt;D xsi:type="xsd:double"&gt;107817.516&lt;/D&gt;&lt;/FQL&gt;&lt;FQL&gt;&lt;Q&gt;SHOP-US^FE_ESTIMATE(GMV,MEAN,QTR,2026/2F,NOW,,,'')&lt;/Q&gt;&lt;R&gt;1&lt;/R&gt;&lt;C&gt;1&lt;/C&gt;&lt;D xsi:type="xsd:double"&gt;98876.1&lt;/D&gt;&lt;/FQL&gt;&lt;FQL&gt;&lt;Q&gt;SHOP-US^FE_ESTIMATE(PRODLINE_SALES_2,MEAN,QTR,2026/4F,NOW,,,'')&lt;/Q&gt;&lt;R&gt;1&lt;/R&gt;&lt;C&gt;1&lt;/C&gt;&lt;D xsi:type="xsd:double"&gt;3025.4333&lt;/D&gt;&lt;/FQL&gt;&lt;FQL&gt;&lt;Q&gt;SHOP-US^FE_ESTIMATE(SALES,MEAN,QTR,2027/1F,NOW,,,'')&lt;/Q&gt;&lt;R&gt;1&lt;/R&gt;&lt;C&gt;1&lt;/C&gt;&lt;D xsi:type="xsd:double"&gt;3549&lt;/D&gt;&lt;/FQL&gt;&lt;FQL&gt;&lt;Q&gt;SHOP-US^FE_ESTIMATE(NETBG,MEAN,QTR,2027/3F,NOW,,,'')&lt;/Q&gt;&lt;R&gt;1&lt;/R&gt;&lt;C&gt;1&lt;/C&gt;&lt;D xsi:type="xsd:double"&gt;880&lt;/D&gt;&lt;/FQL&gt;&lt;FQL&gt;&lt;Q&gt;SHOP-US^FE_TIMESERIES(EBITR,MEAN,2025,,Y,'CURRENCY=USD')&lt;/Q&gt;&lt;R&gt;1&lt;/R&gt;&lt;C&gt;1&lt;/C&gt;&lt;D xsi:type="xsd:double"&gt;1496.0663&lt;/D&gt;&lt;/FQL&gt;&lt;FQL&gt;&lt;Q&gt;SHOP-US^FE_TIMESERIES(GROSSINCOME,MEAN,2025,,Y,'CURRENCY=USD')&lt;/Q&gt;&lt;R&gt;1&lt;/R&gt;&lt;C&gt;1&lt;/C&gt;&lt;D xsi:type="xsd:double"&gt;5417.8647&lt;/D&gt;&lt;/FQL&gt;&lt;FQL&gt;&lt;Q&gt;SHOP-US^FE_TIMESERIES(PRODLINE_SALES_1,MEAN,2025,,Y,'CURRENCY=USD')&lt;/Q&gt;&lt;R&gt;1&lt;/R&gt;&lt;C&gt;1&lt;/C&gt;&lt;D xsi:type="xsd:double"&gt;2769.6775&lt;/D&gt;&lt;/FQL&gt;&lt;FQL&gt;&lt;Q&gt;SHOP-US^FE_TIMESERIES(SALES,MEAN,2025,,Y,'CURRENCY=USD')&lt;/Q&gt;&lt;R&gt;1&lt;/R&gt;&lt;C&gt;1&lt;/C&gt;&lt;D xsi:type="xsd:double"&gt;10858.165&lt;/D&gt;&lt;/FQL&gt;&lt;FQL&gt;&lt;Q&gt;SHOP-US^FE_TIMESERIES(DEPR_AMORT,MEAN,2025/2F,,Q,'CURRENCY=USD')&lt;/Q&gt;&lt;R&gt;1&lt;/R&gt;&lt;C&gt;1&lt;/C&gt;&lt;D xsi:type="xsd:double"&gt;14.295834&lt;/D&gt;&lt;/FQL&gt;&lt;FQL&gt;&lt;Q&gt;SHOP-US^FE_TIMESERIES(DEPR_AMORT,MEAN,2023/2F,,Q,'CURRENCY=USD')&lt;/Q&gt;&lt;R&gt;1&lt;/R&gt;&lt;C&gt;1&lt;/C&gt;&lt;D xsi:type="xsd:double"&gt;17&lt;/D&gt;&lt;/FQL&gt;&lt;FQL&gt;&lt;Q&gt;SHOP-US^FE_TIMESERIES(FCF,MEAN,2025/2F,,Q,'CURRENCY=USD')&lt;/Q&gt;&lt;R&gt;1&lt;/R&gt;&lt;C&gt;1&lt;/C&gt;&lt;D xsi:type="xsd:double"&gt;410.5688&lt;/D&gt;&lt;/FQL&gt;&lt;FQL&gt;&lt;Q&gt;SHOP-US^FE_TIMESERIES(FCF,MEAN,2023/2F,,Q,'CURRENCY=USD')&lt;/Q&gt;&lt;R&gt;1&lt;/R&gt;&lt;C&gt;1&lt;/C&gt;&lt;D xsi:type="xsd:double"&gt;81.25&lt;/D&gt;&lt;/FQL&gt;&lt;FQL&gt;&lt;Q&gt;SHOP-US^FE_TIMESERIES(CAPEX,MEAN,2025/2F,,Q,'CURRENCY=USD')&lt;/Q&gt;&lt;R&gt;1&lt;/R&gt;&lt;C&gt;1&lt;/C&gt;&lt;D xsi:type="xsd:double"&gt;6.9049&lt;/D&gt;&lt;/FQL&gt;&lt;FQL&gt;&lt;Q&gt;SHOP-US^FE_TIMESERIES(CAPEX,MEAN,2023/2F,,Q,'CURRENCY=USD')&lt;/Q&gt;&lt;R&gt;1&lt;/R&gt;&lt;C&gt;1&lt;/C&gt;&lt;D xsi:type="xsd:double"&gt;21&lt;/D&gt;&lt;/FQL&gt;&lt;FQL&gt;&lt;Q&gt;SHOP-US^FE_TIMESERIES(CFO,MEAN,2025/2F,,Q,'CURRENCY=USD')&lt;/Q&gt;&lt;R&gt;1&lt;/R&gt;&lt;C&gt;1&lt;/C&gt;&lt;D xsi:type="xsd:double"&gt;415.0102&lt;/D&gt;&lt;/FQL&gt;&lt;FQL&gt;&lt;Q&gt;SHOP-US^FE_TIMESERIES(CFO,MEAN,2023/2F,,Q,'CURRENCY=USD')&lt;/Q&gt;&lt;R&gt;1&lt;/R&gt;&lt;C&gt;1&lt;/C&gt;&lt;D xsi:type="xsd:double"&gt;118&lt;/D&gt;&lt;/FQL&gt;&lt;FQL&gt;&lt;Q&gt;SHOP-US^FE_TIMESERIES(EAG,MEAN,2025/2F,,Q,'CURRENCY=USD')&lt;/Q&gt;&lt;R&gt;1&lt;/R&gt;&lt;C&gt;1&lt;/C&gt;&lt;D xsi:type="xsd:double"&gt;0.252757&lt;/D&gt;&lt;/FQL&gt;&lt;FQL&gt;&lt;Q&gt;SHOP-US^FE_TIMESERIES(EAG,MEAN,2023/2F,,Q,'CURRENCY=USD')&lt;/Q&gt;&lt;R&gt;1&lt;/R&gt;&lt;C&gt;1&lt;/C&gt;&lt;D xsi:type="xsd:double"&gt;-1.01&lt;/D&gt;&lt;/FQL&gt;&lt;FQL&gt;&lt;Q&gt;SHOP-US^FE_TIMESERIES(EPS,MEAN,2025/2F,,Q,'CURRENCY=USD')&lt;/Q&gt;&lt;R&gt;1&lt;/R&gt;&lt;C&gt;1&lt;/C&gt;&lt;D xsi:type="xsd:double"&gt;0.33338046&lt;/D&gt;&lt;/FQL&gt;&lt;FQL&gt;&lt;Q&gt;SHOP-US^FE_TIMESERIES(EPS,MEAN,2023/2F,,Q,'CURRENCY=USD')&lt;/Q&gt;&lt;R&gt;1&lt;/R&gt;&lt;C&gt;1&lt;/C&gt;&lt;D xsi:type="xsd:double"&gt;0.14&lt;/D&gt;&lt;/FQL&gt;&lt;FQL&gt;&lt;Q&gt;SHOP-US^FE_TIMESERIES(NETPROFIT,MEAN,2025/2F,,Q,'CURRENCY=USD')&lt;/Q&gt;&lt;R&gt;1&lt;/R&gt;&lt;C&gt;1&lt;/C&gt;&lt;D xsi:type="xsd:double"&gt;422.08337&lt;/D&gt;&lt;/FQL&gt;&lt;FQL&gt;&lt;Q&gt;SHOP-US^FE_TIMESERIES(NETPROFIT,MEAN,2023/2F,,Q,'CURRENCY=USD')&lt;/Q&gt;&lt;R&gt;1&lt;/R&gt;&lt;C&gt;1&lt;/C&gt;&lt;D xsi:type="xsd:double"&gt;178&lt;/D&gt;&lt;/FQL&gt;&lt;FQL&gt;&lt;Q&gt;SHOP-US^FE_TIMESERIES(EBITDA_ADJ,MEAN,2020/2F,,Q,'CURRENCY=USD')&lt;/Q&gt;&lt;R&gt;1&lt;/R&gt;&lt;C&gt;1&lt;/C&gt;&lt;D xsi:type="xsd:double"&gt;131.75458&lt;/D&gt;&lt;/FQL&gt;&lt;FQL&gt;&lt;Q&gt;SHOP-US^FE_TIMESERIES(EBIT_ADJ,MEAN,2023/2F,,Q,'CURRENCY=USD')&lt;/Q&gt;&lt;R&gt;1&lt;/R&gt;&lt;C&gt;1&lt;/C&gt;&lt;D xsi:type="xsd:double"&gt;146&lt;/D&gt;&lt;/FQL&gt;&lt;FQL&gt;&lt;Q&gt;SHOP-US^FE_TIMESERIES(EBITR,MEAN,2020/2F,,Q,'CURRENCY=USD')&lt;/Q&gt;&lt;R&gt;1&lt;/R&gt;&lt;C&gt;1&lt;/C&gt;&lt;D xsi:type="xsd:double"&gt;0.284&lt;/D&gt;&lt;/FQL&gt;&lt;FQL&gt;&lt;Q&gt;SHOP-US^FE_TIMESERIES(PRODLINE_SALES_2,MEAN,2023/2F,,Q,'CURRENCY=USD')&lt;/Q&gt;&lt;R&gt;1&lt;/R&gt;&lt;C&gt;1&lt;/C&gt;&lt;D xsi:type="xsd:double"&gt;1250&lt;/D&gt;&lt;/FQL&gt;&lt;FQL&gt;&lt;Q&gt;SHOP-US^FE_TIMESERIES(PRODLINE_SALES_1,MEAN,2020/2F,,Q,'CURRENCY=USD')&lt;/Q&gt;&lt;R&gt;1&lt;/R&gt;&lt;C&gt;1&lt;/C&gt;&lt;D xsi:type="xsd:double"&gt;196.434&lt;/D&gt;&lt;/FQL&gt;&lt;FQL&gt;&lt;Q&gt;SHOP-US^FE_TIMESERIES(GMV,MEAN,2023/2F,,Q,'CURRENCY=USD')&lt;/Q&gt;&lt;R&gt;1&lt;/R&gt;&lt;C&gt;1&lt;/C&gt;&lt;D xsi:type="xsd:double"&gt;55012&lt;/D&gt;&lt;/FQL&gt;&lt;FQL&gt;&lt;Q&gt;SHOP-US^FE_ESTIMATE(SPEC_GROSS_1,MEAN,QTR,2024/1F,NOW,,,'')&lt;/Q&gt;&lt;R&gt;1&lt;/R&gt;&lt;C&gt;1&lt;/C&gt;&lt;D xsi:type="xsd:double"&gt;151&lt;/D&gt;&lt;/FQL&gt;&lt;FQL&gt;&lt;Q&gt;SHOP-US^FE_ESTIMATE(CUSTOM_EPS,MEAN,QTR,2024/1F,NOW,,,'')&lt;/Q&gt;&lt;R&gt;1&lt;/R&gt;&lt;C&gt;1&lt;/C&gt;&lt;D xsi:type="xsd:double"&gt;0.2&lt;/D&gt;&lt;/FQL&gt;&lt;FQL&gt;&lt;Q&gt;SHOP-US^FE_ESTIMATE(PRODLINE_SALES_1,MEAN,QTR,2024/2F,NOW,,,'')&lt;/Q&gt;&lt;R&gt;1&lt;/R&gt;&lt;C&gt;1&lt;/C&gt;&lt;D xsi:type="xsd:double"&gt;563&lt;/D&gt;&lt;/FQL&gt;&lt;FQL&gt;&lt;Q&gt;SHOP-US^FE_ESTIMATE(EAG,MEAN,QTR,2024/2F,NOW,,,'')&lt;/Q&gt;&lt;R&gt;1&lt;/R&gt;&lt;C&gt;1&lt;/C&gt;&lt;D xsi:type="xsd:double"&gt;0.13&lt;/D&gt;&lt;/FQL&gt;&lt;FQL&gt;&lt;Q&gt;SHOP-US^FE_ESTIMATE(EBITDA_ADJ,MEAN,QTR,2024/3F,NOW,,,'')&lt;/Q&gt;&lt;R&gt;1&lt;/R&gt;&lt;C&gt;1&lt;/C&gt;&lt;D xsi:type="xsd:double"&gt;405.69232&lt;/D&gt;&lt;/FQL&gt;&lt;FQL&gt;&lt;Q&gt;SHOP-US^FE_ESTIMATE(SPEC_GROSS_1,MEAN,QTR,2024/4F,NOW,,,'')&lt;/Q&gt;&lt;R&gt;1&lt;/R&gt;&lt;C&gt;1&lt;/C&gt;&lt;D xsi:type="xsd:double"&gt;181.75308&lt;/D&gt;&lt;/FQL&gt;&lt;FQL&gt;&lt;Q&gt;SHOP-US^FE_ESTIMATE(CUSTOM_EPS,MEAN,QTR,2024/4F,NOW,,,'')&lt;/Q&gt;&lt;R&gt;1&lt;/R&gt;&lt;C&gt;1&lt;/C&gt;&lt;D xsi:type="xsd:double"&gt;0.42742747&lt;/D&gt;&lt;/FQL&gt;&lt;FQL&gt;&lt;Q&gt;SHOP-US^FE_ESTIMATE(PRODLINE_SALES_1,MEAN,ANNUAL_ROLL,2024,NOW,,,'')&lt;/Q&gt;&lt;R&gt;1&lt;/R&gt;&lt;C&gt;1&lt;/C&gt;&lt;D xsi:type="xsd:double"&gt;2330.2126&lt;/D&gt;&lt;/FQL&gt;&lt;FQL&gt;&lt;Q&gt;SHOP-US^FE_ESTIMATE(EAG,MEAN,ANNUAL_ROLL,2024,NOW,,,'')&lt;/Q&gt;&lt;R&gt;1&lt;/R&gt;&lt;C&gt;1&lt;/C&gt;&lt;D xsi:type="xsd:double"&gt;0.90200496&lt;/D&gt;&lt;/FQL&gt;&lt;FQL&gt;&lt;Q&gt;SHOP-US^FE_ESTIMATE(EBITDA_ADJ,MEAN,QTR,2025/1F,NOW,,,'')&lt;/Q&gt;&lt;R&gt;1&lt;/R&gt;&lt;C&gt;1&lt;/C&gt;&lt;D xsi:type="xsd:double"&gt;345.72888&lt;/D&gt;&lt;/FQL&gt;&lt;FQL&gt;&lt;Q&gt;SHOP-US^FE_ESTIMATE(SPEC_GROSS_1,MEAN,QTR,2025/2F,NOW,,,'')&lt;/Q&gt;&lt;R&gt;1&lt;/R&gt;&lt;C&gt;1&lt;/C&gt;&lt;D xsi:type="xsd:double"&gt;202.34143&lt;/D&gt;&lt;/FQL&gt;&lt;FQL&gt;&lt;Q&gt;SHOP-US^FE_ESTIMATE(CUSTOM_EPS,MEAN,QTR,2025/2F,NOW,,,'')&lt;/Q&gt;&lt;R&gt;1&lt;/R&gt;&lt;C&gt;1&lt;/C&gt;&lt;D xsi:type="xsd:double"&gt;0.33338046&lt;/D&gt;&lt;/FQL&gt;&lt;FQL&gt;&lt;Q&gt;SHOP-US^FE_ESTIMATE(PRODLINE_SALES_1,MEAN,QTR,2025/3F,NOW,,,'')&lt;/Q&gt;&lt;R&gt;1&lt;/R&gt;&lt;C&gt;1&lt;/C&gt;&lt;D xsi:type="xsd:double"&gt;711.474&lt;/D&gt;&lt;/FQL&gt;&lt;FQL&gt;&lt;Q&gt;SHOP-US^FE_ESTIMATE(EAG,MEAN,QTR,2025/3F,NOW,,,'')&lt;/Q&gt;&lt;R&gt;1&lt;/R&gt;&lt;C&gt;1&lt;/C&gt;&lt;D xsi:type="xsd:double"&gt;0.29405507&lt;/D&gt;&lt;/FQL&gt;&lt;FQL&gt;&lt;Q&gt;SHOP-US^FE_ESTIMATE(EBITDA_ADJ,MEAN,QTR,2025/4F,NOW,,,'')&lt;/Q&gt;&lt;R&gt;1&lt;/R&gt;&lt;C&gt;1&lt;/C&gt;&lt;D xsi:type="xsd:double"&gt;716.18854&lt;/D&gt;&lt;/FQL&gt;&lt;FQL&gt;&lt;Q&gt;SHOP-US^FE_ESTIMATE(SPEC_GROSS_1,MEAN,ANNUAL_ROLL,2025,NOW,,,'')&lt;/Q&gt;&lt;R&gt;1&lt;/R&gt;&lt;C&gt;1&lt;/C&gt;&lt;D xsi:type="xsd:double"&gt;208.3801&lt;/D&gt;&lt;/FQL&gt;&lt;FQL&gt;&lt;Q&gt;SHOP-US^FE_ESTIMATE(CUSTOM_EPS,MEAN,ANNUAL_ROLL,2025,NOW,,,'')&lt;/Q&gt;&lt;R&gt;1&lt;/R&gt;&lt;C&gt;1&lt;/C&gt;&lt;D xsi:type="xsd:double"&gt;1.5340447&lt;/D&gt;&lt;/FQL&gt;&lt;FQL&gt;&lt;Q&gt;SHOP-US^FE_ESTIMATE(PRODLINE_SALES_1,MEAN,QTR,2026/1F,NOW,,,'')&lt;/Q&gt;&lt;R&gt;1&lt;/R&gt;&lt;C&gt;1&lt;/C&gt;&lt;D xsi:type="xsd:double"&gt;749.4497&lt;/D&gt;&lt;/FQL&gt;&lt;FQL&gt;&lt;Q&gt;SHOP-US^FE_ESTIMATE(EAG,MEAN,QTR,2026/1F,NOW,,,'')&lt;/Q&gt;&lt;R&gt;1&lt;/R&gt;&lt;C&gt;1&lt;/C&gt;&lt;D xsi:type="xsd:double"&gt;0.2862062&lt;/D&gt;&lt;/FQL&gt;&lt;FQL&gt;&lt;Q&gt;SHOP-US^FE_ESTIMATE(EBITDA_ADJ,MEAN,QTR,2026/2F,NOW,,,'')&lt;/Q&gt;&lt;R&gt;1&lt;/R&gt;&lt;C&gt;1&lt;/C&gt;&lt;D xsi:type="xsd:double"&gt;578.6324&lt;/D&gt;&lt;/FQL&gt;&lt;FQL&gt;&lt;Q&gt;SHOP-US^FE_ESTIMATE(SPEC_GROSS_1,MEAN,QTR,2026/3F,NOW,,,'')&lt;/Q&gt;&lt;R&gt;1&lt;/R&gt;&lt;C&gt;1&lt;/C&gt;&lt;D xsi:type="xsd:double"&gt;233.6&lt;/D&gt;&lt;/FQL&gt;&lt;FQL&gt;&lt;Q&gt;SHOP-US^FE_ESTIMATE(CUSTOM_EPS,MEAN,QTR,2026/3F,NOW,,,'')&lt;/Q&gt;&lt;R&gt;1&lt;/R&gt;&lt;C&gt;1&lt;/C&gt;&lt;D xsi:type="xsd:double"&gt;0.48378876&lt;/D&gt;&lt;/FQL&gt;&lt;FQL&gt;&lt;Q&gt;SHOP-US^FE_ESTIMATE(PRODLINE_SALES_1,MEAN,QTR,2026/4F,NOW,,,'')&lt;/Q&gt;&lt;R&gt;1&lt;/R&gt;&lt;C&gt;1&lt;/C&gt;&lt;D xsi:type="xsd:double"&gt;916.15&lt;/D&gt;&lt;/FQL&gt;&lt;FQL&gt;&lt;Q&gt;SHOP-US^FE_ESTIMATE(EAG,MEAN,QTR,2026/4F,NOW,,,'')&lt;/Q&gt;&lt;R&gt;1&lt;/R&gt;&lt;C&gt;1&lt;/C&gt;&lt;D xsi:type="xsd:double"&gt;0.6352626&lt;/D&gt;&lt;/FQL&gt;&lt;FQL&gt;&lt;Q&gt;SHOP-US^FE_ESTIMATE(EBITDA_ADJ,MEAN,ANNUAL_ROLL,2026,NOW,,,'')&lt;/Q&gt;&lt;R&gt;1&lt;/R&gt;&lt;C&gt;1&lt;/C&gt;&lt;D xsi:type="xsd:double"&gt;2602.1292&lt;/D&gt;&lt;/FQL&gt;&lt;FQL&gt;&lt;Q&gt;SHOP-US^FE_ESTIMATE(SPEC_GROSS_1,MEAN,QTR,2027/1F,NOW,,,'')&lt;/Q&gt;&lt;R&gt;0&lt;/R&gt;&lt;C&gt;0&lt;/C&gt;&lt;/FQL&gt;&lt;FQL&gt;&lt;Q&gt;SHOP-US^FE_ESTIMATE(CUSTOM_EPS,MEAN,QTR,2027/1F,NOW,,,'')&lt;/Q&gt;&lt;R&gt;1&lt;/R&gt;&lt;C&gt;1&lt;/C&gt;&lt;D xsi:type="xsd:double"&gt;0.47&lt;/D&gt;&lt;/FQL&gt;&lt;FQL&gt;&lt;Q&gt;SHOP-US^FE_ESTIMATE(PRODLINE_SALES_1,MEAN,QTR,2027/2F,NOW,,,'')&lt;/Q&gt;&lt;R&gt;1&lt;/R&gt;&lt;C&gt;1&lt;/C&gt;&lt;D xsi:type="xsd:double"&gt;953&lt;/D&gt;&lt;/FQL&gt;&lt;FQL&gt;&lt;Q&gt;SHOP-US^FE_ESTIMATE(EAG,MEAN,QTR,2027/2F,NOW,,,'')&lt;/Q&gt;&lt;R&gt;0&lt;/R&gt;&lt;C&gt;0&lt;/C&gt;&lt;/FQL&gt;&lt;FQL&gt;&lt;Q&gt;SHOP-US^FE_ESTIMATE(EBITDA_ADJ,MEAN,QTR,2027/3F,NOW,,,'')&lt;/Q&gt;&lt;R&gt;1&lt;/R&gt;&lt;C&gt;1&lt;/C&gt;&lt;D xsi:type="xsd:double"&gt;902&lt;/D&gt;&lt;/FQL&gt;&lt;FQL&gt;&lt;Q&gt;SHOP-US^FE_ESTIMATE(SPEC_GROSS_1,MEAN,QTR,2027/4F,NOW,,,'')&lt;/Q&gt;&lt;R&gt;0&lt;/R&gt;&lt;C&gt;0&lt;/C&gt;&lt;/FQL&gt;&lt;FQL&gt;&lt;Q&gt;SHOP-US^FE_ESTIMATE(CUSTOM_EPS,MEAN,QTR,2027/4F,NOW,,,'')&lt;/Q&gt;&lt;R&gt;1&lt;/R&gt;&lt;C&gt;1&lt;/C&gt;&lt;D xsi:type="xsd:double"&gt;1.04&lt;/D&gt;&lt;/FQL&gt;&lt;FQL&gt;&lt;Q&gt;SHOP-US^FE_ESTIMATE(PRODLINE_SALES_1,MEAN,ANNUAL_ROLL,2027,NOW,,,'')&lt;/Q&gt;&lt;R&gt;1&lt;/R&gt;&lt;C&gt;1&lt;/C&gt;&lt;D xsi:type="xsd:double"&gt;3739.4333&lt;/D&gt;&lt;/FQL&gt;&lt;FQL&gt;&lt;Q&gt;SHOP-US^FE_ESTIMATE(EAG,MEAN,ANNUAL_ROLL,2027,NOW,,,'')&lt;/Q&gt;&lt;R&gt;1&lt;/R&gt;&lt;C&gt;1&lt;/C&gt;&lt;D xsi:type="xsd:double"&gt;2.230065&lt;/D&gt;&lt;/FQL&gt;&lt;FQL&gt;&lt;Q&gt;SHOP-US^FE_TIMESERIES(NETPROFIT,MEAN,2023/1F,,Q,'CURRENCY=USD')&lt;/Q&gt;&lt;R&gt;1&lt;/R&gt;&lt;C&gt;1&lt;/C&gt;&lt;D xsi:type="xsd:double"&gt;12&lt;/D&gt;&lt;/FQL&gt;&lt;FQL&gt;&lt;Q&gt;SHOP-US^</t>
        </r>
      </text>
    </comment>
    <comment ref="A2" authorId="0" shapeId="0" xr:uid="{2A3EF881-B8E0-44AF-AFEB-0C47F6BC3A44}">
      <text>
        <r>
          <rPr>
            <b/>
            <sz val="9"/>
            <color indexed="81"/>
            <rFont val="Tahoma"/>
            <family val="2"/>
          </rPr>
          <t>FE_TIMESERIES(NETPROFIT,MEAN,2021/2F,,Q,'CURRENCY=USD')&lt;/Q&gt;&lt;R&gt;1&lt;/R&gt;&lt;C&gt;1&lt;/C&gt;&lt;D xsi:type="xsd:double"&gt;284.614&lt;/D&gt;&lt;/FQL&gt;&lt;FQL&gt;&lt;Q&gt;SHOP-US^FE_TIMESERIES(EBITDA_ADJ,MEAN,2023/4F,,Q,'CURRENCY=USD')&lt;/Q&gt;&lt;R&gt;1&lt;/R&gt;&lt;C&gt;1&lt;/C&gt;&lt;D xsi:type="xsd:double"&gt;404&lt;/D&gt;&lt;/FQL&gt;&lt;FQL&gt;&lt;Q&gt;SHOP-US^FE_TIMESERIES(EBITDA_ADJ,MEAN,2022/1F,,Q,'CURRENCY=USD')&lt;/Q&gt;&lt;R&gt;1&lt;/R&gt;&lt;C&gt;1&lt;/C&gt;&lt;D xsi:type="xsd:double"&gt;47.48757&lt;/D&gt;&lt;/FQL&gt;&lt;FQL&gt;&lt;Q&gt;SHOP-US^FE_TIMESERIES(EBITDA_ADJ,MEAN,2020/1F,,Q,'CURRENCY=USD')&lt;/Q&gt;&lt;R&gt;1&lt;/R&gt;&lt;C&gt;1&lt;/C&gt;&lt;D xsi:type="xsd:double"&gt;4.4897&lt;/D&gt;&lt;/FQL&gt;&lt;FQL&gt;&lt;Q&gt;SHOP-US^FE_TIMESERIES(EBITDA_REP,MEAN,2022/3F,,Q,'CURRENCY=USD')&lt;/Q&gt;&lt;R&gt;1&lt;/R&gt;&lt;C&gt;1&lt;/C&gt;&lt;D xsi:type="xsd:double"&gt;-167.596&lt;/D&gt;&lt;/FQL&gt;&lt;FQL&gt;&lt;Q&gt;SHOP-US^FE_TIMESERIES(EBIT_ADJ,MEAN,2025/1F,,Q,'CURRENCY=USD')&lt;/Q&gt;&lt;R&gt;1&lt;/R&gt;&lt;C&gt;1&lt;/C&gt;&lt;D xsi:type="xsd:double"&gt;346.8101&lt;/D&gt;&lt;/FQL&gt;&lt;FQL&gt;&lt;Q&gt;SHOP-US^FE_TIMESERIES(EBIT_ADJ,MEAN,2023/1F,,Q,'CURRENCY=USD')&lt;/Q&gt;&lt;R&gt;1&lt;/R&gt;&lt;C&gt;1&lt;/C&gt;&lt;D xsi:type="xsd:double"&gt;-30.995705&lt;/D&gt;&lt;/FQL&gt;&lt;FQL&gt;&lt;Q&gt;SHOP-US^FE_TIMESERIES(EBITR,MEAN,2025/3F,,Q,'CURRENCY=USD')&lt;/Q&gt;&lt;R&gt;1&lt;/R&gt;&lt;C&gt;1&lt;/C&gt;&lt;D xsi:type="xsd:double"&gt;358.04565&lt;/D&gt;&lt;/FQL&gt;&lt;FQL&gt;&lt;Q&gt;SHOP-US^FE_TIMESERIES(EBITR,MEAN,2023/4F,,Q,'CURRENCY=USD')&lt;/Q&gt;&lt;R&gt;1&lt;/R&gt;&lt;C&gt;1&lt;/C&gt;&lt;D xsi:type="xsd:double"&gt;289&lt;/D&gt;&lt;/FQL&gt;&lt;FQL&gt;&lt;Q&gt;SHOP-US^FE_TIMESERIES(EBITR,MEAN,2020/1F,,Q,'CURRENCY=USD')&lt;/Q&gt;&lt;R&gt;1&lt;/R&gt;&lt;C&gt;1&lt;/C&gt;&lt;D xsi:type="xsd:double"&gt;-73.233&lt;/D&gt;&lt;/FQL&gt;&lt;FQL&gt;&lt;Q&gt;SHOP-US^FE_TIMESERIES(GROSSINCOME,MEAN,2024/2F,,Q,'CURRENCY=USD')&lt;/Q&gt;&lt;R&gt;1&lt;/R&gt;&lt;C&gt;1&lt;/C&gt;&lt;D xsi:type="xsd:double"&gt;1050.3667&lt;/D&gt;&lt;/FQL&gt;&lt;FQL&gt;&lt;Q&gt;SHOP-US^FE_TIMESERIES(GROSSINCOME,MEAN,2020/4F,,Q,'CURRENCY=USD')&lt;/Q&gt;&lt;R&gt;1&lt;/R&gt;&lt;C&gt;1&lt;/C&gt;&lt;D xsi:type="xsd:double"&gt;508.32648&lt;/D&gt;&lt;/FQL&gt;&lt;FQL&gt;&lt;Q&gt;SHOP-US^FE_TIMESERIES(PRODLINE_SALES_2,MEAN,2025/1F,,Q,'CURRENCY=USD')&lt;/Q&gt;&lt;R&gt;1&lt;/R&gt;&lt;C&gt;1&lt;/C&gt;&lt;D xsi:type="xsd:double"&gt;1688.2764&lt;/D&gt;&lt;/FQL&gt;&lt;FQL&gt;&lt;Q&gt;SHOP-US^FE_TIMESERIES(PRODLINE_SALES_2,MEAN,2023/1F,,Q,'CURRENCY=USD')&lt;/Q&gt;&lt;R&gt;1&lt;/R&gt;&lt;C&gt;1&lt;/C&gt;&lt;D xsi:type="xsd:double"&gt;1126&lt;/D&gt;&lt;/FQL&gt;&lt;FQL&gt;&lt;Q&gt;SHOP-US^FE_TIMESERIES(PRODLINE_SALES_1,MEAN,2025/3F,,Q,'CURRENCY=USD')&lt;/Q&gt;&lt;R&gt;1&lt;/R&gt;&lt;C&gt;1&lt;/C&gt;&lt;D xsi:type="xsd:double"&gt;711.474&lt;/D&gt;&lt;/FQL&gt;&lt;FQL&gt;&lt;Q&gt;SHOP-US^FE_TIMESERIES(PRODLINE_SALES_1,MEAN,2023/4F,,Q,'CURRENCY=USD')&lt;/Q&gt;&lt;R&gt;1&lt;/R&gt;&lt;C&gt;1&lt;/C&gt;&lt;D xsi:type="xsd:double"&gt;525&lt;/D&gt;&lt;/FQL&gt;&lt;FQL&gt;&lt;Q&gt;SHOP-US^FE_TIMESERIES(PRODLINE_SALES_1,MEAN,2020/1F,,Q,'CURRENCY=USD')&lt;/Q&gt;&lt;R&gt;1&lt;/R&gt;&lt;C&gt;1&lt;/C&gt;&lt;D xsi:type="xsd:double"&gt;187.609&lt;/D&gt;&lt;/FQL&gt;&lt;FQL&gt;&lt;Q&gt;SHOP-US^FE_TIMESERIES(SALES,MEAN,2022/3F,,Q,'CURRENCY=USD')&lt;/Q&gt;&lt;R&gt;1&lt;/R&gt;&lt;C&gt;1&lt;/C&gt;&lt;D xsi:type="xsd:double"&gt;1366.2&lt;/D&gt;&lt;/FQL&gt;&lt;FQL&gt;&lt;Q&gt;SHOP-US^FE_TIMESERIES(GMV,MEAN,2025/1F,,Q,'CURRENCY=USD')&lt;/Q&gt;&lt;R&gt;1&lt;/R&gt;&lt;C&gt;1&lt;/C&gt;&lt;D xsi:type="xsd:double"&gt;74473.41&lt;/D&gt;&lt;/FQL&gt;&lt;FQL&gt;&lt;Q&gt;SHOP-US^FE_ESTIMATE(SALES,MEAN,QTR_ROLL,2026/3F,NOW,,,'')&lt;/Q&gt;&lt;R&gt;1&lt;/R&gt;&lt;C&gt;1&lt;/C&gt;&lt;D xsi:type="xsd:double"&gt;3153.4597&lt;/D&gt;&lt;/FQL&gt;&lt;FQL&gt;&lt;Q&gt;SHOP-US^FE_ESTIMATE(SALES,MEAN,QTR_ROLL,2025/2F,NOW,,,'')&lt;/Q&gt;&lt;R&gt;1&lt;/R&gt;&lt;C&gt;1&lt;/C&gt;&lt;D xsi:type="xsd:double"&gt;2527.689&lt;/D&gt;&lt;/FQL&gt;&lt;FQL&gt;&lt;Q&gt;SHOP^FE_ESTIMATE(EBITDA_ADJ,MEAN,ANNUAL_ROLL,2026,NOW,,,'')&lt;/Q&gt;&lt;R&gt;1&lt;/R&gt;&lt;C&gt;1&lt;/C&gt;&lt;D xsi:type="xsd:double"&gt;2602.1292&lt;/D&gt;&lt;/FQL&gt;&lt;FQL&gt;&lt;Q&gt;SHOP-US^FE_ACTUAL(ACTUAL,SALES,ANNUAL,2024,,,,'')@FE_ESTIMATE(SALES,MEAN,ANNUAL,2024,NOW,,,'')&lt;/Q&gt;&lt;R&gt;1&lt;/R&gt;&lt;C&gt;1&lt;/C&gt;&lt;D xsi:type="xsd:double"&gt;8799.232&lt;/D&gt;&lt;/FQL&gt;&lt;FQL&gt;&lt;Q&gt;SHOP-US^FE_TIMESERIES(EBITR,MEAN,2024,,Y,'CURRENCY=USD')&lt;/Q&gt;&lt;R&gt;1&lt;/R&gt;&lt;C&gt;1&lt;/C&gt;&lt;D xsi:type="xsd:double"&gt;1027.8622&lt;/D&gt;&lt;/FQL&gt;&lt;FQL&gt;&lt;Q&gt;SHOP-US^FE_TIMESERIES(GROSSINCOME,MEAN,2023,,Y,'CURRENCY=USD')&lt;/Q&gt;&lt;R&gt;1&lt;/R&gt;&lt;C&gt;1&lt;/C&gt;&lt;D xsi:type="xsd:double"&gt;3544.3145&lt;/D&gt;&lt;/FQL&gt;&lt;FQL&gt;&lt;Q&gt;SHOP-US^FE_TIMESERIES(PRODLINE_SALES_1,MEAN,2024,,Y,'CURRENCY=USD')&lt;/Q&gt;&lt;R&gt;1&lt;/R&gt;&lt;C&gt;1&lt;/C&gt;&lt;D xsi:type="xsd:double"&gt;2330.2126&lt;/D&gt;&lt;/FQL&gt;&lt;FQL&gt;&lt;Q&gt;SHOP-US^FE_TIMESERIES(SALES,MEAN,2023,,Y,'CURRENCY=USD')&lt;/Q&gt;&lt;R&gt;1&lt;/R&gt;&lt;C&gt;1&lt;/C&gt;&lt;D xsi:type="xsd:double"&gt;7060&lt;/D&gt;&lt;/FQL&gt;&lt;FQL&gt;&lt;Q&gt;SHOP-US^FE_TIMESERIES(FCF,MEAN,2025/1F,,Q,'CURRENCY=USD')&lt;/Q&gt;&lt;R&gt;1&lt;/R&gt;&lt;C&gt;1&lt;/C&gt;&lt;D xsi:type="xsd:double"&gt;387.28564&lt;/D&gt;&lt;/FQL&gt;&lt;FQL&gt;&lt;Q&gt;SHOP-US^FE_TIMESERIES(CAPEX,MEAN,2025/1F,,Q,'CURRENCY=USD')&lt;/Q&gt;&lt;R&gt;1&lt;/R&gt;&lt;C&gt;1&lt;/C&gt;&lt;D xsi:type="xsd:double"&gt;6.4972&lt;/D&gt;&lt;/FQL&gt;&lt;FQL&gt;&lt;Q&gt;SHOP-US^FE_TIMESERIES(CFO,MEAN,2022/4F,,Q,'CURRENCY=USD')&lt;/Q&gt;&lt;R&gt;1&lt;/R&gt;&lt;C&gt;1&lt;/C&gt;&lt;D xsi:type="xsd:double"&gt;255.3125&lt;/D&gt;&lt;/FQL&gt;&lt;FQL&gt;&lt;Q&gt;SHOP-US^FE_TIMESERIES(EPS,MEAN,2022/4F,,Q,'CURRENCY=USD')&lt;/Q&gt;&lt;R&gt;1&lt;/R&gt;&lt;C&gt;1&lt;/C&gt;&lt;D xsi:type="xsd:double"&gt;0.07&lt;/D&gt;&lt;/FQL&gt;&lt;FQL&gt;&lt;Q&gt;SHOP-US^FE_TIMESERIES(PRODLINE_SALES_2,MEAN,2024/4F,,Q,'CURRENCY=USD')&lt;/Q&gt;&lt;R&gt;1&lt;/R&gt;&lt;C&gt;1&lt;/C&gt;&lt;D xsi:type="xsd:double"&gt;2069.3555&lt;/D&gt;&lt;/FQL&gt;&lt;FQL&gt;&lt;Q&gt;SHOP-US^FE_ESTIMATE(PRODLINE_SALES_2,MEAN,QTR,2024/2F,NOW,,,'')&lt;/Q&gt;&lt;R&gt;1&lt;/R&gt;&lt;C&gt;1&lt;/C&gt;&lt;D xsi:type="xsd:double"&gt;1482&lt;/D&gt;&lt;/FQL&gt;&lt;FQL&gt;&lt;Q&gt;SHOP-US^FE_ESTIMATE(NETBG,MEAN,QTR,2024/3F,NOW,,,'')&lt;/Q&gt;&lt;R&gt;1&lt;/R&gt;&lt;C&gt;1&lt;/C&gt;&lt;D xsi:type="xsd:double"&gt;344&lt;/D&gt;&lt;/FQL&gt;&lt;FQL&gt;&lt;Q&gt;SHOP-US^FE_ESTIMATE(BFNG,MEAN,QTR,2024/4F,NOW,,,'')&lt;/Q&gt;&lt;R&gt;1&lt;/R&gt;&lt;C&gt;1&lt;/C&gt;&lt;D xsi:type="xsd:double"&gt;447.14105&lt;/D&gt;&lt;/FQL&gt;&lt;FQL&gt;&lt;Q&gt;SHOP-US^FE_ESTIMATE(SALES,MEAN,QTR,2025/2F,NOW,,,'')&lt;/Q&gt;&lt;R&gt;1&lt;/R&gt;&lt;C&gt;1&lt;/C&gt;&lt;D xsi:type="xsd:double"&gt;2527.689&lt;/D&gt;&lt;/FQL&gt;&lt;FQL&gt;&lt;Q&gt;SHOP-US^FE_ESTIMATE(NETBG,MEAN,QTR,2025/4F,NOW,,,'')&lt;/Q&gt;&lt;R&gt;1&lt;/R&gt;&lt;C&gt;1&lt;/C&gt;&lt;D xsi:type="xsd:double"&gt;690.453&lt;/D&gt;&lt;/FQL&gt;&lt;FQL&gt;&lt;Q&gt;SHOP-US^FE_ESTIMATE(BFNG,MEAN,ANNUAL_ROLL,2025,NOW,,,'')&lt;/Q&gt;&lt;R&gt;1&lt;/R&gt;&lt;C&gt;1&lt;/C&gt;&lt;D xsi:type="xsd:double"&gt;1529.5284&lt;/D&gt;&lt;/FQL&gt;&lt;FQL&gt;&lt;Q&gt;SHOP-US^FE_ESTIMATE(SALES,MEAN,QTR,2026/3F,NOW,,,'')&lt;/Q&gt;&lt;R&gt;1&lt;/R&gt;&lt;C&gt;1&lt;/C&gt;&lt;D xsi:type="xsd:double"&gt;3153.4597&lt;/D&gt;&lt;/FQL&gt;&lt;FQL&gt;&lt;Q&gt;SHOP-US^FE_ESTIMATE(GMV,MEAN,ANNUAL_ROLL,2026,NOW,,,'')&lt;/Q&gt;&lt;R&gt;1&lt;/R&gt;&lt;C&gt;1&lt;/C&gt;&lt;D xsi:type="xsd:double"&gt;415727.38&lt;/D&gt;&lt;/FQL&gt;&lt;FQL&gt;&lt;Q&gt;SHOP-US^FE_ESTIMATE(PRODLINE_SALES_2,MEAN,QTR,2027/2F,NOW,,,'')&lt;/Q&gt;&lt;R&gt;1&lt;/R&gt;&lt;C&gt;1&lt;/C&gt;&lt;D xsi:type="xsd:double"&gt;2828&lt;/D&gt;&lt;/FQL&gt;&lt;FQL&gt;&lt;Q&gt;SHOP-US^FE_ESTIMATE(SALES,MEAN,QTR,2027/4F,NOW,,,'')&lt;/Q&gt;&lt;R&gt;1&lt;/R&gt;&lt;C&gt;1&lt;/C&gt;&lt;D xsi:type="xsd:double"&gt;4965&lt;/D&gt;&lt;/FQL&gt;&lt;FQL&gt;&lt;Q&gt;SHOP-US^FE_TIMESERIES(DEPR_AMORT,MEAN,2023,,Y,'CURRENCY=USD')&lt;/Q&gt;&lt;R&gt;1&lt;/R&gt;&lt;C&gt;1&lt;/C&gt;&lt;D xsi:type="xsd:double"&gt;69.23077&lt;/D&gt;&lt;/FQL&gt;&lt;FQL&gt;&lt;Q&gt;SHOP-US^FE_TIMESERIES(EPS,MEAN,2027,,Y,'CURRENCY=USD')&lt;/Q&gt;&lt;R&gt;1&lt;/R&gt;&lt;C&gt;1&lt;/C&gt;&lt;D xsi:type="xsd:double"&gt;2.5437374&lt;/D&gt;&lt;/FQL&gt;&lt;FQL&gt;&lt;Q&gt;SHOP-US^FE_TIMESERIES(DEPR_AMORT,MEAN,2024,,Y,'CURRENCY=USD')&lt;/Q&gt;&lt;R&gt;1&lt;/R&gt;&lt;C&gt;1&lt;/C&gt;&lt;D xsi:type="xsd:double"&gt;37.94406&lt;/D&gt;&lt;/FQL&gt;&lt;FQL&gt;&lt;Q&gt;SHOP-US^FE_TIMESERIES(FCF,MEAN,2024,,Y,'CURRENCY=USD')&lt;/Q&gt;&lt;R&gt;1&lt;/R&gt;&lt;C&gt;1&lt;/C&gt;&lt;D xsi:type="xsd:double"&gt;1542.643&lt;/D&gt;&lt;/FQL&gt;&lt;FQL&gt;&lt;Q&gt;SHOP-US^FE_TIMESERIES(CAPEX,MEAN,2022,,Y,'CURRENCY=USD')&lt;/Q&gt;&lt;R&gt;1&lt;/R&gt;&lt;C&gt;1&lt;/C&gt;&lt;D xsi:type="xsd:double"&gt;50.018&lt;/D&gt;&lt;/FQL&gt;&lt;FQL&gt;&lt;Q&gt;SHOP-US^FE_TIMESERIES(CFO,MEAN,2022,,Y,'CURRENCY=USD')&lt;/Q&gt;&lt;R&gt;1&lt;/R&gt;&lt;C&gt;1&lt;/C&gt;&lt;D xsi:type="xsd:double"&gt;-141.92906&lt;/D&gt;&lt;/FQL&gt;&lt;FQL&gt;&lt;Q&gt;SHOP-US^FE_TIMESERIES(EAG,MEAN,2020,,Y,'CURRENCY=USD')&lt;/Q&gt;&lt;R&gt;1&lt;/R&gt;&lt;C&gt;1&lt;/C&gt;&lt;D xsi:type="xsd:double"&gt;0.259&lt;/D&gt;&lt;/FQL&gt;&lt;FQL&gt;&lt;Q&gt;SHOP-US^FE_TIMESERIES(EPS,MEAN,2020,,Y,'CURRENCY=USD')&lt;/Q&gt;&lt;R&gt;1&lt;/R&gt;&lt;C&gt;1&lt;/C&gt;&lt;D xsi:type="xsd:double"&gt;0.398&lt;/D&gt;&lt;/FQL&gt;&lt;FQL&gt;&lt;Q&gt;SHOP-US^FE_TIMESERIES(EBITDA_ADJ,MEAN,2026,,Y,'CURRENCY=USD')&lt;/Q&gt;&lt;R&gt;1&lt;/R&gt;&lt;C&gt;1&lt;/C&gt;&lt;D xsi:type="xsd:double"&gt;2602.1292&lt;/D&gt;&lt;/FQL&gt;&lt;FQL&gt;&lt;Q&gt;SHOP-US^FE_TIMESERIES(EBITDA_REP,MEAN,2026,,Y,'CURRENCY=USD')&lt;/Q&gt;&lt;R&gt;1&lt;/R&gt;&lt;C&gt;1&lt;/C&gt;&lt;D xsi:type="xsd:double"&gt;2210.7207&lt;/D&gt;&lt;/FQL&gt;&lt;FQL&gt;&lt;Q&gt;SHOP-US^FE_TIMESERIES(EBIT_ADJ,MEAN,2024,,Y,'CURRENCY=USD')&lt;/Q&gt;&lt;R&gt;1&lt;/R&gt;&lt;C&gt;1&lt;/C&gt;&lt;D xsi:type="xsd:double"&gt;1440.3165&lt;/D&gt;&lt;/FQL&gt;&lt;FQL&gt;&lt;Q&gt;SHOP-US^FE_TIMESERIES(PRODLINE_SALES_2,MEAN,2024,,Y,'CURRENCY=USD')&lt;/Q&gt;&lt;R&gt;1&lt;/R&gt;&lt;C&gt;1&lt;/C&gt;&lt;D xsi:type="xsd:double"&gt;6460.0054&lt;/D&gt;&lt;/FQL&gt;&lt;FQL&gt;&lt;Q&gt;SHOP-US^FE_TIMESERIES(GMV,MEAN,2024,,Y,'CURRENCY=USD')&lt;/Q&gt;&lt;R&gt;1&lt;/R&gt;&lt;C&gt;1&lt;/C&gt;&lt;D xsi:type="xsd:double"&gt;289784.2&lt;/D&gt;&lt;/FQL&gt;&lt;FQL&gt;&lt;Q&gt;SHOP-US^FE_TIMESERIES(DEPR_AMORT,MEAN,2021/1F,,Q,'CURRENCY=USD')&lt;/Q&gt;&lt;R&gt;1&lt;/R&gt;&lt;C&gt;1&lt;/C&gt;&lt;D xsi:type="xsd:double"&gt;15.836364&lt;/D&gt;&lt;/FQL&gt;&lt;FQL&gt;&lt;Q&gt;SHOP-US^FE_TIMESERIES(FCF,MEAN,2021/1F,,Q,'CURRENCY=USD')&lt;/Q&gt;&lt;R&gt;1&lt;/R&gt;&lt;C&gt;1&lt;/C&gt;&lt;D xsi:type="xsd:double"&gt;130.49562&lt;/D&gt;&lt;/FQL&gt;&lt;FQL&gt;&lt;Q&gt;SHOP-US^FE_TIMESERIES(CAPEX,MEAN,2021/1F,,Q,'CURRENCY=USD')&lt;/Q&gt;&lt;R&gt;1&lt;/R&gt;&lt;C&gt;1&lt;/C&gt;&lt;D xsi:type="xsd:double"&gt;5.1684446&lt;/D&gt;&lt;/FQL&gt;&lt;FQL&gt;&lt;Q&gt;SHOP-US^FE_TIMESERIES(CFO,MEAN,2021/1F,,Q,'CURRENCY=USD')&lt;/Q&gt;&lt;R&gt;1&lt;/R&gt;&lt;C&gt;1&lt;/C&gt;&lt;D xsi:type="xsd:double"&gt;135.75282&lt;/D&gt;&lt;/FQL&gt;&lt;FQL&gt;&lt;Q&gt;SHOP-US^FE_TIMESERIES(EAG,MEAN,2021/1F,,Q,'CURRENCY=USD')&lt;/Q&gt;&lt;R&gt;1&lt;/R&gt;&lt;C&gt;1&lt;/C&gt;&lt;D xsi:type="xsd:double"&gt;0.994&lt;/D&gt;&lt;/FQL&gt;&lt;FQL&gt;&lt;Q&gt;SHOP-US^FE_TIMESERIES(EPS,MEAN,2021/1F,,Q,'CURRENCY=USD')&lt;/Q&gt;&lt;R&gt;1&lt;/R&gt;&lt;C&gt;1&lt;/C&gt;&lt;D xsi:type="xsd:double"&gt;0.201&lt;/D&gt;&lt;/FQL&gt;&lt;FQL&gt;&lt;Q&gt;SHOP-US^FE_TIMESERIES(EBITDA_ADJ,MEAN,2025/3F,,Q,'CURRENCY=USD')&lt;/Q&gt;&lt;R&gt;1&lt;/R&gt;&lt;C&gt;1&lt;/C&gt;&lt;D xsi:type="xsd:double"&gt;504.27817&lt;/D&gt;&lt;/FQL&gt;&lt;FQL&gt;&lt;Q&gt;SHOP-US^FE_TIMESERIES(EBITDA_REP,MEAN,2024/2F,,Q,'CURRENCY=USD')&lt;/Q&gt;&lt;R&gt;1&lt;/R&gt;&lt;C&gt;1&lt;/C&gt;&lt;D xsi:type="xsd:double"&gt;270.33334&lt;/D&gt;&lt;/FQL&gt;&lt;FQL&gt;&lt;Q&gt;SHOP-US^FE_TIMESERIES(EBITDA_REP,MEAN,2020/4F,,Q,'CURRENCY=USD')&lt;/Q&gt;&lt;R&gt;1&lt;/R&gt;&lt;C&gt;1&lt;/C&gt;&lt;D xsi:type="xsd:double"&gt;137.278&lt;/D&gt;&lt;/FQL&gt;&lt;FQL&gt;&lt;Q&gt;SHOP-US^FE_TIMESERIES(EBIT_ADJ,MEAN,2021/2F,,Q,'CURRENCY=USD')&lt;/Q&gt;&lt;R&gt;1&lt;/R&gt;&lt;C&gt;1&lt;/C&gt;&lt;D xsi:type="xsd:double"&gt;236.803&lt;/D&gt;&lt;/FQL&gt;&lt;FQL&gt;&lt;Q&gt;SHOP-US^FE_TIMESERIES(EBITR,MEAN,2022/1F,,Q,'CURRENCY=USD')&lt;/Q&gt;&lt;R&gt;1&lt;/R&gt;&lt;C&gt;1&lt;/C&gt;&lt;D xsi:type="xsd:double"&gt;-97.98964&lt;/D&gt;&lt;/FQL&gt;&lt;FQL&gt;&lt;Q&gt;SHOP-US^FE_TIMESERIES(GROSSINCOME,MEAN,2022/3F,,Q,'CURRENCY=USD')&lt;/Q&gt;&lt;R&gt;1&lt;/R&gt;&lt;C&gt;1&lt;/C&gt;&lt;D xsi:type="xsd:double"&gt;674.50964&lt;/D&gt;&lt;/FQL&gt;&lt;FQL&gt;&lt;Q&gt;SHOP-US^FE_TIMESERIES(PRODLINE_SALES_2,MEAN,2021/2F,,Q,'CURRENCY=USD')&lt;/Q&gt;&lt;R&gt;1&lt;/R&gt;&lt;C&gt;1&lt;/C&gt;&lt;D xsi:type="xsd:double"&gt;785.208&lt;/D&gt;&lt;/FQL&gt;&lt;FQL&gt;&lt;Q&gt;SHOP-US^FE_TIMESERIES(PRODLINE_SALES_1,MEAN,2022/1F,,Q,'CURRENCY=USD')&lt;/Q&gt;&lt;R&gt;1&lt;/R&gt;&lt;C&gt;1&lt;/C&gt;&lt;D xsi:type="xsd:double"&gt;344.761&lt;/D&gt;&lt;/FQL&gt;&lt;FQL&gt;&lt;Q&gt;SHOP-US^FE_TIMESERIES(SALES,MEAN,2024/2F,,Q,'CURRENCY=USD')&lt;/Q&gt;&lt;R&gt;1&lt;/R&gt;&lt;C&gt;1&lt;/C&gt;&lt;D xsi:type="xsd:double"&gt;2045&lt;/D&gt;&lt;/FQL&gt;&lt;FQL&gt;&lt;Q&gt;SHOP-US^FE_TIMESERIES(SALES,MEAN,2020/4F,,Q,'CURRENCY=USD')&lt;/Q&gt;&lt;R&gt;1&lt;/R&gt;&lt;C&gt;1&lt;/C&gt;&lt;D xsi:type="xsd:double"&gt;977.744&lt;/D&gt;&lt;/FQL&gt;&lt;FQL&gt;&lt;Q&gt;SHOP-US^FE_TIMESERIES(GMV,MEAN,2023/1F,,Q,'CURRENCY=USD')&lt;/Q&gt;&lt;R&gt;1&lt;/R&gt;&lt;C&gt;1&lt;/C&gt;&lt;D xsi:type="xsd:double"&gt;49610.8&lt;/D&gt;&lt;/FQL&gt;&lt;FQL&gt;&lt;Q&gt;SHOP-US^FE_TIMESERIES(GMV,MEAN,2021/2F,,Q,'CURRENCY=USD')&lt;/Q&gt;&lt;R&gt;1&lt;/R&gt;&lt;C&gt;1&lt;/C&gt;&lt;D xsi:type="xsd:double"&gt;42200&lt;/D&gt;&lt;/FQL&gt;&lt;FQL&gt;&lt;Q&gt;SHOP-US^FE_ESTIMATE(SALES,MEAN,QTR_ROLL,2027/4F,NOW,,,'')&lt;/Q&gt;&lt;R&gt;1&lt;/R&gt;&lt;C&gt;1&lt;/C&gt;&lt;D xsi:type="xsd:double"&gt;4965&lt;/D&gt;&lt;/FQL&gt;&lt;FQL&gt;&lt;Q&gt;SHOP^FE_ESTIMATE(EPS,MEAN,ANNUAL_ROLL,2027,NOW,,,'')&lt;/Q&gt;&lt;R&gt;1&lt;/R&gt;&lt;C&gt;1&lt;/C&gt;&lt;D xsi:type="xsd:double"&gt;2.5437374&lt;/D&gt;&lt;/FQL&gt;&lt;FQL&gt;&lt;Q&gt;SHOP-US^FE_TIMESERIES(DEPR_AMORT,MEAN,2025/1F,,Q,'CURRENCY=USD')&lt;/Q&gt;&lt;R&gt;1&lt;/R&gt;&lt;C&gt;1&lt;/C&gt;&lt;D xsi:type="xsd:double"&gt;13.510667&lt;/D&gt;&lt;/FQL&gt;&lt;FQL&gt;&lt;Q&gt;SHOP-US^FE_TIMESERIES(CFO,MEAN,2025/1F,,Q,'CURRENCY=USD')&lt;/Q&gt;&lt;R&gt;1&lt;/R&gt;&lt;C&gt;1&lt;/C&gt;&lt;D xsi:type="xsd:double"&gt;409.7241&lt;/D&gt;&lt;/FQL&gt;&lt;FQL&gt;&lt;Q&gt;SHOP-US^FE_TIMESERIES(NETPROFIT,MEAN,2025/1F,,Q,'CURRENCY=USD')&lt;/Q&gt;&lt;R&gt;1&lt;/R&gt;&lt;C&gt;1&lt;/C&gt;&lt;D xsi:type="xsd:double"&gt;335.86826&lt;/D&gt;&lt;/FQL&gt;&lt;FQL&gt;&lt;Q&gt;SHOP-US^FE_TIMESERIES(PRODLINE_SALES_1,MEAN,2021/4F,,Q,'CURRENCY=USD')&lt;/Q&gt;&lt;R&gt;1&lt;/R&gt;&lt;C&gt;1&lt;/C&gt;&lt;D xsi:type="xsd:double"&gt;351.208&lt;/D&gt;&lt;/FQL&gt;&lt;FQL&gt;&lt;Q&gt;SHOP-US^FE_ESTIMATE(BFNG,MEAN,QTR,2024/1F,NOW,,,'')&lt;/Q&gt;&lt;R&gt;1&lt;/R&gt;&lt;C&gt;1&lt;/C&gt;&lt;D xsi:type="xsd:double"&gt;-273&lt;/D&gt;&lt;/FQL&gt;&lt;FQL&gt;&lt;Q&gt;SHOP-US^FE_ESTIMATE(GMV,MEAN,QTR,2024/3F,NOW,,,'')&lt;/Q&gt;&lt;R&gt;1&lt;/R&gt;&lt;C&gt;1&lt;/C&gt;&lt;D xsi:type="xsd:double"&gt;69715&lt;/D&gt;&lt;/FQL&gt;&lt;FQL&gt;&lt;Q&gt;SHOP-US^FE_ESTIMATE(GMV,MEAN,QTR,2025/1F,NOW,,,'')&lt;/Q&gt;&lt;R&gt;1&lt;/R&gt;&lt;C&gt;1&lt;/C&gt;&lt;D xsi:type="xsd:double"&gt;74473.41&lt;/D&gt;&lt;/FQL&gt;&lt;FQL&gt;&lt;Q&gt;SHOP-US^FE_ESTIMATE(BFNG,MEAN,QTR,2025/2F,NOW,,,'')&lt;/Q&gt;&lt;R&gt;1&lt;/R&gt;&lt;C&gt;1&lt;/C&gt;&lt;D xsi:type="xsd:double"&gt;328.10092&lt;/D&gt;&lt;/FQL&gt;&lt;FQL&gt;&lt;Q&gt;SHOP-US^FE_ESTIMATE(SALES,MEAN,ANNUAL_ROLL,2025,NOW,,,'')&lt;/Q&gt;&lt;R&gt;1&lt;/R&gt;&lt;C&gt;1&lt;/C&gt;&lt;D xsi:type="xsd:double"&gt;10858.165&lt;/D&gt;&lt;/FQL&gt;&lt;FQL&gt;&lt;Q&gt;SHOP-US^FE_ESTIMATE(NETBG,MEAN,QTR,2026/2F,NOW,,,'')&lt;/Q&gt;&lt;R&gt;1&lt;/R&gt;&lt;C&gt;1&lt;/C&gt;&lt;D xsi:type="xsd:double"&gt;566.5267&lt;/D&gt;&lt;/FQL&gt;&lt;FQL&gt;&lt;Q&gt;SHOP-US^FE_ESTIMATE(NETBG,MEAN,ANNUAL_ROLL,2026,NOW,,,'')&lt;/Q&gt;&lt;R&gt;1&lt;/R&gt;&lt;C&gt;1&lt;/C&gt;&lt;D xsi:type="xsd:double"&gt;2556.7402&lt;/D&gt;&lt;/FQL&gt;&lt;FQL&gt;&lt;Q&gt;SHOP-US^FE_ESTIMATE(GMV,MEAN,QTR,2027/3F,NOW,,,'')&lt;/Q&gt;&lt;R&gt;0&lt;/R&gt;&lt;C&gt;0&lt;/C&gt;&lt;/FQL&gt;&lt;FQL&gt;&lt;Q&gt;SHOP-US^FE_ESTIMATE(PRODLINE_SALES_2,MEAN,ANNUAL_ROLL,2027,NOW,,,'')&lt;/Q&gt;&lt;R&gt;1&lt;/R&gt;&lt;C&gt;1&lt;/C&gt;&lt;D xsi:type="xsd:double"&gt;12144.833&lt;/D&gt;&lt;/FQL&gt;&lt;FQL&gt;&lt;Q&gt;SHOP-US^FE_TIMESERIES(CAPEX,MEAN,2026,,Y,'CURRENCY=USD')&lt;/Q&gt;&lt;R&gt;1&lt;/R&gt;&lt;C&gt;1&lt;/C&gt;&lt;D xsi:type="xsd:double"&gt;34.835674&lt;/D&gt;&lt;/FQL&gt;&lt;FQL&gt;&lt;Q&gt;SHOP-US^FE_TIMESERIES(EAG,MEAN,2025,,Y,'CURRENCY=USD')&lt;/Q&gt;&lt;R&gt;1&lt;/R&gt;&lt;C&gt;1&lt;/C&gt;&lt;D xsi:type="xsd:double"&gt;1.1713703&lt;/D&gt;&lt;/FQL&gt;&lt;FQL&gt;&lt;Q&gt;SHOP-US^FE_TIMESERIES(PRODLINE_SALES_1,MEAN,2021,,Y,'CURRENCY=USD')&lt;/Q&gt;&lt;R&gt;1&lt;/R&gt;&lt;C&gt;1&lt;/C&gt;&lt;D xsi:type="xsd:double"&gt;1342.334&lt;/D&gt;&lt;/FQL&gt;&lt;FQL&gt;&lt;Q&gt;SHOP-US^FE_TIMESERIES(GMV,MEAN,2023,,Y,'CURRENCY=USD')&lt;/Q&gt;&lt;R&gt;1&lt;/R&gt;&lt;C&gt;1&lt;/C&gt;&lt;D xsi:type="xsd:double"&gt;235910&lt;/D&gt;&lt;/FQL&gt;&lt;FQL&gt;&lt;Q&gt;SHOP-US^FE_TIMESERIES(DEPR_AMORT,MEAN,2020/2F,,Q,'CURRENCY=USD')&lt;/Q&gt;&lt;R&gt;1&lt;/R&gt;&lt;C&gt;1&lt;/C&gt;&lt;D xsi:type="xsd:double"&gt;19.920666&lt;/D&gt;&lt;/FQL&gt;&lt;FQL&gt;&lt;Q&gt;SHOP-US^FE_TIMESERIES(FCF,MEAN,2022/3F,,Q,'CURRENCY=USD')&lt;/Q&gt;&lt;R&gt;1&lt;/R&gt;&lt;C&gt;1&lt;/C&gt;&lt;D xsi:type="xsd:double"&gt;-81.08791&lt;/D&gt;&lt;/FQL&gt;&lt;FQL&gt;&lt;Q&gt;SHOP-US^FE_TIMESERIES(CFO,MEAN,2024/2F,,Q,'CURRENCY=USD')&lt;/Q&gt;&lt;R&gt;1&lt;/R&gt;&lt;C&gt;1&lt;/C&gt;&lt;D xsi:type="xsd:double"&gt;340&lt;/D&gt;&lt;/FQL&gt;&lt;FQL&gt;&lt;Q&gt;SHOP-US^FE_TIMESERIES(CFO,MEAN,2020/4F,,Q,'CURRENCY=USD')&lt;/Q&gt;&lt;R&gt;1&lt;/R&gt;&lt;C&gt;1&lt;/C&gt;&lt;D xsi:type="xsd:double"&gt;245.3245&lt;/D&gt;&lt;/FQL&gt;&lt;FQL&gt;&lt;Q&gt;SHOP-US^FE_TIMESERIES(EAG,MEAN,2020/2F,,Q,'CURRENCY=USD')&lt;/Q&gt;&lt;R&gt;1&lt;/R&gt;&lt;C&gt;1&lt;/C&gt;&lt;D xsi:type="xsd:double"&gt;0.029&lt;/D&gt;&lt;/FQL&gt;&lt;FQL&gt;&lt;Q&gt;SHOP-US^FE_TIMESERIES(EPS,MEAN,2022/3F,,Q,'CURRENCY=USD')&lt;/Q&gt;&lt;R&gt;1&lt;/R&gt;&lt;C&gt;1&lt;/C&gt;&lt;D xsi:type="xsd:double"&gt;-0.02&lt;/D&gt;&lt;/FQL&gt;&lt;FQL&gt;&lt;Q&gt;SHOP-US^FE_TIMESERIES(NETPROFIT,MEAN,2022/2F,,Q,'CURRENCY=USD')&lt;/Q&gt;&lt;R&gt;1&lt;/R&gt;&lt;C&gt;1&lt;/C&gt;&lt;D xsi:type="xsd:double"&gt;-38.453&lt;/D&gt;&lt;/FQL&gt;&lt;FQL&gt;&lt;Q&gt;SHOP-US^FE_TIMESERIES(EBITDA_ADJ,MEAN,2025/1F,,Q,'CURRENCY=USD')&lt;/Q&gt;&lt;R&gt;1&lt;/R&gt;&lt;C&gt;1&lt;/C&gt;&lt;D xsi:type="xsd:double"&gt;345.72888&lt;/D&gt;&lt;/FQL&gt;&lt;FQL&gt;&lt;Q&gt;SHOP-US^FE_TIMESERIES(EBITDA_ADJ,MEAN,2021/3F,,Q,'CURRENCY=USD')&lt;/Q&gt;&lt;R&gt;1&lt;/R&gt;&lt;C&gt;1&lt;/C&gt;&lt;D xsi:type="xsd:double"&gt;151.156&lt;/D&gt;&lt;/FQL&gt;&lt;FQL&gt;&lt;Q&gt;SHOP-US^FE_TIMESERIES(EBITDA_REP,MEAN,2021/4F,,Q,'CURRENCY=USD')&lt;/Q&gt;&lt;R&gt;1&lt;/R&gt;&lt;C&gt;1&lt;/C&gt;&lt;D xsi:type="xsd:double"&gt;90.4825&lt;/D&gt;&lt;/FQL&gt;&lt;FQL&gt;&lt;Q&gt;SHOP-US^FE_TIMESERIES(EBIT_ADJ,MEAN,2022/1F,,Q,'CURRENCY=USD')&lt;/Q&gt;&lt;R&gt;1&lt;/R&gt;&lt;C&gt;1&lt;/C&gt;&lt;D xsi:type="xsd:double"&gt;31.9256&lt;/D&gt;&lt;/FQL&gt;&lt;FQL&gt;&lt;Q&gt;SHOP-US^FE_TIMESERIES(EBITR,MEAN,2024/3F,,Q,'CURRENCY=USD')&lt;/Q&gt;&lt;R&gt;1&lt;/R&gt;&lt;C&gt;1&lt;/C&gt;&lt;D xsi:type="xsd:double"&gt;283&lt;/D&gt;&lt;/FQL&gt;&lt;FQL&gt;&lt;Q&gt;SHOP-US^FE_TIMESERIES(EBITR,MEAN,2021/2F,,Q,'CURRENCY=USD')&lt;/Q&gt;&lt;R&gt;1&lt;/R&gt;&lt;C&gt;1&lt;/C&gt;&lt;D xsi:type="xsd:double"&gt;139.441&lt;/D&gt;&lt;/FQL&gt;&lt;FQL&gt;&lt;Q&gt;SHOP-US^FE_TIMESERIES(GROSSINCOME,MEAN,2024/1F,,Q,'CURRENCY=USD')&lt;/Q&gt;&lt;R&gt;1&lt;/R&gt;&lt;C&gt;1&lt;/C&gt;&lt;D xsi:type="xsd:double"&gt;960.59375&lt;/D&gt;&lt;/FQL&gt;&lt;FQL&gt;&lt;Q&gt;SHOP-US^FE_TIMESERIES(PRODLINE_SALES_1,MEAN,2024/2F,,Q,'CURRENCY=USD')&lt;/Q&gt;&lt;R&gt;1&lt;/R&gt;&lt;C&gt;1&lt;/C&gt;&lt;D xsi:type="xsd:double"&gt;563&lt;/D&gt;&lt;/FQL&gt;&lt;FQL&gt;&lt;Q&gt;SHOP-US^FE_TIMESERIES(PRODLINE_SALES_1,MEAN,2021/1F,,Q,'CURRENCY=USD')&lt;/Q&gt;&lt;R&gt;1&lt;/R&gt;&lt;C&gt;1&lt;/C&gt;&lt;D xsi:type="xsd:double"&gt;320.681&lt;/D&gt;&lt;/FQL&gt;&lt;FQL&gt;&lt;Q&gt;SHOP-US^FE_TIMESERIES(SALES,MEAN,2023/4F,,Q,'CURRENCY=USD')&lt;/Q&gt;&lt;R&gt;1&lt;/R&gt;&lt;C&gt;1&lt;/C&gt;&lt;D xsi:type="xsd:double"&gt;2144&lt;/D&gt;&lt;/FQL&gt;&lt;FQL&gt;&lt;Q&gt;SHOP-US^FE_TIMESERIES(SALES,MEAN,2020/3F,,Q,'CURRENCY=USD')&lt;/Q&gt;&lt;R&gt;1&lt;/R&gt;&lt;C&gt;1&lt;/C&gt;&lt;D xsi:type="xsd:double"&gt;767.405&lt;/D&gt;&lt;/FQL&gt;&lt;FQL&gt;&lt;Q&gt;SHOP-US^FE_ESTIMATE(SALES,MEAN,QTR_ROLL,2025/4F,NOW,,,'')&lt;/Q&gt;&lt;R&gt;1&lt;/R&gt;&lt;C&gt;1&lt;/C&gt;&lt;D xsi:type="xsd:double"&gt;3309.5315&lt;/D&gt;&lt;/FQL&gt;&lt;FQL&gt;&lt;Q&gt;SHOP^FE_ESTIMATE(EPS,MEAN,ANNUAL_ROLL,2024,NOW,,,'')&lt;/Q&gt;&lt;R&gt;1&lt;/R&gt;&lt;C&gt;1&lt;/C&gt;&lt;D xsi:type="xsd:double"&gt;1.2719381&lt;/D&gt;&lt;/FQL&gt;&lt;FQL&gt;&lt;Q&gt;SHOP-US^FE_ACTUAL(ACTUAL,GMV,ANNUAL,2026,,,,'')@FE_ESTIMATE(GMV,MEAN,ANNUAL,2026,NOW,,,'')&lt;/Q&gt;&lt;R&gt;1&lt;/R&gt;&lt;C&gt;1&lt;/C&gt;&lt;D xsi:type="xsd:double"&gt;415727.38&lt;/D&gt;&lt;/FQL&gt;&lt;FQL&gt;&lt;Q&gt;SHOP-US^FE_ESTIMATE(EBITDA_ADJ,MEAN,QTR,2024/4F,NOW,,,'')&lt;/Q&gt;&lt;R&gt;1&lt;/R&gt;&lt;C&gt;1&lt;/C&gt;&lt;D xsi:type="xsd:double"&gt;565.91003&lt;/D&gt;&lt;/FQL&gt;&lt;FQL&gt;&lt;Q&gt;SHOP-US^FE_ESTIMATE(NETBG,MEAN,ANNUAL_ROLL,2024,NOW,,,'')&lt;/Q&gt;&lt;R&gt;1&lt;/R&gt;&lt;C&gt;1&lt;/C&gt;&lt;D xsi:type="xsd:double"&gt;1625.3816&lt;/D&gt;&lt;/FQL&gt;&lt;FQL&gt;&lt;Q&gt;SHOP-US^FE_ESTIMATE(CUSTOM_EPS,MEAN,QTR,2025/1F,NOW,,,'')&lt;/Q&gt;&lt;R&gt;1&lt;/R&gt;&lt;C&gt;1&lt;/C&gt;&lt;D xsi:type="xsd:double"&gt;0.27411988&lt;/D&gt;&lt;/FQL&gt;&lt;FQL&gt;&lt;Q&gt;SHOP-US^FE_ESTIMATE(CUSTOM_EPS,MEAN,QTR,2026/1F,NOW,,,'')&lt;/Q&gt;&lt;R&gt;1&lt;/R&gt;&lt;C&gt;1&lt;/C&gt;&lt;D xsi:type="xsd:double"&gt;0.3312709&lt;/D&gt;&lt;/FQL&gt;&lt;FQL&gt;&lt;Q&gt;SHOP-US^FE_ESTIMATE(BFNG,MEAN,QTR,2026/2F,NOW,,,'')&lt;/Q&gt;&lt;R&gt;1&lt;/R&gt;&lt;C&gt;1&lt;/C&gt;&lt;D xsi:type="xsd:double"&gt;510.2173&lt;/D&gt;&lt;/FQL&gt;&lt;FQL&gt;&lt;Q&gt;SHOP-US^FE_ESTIMATE(EAG,MEAN,QTR,2026/3F,NOW,,,'')&lt;/Q&gt;&lt;R&gt;1&lt;/R&gt;&lt;C&gt;1&lt;/C&gt;&lt;D xsi:type="xsd:double"&gt;0.4481952&lt;/D&gt;&lt;/FQL&gt;&lt;FQL&gt;&lt;Q&gt;SHOP-US^FE_ESTIMATE(EAG,MEAN,QTR,2027/3F,NOW,,,'')&lt;/Q&gt;&lt;R&gt;0&lt;/R&gt;&lt;C&gt;0&lt;/C&gt;&lt;/FQL&gt;&lt;FQL&gt;&lt;Q&gt;SHOP-US^FE_ESTIMATE(GMV,MEAN,ANNUAL_ROLL,2027,NOW,,,'')&lt;/Q&gt;&lt;R&gt;1&lt;/R&gt;&lt;C&gt;1&lt;/C&gt;&lt;D xsi:type="xsd:double"&gt;504811.16&lt;/D&gt;&lt;/FQL&gt;&lt;FQL&gt;&lt;Q&gt;SHOP-US^FE_TIMESERIES(PRODLINE_SALES_2,MEAN,2020/4F,,Q,'CURRENCY=USD')&lt;/Q&gt;&lt;R&gt;1&lt;/R&gt;&lt;C&gt;1&lt;/C&gt;&lt;D xsi:type="xsd:double"&gt;698.304&lt;/D&gt;&lt;/FQL&gt;&lt;FQL&gt;&lt;Q&gt;SHOP-US^FE_TIMESERIES(SALES,MEAN,2020/2F,,Q,'CURRENCY=USD')&lt;/Q&gt;&lt;R&gt;1&lt;/R&gt;&lt;C&gt;1&lt;/C&gt;&lt;D xsi:type="xsd:double"&gt;714.341&lt;/D&gt;&lt;/FQL&gt;&lt;FQL&gt;&lt;Q&gt;SHOP-US^FE_TIMESERIES(GMV,MEAN,2020/3F,,Q,'CURRENCY=USD')&lt;/Q&gt;&lt;R&gt;1&lt;/R&gt;&lt;C&gt;1&lt;/C&gt;&lt;D xsi:type="xsd:double"&gt;30923.24&lt;/D&gt;&lt;/FQL&gt;&lt;FQL&gt;&lt;Q&gt;SHOP-US^FE_ESTIMATE(SALES,MEAN,QTR_ROLL,2025/1F,NOW,,,'')&lt;/Q&gt;&lt;R&gt;1&lt;/R&gt;&lt;C&gt;1&lt;/C&gt;&lt;D xsi:type="xsd:double"&gt;2319.768&lt;/D&gt;&lt;/FQL&gt;&lt;FQL&gt;&lt;Q&gt;SHOP-US^FE_ESTIMATE(EBITDA_ADJ,MEAN,QTR,2024/1F,NOW,,,'')&lt;/Q&gt;&lt;R&gt;1&lt;/R&gt;&lt;C&gt;1&lt;/C&gt;&lt;D xsi:type="xsd:double"&gt;209.07143&lt;/D&gt;&lt;/FQL&gt;&lt;FQL&gt;&lt;Q&gt;SHOP-US^FE_ESTIMATE(NETBG,MEAN,QTR,2024/2F,NOW,,,'')&lt;/Q&gt;&lt;R&gt;1&lt;/R&gt;&lt;C&gt;1&lt;/C&gt;&lt;D xsi:type="xsd:double"&gt;345&lt;/D&gt;&lt;/FQL&gt;&lt;FQL&gt;&lt;Q&gt;SHOP-US^FE_ESTIMATE(CUSTOM_EPS,MEAN,QTR,2025/3F,NOW,,,'')&lt;/Q&gt;&lt;R&gt;1&lt;/R&gt;&lt;C&gt;1&lt;/C&gt;&lt;D xsi:type="xsd:double"&gt;0.37531054&lt;/D&gt;&lt;/FQL&gt;&lt;FQL&gt;&lt;Q&gt;SHOP-US^FE_ESTIMATE(BFNG,MEAN,QTR,2025/4F,NOW,,,'')&lt;/Q&gt;&lt;R&gt;1&lt;/R&gt;&lt;C&gt;1&lt;/C&gt;&lt;D xsi:type="xsd:double"&gt;572.292&lt;/D&gt;&lt;/FQL&gt;&lt;FQL&gt;&lt;Q&gt;SHOP-US^FE_ESTIMATE(EAG,MEAN,ANNUAL_ROLL,2026,NOW,,,'')&lt;/Q&gt;&lt;R&gt;1&lt;/R&gt;&lt;C&gt;1&lt;/C&gt;&lt;D xsi:type="xsd:double"&gt;1.5342542&lt;/D&gt;&lt;/FQL&gt;&lt;FQL&gt;&lt;Q&gt;SHOP-US^FE_ESTIMATE(GMV,MEAN,QTR,2027/2F,NOW,,,'')&lt;/Q&gt;&lt;R&gt;0&lt;/R&gt;&lt;C&gt;0&lt;/C&gt;&lt;/FQL&gt;&lt;FQL&gt;&lt;Q&gt;SHOP-US^FE_ESTIMATE(EAG,MEAN,QTR,2025/1F,NOW,,,'')&lt;/Q&gt;&lt;R&gt;1&lt;/R&gt;&lt;C&gt;1&lt;/C&gt;&lt;D xsi:type="xsd:double"&gt;0.1920025&lt;/D&gt;&lt;/FQL&gt;&lt;FQL&gt;&lt;Q&gt;SHOP-US^FE_ESTIMATE(SPEC_GROSS_1,MEAN,QTR,2025/4F,NOW,,,'')&lt;/Q&gt;&lt;R&gt;1&lt;/R&gt;&lt;C&gt;1&lt;/C&gt;&lt;D xsi:type="xsd:double"&gt;215.64133&lt;/D&gt;&lt;/FQL&gt;&lt;FQL&gt;&lt;Q&gt;SHOP-US^FE_TIMESERIES(FCF,MEAN,2026,,Y,'CURRENCY=USD')&lt;/Q&gt;&lt;R&gt;1&lt;/R&gt;&lt;C&gt;1&lt;/C&gt;&lt;D xsi:type="xsd:double"&gt;2528.3079&lt;/D&gt;&lt;/FQL&gt;&lt;FQL&gt;&lt;Q&gt;SHOP-US^FE_TIMESERIES(CAPEX,MEAN,2020/3F,,Q,'CURRENCY=USD')&lt;/Q&gt;&lt;R&gt;1&lt;/R&gt;&lt;C&gt;1&lt;/C&gt;&lt;D xsi:type="xsd:double"&gt;10.042&lt;/D&gt;&lt;/FQL&gt;&lt;FQL&gt;&lt;Q&gt;SHOP-US^FE_TIMESERIES(EBITDA_ADJ,MEAN,2023/3F,,Q,'CURRENCY=USD')&lt;/Q&gt;&lt;R&gt;1&lt;/R&gt;&lt;C&gt;1&lt;/C&gt;&lt;D xsi:type="xsd:double"&gt;281.92856&lt;/D&gt;&lt;/FQL&gt;&lt;FQL&gt;&lt;Q&gt;SHOP-US^FE_TIMESERIES(GROSSINCOME,MEAN,2025/4F,,Q,'CURRENCY=USD')&lt;/Q&gt;&lt;R&gt;1&lt;/R&gt;&lt;C&gt;1&lt;/C&gt;&lt;D xsi:type="xsd:double"&gt;1605.9171&lt;/D&gt;&lt;/FQL&gt;&lt;FQL&gt;&lt;Q&gt;SHOP-US^FE_TIMESERIES(PRODLINE_SALES_1,MEAN,2022/4F,,Q,'CURRENCY=USD')&lt;/Q&gt;&lt;R&gt;1&lt;/R&gt;&lt;C&gt;1&lt;/C&gt;&lt;D xsi:type="xsd:double"&gt;400.254&lt;/D&gt;&lt;/FQL&gt;&lt;FQL&gt;&lt;Q&gt;SHOP^FE_ESTIMATE(EBITDA_ADJ,MEAN,ANNUAL_ROLL,2024,NOW,,,'')&lt;/Q&gt;&lt;R&gt;1&lt;/R&gt;&lt;C&gt;1&lt;/C&gt;&lt;D xsi:type="xsd:double"&gt;1485.8966&lt;/D&gt;&lt;/FQL&gt;&lt;FQL&gt;&lt;Q&gt;SHOP-US^FE_ESTIMATE(EAG,MEAN,QTR,2024/3F,NOW,,,'')&lt;/Q&gt;&lt;R&gt;1&lt;/R&gt;&lt;C&gt;1&lt;/C&gt;&lt;D xsi:type="xsd:double"&gt;0.6380796&lt;/D&gt;&lt;/FQL&gt;&lt;FQL&gt;&lt;Q&gt;SHOP-US^FE_ESTIMATE(SALES,MEAN,QTR,2026/2F,NOW,,,'')&lt;/Q&gt;&lt;R&gt;1&lt;/R&gt;&lt;C&gt;1&lt;/C&gt;&lt;D xsi:type="xsd:double"&gt;3026.1296&lt;/D&gt;&lt;/FQL&gt;&lt;FQL&gt;&lt;Q&gt;SHOP-US^FE_ESTIMATE(PRODLINE_SALES_2,MEAN,QTR,2027/4F,NOW,,,'')&lt;/Q&gt;&lt;R&gt;1&lt;/R&gt;&lt;C&gt;1&lt;/C&gt;&lt;D xsi:type="xsd:double"&gt;3927&lt;/D&gt;&lt;/FQL&gt;&lt;FQL&gt;&lt;Q&gt;SHOP-US^FE_TIMESERIES(EPS,MEAN,2023,,Y,'CURRENCY=USD')&lt;/Q&gt;&lt;R&gt;1&lt;/R&gt;&lt;C&gt;1&lt;/C&gt;&lt;D xsi:type="xsd:double"&gt;0.73&lt;/D&gt;&lt;/FQL&gt;&lt;FQL&gt;&lt;Q&gt;SHOP-US^FE_TIMESERIES(CFO,MEAN,2022/3F,,Q,'CURRENCY=USD')&lt;/Q&gt;&lt;R&gt;1&lt;/R&gt;&lt;C&gt;1&lt;/C&gt;&lt;D xsi:type="xsd:double"&gt;-214.073&lt;/D&gt;&lt;/FQL&gt;&lt;FQL&gt;&lt;Q&gt;SHOP-US^FE_TIMESERIES(EBITDA_ADJ,MEAN,2020/4F,,Q,'CURRENCY=USD')&lt;/Q&gt;&lt;R&gt;1&lt;/R&gt;&lt;C&gt;1&lt;/C&gt;&lt;D xsi:type="xsd:double"&gt;212.45651&lt;/D&gt;&lt;/FQL&gt;&lt;FQL&gt;&lt;Q&gt;SHOP-US^FE_TIMESERIES(EBITDA_REP,MEAN,2020/1F,,Q,'CURRENCY=USD')&lt;/Q&gt;&lt;R&gt;1&lt;/R&gt;&lt;C&gt;1&lt;/C&gt;&lt;D xsi:type="xsd:double"&gt;-58.8835&lt;/D&gt;&lt;/FQL&gt;&lt;FQL&gt;&lt;Q&gt;SHOP-US^FE_TIMESERIES(GROSSINCOME,MEAN,2023/1F,,Q,'CURRENCY=USD')&lt;/Q&gt;&lt;R&gt;1&lt;/R&gt;&lt;C&gt;1&lt;/C&gt;&lt;D xsi:type="xsd:double"&gt;732.00415&lt;/D&gt;&lt;/FQL&gt;&lt;FQL&gt;&lt;Q&gt;SHOP-US^FE_TIMESERIES(GMV,MEAN,2025/3F,,Q,'CURRENCY=USD')&lt;/Q&gt;&lt;R&gt;1&lt;/R&gt;&lt;C&gt;1&lt;/C&gt;&lt;D xsi:type="xsd:double"&gt;83821.76&lt;/D&gt;&lt;/FQL&gt;&lt;FQL&gt;&lt;Q&gt;SHOP-US^FE_ESTIMATE(GMV,MEAN,QTR,2024/2F,NOW,,,'')&lt;/Q&gt;&lt;R&gt;1&lt;/R&gt;&lt;C&gt;1&lt;/C&gt;&lt;D xsi:type="xsd:double"&gt;67245&lt;/D&gt;&lt;/FQL&gt;&lt;FQL&gt;&lt;Q&gt;SHOP-US^FE_ESTIMATE(SALES,MEAN,QTR,2025/4F,NOW,,,'')&lt;/Q&gt;&lt;R&gt;1&lt;/R&gt;&lt;C&gt;1&lt;/C&gt;&lt;D xsi:type="xsd:double"&gt;3309.5315&lt;/D&gt;&lt;/FQL&gt;&lt;FQL&gt;&lt;Q&gt;SHOP-US^FE_ESTIMATE(EBITDA_ADJ,MEAN,QTR,2027/2F,NOW,,,'')&lt;/Q&gt;&lt;R&gt;1&lt;/R&gt;&lt;C&gt;1&lt;/C&gt;&lt;D xsi:type="xsd:double"&gt;795&lt;/D&gt;&lt;/FQL&gt;&lt;FQL&gt;&lt;Q&gt;SHOP-US^FE_TIMESERIES(EAG,MEAN,2024/4F,,Q,'CURRENCY=USD')&lt;/Q&gt;&lt;R&gt;1&lt;/R&gt;&lt;C&gt;1&lt;/C&gt;&lt;D xsi:type="xsd:double"&gt;0.34056&lt;/D&gt;&lt;/FQL&gt;&lt;FQL&gt;&lt;Q&gt;SHOP-US^FE_TIMESERIES(NETPROFIT,MEAN,2023/4F,,Q,'CURRENCY=USD')&lt;/Q&gt;&lt;R&gt;1&lt;/R&gt;&lt;C&gt;1&lt;/C&gt;&lt;D xsi:type="xsd:double"&gt;441&lt;/D&gt;&lt;/FQL&gt;&lt;FQL&gt;&lt;Q&gt;SHOP-US^FE_TIMESERIES(EBITDA_REP,MEAN,2025/4F,,Q,'CURRENCY=USD')&lt;/Q&gt;&lt;R&gt;1&lt;/R&gt;&lt;C&gt;1&lt;/C&gt;&lt;D xsi:type="xsd:double"&gt;684.46686&lt;/D&gt;&lt;/FQL&gt;&lt;FQL&gt;&lt;Q&gt;SHOP-US^FE_TIMESERIES(GROSSINCOME,MEAN,2025/3F,,Q,'CURRENCY=USD')&lt;/Q&gt;&lt;R&gt;1&lt;/R&gt;&lt;C&gt;1&lt;/C&gt;&lt;D xsi:type="xsd:double"&gt;1339.9728&lt;/D&gt;&lt;/FQL&gt;&lt;FQL&gt;&lt;Q&gt;SHOP-US^FE_TIMESERIES(SALES,MEAN,2025/2F,,Q,'CURRENCY=USD')&lt;/Q&gt;&lt;R&gt;1&lt;/R&gt;&lt;C&gt;1&lt;/C&gt;&lt;D xsi:type="xsd:double"&gt;2527.689&lt;/D&gt;&lt;/FQL&gt;&lt;FQL&gt;&lt;Q&gt;SHOP-US^FE_ESTIMATE(PRODLINE_SALES_1,MEAN,QTR,2025/2F,NOW,,,'')&lt;/Q&gt;&lt;R&gt;1&lt;/R&gt;&lt;C&gt;1&lt;/C&gt;&lt;D xsi:type="xsd:double"&gt;673.83167&lt;/D&gt;&lt;/FQL&gt;&lt;FQL&gt;&lt;Q&gt;SHOP-US^FE_ESTIMATE(EBITDA_ADJ,MEAN,QTR,2027/4F,NOW,,,'')&lt;/Q&gt;&lt;R&gt;1&lt;/R&gt;&lt;C&gt;1&lt;/C&gt;&lt;D xsi:type="xsd:double"&gt;1394&lt;/D&gt;&lt;/FQL&gt;&lt;FQL&gt;&lt;Q&gt;SHOP-US^FE_TIMESERIES(EPS,MEAN,2022,,Y,'CURRENCY=USD')&lt;/Q&gt;&lt;R&gt;1&lt;/R&gt;&lt;C&gt;1&lt;/C&gt;&lt;D xsi:type="xsd:double"&gt;0.04&lt;/D&gt;&lt;/FQL&gt;&lt;FQL&gt;&lt;Q&gt;SHOP-US^FE_TIMESERIES(FCF,MEAN,2020/3F,,Q,'CURRENCY=USD')&lt;/Q&gt;&lt;R&gt;1&lt;/R&gt;&lt;C&gt;1&lt;/C&gt;&lt;D xsi:type="xsd:double"&gt;72.653&lt;/D&gt;&lt;/FQL&gt;&lt;FQL&gt;&lt;Q&gt;SHOP-US^FE_TIMESERIES(EPS,MEAN,2024/1F,,Q,'CURRENCY=USD')&lt;/Q&gt;&lt;R&gt;1&lt;/R&gt;&lt;C&gt;1&lt;/C&gt;&lt;D xsi:type="xsd:double"&gt;0.2&lt;/D&gt;&lt;/FQL&gt;&lt;FQL&gt;&lt;Q&gt;SHOP-US^FE_TIMESERIES(EBITDA_REP,MEAN,2023/1F,,Q,'CURRENCY=USD')&lt;/Q&gt;&lt;R&gt;1&lt;/R&gt;&lt;C&gt;1&lt;/C&gt;&lt;D xsi:type="xsd:double"&gt;-2&lt;/D&gt;&lt;/FQL&gt;&lt;FQL&gt;&lt;Q&gt;SHOP-US^FE_TIMESERIES(EBIT_ADJ,MEAN,2022/3F,,Q,'CURRENCY=USD')&lt;/Q&gt;&lt;R&gt;1&lt;/R&gt;&lt;C&gt;1&lt;/C&gt;&lt;D xsi:type="xsd:double"&gt;-45.073193&lt;/D&gt;&lt;/FQL&gt;&lt;FQL&gt;&lt;Q&gt;SHOP-US^FE_TIMESERIES(PRODLINE_SALES_2,MEAN,2022/2F,,Q,'CURRENCY=USD')&lt;/Q&gt;&lt;R&gt;1&lt;/R&gt;&lt;C&gt;1&lt;/C&gt;&lt;D xsi:type="xsd:double"&gt;928.62&lt;/D&gt;&lt;/FQL&gt;&lt;FQL&gt;&lt;Q&gt;SHOP-US^FE_ESTIMATE(PRODLINE_SALES_1,MEAN,QTR,2024/4F,NOW,,,'')&lt;/Q&gt;&lt;R&gt;1&lt;/R&gt;&lt;C&gt;1&lt;/C&gt;&lt;D xsi:type="xsd:double"&gt;648.8926&lt;/D&gt;&lt;/FQL&gt;&lt;FQL&gt;&lt;Q&gt;SHOP-US^FE_ESTIMATE(PRODLINE_SALES_1,MEAN,QTR,2025/4F,NOW,,,'')&lt;/Q&gt;&lt;R&gt;1&lt;/R&gt;&lt;C&gt;1&lt;/C&gt;&lt;D xsi:type="xsd:double"&gt;759.7652&lt;/D&gt;&lt;/FQL&gt;&lt;FQL&gt;&lt;Q&gt;SHOP-US^FE_ESTIMATE(EBITDA_ADJ,MEAN,QTR,2027/1F,NOW,,,'')&lt;/Q&gt;&lt;R&gt;1&lt;/R&gt;&lt;C&gt;1&lt;/C&gt;&lt;D xsi:type="xsd:double"&gt;640&lt;/D&gt;&lt;/FQL&gt;&lt;FQL&gt;&lt;Q&gt;SHOP-US^FE_TIMESERIES(EBITR,MEAN,2022/3F,,Q,'CURRENCY=USD')&lt;/Q&gt;&lt;R&gt;1&lt;/R&gt;&lt;C&gt;1&lt;/C&gt;&lt;D xsi:type="xsd:double"&gt;-345.2576&lt;/D&gt;&lt;/FQL&gt;&lt;FQL&gt;&lt;Q&gt;SHOP-US^FE_TIMESERIES(GROSSINCOME,MEAN,2022/1F,,Q,'CURRENCY=USD')&lt;/Q&gt;&lt;R&gt;1&lt;/R&gt;&lt;C&gt;1&lt;/C&gt;&lt;D xsi:type="xsd:double"&gt;643.5187&lt;/D&gt;&lt;/FQL&gt;&lt;FQL&gt;&lt;Q&gt;SHOP-US^FE_TIMESERIES(SALES,MEAN,2021/3F,,Q,'CURRENCY=USD')&lt;/Q&gt;&lt;R&gt;1&lt;/R&gt;&lt;C&gt;1&lt;/C&gt;&lt;D xsi:type="xsd:double"&gt;1123.74&lt;/D&gt;&lt;/FQL&gt;&lt;FQL&gt;&lt;Q&gt;SHOP-US^FE_ACTUAL(ACTUAL,SALES,ANNUAL,2026,,,,'')@FE_ESTIMATE(SALES,MEAN,ANNUAL,2026,NOW,,,'')&lt;/Q&gt;&lt;R&gt;1&lt;/R&gt;&lt;C&gt;1&lt;/C&gt;&lt;D xsi:type="xsd:double"&gt;13154.029&lt;/D&gt;&lt;/FQL&gt;&lt;FQL&gt;&lt;Q&gt;SHOP-US^FE_ESTIMATE(PRODLINE_SALES_1,MEAN,QTR,2025/1F,NOW,,,'')&lt;/Q&gt;&lt;R&gt;1&lt;/R&gt;&lt;C&gt;1&lt;/C&gt;&lt;D xsi:type="xsd:double"&gt;633.1609&lt;/D&gt;&lt;/FQL&gt;&lt;FQL&gt;&lt;Q&gt;SHOP-US^FE_ESTIMATE(CUSTOM_EPS,MEAN,ANNUAL_ROLL,2026,NOW,,,'')&lt;/Q&gt;&lt;R&gt;1&lt;/R&gt;&lt;C&gt;1&lt;/C&gt;&lt;D xsi:type="xsd:double"&gt;1.928615&lt;/D&gt;&lt;/FQL&gt;&lt;FQL&gt;&lt;Q&gt;SHOP-US^FE_TIMESERIES(FCF,MEAN,2023/4F,,Q,'CURRENCY=USD')&lt;/Q&gt;&lt;R&gt;1&lt;/R&gt;&lt;C&gt;1&lt;/C&gt;&lt;D xsi:type="xsd:double"&gt;446&lt;/D&gt;&lt;/FQL&gt;&lt;FQL&gt;&lt;Q&gt;SHOP-US^FE_TIMESERIES(EPS,MEAN,2023/4F,,Q,'CURRENCY=USD')&lt;/Q&gt;&lt;R&gt;1&lt;/R&gt;&lt;C&gt;1&lt;/C&gt;&lt;D xsi:type="xsd:double"&gt;0.34&lt;/D&gt;&lt;/FQL&gt;&lt;FQL&gt;&lt;Q&gt;SHOP-US^FE_TIMESERIES(GROSSINCOME,MEAN,2021/4F,,Q,'CURRENCY=USD')&lt;/Q&gt;&lt;R&gt;1&lt;/R&gt;&lt;C&gt;1&lt;/C&gt;&lt;D xsi:type="xsd:double"&gt;698.2491&lt;/D&gt;&lt;/FQL&gt;&lt;FQL&gt;&lt;Q&gt;SHOP-US^FE_TIMESERIES(SALES,MEAN,2024/1F,,Q,'CURRENCY=USD')&lt;/Q&gt;&lt;R&gt;1&lt;/R&gt;&lt;C&gt;1&lt;/C&gt;&lt;D xsi:type="xsd:double"&gt;1861&lt;/D&gt;&lt;/FQL&gt;&lt;FQL&gt;&lt;Q&gt;SHOP-US^FE_ESTIMATE(PRODLINE_SALES_1,MEAN,QTR,2024/3F,NOW,,,'')&lt;/Q&gt;&lt;R&gt;1&lt;/R&gt;&lt;C&gt;1&lt;/C&gt;&lt;D xsi:type="xsd:double"&gt;610&lt;/D&gt;&lt;/FQL&gt;&lt;FQL&gt;&lt;Q&gt;SHOP-US^FE_ESTIMATE(EBITDA_ADJ,MEAN,ANNUAL_ROLL,2025,NOW,,,'')&lt;/Q&gt;&lt;R&gt;1&lt;/R&gt;&lt;C&gt;1&lt;/C&gt;&lt;D xsi:type="xsd:double"&gt;1996.2725&lt;/D&gt;&lt;/FQL&gt;&lt;FQL&gt;&lt;Q&gt;SHOP-US^FE_ESTIMATE(CUSTOM_EPS,MEAN,QTR,2027/2F,NOW,,,'')&lt;/Q&gt;&lt;R&gt;1&lt;/R&gt;&lt;C&gt;1&lt;/C&gt;&lt;D xsi:type="xsd:double"&gt;0.59&lt;/D&gt;&lt;/FQL&gt;&lt;FQL&gt;&lt;Q&gt;SHOP-US^FE_TIMESERIES(DEPR_AMORT,MEAN,2020/3F,,Q,'CURRENCY=USD')&lt;/Q&gt;&lt;R&gt;1&lt;/R&gt;&lt;C&gt;1&lt;/C&gt;&lt;D xsi:type="xsd:double"&gt;18.013334&lt;/D&gt;&lt;/FQL&gt;&lt;FQL&gt;&lt;Q&gt;SHOP-US^FE_TIMESERIES(EAG,MEAN,2020/3F,,Q,'CURRENCY=USD')&lt;/Q&gt;&lt;R&gt;1&lt;/R&gt;&lt;C&gt;1&lt;/C&gt;&lt;D xsi:type="xsd:double"&gt;0.154&lt;/D&gt;&lt;/FQL&gt;&lt;FQL&gt;&lt;Q&gt;SHOP-US^FE_TIMESERIES(EBITDA_REP,MEAN,2025/2F,,Q,'CURRENCY=USD')&lt;/Q&gt;&lt;R&gt;1&lt;/R&gt;&lt;C&gt;1&lt;/C&gt;&lt;D xsi:type="xsd:double"&gt;406.41388&lt;/D&gt;&lt;/FQL&gt;&lt;FQL&gt;&lt;Q&gt;SHOP-US^FE_TIMESERIES(DEPR_AMORT,MEAN,2022,,Y,'CURRENCY=USD')&lt;/Q&gt;&lt;R&gt;1&lt;/R&gt;&lt;C&gt;1&lt;/C&gt;&lt;D xsi:type="xsd:double"&gt;90.75833&lt;/D&gt;&lt;/FQL&gt;&lt;FQL&gt;&lt;Q&gt;SHOP-US^FE_TIMESERIES(CAPEX,MEAN,2021,,Y,'CURRENCY=USD')&lt;/Q&gt;&lt;R&gt;1&lt;/R&gt;&lt;C&gt;1&lt;/C&gt;&lt;D xsi:type="xsd:double"&gt;50.850285&lt;/D&gt;&lt;/FQL&gt;&lt;FQL&gt;&lt;Q&gt;SHOP-US^FE_TIMESERIES(NETPROFIT,MEAN,2023,,Y,'CURRENCY=USD')&lt;/Q&gt;&lt;R&gt;1&lt;/R&gt;&lt;C&gt;1&lt;/C&gt;&lt;D xsi:type="xsd:double"&gt;947&lt;/D&gt;&lt;/FQL&gt;&lt;FQL&gt;&lt;Q&gt;SHOP-US^FE_TIMESERIES(EBITDA_REP,MEAN,2022,,Y,'CURRENCY=USD')&lt;/Q&gt;&lt;R&gt;1&lt;/R&gt;&lt;C&gt;1&lt;/C&gt;&lt;D xsi:type="xsd:double"&gt;-317.7105&lt;/D&gt;&lt;/FQL&gt;&lt;FQL&gt;&lt;Q&gt;SHOP-US^FE_TIMESERIES(EBITR,MEAN,2023,,Y,'CURRENCY=USD')&lt;/Q&gt;&lt;R&gt;1&lt;/R&gt;&lt;C&gt;1&lt;/C&gt;&lt;D xsi:type="xsd:double"&gt;-1409.0588&lt;/D&gt;&lt;/FQL&gt;&lt;FQL&gt;&lt;Q&gt;SHOP-US^FE_TIMESERIES(GROSSINCOME,MEAN,2020,,Y,'CURRENCY=USD')&lt;/Q&gt;&lt;R&gt;1&lt;/R&gt;&lt;C&gt;1&lt;/C&gt;&lt;D xsi:type="xsd:double"&gt;1557.4036&lt;/D&gt;&lt;/FQL&gt;&lt;FQL&gt;&lt;Q&gt;SHOP-US^FE_TIMESERIES(DEPR_AMORT,MEAN,2023/4F,,Q,'CURRENCY=USD')&lt;/Q&gt;&lt;R&gt;1&lt;/R&gt;&lt;C&gt;1&lt;/C&gt;&lt;D xsi:type="xsd:double"&gt;10&lt;/D&gt;&lt;/FQL&gt;&lt;FQL&gt;&lt;Q&gt;SHOP-US^FE_TIMESERIES(CAPEX,MEAN,2024/4F,,Q,'CURRENCY=USD')&lt;/Q&gt;&lt;R&gt;1&lt;/R&gt;&lt;C&gt;1&lt;/C&gt;&lt;D xsi:type="xsd:double"&gt;5.39675&lt;/D&gt;&lt;/FQL&gt;&lt;FQL&gt;&lt;Q&gt;SHOP-US^FE_TIMESERIES(CAPEX,MEAN,2022/1F,,Q,'CURRENCY=USD')&lt;/Q&gt;&lt;R&gt;1&lt;/R&gt;&lt;C&gt;1&lt;/C&gt;&lt;D xsi:type="xsd:double"&gt;15.9375&lt;/D&gt;&lt;/FQL&gt;&lt;FQL&gt;&lt;Q&gt;SHOP-US^FE_TIMESERIES(EAG,MEAN,2023/4F,,Q,'CURRENCY=USD')&lt;/Q&gt;&lt;R&gt;1&lt;/R&gt;&lt;C&gt;1&lt;/C&gt;&lt;D xsi:type="xsd:double"&gt;0.51&lt;/D&gt;&lt;/FQL&gt;&lt;FQL&gt;&lt;Q&gt;SHOP-US^FE_TIMESERIES(NETPROFIT,MEAN,2024/4F,,Q,'CURRENCY=USD')&lt;/Q&gt;&lt;R&gt;1&lt;/R&gt;&lt;C&gt;1&lt;/C&gt;&lt;D xsi:type="xsd:double"&gt;552.6298&lt;/D&gt;&lt;/FQL&gt;&lt;FQL&gt;&lt;Q&gt;SHOP-US^FE_TIMESERIES(EBITDA_ADJ,MEAN,2024/4F,,Q,'CURRENCY=USD')&lt;/Q&gt;&lt;R&gt;1&lt;/R&gt;&lt;C&gt;1&lt;/C&gt;&lt;D xsi:type="xsd:double"&gt;565.91003&lt;/D&gt;&lt;/FQL&gt;&lt;FQL&gt;&lt;Q&gt;SHOP-US^FE_TIMESERIES(EBITDA_REP,MEAN,2025/1F,,Q,'CURRENCY=USD')&lt;/Q&gt;&lt;R&gt;1&lt;/R&gt;&lt;C&gt;1&lt;/C&gt;&lt;D xsi:type="xsd:double"&gt;260.30283&lt;/D&gt;&lt;/FQL&gt;&lt;FQL&gt;&lt;Q&gt;SHOP-US^FE_TIMESERIES(EBITDA_REP,MEAN,2021/3F,,Q,'CURRENCY=USD')&lt;/Q&gt;&lt;R&gt;1&lt;/R&gt;&lt;C&gt;1&lt;/C&gt;&lt;D xsi:type="xsd:double"&gt;13.5515&lt;/D&gt;&lt;/FQL&gt;&lt;FQL&gt;&lt;Q&gt;SHOP-US^FE_TIMESERIES(EBIT_ADJ,MEAN,2024/2F,,Q,'CURRENCY=USD')&lt;/Q&gt;&lt;R&gt;1&lt;/R&gt;&lt;C&gt;1&lt;/C&gt;&lt;D xsi:type="xsd:double"&gt;299&lt;/D&gt;&lt;/FQL&gt;&lt;FQL&gt;&lt;Q&gt;SHOP-US^FE_TIMESERIES(EBIT_ADJ,MEAN,2021/1F,,Q,'CURRENCY=USD')&lt;/Q&gt;&lt;R&gt;1&lt;/R&gt;&lt;C&gt;1&lt;/C&gt;&lt;D xsi:type="xsd:double"&gt;210.842&lt;/D&gt;&lt;/FQL&gt;&lt;FQL&gt;&lt;Q&gt;SHOP-US^FE_TIMESERIES(GROSSINCOME,MEAN,2021/2F,,Q,'CURRENCY=USD')&lt;/Q&gt;&lt;R&gt;1&lt;/R&gt;&lt;C&gt;1&lt;/C&gt;&lt;D xsi:type="xsd:double"&gt;624.6344&lt;/D&gt;&lt;/FQL&gt;&lt;FQL&gt;&lt;Q&gt;SHOP-US^FE_TIMESERIES(PRODLINE_SALES_2,MEAN,2024/1F,,Q,'CURRENCY=USD')&lt;/Q&gt;&lt;R&gt;1&lt;/R&gt;&lt;C&gt;1&lt;/C&gt;&lt;D xsi:type="xsd:double"&gt;1350&lt;/D&gt;&lt;/FQL&gt;&lt;FQL&gt;&lt;Q&gt;SHOP-US^FE_TIMESERIES(PRODLINE_SALES_1,MEAN,2023/3F,,Q,'CURRENCY=USD')&lt;/Q&gt;&lt;R&gt;1&lt;/R&gt;&lt;C&gt;1&lt;/C&gt;&lt;D xsi:type="xsd:double"&gt;486&lt;/D&gt;&lt;/FQL&gt;&lt;FQL&gt;&lt;Q&gt;SHOP-US^FE_TIMESERIES(GMV,MEAN,2023/4F,,Q,'CURRENCY=USD')&lt;/Q&gt;&lt;R&gt;1&lt;/R&gt;&lt;C&gt;1&lt;/C&gt;&lt;D xsi:type="xsd:double"&gt;75125&lt;/D&gt;&lt;/FQL&gt;&lt;FQL&gt;&lt;Q&gt;SHOP-US^FE_ESTIMATE(SALES,MEAN,QTR_ROLL,2027/2F,NOW,,,'')&lt;/Q&gt;&lt;R&gt;1&lt;/R&gt;&lt;C&gt;1&lt;/C&gt;&lt;D xsi:type="xsd:double"&gt;3782&lt;/D&gt;&lt;/FQL&gt;&lt;FQL&gt;&lt;Q&gt;SHOP-US^FE_ESTIMATE(CUSTOM_EPS,MEAN,QTR,2024/3F,NOW,,,'')&lt;/Q&gt;&lt;R&gt;1&lt;/R&gt;&lt;C&gt;1&lt;/C&gt;&lt;D xsi:type="xsd:double"&gt;0.34206286&lt;/D&gt;&lt;/FQL&gt;&lt;FQL&gt;&lt;Q&gt;SHOP-US^FE_ESTIMATE(EAG,MEAN,ANNUAL_ROLL,2025,NOW,,,'')&lt;/Q&gt;&lt;R&gt;1&lt;/R&gt;&lt;C&gt;1&lt;/C&gt;&lt;D xsi:type="xsd:double"&gt;1.1713703&lt;/D&gt;&lt;/FQL&gt;&lt;FQL&gt;&lt;Q&gt;SHOP-US^FE_ESTIMATE(SPEC_GROSS_1,MEAN,QTR,2027/3F,NOW,,,'')&lt;/Q&gt;&lt;R&gt;0&lt;/R&gt;&lt;C&gt;0&lt;/C&gt;&lt;/FQL&gt;&lt;FQL&gt;&lt;Q&gt;SHOP-US^FE_TIMESERIES(GMV,MEAN,2022/3F,,Q,'CURRENCY=USD')&lt;/Q&gt;&lt;R&gt;1&lt;/R&gt;&lt;C&gt;1&lt;/C&gt;&lt;D xsi:type="xsd:double"&gt;46179.855&lt;/D&gt;&lt;/FQL&gt;&lt;FQL&gt;&lt;Q&gt;SHOP-US^FE_ESTIMATE(EAG,MEAN,QTR,2024/1F,NOW,,,'')&lt;/Q&gt;&lt;R&gt;1&lt;/R&gt;&lt;C&gt;1&lt;/C&gt;&lt;D xsi:type="xsd:double"&gt;-0.21&lt;/D&gt;&lt;/FQL&gt;&lt;FQL&gt;&lt;Q&gt;SHOP-US^FE_ESTIMATE(SALES,MEAN,ANNUAL_ROLL,2026,NOW,,,'')&lt;/Q&gt;&lt;R&gt;1&lt;/R&gt;&lt;C&gt;1&lt;/C&gt;&lt;D xsi:type="xsd:double"&gt;13154.029&lt;/D&gt;&lt;/FQL&gt;&lt;FQL&gt;&lt;Q&gt;SHOP-US^FE_TIMESERIES(CFO,MEAN,2025,,Y,'CURRENCY=USD')&lt;/Q&gt;&lt;R&gt;1&lt;/R&gt;&lt;C&gt;1&lt;/C&gt;&lt;D xsi:type="xsd:double"&gt;2104.9238&lt;/D&gt;&lt;/FQL&gt;&lt;FQL&gt;&lt;Q&gt;SHOP-US^FE_TIMESERIES(CAPEX,MEAN,2024/1F,,Q,'CURRENCY=USD')&lt;/Q&gt;&lt;R&gt;1&lt;/R&gt;&lt;C&gt;1&lt;/C&gt;&lt;D xsi:type="xsd:double"&gt;6&lt;/D&gt;&lt;/FQL&gt;&lt;FQL&gt;&lt;Q&gt;SHOP-US^FE_TIMESERIES(NETPROFIT,MEAN,2024/1F,,Q,'CURRENCY=USD')&lt;/Q&gt;&lt;R&gt;1&lt;/R&gt;&lt;C&gt;1&lt;/C&gt;&lt;D xsi:type="xsd:double"&gt;256&lt;/D&gt;&lt;/FQL&gt;&lt;FQL&gt;&lt;Q&gt;SHOP-US^FE_TIMESERIES(EBIT_ADJ,MEAN,2023/4F,,Q,'CURRENCY=USD')&lt;/Q&gt;&lt;R&gt;1&lt;/R&gt;&lt;C&gt;1&lt;/C&gt;&lt;D xsi:type="xsd:double"&gt;398.58066&lt;/D&gt;&lt;/FQL&gt;&lt;FQL&gt;&lt;Q&gt;SHOP-US^FE_TIMESERIES(GROSSINCOME,MEAN,2023/2F,,Q,'CURRENCY=USD')&lt;/Q&gt;&lt;R&gt;1&lt;/R&gt;&lt;C&gt;1&lt;/C&gt;&lt;D xsi:type="xsd:double"&gt;840.90625&lt;/D&gt;&lt;/FQL&gt;&lt;FQL&gt;&lt;Q&gt;SHOP-US^FE_TIMESERIES(SALES,MEAN,2025/3F,,Q,'CURRENCY=USD')&lt;/Q&gt;&lt;R&gt;1&lt;/R&gt;&lt;C&gt;1&lt;/C&gt;&lt;D xsi:type="xsd:double"&gt;2637.6206&lt;/D&gt;&lt;/FQL&gt;&lt;FQL&gt;&lt;Q&gt;SHOP-US^FE_ESTIMATE(SALES,MEAN,QTR_ROLL,2024/4F,NOW,,,'')&lt;/Q&gt;&lt;R&gt;1&lt;/R&gt;&lt;C&gt;1&lt;/C&gt;&lt;D xsi:type="xsd:double"&gt;2725.7952&lt;/D&gt;&lt;/FQL&gt;&lt;FQL&gt;&lt;Q&gt;SHOP-US^FE_ESTIMATE(SPEC_GROSS_1,MEAN,QTR,2025/1F,NOW,,,'')&lt;/Q&gt;&lt;R&gt;1&lt;/R&gt;&lt;C&gt;1&lt;/C&gt;&lt;D xsi:type="xsd:double"&gt;188.28714&lt;/D&gt;&lt;/FQL&gt;&lt;FQL&gt;&lt;Q&gt;SHOP-US^FE_ESTIMATE(EBITDA_ADJ,MEAN,ANNUAL_ROLL,2027,NOW,,,'')&lt;/Q&gt;&lt;R&gt;1&lt;/R&gt;&lt;C&gt;1&lt;/C&gt;&lt;D xsi:type="xsd:double"&gt;3219.5&lt;/D&gt;&lt;/FQL&gt;&lt;FQL&gt;&lt;Q&gt;SHOP-US^FE_TIMESERIES(FCF,MEAN,2020/4F,,Q,'CURRENCY=USD')&lt;/Q&gt;&lt;R&gt;1&lt;/R&gt;&lt;C&gt;1&lt;/C&gt;&lt;D xsi:type="xsd:double"&gt;239.0075&lt;/D&gt;&lt;/FQL&gt;&lt;FQL&gt;&lt;Q&gt;SHOP-US^FE_TIMESERIES(EPS,MEAN,2020/4F,,Q,'CURRENCY=USD')&lt;/Q&gt;&lt;R&gt;1&lt;/R&gt;&lt;C&gt;1&lt;/C&gt;&lt;D xsi:type="xsd:double"&gt;0.158&lt;/D&gt;&lt;/FQL&gt;&lt;FQL&gt;&lt;Q&gt;SHOP-US^FE_TIMESERIES(EBITDA_REP,MEAN,2023/3F,,Q,'CURRENCY=USD')&lt;/Q&gt;&lt;R&gt;1&lt;/R&gt;&lt;C&gt;1&lt;/C&gt;&lt;D xsi:type="xsd:double"&gt;209.5&lt;/D&gt;&lt;/FQL&gt;&lt;FQL&gt;&lt;Q&gt;SHOP-US^FE_TIMESERIES(EBIT_ADJ,MEAN,2020/2F,,Q,'CURRENCY=USD')&lt;/Q&gt;&lt;R&gt;1&lt;/R&gt;&lt;C&gt;1&lt;/C&gt;&lt;D xsi:type="xsd:double"&gt;113.7&lt;/D&gt;&lt;/FQL&gt;&lt;FQL&gt;&lt;Q&gt;SHOP-US^FE_TIMESERIES(PRODLINE_SALES_2,MEAN,2022/3F,,Q,'CURRENCY=USD')&lt;/Q&gt;&lt;R&gt;1&lt;/R&gt;&lt;C&gt;1&lt;/C&gt;&lt;D xsi:type="xsd:double"&gt;989.899&lt;/D&gt;&lt;/FQL&gt;&lt;FQL&gt;&lt;Q&gt;SHOP-US^FE_ESTIMATE(SPEC_GROSS_1,MEAN,QTR,2024/3F,NOW,,,'')&lt;/Q&gt;&lt;R&gt;1&lt;/R&gt;&lt;C&gt;1&lt;/C&gt;&lt;D xsi:type="xsd:double"&gt;175&lt;/D&gt;&lt;/FQL&gt;&lt;FQL&gt;&lt;Q&gt;SHOP-US^FE_ESTIMATE(SPEC_GROSS_1,MEAN,QTR,2025/3F,NOW,,,'')&lt;/Q&gt;&lt;R&gt;1&lt;/R&gt;&lt;C&gt;1&lt;/C&gt;&lt;D xsi:type="xsd:double"&gt;207.93333&lt;/D&gt;&lt;/FQL&gt;&lt;FQL&gt;&lt;Q&gt;SHOP-US^FE_ESTIMATE(PRODLINE_SALES_1,MEAN,ANNUAL_ROLL,2026,NOW,,,'')&lt;/Q&gt;&lt;R&gt;1&lt;/R&gt;&lt;C&gt;1&lt;/C&gt;&lt;D xsi:type="xsd:double"&gt;3247.7937&lt;/D&gt;&lt;/FQL&gt;&lt;FQL&gt;&lt;Q&gt;SHOP-US^FE_TIMESERIES(CFO,MEAN,2024,,Y,'CURRENCY=USD')&lt;/Q&gt;&lt;R&gt;1&lt;/R&gt;&lt;C&gt;1&lt;/C&gt;&lt;D xsi:type="xsd:double"&gt;1618.5018&lt;/D&gt;&lt;/FQL&gt;&lt;FQL&gt;&lt;Q&gt;SHOP-US^FE_TIMESERIES(EAG,MEAN,2022/1F,,Q,'CURRENCY=USD')&lt;/Q&gt;&lt;R&gt;1&lt;/R&gt;&lt;C&gt;1&lt;/C&gt;&lt;D xsi:type="xsd:double"&gt;-1.155&lt;/D&gt;&lt;/FQL&gt;&lt;FQL&gt;&lt;Q&gt;SHOP-US^FE_TIMESERIES(EBITDA_ADJ,MEAN,2023/1F,,Q,'CURRENCY=USD')&lt;/Q&gt;&lt;R&gt;1&lt;/R&gt;&lt;C&gt;1&lt;/C&gt;&lt;D xsi:type="xsd:double"&gt;-1.9851&lt;/D&gt;&lt;/FQL&gt;&lt;FQL&gt;&lt;Q&gt;SHOP-US^FE_TIMESERIES(GROSSINCOME,MEAN,2022/2F,,Q,'CURRENCY=USD')&lt;/Q&gt;&lt;R&gt;1&lt;/R&gt;&lt;C&gt;1&lt;/C&gt;&lt;D xsi:type="xsd:double"&gt;662.0971&lt;/D&gt;&lt;/FQL&gt;&lt;FQL&gt;&lt;Q&gt;SHOP-US^FE_TIMESERIES(GMV,MEAN,2024/3F,,Q,'CURRENCY=USD')&lt;/Q&gt;&lt;R&gt;1&lt;/R&gt;&lt;C&gt;1&lt;/C&gt;&lt;D xsi:type="xsd:double"&gt;69715&lt;/D&gt;&lt;/FQL&gt;&lt;FQL&gt;&lt;Q&gt;SHOP-US^FE_ESTIMATE(SALES,MEAN,QTR,2025/1F,NOW,,,'')&lt;/Q&gt;&lt;R&gt;1&lt;/R&gt;&lt;C&gt;1&lt;/C&gt;&lt;D xsi:type="xsd:double"&gt;2319.768&lt;/D&gt;&lt;/FQL&gt;&lt;FQL&gt;&lt;Q&gt;SHOP-US^FE_ESTIMATE(PRODLINE_SALES_2,MEAN,QTR,2026/3F,NOW,,,'')&lt;/Q&gt;&lt;R&gt;1&lt;/R&gt;&lt;C&gt;1&lt;/C&gt;&lt;D xsi:type="xsd:double"&gt;2295.6624&lt;/D&gt;&lt;/FQL&gt;&lt;FQL&gt;&lt;Q&gt;SHOP-US^FE_TIMESERIES(EAG,MEAN,2027,,Y,'CURRENCY=USD')&lt;/Q&gt;&lt;R&gt;1&lt;/R&gt;&lt;C&gt;1&lt;/C&gt;&lt;D xsi:type="xsd:double"&gt;2.230065&lt;/D&gt;&lt;/FQL&gt;&lt;FQL&gt;&lt;Q&gt;SHOP-US^FE_TIMESERIES(DEPR_AMORT,MEAN,2021/4F,,Q,'CURRENCY=USD')&lt;/Q&gt;&lt;R&gt;1&lt;/R&gt;&lt;C&gt;1&lt;/C&gt;&lt;D xsi:type="xsd:double"&gt;20.654667&lt;/D&gt;&lt;/FQL&gt;&lt;FQL&gt;&lt;Q&gt;SHOP-US^FE_TIMESERIES(CFO,MEAN,2025/4F,,Q,'CURRENCY=USD')&lt;/Q&gt;&lt;R&gt;1&lt;/R&gt;&lt;C&gt;1&lt;/C&gt;&lt;D xsi:type="xsd:double"&gt;710.0138&lt;/D&gt;&lt;/FQL&gt;&lt;FQL&gt;&lt;Q&gt;SHOP-US^FE_TIMESERIES(EPS,MEAN,2020/3F,,Q,'CURRENCY=USD')&lt;/Q&gt;&lt;R&gt;1&lt;/R&gt;&lt;C&gt;1&lt;/C&gt;&lt;D xsi:type="xsd:double"&gt;0.113&lt;/D&gt;&lt;/FQL&gt;&lt;FQL&gt;&lt;Q&gt;SHOP-US^FE_TIMESERIES(NETPROFIT,MEAN,2020/2F,,Q,'CURRENCY=USD')&lt;/Q&gt;&lt;R&gt;1&lt;/R&gt;&lt;C&gt;1&lt;/C&gt;&lt;D xsi:type="xsd:double"&gt;129.4&lt;/D&gt;&lt;/FQL&gt;&lt;FQL&gt;&lt;Q&gt;SHOP-US^FE_TIMESERIES(EBIT_ADJ,MEAN,2025/4F,,Q,'CURRENCY=USD')&lt;/Q&gt;&lt;R&gt;1&lt;/R&gt;&lt;C&gt;1&lt;/C&gt;&lt;D xsi:type="xsd:double"&gt;693.22485&lt;/D&gt;&lt;/FQL&gt;&lt;FQL&gt;&lt;Q&gt;SHOP-US^FE_TIMESERIES(EBITR,MEAN,2025/2F,,Q,'CURRENCY=USD')&lt;/Q&gt;&lt;R&gt;1&lt;/R&gt;&lt;C&gt;1&lt;/C&gt;&lt;D xsi:type="xsd:double"&gt;311.51846&lt;/D&gt;&lt;/FQL&gt;&lt;FQL&gt;&lt;Q&gt;SHOP-US^FE_TIMESERIES(PRODLINE_SALES_1,MEAN,2021/3F,,Q,'CURRENCY=USD')&lt;/Q&gt;&lt;R&gt;1&lt;/R&gt;&lt;C&gt;1&lt;/C&gt;&lt;D xsi:type="xsd:double"&gt;336.208&lt;/D&gt;&lt;/FQL&gt;&lt;FQL&gt;&lt;Q&gt;SHOP-US^FE_ESTIMATE(SALES,MEAN,QTR_ROLL,2026/1F,NOW,,,'')&lt;/Q&gt;&lt;R&gt;1&lt;/R&gt;&lt;C&gt;1&lt;/C&gt;&lt;D xsi:type="xsd:double"&gt;2786.8684&lt;/D&gt;&lt;/FQL&gt;&lt;FQL&gt;&lt;Q&gt;SHOP-US^FE_ESTIMATE(SALES,MEAN,QTR,2024/3F,NOW,,,'')&lt;/Q&gt;&lt;R&gt;1&lt;/R&gt;&lt;C&gt;1&lt;/C&gt;&lt;D xsi:type="xsd:double"&gt;2162&lt;/D&gt;&lt;/FQL&gt;&lt;FQL&gt;&lt;Q&gt;SHOP-US^FE_ESTIMATE(PRODLINE_SALES_2,MEAN,ANNUAL_ROLL,2025,NOW,,,'')&lt;/Q&gt;&lt;R&gt;1&lt;/R&gt;&lt;C&gt;1&lt;/C&gt;&lt;D xsi:type="xsd:double"&gt;8000.8755&lt;/D&gt;&lt;/FQL&gt;&lt;FQL&gt;&lt;Q&gt;SHOP-US^FE_ESTIMATE(CUSTOM_EPS,MEAN,QTR,2027/3F,NOW,,,'')&lt;/Q&gt;&lt;R&gt;1&lt;/R&gt;&lt;C&gt;1&lt;/C&gt;&lt;D xsi:type="xsd:double"&gt;0.67&lt;/D&gt;&lt;/FQL&gt;&lt;FQL&gt;&lt;Q&gt;SHOP-US^FE_TIMESERIES(EAG,MEAN,2024/2F,,Q,'CURRENCY=USD')&lt;/Q&gt;&lt;R&gt;1&lt;/R&gt;&lt;C&gt;1&lt;/C&gt;&lt;D xsi:type="xsd:double"&gt;0.13&lt;/D&gt;&lt;/FQL&gt;&lt;FQL&gt;&lt;Q&gt;SHOP-US^FE_TIMESERIES(PRODLINE_SALES_2,MEAN,2024/3F,,Q,'CURRENCY=USD')&lt;/Q&gt;&lt;R&gt;1&lt;/R&gt;&lt;C&gt;1&lt;/C&gt;&lt;D xsi:type="xsd:double"&gt;1552&lt;/D&gt;&lt;/FQL&gt;&lt;FQL&gt;&lt;Q&gt;SHOP-US^FE_TIMESERIES(GMV,MEAN,2021/1F,,Q,'CURRENCY=USD')&lt;/Q&gt;&lt;R&gt;1&lt;/R&gt;&lt;C&gt;1&lt;/C&gt;&lt;D xsi:type="xsd:double"&gt;37300&lt;/D&gt;&lt;/FQL&gt;&lt;FQL&gt;&lt;Q&gt;SHOP-US^FE_ESTIMATE(EBITDA_ADJ,MEAN,QTR,2025/3F,NOW,,,'')&lt;/Q&gt;&lt;R&gt;1&lt;/R&gt;&lt;C&gt;1&lt;/C&gt;&lt;D xsi:type="xsd:double"&gt;504.27817&lt;/D&gt;&lt;/FQL&gt;&lt;FQL&gt;&lt;Q&gt;SHOP-US^FE_ESTIMATE(NETBG,MEAN,QTR,2026/4F,NOW,,,'')&lt;/Q&gt;&lt;R&gt;1&lt;/R&gt;&lt;C&gt;1&lt;/C&gt;&lt;D xsi:type="xsd:double"&gt;925.9799&lt;/D&gt;&lt;/FQL&gt;&lt;FQL&gt;&lt;Q&gt;SHOP-US^FE_ESTIMATE(CUSTOM_EPS,MEAN,ANNUAL_ROLL,2027,NOW,,,'')&lt;/Q&gt;&lt;R&gt;1&lt;/R&gt;&lt;C&gt;1&lt;/C&gt;&lt;D xsi:type="xsd:double"&gt;2.5437374&lt;/D&gt;&lt;/FQL&gt;&lt;FQL&gt;&lt;Q&gt;SHOP-US^FE_TIMESERIES(EBITDA_ADJ,MEAN,2020,,Y,'CURRENCY=USD')&lt;/Q&gt;&lt;R&gt;1&lt;/R&gt;&lt;C&gt;1&lt;/C&gt;&lt;D xsi:type="xsd:double"&gt;480.82114&lt;/D&gt;&lt;/FQL&gt;&lt;FQL&gt;&lt;Q&gt;S</t>
        </r>
      </text>
    </comment>
    <comment ref="A3" authorId="0" shapeId="0" xr:uid="{F0BA8851-32B8-4D36-B601-8D8E966667A2}">
      <text>
        <r>
          <rPr>
            <b/>
            <sz val="9"/>
            <color indexed="81"/>
            <rFont val="Tahoma"/>
            <family val="2"/>
          </rPr>
          <t>HOP-US^FE_TIMESERIES(CFO,MEAN,2024/4F,,Q,'CURRENCY=USD')&lt;/Q&gt;&lt;R&gt;1&lt;/R&gt;&lt;C&gt;1&lt;/C&gt;&lt;D xsi:type="xsd:double"&gt;559.6438&lt;/D&gt;&lt;/FQL&gt;&lt;FQL&gt;&lt;Q&gt;SHOP-US^FE_TIMESERIES(EBITDA_ADJ,MEAN,2025/2F,,Q,'CURRENCY=USD')&lt;/Q&gt;&lt;R&gt;1&lt;/R&gt;&lt;C&gt;1&lt;/C&gt;&lt;D xsi:type="xsd:double"&gt;438.14517&lt;/D&gt;&lt;/FQL&gt;&lt;FQL&gt;&lt;Q&gt;SHOP-US^FE_TIMESERIES(EBITR,MEAN,2025/1F,,Q,'CURRENCY=USD')&lt;/Q&gt;&lt;R&gt;1&lt;/R&gt;&lt;C&gt;1&lt;/C&gt;&lt;D xsi:type="xsd:double"&gt;228.42036&lt;/D&gt;&lt;/FQL&gt;&lt;FQL&gt;&lt;Q&gt;SHOP-US^FE_TIMESERIES(PRODLINE_SALES_2,MEAN,2022/1F,,Q,'CURRENCY=USD')&lt;/Q&gt;&lt;R&gt;1&lt;/R&gt;&lt;C&gt;1&lt;/C&gt;&lt;D xsi:type="xsd:double"&gt;858.862&lt;/D&gt;&lt;/FQL&gt;&lt;FQL&gt;&lt;Q&gt;SHOP-US^FE_ACTUAL(ACTUAL,GMV,ANNUAL,2027,,,,'')@FE_ESTIMATE(GMV,MEAN,ANNUAL,2027,NOW,,,'')&lt;/Q&gt;&lt;R&gt;1&lt;/R&gt;&lt;C&gt;1&lt;/C&gt;&lt;D xsi:type="xsd:double"&gt;504811.16&lt;/D&gt;&lt;/FQL&gt;&lt;FQL&gt;&lt;Q&gt;SHOP-US^FE_ESTIMATE(EBITDA_ADJ,MEAN,ANNUAL_ROLL,2024,NOW,,,'')&lt;/Q&gt;&lt;R&gt;1&lt;/R&gt;&lt;C&gt;1&lt;/C&gt;&lt;D xsi:type="xsd:double"&gt;1485.8966&lt;/D&gt;&lt;/FQL&gt;&lt;FQL&gt;&lt;Q&gt;SHOP-US^FE_ESTIMATE(CUSTOM_EPS,MEAN,QTR,2026/2F,NOW,,,'')&lt;/Q&gt;&lt;R&gt;1&lt;/R&gt;&lt;C&gt;1&lt;/C&gt;&lt;D xsi:type="xsd:double"&gt;0.42760354&lt;/D&gt;&lt;/FQL&gt;&lt;FQL&gt;&lt;Q&gt;SHOP-US^FE_TIMESERIES(GROSSINCOME,MEAN,2021,,Y,'CURRENCY=USD')&lt;/Q&gt;&lt;R&gt;1&lt;/R&gt;&lt;C&gt;1&lt;/C&gt;&lt;D xsi:type="xsd:double"&gt;2498.6135&lt;/D&gt;&lt;/FQL&gt;&lt;FQL&gt;&lt;Q&gt;SHOP-US^FE_TIMESERIES(CAPEX,MEAN,2025/4F,,Q,'CURRENCY=USD')&lt;/Q&gt;&lt;R&gt;1&lt;/R&gt;&lt;C&gt;1&lt;/C&gt;&lt;D xsi:type="xsd:double"&gt;7.4151&lt;/D&gt;&lt;/FQL&gt;&lt;FQL&gt;&lt;Q&gt;SHOP-US^FE_TIMESERIES(EAG,MEAN,2024/1F,,Q,'CURRENCY=USD')&lt;/Q&gt;&lt;R&gt;1&lt;/R&gt;&lt;C&gt;1&lt;/C&gt;&lt;D xsi:type="xsd:double"&gt;-0.21&lt;/D&gt;&lt;/FQL&gt;&lt;FQL&gt;&lt;Q&gt;SHOP-US^FE_TIMESERIES(EAG,MEAN,2024,,Y,'CURRENCY=USD')&lt;/Q&gt;&lt;R&gt;1&lt;/R&gt;&lt;C&gt;1&lt;/C&gt;&lt;D xsi:type="xsd:double"&gt;0.90200496&lt;/D&gt;&lt;/FQL&gt;&lt;FQL&gt;&lt;Q&gt;SHOP-US^FE_TIMESERIES(PRODLINE_SALES_2,MEAN,2027,,Y,'CURRENCY=USD')&lt;/Q&gt;&lt;R&gt;1&lt;/R&gt;&lt;C&gt;1&lt;/C&gt;&lt;D xsi:type="xsd:double"&gt;12144.833&lt;/D&gt;&lt;/FQL&gt;&lt;FQL&gt;&lt;Q&gt;SHOP-US^FE_TIMESERIES(PRODLINE_SALES_1,MEAN,2020,,Y,'CURRENCY=USD')&lt;/Q&gt;&lt;R&gt;1&lt;/R&gt;&lt;C&gt;1&lt;/C&gt;&lt;D xsi:type="xsd:double"&gt;908.757&lt;/D&gt;&lt;/FQL&gt;&lt;FQL&gt;&lt;Q&gt;SHOP-US^FE_TIMESERIES(GMV,MEAN,2022,,Y,'CURRENCY=USD')&lt;/Q&gt;&lt;R&gt;1&lt;/R&gt;&lt;C&gt;1&lt;/C&gt;&lt;D xsi:type="xsd:double"&gt;197242.28&lt;/D&gt;&lt;/FQL&gt;&lt;FQL&gt;&lt;Q&gt;SHOP-US^FE_TIMESERIES(FCF,MEAN,2025/4F,,Q,'CURRENCY=USD')&lt;/Q&gt;&lt;R&gt;1&lt;/R&gt;&lt;C&gt;1&lt;/C&gt;&lt;D xsi:type="xsd:double"&gt;705.52&lt;/D&gt;&lt;/FQL&gt;&lt;FQL&gt;&lt;Q&gt;SHOP-US^FE_TIMESERIES(FCF,MEAN,2022/2F,,Q,'CURRENCY=USD')&lt;/Q&gt;&lt;R&gt;1&lt;/R&gt;&lt;C&gt;1&lt;/C&gt;&lt;D xsi:type="xsd:double"&gt;-220.7698&lt;/D&gt;&lt;/FQL&gt;&lt;FQL&gt;&lt;Q&gt;SHOP-US^FE_TIMESERIES(CAPEX,MEAN,2021/4F,,Q,'CURRENCY=USD')&lt;/Q&gt;&lt;R&gt;1&lt;/R&gt;&lt;C&gt;1&lt;/C&gt;&lt;D xsi:type="xsd:double"&gt;25.98125&lt;/D&gt;&lt;/FQL&gt;&lt;FQL&gt;&lt;Q&gt;SHOP-US^FE_TIMESERIES(CFO,MEAN,2024/1F,,Q,'CURRENCY=USD')&lt;/Q&gt;&lt;R&gt;1&lt;/R&gt;&lt;C&gt;1&lt;/C&gt;&lt;D xsi:type="xsd:double"&gt;233.75&lt;/D&gt;&lt;/FQL&gt;&lt;FQL&gt;&lt;Q&gt;SHOP-US^FE_TIMESERIES(CFO,MEAN,2020/3F,,Q,'CURRENCY=USD')&lt;/Q&gt;&lt;R&gt;1&lt;/R&gt;&lt;C&gt;1&lt;/C&gt;&lt;D xsi:type="xsd:double"&gt;82.7075&lt;/D&gt;&lt;/FQL&gt;&lt;FQL&gt;&lt;Q&gt;SHOP-US^FE_TIMESERIES(EPS,MEAN,2025/4F,,Q,'CURRENCY=USD')&lt;/Q&gt;&lt;R&gt;1&lt;/R&gt;&lt;C&gt;1&lt;/C&gt;&lt;D xsi:type="xsd:double"&gt;0.5186198&lt;/D&gt;&lt;/FQL&gt;&lt;FQL&gt;&lt;Q&gt;SHOP-US^FE_TIMESERIES(EPS,MEAN,2022/2F,,Q,'CURRENCY=USD')&lt;/Q&gt;&lt;R&gt;1&lt;/R&gt;&lt;C&gt;1&lt;/C&gt;&lt;D xsi:type="xsd:double"&gt;-0.03&lt;/D&gt;&lt;/FQL&gt;&lt;FQL&gt;&lt;Q&gt;SHOP-US^FE_TIMESERIES(NETPROFIT,MEAN,2022/1F,,Q,'CURRENCY=USD')&lt;/Q&gt;&lt;R&gt;1&lt;/R&gt;&lt;C&gt;1&lt;/C&gt;&lt;D xsi:type="xsd:double"&gt;25.082&lt;/D&gt;&lt;/FQL&gt;&lt;FQL&gt;&lt;Q&gt;SHOP-US^FE_TIMESERIES(EBITDA_ADJ,MEAN,2024/3F,,Q,'CURRENCY=USD')&lt;/Q&gt;&lt;R&gt;1&lt;/R&gt;&lt;C&gt;1&lt;/C&gt;&lt;D xsi:type="xsd:double"&gt;405.69232&lt;/D&gt;&lt;/FQL&gt;&lt;FQL&gt;&lt;Q&gt;SHOP-US^FE_TIMESERIES(EBITDA_ADJ,MEAN,2021/2F,,Q,'CURRENCY=USD')&lt;/Q&gt;&lt;R&gt;1&lt;/R&gt;&lt;C&gt;1&lt;/C&gt;&lt;D xsi:type="xsd:double"&gt;248.38783&lt;/D&gt;&lt;/FQL&gt;&lt;FQL&gt;&lt;Q&gt;SHOP-US^FE_TIMESERIES(EBITDA_REP,MEAN,2024/1F,,Q,'CURRENCY=USD')&lt;/Q&gt;&lt;R&gt;1&lt;/R&gt;&lt;C&gt;1&lt;/C&gt;&lt;D xsi:type="xsd:double"&gt;134.33333&lt;/D&gt;&lt;/FQL&gt;&lt;FQL&gt;&lt;Q&gt;SHOP-US^FE_TIMESERIES(EBITR,MEAN,2024/2F,,Q,'CURRENCY=USD')&lt;/Q&gt;&lt;R&gt;1&lt;/R&gt;&lt;C&gt;1&lt;/C&gt;&lt;D xsi:type="xsd:double"&gt;241&lt;/D&gt;&lt;/FQL&gt;&lt;FQL&gt;&lt;Q&gt;SHOP-US^FE_TIMESERIES(EBITR,MEAN,2021/1F,,Q,'CURRENCY=USD')&lt;/Q&gt;&lt;R&gt;1&lt;/R&gt;&lt;C&gt;1&lt;/C&gt;&lt;D xsi:type="xsd:double"&gt;118.899&lt;/D&gt;&lt;/FQL&gt;&lt;FQL&gt;&lt;Q&gt;SHOP-US^FE_TIMESERIES(GROSSINCOME,MEAN,2023/4F,,Q,'CURRENCY=USD')&lt;/Q&gt;&lt;R&gt;1&lt;/R&gt;&lt;C&gt;1&lt;/C&gt;&lt;D xsi:type="xsd:double"&gt;1065.5483&lt;/D&gt;&lt;/FQL&gt;&lt;FQL&gt;&lt;Q&gt;SHOP-US^FE_TIMESERIES(GROSSINCOME,MEAN,2020/3F,,Q,'CURRENCY=USD')&lt;/Q&gt;&lt;R&gt;1&lt;/R&gt;&lt;C&gt;1&lt;/C&gt;&lt;D xsi:type="xsd:double"&gt;410.30615&lt;/D&gt;&lt;/FQL&gt;&lt;FQL&gt;&lt;Q&gt;SHOP-US^FE_TIMESERIES(PRODLINE_SALES_1,MEAN,2023/2F,,Q,'CURRENCY=USD')&lt;/Q&gt;&lt;R&gt;1&lt;/R&gt;&lt;C&gt;1&lt;/C&gt;&lt;D xsi:type="xsd:double"&gt;444&lt;/D&gt;&lt;/FQL&gt;&lt;FQL&gt;&lt;Q&gt;SHOP-US^FE_TIMESERIES(PRODLINE_SALES_1,MEAN,2020/4F,,Q,'CURRENCY=USD')&lt;/Q&gt;&lt;R&gt;1&lt;/R&gt;&lt;C&gt;1&lt;/C&gt;&lt;D xsi:type="xsd:double"&gt;279.44&lt;/D&gt;&lt;/FQL&gt;&lt;FQL&gt;&lt;Q&gt;SHOP-US^FE_TIMESERIES(SALES,MEAN,2023/3F,,Q,'CURRENCY=USD')&lt;/Q&gt;&lt;R&gt;1&lt;/R&gt;&lt;C&gt;1&lt;/C&gt;&lt;D xsi:type="xsd:double"&gt;1714&lt;/D&gt;&lt;/FQL&gt;&lt;FQL&gt;&lt;Q&gt;SHOP-US^FE_TIMESERIES(SALES,MEAN,2020/1F,,Q,'CURRENCY=USD')&lt;/Q&gt;&lt;R&gt;1&lt;/R&gt;&lt;C&gt;1&lt;/C&gt;&lt;D xsi:type="xsd:double"&gt;470.001&lt;/D&gt;&lt;/FQL&gt;&lt;FQL&gt;&lt;Q&gt;SHOP-US^FE_TIMESERIES(GMV,MEAN,2022/4F,,Q,'CURRENCY=USD')&lt;/Q&gt;&lt;R&gt;1&lt;/R&gt;&lt;C&gt;1&lt;/C&gt;&lt;D xsi:type="xsd:double"&gt;60984.25&lt;/D&gt;&lt;/FQL&gt;&lt;FQL&gt;&lt;Q&gt;SHOP^FE_ESTIMATE(EPS,MEAN,ANNUAL_ROLL,2023,NOW,,,'')&lt;/Q&gt;&lt;R&gt;1&lt;/R&gt;&lt;C&gt;1&lt;/C&gt;&lt;D xsi:type="xsd:double"&gt;0.73&lt;/D&gt;&lt;/FQL&gt;&lt;FQL&gt;&lt;Q&gt;SHOP-US^FE_ESTIMATE(CUSTOM_EPS,MEAN,ANNUAL_ROLL,2024,NOW,,,'')&lt;/Q&gt;&lt;R&gt;1&lt;/R&gt;&lt;C&gt;1&lt;/C&gt;&lt;D xsi:type="xsd:double"&gt;1.2719381&lt;/D&gt;&lt;/FQL&gt;&lt;FQL&gt;&lt;Q&gt;SHOP-US^FE_ESTIMATE(BFNG,MEAN,QTR,2025/1F,NOW,,,'')&lt;/Q&gt;&lt;R&gt;1&lt;/R&gt;&lt;C&gt;1&lt;/C&gt;&lt;D xsi:type="xsd:double"&gt;242.79967&lt;/D&gt;&lt;/FQL&gt;&lt;FQL&gt;&lt;Q&gt;SHOP-US^FE_ESTIMATE(EAG,MEAN,QTR,2025/2F,NOW,,,'')&lt;/Q&gt;&lt;R&gt;1&lt;/R&gt;&lt;C&gt;1&lt;/C&gt;&lt;D xsi:type="xsd:double"&gt;0.252757&lt;/D&gt;&lt;/FQL&gt;&lt;FQL&gt;&lt;Q&gt;SHOP-US^FE_ESTIMATE(EAG,MEAN,QTR,2026/2F,NOW,,,'')&lt;/Q&gt;&lt;R&gt;1&lt;/R&gt;&lt;C&gt;1&lt;/C&gt;&lt;D xsi:type="xsd:double"&gt;0.385983&lt;/D&gt;&lt;/FQL&gt;&lt;FQL&gt;&lt;Q&gt;SHOP-US^FE_ESTIMATE(GMV,MEAN,QTR,2026/4F,NOW,,,'')&lt;/Q&gt;&lt;R&gt;1&lt;/R&gt;&lt;C&gt;1&lt;/C&gt;&lt;D xsi:type="xsd:double"&gt;133418.7&lt;/D&gt;&lt;/FQL&gt;&lt;FQL&gt;&lt;Q&gt;SHOP-US^FE_ESTIMATE(SPEC_GROSS_1,MEAN,ANNUAL_ROLL,2026,NOW,,,'')&lt;/Q&gt;&lt;R&gt;1&lt;/R&gt;&lt;C&gt;1&lt;/C&gt;&lt;D xsi:type="xsd:double"&gt;248.959&lt;/D&gt;&lt;/FQL&gt;&lt;FQL&gt;&lt;Q&gt;SHOP-US^FE_ESTIMATE(SPEC_GROSS_1,MEAN,ANNUAL_ROLL,2027,NOW,,,'')&lt;/Q&gt;&lt;R&gt;1&lt;/R&gt;&lt;C&gt;1&lt;/C&gt;&lt;D xsi:type="xsd:double"&gt;270.3&lt;/D&gt;&lt;/FQL&gt;&lt;FQL&gt;&lt;Q&gt;SHOP-US^FE_TIMESERIES(FCF,MEAN,2027,,Y,'CURRENCY=USD')&lt;/Q&gt;&lt;R&gt;1&lt;/R&gt;&lt;C&gt;1&lt;/C&gt;&lt;D xsi:type="xsd:double"&gt;3544.9421&lt;/D&gt;&lt;/FQL&gt;&lt;FQL&gt;&lt;Q&gt;SHOP-US^FE_TIMESERIES(CAPEX,MEAN,2020,,Y,'CURRENCY=USD')&lt;/Q&gt;&lt;R&gt;1&lt;/R&gt;&lt;C&gt;1&lt;/C&gt;&lt;D xsi:type="xsd:double"&gt;41.733&lt;/D&gt;&lt;/FQL&gt;&lt;FQL&gt;&lt;Q&gt;SHOP-US^FE_TIMESERIES(NETPROFIT,MEAN,2022,,Y,'CURRENCY=USD')&lt;/Q&gt;&lt;R&gt;1&lt;/R&gt;&lt;C&gt;1&lt;/C&gt;&lt;D xsi:type="xsd:double"&gt;47.586&lt;/D&gt;&lt;/FQL&gt;&lt;FQL&gt;&lt;Q&gt;SHOP-US^FE_TIMESERIES(EBITDA_REP,MEAN,2021,,Y,'CURRENCY=USD')&lt;/Q&gt;&lt;R&gt;1&lt;/R&gt;&lt;C&gt;1&lt;/C&gt;&lt;D xsi:type="xsd:double"&gt;484.74832&lt;/D&gt;&lt;/FQL&gt;&lt;FQL&gt;&lt;Q&gt;SHOP-US^FE_TIMESERIES(EBITR,MEAN,2021,,Y,'CURRENCY=USD')&lt;/Q&gt;&lt;R&gt;1&lt;/R&gt;&lt;C&gt;1&lt;/C&gt;&lt;D xsi:type="xsd:double"&gt;270.37787&lt;/D&gt;&lt;/FQL&gt;&lt;FQL&gt;&lt;Q&gt;SHOP-US^FE_TIMESERIES(PRODLINE_SALES_2,MEAN,2023,,Y,'CURRENCY=USD')&lt;/Q&gt;&lt;R&gt;1&lt;/R&gt;&lt;C&gt;1&lt;/C&gt;&lt;D xsi:type="xsd:double"&gt;5223&lt;/D&gt;&lt;/FQL&gt;&lt;FQL&gt;&lt;Q&gt;SHOP-US^FE_TIMESERIES(GMV,MEAN,2021,,Y,'CURRENCY=USD')&lt;/Q&gt;&lt;R&gt;1&lt;/R&gt;&lt;C&gt;1&lt;/C&gt;&lt;D xsi:type="xsd:double"&gt;175400&lt;/D&gt;&lt;/FQL&gt;&lt;FQL&gt;&lt;Q&gt;SHOP-US^FE_TIMESERIES(DEPR_AMORT,MEAN,2022/3F,,Q,'CURRENCY=USD')&lt;/Q&gt;&lt;R&gt;1&lt;/R&gt;&lt;C&gt;1&lt;/C&gt;&lt;D xsi:type="xsd:double"&gt;27.7125&lt;/D&gt;&lt;/FQL&gt;&lt;FQL&gt;&lt;Q&gt;SHOP-US^FE_TIMESERIES(CAPEX,MEAN,2024/2F,,Q,'CURRENCY=USD')&lt;/Q&gt;&lt;R&gt;1&lt;/R&gt;&lt;C&gt;1&lt;/C&gt;&lt;D xsi:type="xsd:double"&gt;7&lt;/D&gt;&lt;/FQL&gt;&lt;FQL&gt;&lt;Q&gt;SHOP-US^FE_TIMESERIES(CAPEX,MEAN,2020/4F,,Q,'CURRENCY=USD')&lt;/Q&gt;&lt;R&gt;1&lt;/R&gt;&lt;C&gt;1&lt;/C&gt;&lt;D xsi:type="xsd:double"&gt;6.317&lt;/D&gt;&lt;/FQL&gt;&lt;FQL&gt;&lt;Q&gt;SHOP-US^FE_TIMESERIES(CFO,MEAN,2020/2F,,Q,'CURRENCY=USD')&lt;/Q&gt;&lt;R&gt;1&lt;/R&gt;&lt;C&gt;1&lt;/C&gt;&lt;D xsi:type="xsd:double"&gt;158.63487&lt;/D&gt;&lt;/FQL&gt;&lt;FQL&gt;&lt;Q&gt;SHOP-US^FE_TIMESERIES(EAG,MEAN,2022/3F,,Q,'CURRENCY=USD')&lt;/Q&gt;&lt;R&gt;1&lt;/R&gt;&lt;C&gt;1&lt;/C&gt;&lt;D xsi:type="xsd:double"&gt;-0.12&lt;/D&gt;&lt;/FQL&gt;&lt;FQL&gt;&lt;Q&gt;SHOP-US^FE_TIMESERIES(NETPROFIT,MEAN,2024/2F,,Q,'CURRENCY=USD')&lt;/Q&gt;&lt;R&gt;1&lt;/R&gt;&lt;C&gt;1&lt;/C&gt;&lt;D xsi:type="xsd:double"&gt;345&lt;/D&gt;&lt;/FQL&gt;&lt;FQL&gt;&lt;Q&gt;SHOP-US^FE_TIMESERIES(NETPROFIT,MEAN,2021/1F,,Q,'CURRENCY=USD')&lt;/Q&gt;&lt;R&gt;1&lt;/R&gt;&lt;C&gt;1&lt;/C&gt;&lt;D xsi:type="xsd:double"&gt;254.11&lt;/D&gt;&lt;/FQL&gt;&lt;FQL&gt;&lt;Q&gt;SHOP-US^FE_TIMESERIES(EBITDA_REP,MEAN,2021/2F,,Q,'CURRENCY=USD')&lt;/Q&gt;&lt;R&gt;1&lt;/R&gt;&lt;C&gt;1&lt;/C&gt;&lt;D xsi:type="xsd:double"&gt;154.104&lt;/D&gt;&lt;/FQL&gt;&lt;FQL&gt;&lt;Q&gt;SHOP-US^FE_TIMESERIES(EBIT_ADJ,MEAN,2024/1F,,Q,'CURRENCY=USD')&lt;/Q&gt;&lt;R&gt;1&lt;/R&gt;&lt;C&gt;1&lt;/C&gt;&lt;D xsi:type="xsd:double"&gt;201&lt;/D&gt;&lt;/FQL&gt;&lt;FQL&gt;&lt;Q&gt;SHOP-US^FE_TIMESERIES(EBIT_ADJ,MEAN,2020/4F,,Q,'CURRENCY=USD')&lt;/Q&gt;&lt;R&gt;1&lt;/R&gt;&lt;C&gt;1&lt;/C&gt;&lt;D xsi:type="xsd:double"&gt;200.007&lt;/D&gt;&lt;/FQL&gt;&lt;FQL&gt;&lt;Q&gt;SHOP-US^FE_TIMESERIES(EBITR,MEAN,2023/3F,,Q,'CURRENCY=USD')&lt;/Q&gt;&lt;R&gt;1&lt;/R&gt;&lt;C&gt;1&lt;/C&gt;&lt;D xsi:type="xsd:double"&gt;122&lt;/D&gt;&lt;/FQL&gt;&lt;FQL&gt;&lt;Q&gt;SHOP-US^FE_TIMESERIES(GROSSINCOME,MEAN,2020/2F,,Q,'CURRENCY=USD')&lt;/Q&gt;&lt;R&gt;1&lt;/R&gt;&lt;C&gt;1&lt;/C&gt;&lt;D xsi:type="xsd:double"&gt;379.1723&lt;/D&gt;&lt;/FQL&gt;&lt;FQL&gt;&lt;Q&gt;SHOP-US^FE_TIMESERIES(PRODLINE_SALES_2,MEAN,2023/4F,,Q,'CURRENCY=USD')&lt;/Q&gt;&lt;R&gt;1&lt;/R&gt;&lt;C&gt;1&lt;/C&gt;&lt;D xsi:type="xsd:double"&gt;1619&lt;/D&gt;&lt;/FQL&gt;&lt;FQL&gt;&lt;Q&gt;SHOP-US^FE_TIMESERIES(PRODLINE_SALES_2,MEAN,2020/3F,,Q,'CURRENCY=USD')&lt;/Q&gt;&lt;R&gt;1&lt;/R&gt;&lt;C&gt;1&lt;/C&gt;&lt;D xsi:type="xsd:double"&gt;522.131&lt;/D&gt;&lt;/FQL&gt;&lt;FQL&gt;&lt;Q&gt;SHOP-US^FE_TIMESERIES(PRODLINE_SALES_1,MEAN,2023/1F,,Q,'CURRENCY=USD')&lt;/Q&gt;&lt;R&gt;1&lt;/R&gt;&lt;C&gt;1&lt;/C&gt;&lt;D xsi:type="xsd:double"&gt;382&lt;/D&gt;&lt;/FQL&gt;&lt;FQL&gt;&lt;Q&gt;SHOP-US^FE_TIMESERIES(SALES,MEAN,2025/4F,,Q,'CURRENCY=USD')&lt;/Q&gt;&lt;R&gt;1&lt;/R&gt;&lt;C&gt;1&lt;/C&gt;&lt;D xsi:type="xsd:double"&gt;3309.5315&lt;/D&gt;&lt;/FQL&gt;&lt;FQL&gt;&lt;Q&gt;SHOP-US^FE_TIMESERIES(SALES,MEAN,2023/2F,,Q,'CURRENCY=USD')&lt;/Q&gt;&lt;R&gt;1&lt;/R&gt;&lt;C&gt;1&lt;/C&gt;&lt;D xsi:type="xsd:double"&gt;1694&lt;/D&gt;&lt;/FQL&gt;&lt;FQL&gt;&lt;Q&gt;SHOP-US^FE_TIMESERIES(GMV,MEAN,2020/2F,,Q,'CURRENCY=USD')&lt;/Q&gt;&lt;R&gt;1&lt;/R&gt;&lt;C&gt;1&lt;/C&gt;&lt;D xsi:type="xsd:double"&gt;30114&lt;/D&gt;&lt;/FQL&gt;&lt;FQL&gt;&lt;Q&gt;SHOP-US^FE_ESTIMATE(SALES,MEAN,QTR_ROLL,2027/1F,NOW,,,'')&lt;/Q&gt;&lt;R&gt;1&lt;/R&gt;&lt;C&gt;1&lt;/C&gt;&lt;D xsi:type="xsd:double"&gt;3549&lt;/D&gt;&lt;/FQL&gt;&lt;FQL&gt;&lt;Q&gt;SHOP-US^FE_ESTIMATE(CUSTOM_EPS,MEAN,QTR,2024/2F,NOW,,,'')&lt;/Q&gt;&lt;R&gt;1&lt;/R&gt;&lt;C&gt;1&lt;/C&gt;&lt;D xsi:type="xsd:double"&gt;0.26&lt;/D&gt;&lt;/FQL&gt;&lt;FQL&gt;&lt;Q&gt;SHOP-US^FE_ESTIMATE(BFNG,MEAN,QTR,2024/3F,NOW,,,'')&lt;/Q&gt;&lt;R&gt;1&lt;/R&gt;&lt;C&gt;1&lt;/C&gt;&lt;D xsi:type="xsd:double"&gt;828&lt;/D&gt;&lt;/FQL&gt;&lt;FQL&gt;&lt;Q&gt;SHOP-US^FE_ESTIMATE(EAG,MEAN,QTR,2024/4F,NOW,,,'')&lt;/Q&gt;&lt;R&gt;1&lt;/R&gt;&lt;C&gt;1&lt;/C&gt;&lt;D xsi:type="xsd:double"&gt;0.34056&lt;/D&gt;&lt;/FQL&gt;&lt;FQL&gt;&lt;Q&gt;SHOP-US^FE_ESTIMATE(EAG,MEAN,QTR,2025/4F,NOW,,,'')&lt;/Q&gt;&lt;R&gt;1&lt;/R&gt;&lt;C&gt;1&lt;/C&gt;&lt;D xsi:type="xsd:double"&gt;0.434958&lt;/D&gt;&lt;/FQL&gt;&lt;FQL&gt;&lt;Q&gt;SHOP-US^FE_ESTIMATE(GMV,MEAN,QTR,2026/1F,NOW,,,'')&lt;/Q&gt;&lt;R&gt;1&lt;/R&gt;&lt;C&gt;1&lt;/C&gt;&lt;D xsi:type="xsd:double"&gt;90423.8&lt;/D&gt;&lt;/FQL&gt;&lt;FQL&gt;&lt;Q&gt;SHOP-US^FE_ESTIMATE(SPEC_GROSS_1,MEAN,QTR,2026/2F,NOW,,,'')&lt;/Q&gt;&lt;R&gt;1&lt;/R&gt;&lt;C&gt;1&lt;/C&gt;&lt;D xsi:type="xsd:double"&gt;227.2&lt;/D&gt;&lt;/FQL&gt;&lt;FQL&gt;&lt;Q&gt;SHOP-US^FE_ESTIMATE(SPEC_GROSS_1,MEAN,QTR,2027/2F,NOW,,,'')&lt;/Q&gt;&lt;R&gt;0&lt;/R&gt;&lt;C&gt;0&lt;/C&gt;&lt;/FQL&gt;&lt;FQL&gt;&lt;Q&gt;SHOP-US^FE_ESTIMATE(SALES,MEAN,QTR,2027/3F,NOW,,,'')&lt;/Q&gt;&lt;R&gt;1&lt;/R&gt;&lt;C&gt;1&lt;/C&gt;&lt;D xsi:type="xsd:double"&gt;3975&lt;/D&gt;&lt;/FQL&gt;&lt;FQL&gt;&lt;Q&gt;SHOP-US^FE_ESTIMATE(PRODLINE_SALES_1,MEAN,QTR,2027/4F,NOW,,,'')&lt;/Q&gt;&lt;R&gt;1&lt;/R&gt;&lt;C&gt;1&lt;/C&gt;&lt;D xsi:type="xsd:double"&gt;1038&lt;/D&gt;&lt;/FQL&gt;&lt;FQL&gt;&lt;Q&gt;SHOP-US^FE_TIMESERIES(EPS,MEAN,2026,,Y,'CURRENCY=USD')&lt;/Q&gt;&lt;R&gt;1&lt;/R&gt;&lt;C&gt;1&lt;/C&gt;&lt;D xsi:type="xsd:double"&gt;1.928615&lt;/D&gt;&lt;/FQL&gt;&lt;FQL&gt;&lt;Q&gt;SHOP-US^FE_TIMESERIES(EBITDA_ADJ,MEAN,2025,,Y,'CURRENCY=USD')&lt;/Q&gt;&lt;R&gt;1&lt;/R&gt;&lt;C&gt;1&lt;/C&gt;&lt;D xsi:type="xsd:double"&gt;1996.2725&lt;/D&gt;&lt;/FQL&gt;&lt;FQL&gt;&lt;Q&gt;SHOP-US^FE_TIMESERIES(SALES,MEAN,2027,,Y,'CURRENCY=USD')&lt;/Q&gt;&lt;R&gt;1&lt;/R&gt;&lt;C&gt;1&lt;/C&gt;&lt;D xsi:type="xsd:double"&gt;17304.154&lt;/D&gt;&lt;/FQL&gt;&lt;FQL&gt;&lt;Q&gt;SHOP-US^FE_TIMESERIES(FCF,MEAN,2024/4F,,Q,'CURRENCY=USD')&lt;/Q&gt;&lt;R&gt;1&lt;/R&gt;&lt;C&gt;1&lt;/C&gt;&lt;D xsi:type="xsd:double"&gt;546.7794&lt;/D&gt;&lt;/FQL&gt;&lt;FQL&gt;&lt;Q&gt;SHOP-US^FE_TIMESERIES(FCF,MEAN,2022/1F,,Q,'CURRENCY=USD')&lt;/Q&gt;&lt;R&gt;1&lt;/R&gt;&lt;C&gt;1&lt;/C&gt;&lt;D xsi:type="xsd:double"&gt;-65.67&lt;/D&gt;&lt;/FQL&gt;&lt;FQL&gt;&lt;Q&gt;SHOP-US^FE_TIMESERIES(CFO,MEAN,2023/4F,,Q,'CURRENCY=USD')&lt;/Q&gt;&lt;R&gt;1&lt;/R&gt;&lt;C&gt;1&lt;/C&gt;&lt;D xsi:type="xsd:double"&gt;448&lt;/D&gt;&lt;/FQL&gt;&lt;FQL&gt;&lt;Q&gt;SHOP-US^FE_TIMESERIES(EPS,MEAN,2024/4F,,Q,'CURRENCY=USD')&lt;/Q&gt;&lt;R&gt;1&lt;/R&gt;&lt;C&gt;1&lt;/C&gt;&lt;D xsi:type="xsd:double"&gt;0.42742747&lt;/D&gt;&lt;/FQL&gt;&lt;FQL&gt;&lt;Q&gt;SHOP-US^FE_TIMESERIES(EPS,MEAN,2022/1F,,Q,'CURRENCY=USD')&lt;/Q&gt;&lt;R&gt;1&lt;/R&gt;&lt;C&gt;1&lt;/C&gt;&lt;D xsi:type="xsd:double"&gt;0.02&lt;/D&gt;&lt;/FQL&gt;&lt;FQL&gt;&lt;Q&gt;SHOP-US^FE_TIMESERIES(EBITDA_ADJ,MEAN,2024/2F,,Q,'CURRENCY=USD')&lt;/Q&gt;&lt;R&gt;1&lt;/R&gt;&lt;C&gt;1&lt;/C&gt;&lt;D xsi:type="xsd:double"&gt;307.92856&lt;/D&gt;&lt;/FQL&gt;&lt;FQL&gt;&lt;Q&gt;SHOP-US^FE_TIMESERIES(EBITDA_ADJ,MEAN,2021/1F,,Q,'CURRENCY=USD')&lt;/Q&gt;&lt;R&gt;1&lt;/R&gt;&lt;C&gt;1&lt;/C&gt;&lt;D xsi:type="xsd:double"&gt;225.19383&lt;/D&gt;&lt;/FQL&gt;&lt;FQL&gt;&lt;Q&gt;SHOP-US^FE_TIMESERIES(EBITDA_REP,MEAN,2023/4F,,Q,'CURRENCY=USD')&lt;/Q&gt;&lt;R&gt;1&lt;/R&gt;&lt;C&gt;1&lt;/C&gt;&lt;D xsi:type="xsd:double"&gt;352.5&lt;/D&gt;&lt;/FQL&gt;&lt;FQL&gt;&lt;Q&gt;SHOP-US^FE_TIMESERIES(EBITDA_REP,MEAN,2020/3F,,Q,'CURRENCY=USD')&lt;/Q&gt;&lt;R&gt;1&lt;/R&gt;&lt;C&gt;1&lt;/C&gt;&lt;D xsi:type="xsd:double"&gt;68.4155&lt;/D&gt;&lt;/FQL&gt;&lt;FQL&gt;&lt;Q&gt;SHOP-US^FE_TIMESERIES(EBITR,MEAN,2023/2F,,Q,'CURRENCY=USD')&lt;/Q&gt;&lt;R&gt;1&lt;/R&gt;&lt;C&gt;1&lt;/C&gt;&lt;D xsi:type="xsd:double"&gt;-1636&lt;/D&gt;&lt;/FQL&gt;&lt;FQL&gt;&lt;Q&gt;SHOP-US^FE_TIMESERIES(EBITR,MEAN,2020/4F,,Q,'CURRENCY=USD')&lt;/Q&gt;&lt;R&gt;1&lt;/R&gt;&lt;C&gt;1&lt;/C&gt;&lt;D xsi:type="xsd:double"&gt;112.541&lt;/D&gt;&lt;/FQL&gt;&lt;FQL&gt;&lt;Q&gt;SHOP-US^FE_TIMESERIES(GROSSINCOME,MEAN,2023/3F,,Q,'CURRENCY=USD')&lt;/Q&gt;&lt;R&gt;1&lt;/R&gt;&lt;C&gt;1&lt;/C&gt;&lt;D xsi:type="xsd:double"&gt;903.6667&lt;/D&gt;&lt;/FQL&gt;&lt;FQL&gt;&lt;Q&gt;SHOP-US^FE_TIMESERIES(GROSSINCOME,MEAN,2020/1F,,Q,'CURRENCY=USD')&lt;/Q&gt;&lt;R&gt;1&lt;/R&gt;&lt;C&gt;1&lt;/C&gt;&lt;D xsi:type="xsd:double"&gt;261.69946&lt;/D&gt;&lt;/FQL&gt;&lt;FQL&gt;&lt;Q&gt;SHOP-US^FE_TIMESERIES(PRODLINE_SALES_2,MEAN,2022/4F,,Q,'CURRENCY=USD')&lt;/Q&gt;&lt;R&gt;1&lt;/R&gt;&lt;C&gt;1&lt;/C&gt;&lt;D xsi:type="xsd:double"&gt;1334.724&lt;/D&gt;&lt;/FQL&gt;&lt;FQL&gt;&lt;Q&gt;SHOP-US^FE_TIMESERIES(PRODLINE_SALES_2,MEAN,2020/2F,,Q,'CURRENCY=USD')&lt;/Q&gt;&lt;R&gt;1&lt;/R&gt;&lt;C&gt;1&lt;/C&gt;&lt;D xsi:type="xsd:double"&gt;517.907&lt;/D&gt;&lt;/FQL&gt;&lt;FQL&gt;&lt;Q&gt;SHOP-US^FE_TIMESERIES(SALES,MEAN,2023/1F,,Q,'CURRENCY=USD')&lt;/Q&gt;&lt;R&gt;1&lt;/R&gt;&lt;C&gt;1&lt;/C&gt;&lt;D xsi:type="xsd:double"&gt;1508&lt;/D&gt;&lt;/FQL&gt;&lt;FQL&gt;&lt;Q&gt;SHOP-US^FE_TIMESERIES(GMV,MEAN,2025/4F,,Q,'CURRENCY=USD')&lt;/Q&gt;&lt;R&gt;1&lt;/R&gt;&lt;C&gt;1&lt;/C&gt;&lt;D xsi:type="xsd:double"&gt;107817.516&lt;/D&gt;&lt;/FQL&gt;&lt;FQL&gt;&lt;Q&gt;SHOP-US^FE_ACTUAL(ACTUAL,GMV,ANNUAL,2024,,,,'')@FE_ESTIMATE(GMV,MEAN,ANNUAL,2024,NOW,,,'')&lt;/Q&gt;&lt;R&gt;1&lt;/R&gt;&lt;C&gt;1&lt;/C&gt;&lt;D xsi:type="xsd:double"&gt;289784.2&lt;/D&gt;&lt;/FQL&gt;&lt;FQL&gt;&lt;Q&gt;SHOP-US^FE_ESTIMATE(GMV,MEAN,QTR,2025/3F,NOW,,,'')&lt;/Q&gt;&lt;R&gt;1&lt;/R&gt;&lt;C&gt;1&lt;/C&gt;&lt;D xsi:type="xsd:double"&gt;83821.76&lt;/D&gt;&lt;/FQL&gt;&lt;FQL&gt;&lt;Q&gt;SHOP-US^FE_ESTIMATE(SPEC_GROSS_1,MEAN,QTR,2026/4F,NOW,,,'')&lt;/Q&gt;&lt;R&gt;1&lt;/R&gt;&lt;C&gt;1&lt;/C&gt;&lt;D xsi:type="xsd:double"&gt;242.55&lt;/D&gt;&lt;/FQL&gt;&lt;FQL&gt;&lt;Q&gt;SHOP-US^FE_ESTIMATE(PRODLINE_SALES_1,MEAN,QTR,2027/1F,NOW,,,'')&lt;/Q&gt;&lt;R&gt;1&lt;/R&gt;&lt;C&gt;1&lt;/C&gt;&lt;D xsi:type="xsd:double"&gt;908&lt;/D&gt;&lt;/FQL&gt;&lt;FQL&gt;&lt;Q&gt;SHOP-US^FE_TIMESERIES(EBITDA_REP,MEAN,2020,,Y,'CURRENCY=USD')&lt;/Q&gt;&lt;R&gt;1&lt;/R&gt;&lt;C&gt;1&lt;/C&gt;&lt;D xsi:type="xsd:double"&gt;193.471&lt;/D&gt;&lt;/FQL&gt;&lt;FQL&gt;&lt;Q&gt;SHOP-US^FE_TIMESERIES(EBITR,MEAN,2020,,Y,'CURRENCY=USD')&lt;/Q&gt;&lt;R&gt;1&lt;/R&gt;&lt;C&gt;1&lt;/C&gt;&lt;D xsi:type="xsd:double"&gt;90.153&lt;/D&gt;&lt;/FQL&gt;&lt;FQL&gt;&lt;Q&gt;SHOP-US^FE_TIMESERIES(PRODLINE_SALES_2,MEAN,2022,,Y,'CURRENCY=USD')&lt;/Q&gt;&lt;R&gt;1&lt;/R&gt;&lt;C&gt;1&lt;/C&gt;&lt;D xsi:type="xsd:double"&gt;4112.105&lt;/D&gt;&lt;/FQL&gt;&lt;FQL&gt;&lt;Q&gt;SHOP-US^FE_TIMESERIES(DEPR_AMORT,MEAN,2025/4F,,Q,'CURRENCY=USD')&lt;/Q&gt;&lt;R&gt;1&lt;/R&gt;&lt;C&gt;1&lt;/C&gt;&lt;D xsi:type="xsd:double"&gt;17.055334&lt;/D&gt;&lt;/FQL&gt;&lt;FQL&gt;&lt;Q&gt;SHOP-US^FE_TIMESERIES(DEPR_AMORT,MEAN,2022/2F,,Q,'CURRENCY=USD')&lt;/Q&gt;&lt;R&gt;1&lt;/R&gt;&lt;C&gt;1&lt;/C&gt;&lt;D xsi:type="xsd:double"&gt;16.357222&lt;/D&gt;&lt;/FQL&gt;&lt;FQL&gt;&lt;Q&gt;SHOP-US^FE_TIMESERIES(FCF,MEAN,2021/4F,,Q,'CURRENCY=USD')&lt;/Q&gt;&lt;R&gt;1&lt;/R&gt;&lt;C&gt;1&lt;/C&gt;&lt;D xsi:type="xsd:double"&gt;229.98567&lt;/D&gt;&lt;/FQL&gt;&lt;FQL&gt;&lt;Q&gt;SHOP-US^FE_TIMESERIES(EAG,MEAN,2025/4F,,Q,'CURRENCY=USD')&lt;/Q&gt;&lt;R&gt;1&lt;/R&gt;&lt;C&gt;1&lt;/C&gt;&lt;D xsi:type="xsd:double"&gt;0.434958&lt;/D&gt;&lt;/FQL&gt;&lt;FQL&gt;&lt;Q&gt;SHOP-US^FE_TIMESERIES(EAG,MEAN,2022/2F,,Q,'CURRENCY=USD')&lt;/Q&gt;&lt;R&gt;1&lt;/R&gt;&lt;C&gt;1&lt;/C&gt;&lt;D xsi:type="xsd:double"&gt;-0.95&lt;/D&gt;&lt;/FQL&gt;&lt;FQL&gt;&lt;Q&gt;SHOP-US^FE_TIMESERIES(EPS,MEAN,2021/4F,,Q,'CURRENCY=USD')&lt;/Q&gt;&lt;R&gt;1&lt;/R&gt;&lt;C&gt;1&lt;/C&gt;&lt;D xsi:type="xsd:double"&gt;0.136&lt;/D&gt;&lt;/FQL&gt;&lt;FQL&gt;&lt;Q&gt;SHOP-US^FE_TIMESERIES(NETPROFIT,MEAN,2020/4F,,Q,'CURRENCY=USD')&lt;/Q&gt;&lt;R&gt;1&lt;/R&gt;&lt;C&gt;1&lt;/C&gt;&lt;D xsi:type="xsd:double"&gt;198.839&lt;/D&gt;&lt;/FQL&gt;&lt;FQL&gt;&lt;Q&gt;SHOP-US^FE_TIMESERIES(EBITDA_REP,MEAN,2020/2F,,Q,'CURRENCY=USD')&lt;/Q&gt;&lt;R&gt;1&lt;/R&gt;&lt;C&gt;1&lt;/C&gt;&lt;D xsi:type="xsd:double"&gt;20.2075&lt;/D&gt;&lt;/FQL&gt;&lt;FQL&gt;&lt;Q&gt;SHOP-US^FE_TIMESERIES(EBIT_ADJ,MEAN,2020/3F,,Q,'CURRENCY=USD')&lt;/Q&gt;&lt;R&gt;1&lt;/R&gt;&lt;C&gt;1&lt;/C&gt;&lt;D xsi:type="xsd:double"&gt;130.94&lt;/D&gt;&lt;/FQL&gt;&lt;FQL&gt;&lt;Q&gt;SHOP-US^FE_TIMESERIES(EBITR,MEAN,2023/1F,,Q,'CURRENCY=USD')&lt;/Q&gt;&lt;R&gt;1&lt;/R&gt;&lt;C&gt;1&lt;/C&gt;&lt;D xsi:type="xsd:double"&gt;-193&lt;/D&gt;&lt;/FQL&gt;&lt;FQL&gt;&lt;Q&gt;SHOP-US^FE_TIMESERIES(PRODLINE_SALES_2,MEAN,2020/1F,,Q,'CURRENCY=USD')&lt;/Q&gt;&lt;R&gt;1&lt;/R&gt;&lt;C&gt;1&lt;/C&gt;&lt;D xsi:type="xsd:double"&gt;282.392&lt;/D&gt;&lt;/FQL&gt;&lt;FQL&gt;&lt;Q&gt;SHOP-US^FE_TIMESERIES(SALES,MEAN,2022/2F,,Q,'CURRENCY=USD')&lt;/Q&gt;&lt;R&gt;1&lt;/R&gt;&lt;C&gt;1&lt;/C&gt;&lt;D xsi:type="xsd:double"&gt;1295.063&lt;/D&gt;&lt;/FQL&gt;&lt;FQL&gt;&lt;Q&gt;SHOP-US^FE_ESTIMATE(GMV,MEAN,ANNUAL_ROLL,2024,NOW,,,'')&lt;/Q&gt;&lt;R&gt;1&lt;/R&gt;&lt;C&gt;1&lt;/C&gt;&lt;D xsi:type="xsd:double"&gt;289784.2&lt;/D&gt;&lt;/FQL&gt;&lt;FQL&gt;&lt;Q&gt;SHOP-US^FE_ESTIMATE(SPEC_GROSS_1,MEAN,QTR,2026/1F,NOW,,,'')&lt;/Q&gt;&lt;R&gt;1&lt;/R&gt;&lt;C&gt;1&lt;/C&gt;&lt;D xsi:type="xsd:double"&gt;220.4&lt;/D&gt;&lt;/FQL&gt;&lt;FQL&gt;&lt;Q&gt;SHOP-US^FE_ESTIMATE(PRODLINE_SALES_1,MEAN,QTR,2026/3F,NOW,,,'')&lt;/Q&gt;&lt;R&gt;1&lt;/R&gt;&lt;C&gt;1&lt;/C&gt;&lt;D xsi:type="xsd:double"&gt;842.7693&lt;/D&gt;&lt;/FQL&gt;&lt;FQL&gt;&lt;Q&gt;SHOP-US^FE_ESTIMATE(PRODLINE_SALES_1,MEAN,QTR,2027/3F,NOW,,,'')&lt;/Q&gt;&lt;R&gt;1&lt;/R&gt;&lt;C&gt;1&lt;/C&gt;&lt;D xsi:type="xsd:double"&gt;1007&lt;/D&gt;&lt;/FQL&gt;&lt;FQL&gt;&lt;Q&gt;SHOP-US^FE_TIMESERIES(FCF,MEAN,2021,,Y,'CURRENCY=USD')&lt;/Q&gt;&lt;R&gt;1&lt;/R&gt;&lt;C&gt;1&lt;/C&gt;&lt;D xsi:type="xsd:double"&gt;474.27332&lt;/D&gt;&lt;/FQL&gt;&lt;FQL&gt;&lt;Q&gt;SHOP-US^FE_TIMESERIES(EBITDA_ADJ,MEAN,2024,,Y,'CURRENCY=USD')&lt;/Q&gt;&lt;R&gt;1&lt;/R&gt;&lt;C&gt;1&lt;/C&gt;&lt;D xsi:type="xsd:double"&gt;1485.8966&lt;/D&gt;&lt;/FQL&gt;&lt;FQL&gt;&lt;Q&gt;SHOP-US^FE_TIMESERIES(EBIT_ADJ,MEAN,2023,,Y,'CURRENCY=USD')&lt;/Q&gt;&lt;R&gt;1&lt;/R&gt;&lt;C&gt;1&lt;/C&gt;&lt;D xsi:type="xsd:double"&gt;770.3643&lt;/D&gt;&lt;/FQL&gt;&lt;FQL&gt;&lt;Q&gt;SHOP-US^FE_TIMESERIES(PRODLINE_SALES_2,MEAN,2021,,Y,'CURRENCY=USD')&lt;/Q&gt;&lt;R&gt;1&lt;/R&gt;&lt;C&gt;1&lt;/C&gt;&lt;D xsi:type="xsd:double"&gt;3269.522&lt;/D&gt;&lt;/FQL&gt;&lt;FQL&gt;&lt;Q&gt;SHOP-US^FE_TIMESERIES(SALES,MEAN,2022,,Y,'CURRENCY=USD')&lt;/Q&gt;&lt;R&gt;1&lt;/R&gt;&lt;C&gt;1&lt;/C&gt;&lt;D xsi:type="xsd:double"&gt;5599.864&lt;/D&gt;&lt;/FQL&gt;&lt;FQL&gt;&lt;Q&gt;SHOP-US^FE_TIMESERIES(FCF,MEAN,2024/2F,,Q,'CURRENCY=USD')&lt;/Q&gt;&lt;R&gt;1&lt;/R&gt;&lt;C&gt;1&lt;/C&gt;&lt;D xsi:type="xsd:double"&gt;333&lt;/D&gt;&lt;/FQL&gt;&lt;FQL&gt;&lt;Q&gt;SHOP-US^FE_TIMESERIES(CAPEX,MEAN,2020/2F,,Q,'CURRENCY=USD')&lt;/Q&gt;&lt;R&gt;1&lt;/R&gt;&lt;C&gt;1&lt;/C&gt;&lt;D xsi:type="xsd:double"&gt;8.590375&lt;/D&gt;&lt;/FQL&gt;&lt;FQL&gt;&lt;Q&gt;SHOP-US^FE_TIMESERIES(EPS,MEAN,2024/2F,,Q,'CURRENCY=USD')&lt;/Q&gt;&lt;R&gt;1&lt;/R&gt;&lt;C&gt;1&lt;/C&gt;&lt;D xsi:type="xsd:double"&gt;0.26&lt;/D&gt;&lt;/FQL&gt;&lt;FQL&gt;&lt;Q&gt;SHOP-US^FE_TIMESERIES(EBITDA_ADJ,MEAN,2023/2F,,Q,'CURRENCY=USD')&lt;/Q&gt;&lt;R&gt;1&lt;/R&gt;&lt;C&gt;1&lt;/C&gt;&lt;D xsi:type="xsd:double"&gt;157.85715&lt;/D&gt;&lt;/FQL&gt;&lt;FQL&gt;&lt;Q&gt;SHOP-US^FE_TIMESERIES(EBIT_ADJ,MEAN,2022/4F,,Q,'CURRENCY=USD')&lt;/Q&gt;&lt;R&gt;1&lt;/R&gt;&lt;C&gt;1&lt;/C&gt;&lt;D xsi:type="xsd:double"&gt;60.99743&lt;/D&gt;&lt;/FQL&gt;&lt;FQL&gt;&lt;Q&gt;SHOP-US^FE_TIMESERIES(PRODLINE_SALES_2,MEAN,2025/4F,,Q,'CURRENCY=USD')&lt;/Q&gt;&lt;R&gt;1&lt;/R&gt;&lt;C&gt;1&lt;/C&gt;&lt;D xsi:type="xsd:double"&gt;2531.854&lt;/D&gt;&lt;/FQL&gt;&lt;FQL&gt;&lt;Q&gt;SHOP-US^FE_TIMESERIES(PRODLINE_SALES_1,MEAN,2025/2F,,Q,'CURRENCY=USD')&lt;/Q&gt;&lt;R&gt;1&lt;/R&gt;&lt;C&gt;1&lt;/C&gt;&lt;D xsi:type="xsd:double"&gt;673.83167&lt;/D&gt;&lt;/FQL&gt;&lt;FQL&gt;&lt;Q&gt;SHOP-US^FE_TIMESERIES(GMV,MEAN,2022/2F,,Q,'CURRENCY=USD')&lt;/Q&gt;&lt;R&gt;1&lt;/R&gt;&lt;C&gt;1&lt;/C&gt;&lt;D xsi:type="xsd:double"&gt;46891.668&lt;/D&gt;&lt;/FQL&gt;&lt;FQL&gt;&lt;Q&gt;SHOP-US^FE_ESTIMATE(SALES,MEAN,QTR_ROLL,2026/2F,NOW,,,'')&lt;/Q&gt;&lt;R&gt;1&lt;/R&gt;&lt;C&gt;1&lt;/C&gt;&lt;D xsi:type="xsd:double"&gt;3026.1296&lt;/D&gt;&lt;/FQL&gt;&lt;FQL&gt;&lt;Q&gt;SHOP-US^FE_ESTIMATE(PRODLINE_SALES_1,MEAN,ANNUAL_ROLL,2025,NOW,,,'')&lt;/Q&gt;&lt;R&gt;1&lt;/R&gt;&lt;C&gt;1&lt;/C&gt;&lt;D xsi:type="xsd:double"&gt;2769.6775&lt;/D&gt;&lt;/FQL&gt;&lt;FQL&gt;&lt;Q&gt;SHOP-US^FE_ESTIMATE(PRODLINE_SALES_2,MEAN,QTR,2027/1F,NOW,,,'')&lt;/Q&gt;&lt;R&gt;1&lt;/R&gt;&lt;C&gt;1&lt;/C&gt;&lt;D xsi:type="xsd:double"&gt;2641&lt;/D&gt;&lt;/FQL&gt;&lt;FQL&gt;&lt;Q&gt;SHOP-US^FE_TIMESERIES(GROSSINCOME,MEAN,2027,,Y,'CURRENCY=USD')&lt;/Q&gt;&lt;R&gt;1&lt;/R&gt;&lt;C&gt;1&lt;/C&gt;&lt;D xsi:type="xsd:double"&gt;7926.875&lt;/D&gt;&lt;/FQL&gt;&lt;FQL&gt;&lt;Q&gt;SHOP-US^FE_TIMESERIES(DEPR_AMORT,MEAN,2024/4F,,Q,'CURRENCY=USD')&lt;/Q&gt;&lt;R&gt;1&lt;/R&gt;&lt;C&gt;1&lt;/C&gt;&lt;D xsi:type="xsd:double"&gt;10.392693&lt;/D&gt;&lt;/FQL&gt;&lt;FQL&gt;&lt;Q&gt;SHOP-US^FE_TIMESERIES(DEPR_AMORT,MEAN,2022/1F,,Q,'CURRENCY=USD')&lt;/Q&gt;&lt;R&gt;1&lt;/R&gt;&lt;C&gt;1&lt;/C&gt;&lt;D xsi:type="xsd:double"&gt;16.7451&lt;/D&gt;&lt;/FQL&gt;&lt;FQL&gt;&lt;Q&gt;SHOP-US^FE_TIMESERIES(CAPEX,MEAN,2023/4F,,Q,'CURRENCY=USD')&lt;/Q&gt;&lt;R&gt;1&lt;/R&gt;&lt;C&gt;1&lt;/C&gt;&lt;D xsi:type="xsd:double"&gt;2&lt;/D&gt;&lt;/FQL&gt;&lt;FQL&gt;&lt;Q&gt;SHOP-US^FE_TIMESERIES(NETPROFIT,MEAN,2020/3F,,Q,'CURRENCY=USD')&lt;/Q&gt;&lt;R&gt;1&lt;/R&gt;&lt;C&gt;1&lt;/C&gt;&lt;D xsi:type="xsd:double"&gt;140.754&lt;/D&gt;&lt;/FQL&gt;&lt;FQL&gt;&lt;Q&gt;SHOP-US^FE_TIMESERIES(EBITDA_REP,MEAN,2023/2F,,Q,'CURRENCY=USD')&lt;/Q&gt;&lt;R&gt;1&lt;/R&gt;&lt;C&gt;1&lt;/C&gt;&lt;D xsi:type="xsd:double"&gt;-728&lt;/D&gt;&lt;/FQL&gt;&lt;FQL&gt;&lt;Q&gt;SHOP-US^FE_TIMESERIES(EBIT_ADJ,MEAN,2020/1F,,Q,'CURRENCY=USD')&lt;/Q&gt;&lt;R&gt;1&lt;/R&gt;&lt;C&gt;1&lt;/C&gt;&lt;D xsi:type="xsd:double"&gt;-7.272&lt;/D&gt;&lt;/FQL&gt;&lt;FQL&gt;&lt;Q&gt;SHOP-US^FE_TIMESERIES(EBITR,MEAN,2022/4F,,Q,'CURRENCY=USD')&lt;/Q&gt;&lt;R&gt;1&lt;/R&gt;&lt;C&gt;1&lt;/C&gt;&lt;D xsi:type="xsd:double"&gt;-188.80907&lt;/D&gt;&lt;/FQL&gt;&lt;FQL&gt;&lt;Q&gt;SHOP-US^FE_TIMESERIES(PRODLINE_SALES_1,MEAN,2022/3F,,Q,'CURRENCY=USD')&lt;/Q&gt;&lt;R&gt;1&lt;/R&gt;&lt;C&gt;1&lt;/C&gt;&lt;D xsi:type="xsd:double"&gt;376.301&lt;/D&gt;&lt;/FQL&gt;&lt;FQL&gt;&lt;Q&gt;SHOP-US^FE_TIMESERIES(SALES,MEAN,2022/1F,,Q,'CURRENCY=USD')&lt;/Q&gt;&lt;R&gt;1&lt;/R&gt;&lt;C&gt;1&lt;/C&gt;&lt;D xsi:type="xsd:double"&gt;1203.623&lt;/D&gt;&lt;/FQL&gt;&lt;FQL&gt;&lt;Q&gt;SHOP-US^FE_ACTUAL(ACTUAL,SALES,ANNUAL,2027,,,,'')@FE_ESTIMATE(SALES,MEAN,ANNUAL,2027,NOW,,,'')&lt;/Q&gt;&lt;R&gt;1&lt;/R&gt;&lt;C&gt;1&lt;/C&gt;&lt;D xsi:type="xsd:double"&gt;17304.154&lt;/D&gt;&lt;/FQL&gt;&lt;FQL&gt;&lt;Q&gt;SHOP-US^FE_ESTIMATE(SPEC_GROSS_1,MEAN,ANNUAL_ROLL,2024,NOW,,,'')&lt;/Q&gt;&lt;R&gt;1&lt;/R&gt;&lt;C&gt;1&lt;/C&gt;&lt;D xsi:type="xsd:double"&gt;178.91164&lt;/D&gt;&lt;/FQL&gt;&lt;FQL&gt;&lt;Q&gt;SHOP-US^FE_ESTIMATE(PRODLINE_SALES_1,MEAN,QTR,2026/2F,NOW,,,'')&lt;/Q&gt;&lt;R&gt;1&lt;/R&gt;&lt;C&gt;1&lt;/C&gt;&lt;D xsi:type="xsd:double"&gt;798.7728&lt;/D&gt;&lt;/FQL&gt;&lt;FQL&gt;&lt;Q&gt;SHOP-US^FE_ESTIMATE(EBITDA_ADJ,MEAN,QTR,2026/4F,NOW,,,'')&lt;/Q&gt;&lt;R&gt;1&lt;/R&gt;&lt;C&gt;1&lt;/C&gt;&lt;D xsi:type="xsd:double"&gt;939.1577&lt;/D&gt;&lt;/FQL&gt;&lt;FQL&gt;&lt;Q&gt;SHOP-US^FE_ESTIMATE(NETBG,MEAN,ANNUAL_ROLL,2027,NOW,,,'')&lt;/Q&gt;&lt;R&gt;1&lt;/R&gt;&lt;C&gt;1&lt;/C&gt;&lt;D xsi:type="xsd:double"&gt;3289.4587&lt;/D&gt;&lt;/FQL&gt;&lt;FQL&gt;&lt;Q&gt;SHOP-US^FE_TIMESERIES(FCF,MEAN,2020,,Y,'CURRENCY=USD')&lt;/Q&gt;&lt;R&gt;1&lt;/R&gt;&lt;C&gt;1&lt;/C&gt;&lt;D xsi:type="xsd:double"&gt;347.324&lt;/D&gt;&lt;/FQL&gt;&lt;FQL&gt;&lt;Q&gt;SHOP-US^FE_TIMESERIES(EBITDA_ADJ,MEAN,2021,,Y,'CURRENCY=USD')&lt;/Q&gt;&lt;R&gt;1&lt;/R&gt;&lt;C&gt;1&lt;/C&gt;&lt;D xsi:type="xsd:double"&gt;760.8224&lt;/D&gt;&lt;/FQL&gt;&lt;FQL&gt;&lt;Q&gt;SHOP-US^FE_TIMESERIES(EBIT_ADJ,MEAN,2022,,Y,'CURRENCY=USD')&lt;/Q&gt;&lt;R&gt;1&lt;/R&gt;&lt;C&gt;1&lt;/C&gt;&lt;D xsi:type="xsd:double"&gt;6.07468&lt;/D&gt;&lt;/FQL&gt;&lt;FQL&gt;&lt;Q&gt;SHOP-US^FE_TIMESERIES(PRODLINE_SALES_1,MEAN,2027,,Y,'CURRENCY=USD')&lt;/Q&gt;&lt;R&gt;1&lt;/R&gt;&lt;C&gt;1&lt;/C&gt;&lt;D xsi:type="xsd:double"&gt;3739.4333&lt;/D&gt;&lt;/FQL&gt;&lt;FQL&gt;&lt;Q&gt;SHOP-US^FE_TIMESERIES(SALES,MEAN,2021,,Y,'CURRENCY=USD')&lt;/Q&gt;&lt;R&gt;1&lt;/R&gt;&lt;C&gt;1&lt;/C&gt;&lt;D xsi:type="xsd:double"&gt;4611.856&lt;/D&gt;&lt;/FQL&gt;&lt;FQL&gt;&lt;Q&gt;SHOP-US^FE_TIMESERIES(FCF,MEAN,2024/1F,,Q,'CURRENCY=USD')&lt;/Q&gt;&lt;R&gt;1&lt;/R&gt;&lt;C&gt;1&lt;/C&gt;&lt;D xsi:type="xsd:double"&gt;227.2&lt;/D&gt;&lt;/FQL&gt;&lt;FQL&gt;&lt;Q&gt;SHOP-US^FE_TIMESERIES(CFO,MEAN,2022/2F,,Q,'CURRENCY=USD')&lt;/Q&gt;&lt;R&gt;1&lt;/R&gt;&lt;C&gt;1&lt;/C&gt;&lt;D xsi:type="xsd:double"&gt;-130.13922&lt;/D&gt;&lt;/FQL&gt;&lt;FQL&gt;&lt;Q&gt;SHOP-US^FE_TIMESERIES(EAG,MEAN,2021/4F,,Q,'CURRENCY=USD')&lt;/Q&gt;&lt;R&gt;1&lt;/R&gt;&lt;C&gt;1&lt;/C&gt;&lt;D xsi:type="xsd:double"&gt;-0.29&lt;/D&gt;&lt;/FQL&gt;&lt;FQL&gt;&lt;Q&gt;SHOP-US^FE_TIMESERIES(NETPROFIT,MEAN,2022/4F,,Q,'CURRENCY=USD')&lt;/Q&gt;&lt;R&gt;1&lt;/R&gt;&lt;C&gt;1&lt;/C&gt;&lt;D xsi:type="xsd:double"&gt;90.996&lt;/D&gt;&lt;/FQL&gt;&lt;FQL&gt;&lt;Q&gt;SHOP-US^FE_TIMESERIES(PRODLINE_SALES_2,MEAN,2025/3F,,Q,'CURRENCY=USD')&lt;/Q&gt;&lt;R&gt;1&lt;/R&gt;&lt;C&gt;1&lt;/C&gt;&lt;D xsi:type="xsd:double"&gt;1913.0764&lt;/D&gt;&lt;/FQL&gt;&lt;FQL&gt;&lt;Q&gt;SHOP-US^FE_TIMESERIES(PRODLINE_SALES_1,MEAN,2025/1F,,Q,'CURRENCY=USD')&lt;/Q&gt;&lt;R&gt;1&lt;/R&gt;&lt;C&gt;1&lt;/C&gt;&lt;D xsi:type="xsd:double"&gt;633.1609&lt;/D&gt;&lt;/FQL&gt;&lt;FQL&gt;&lt;Q&gt;SHOP-US^FE_TIMESERIES(SALES,MEAN,2021/4F,,Q,'CURRENCY=USD')&lt;/Q&gt;&lt;R&gt;1&lt;/R&gt;&lt;C&gt;1&lt;/C&gt;&lt;D xsi:type="xsd:double"&gt;1380.024&lt;/D&gt;&lt;/FQL&gt;&lt;FQL&gt;&lt;Q&gt;SHOP-US^FE_TIMESERIES(GMV,MEAN,2022/1F,,Q,'CURRENCY=USD')&lt;/Q&gt;&lt;R&gt;1&lt;/R&gt;&lt;C&gt;1&lt;/C&gt;&lt;D xsi:type="xsd:double"&gt;43200&lt;/D&gt;&lt;/FQL&gt;&lt;FQL&gt;&lt;Q&gt;SHOP^FE_ESTIMATE(EPS,MEAN,ANNUAL_ROLL,2026,NOW,,,'')&lt;/Q&gt;&lt;R&gt;1&lt;/R&gt;&lt;C&gt;1&lt;/C&gt;&lt;D xsi:type="xsd:double"&gt;1.928615&lt;/D&gt;&lt;/FQL&gt;&lt;FQL&gt;&lt;Q&gt;SHOP-US^FE_ESTIMATE(SPEC_GROSS_1,MEAN,QTR,2024/2F,NOW,,,'')&lt;/Q&gt;&lt;R&gt;1&lt;/R&gt;&lt;C&gt;1&lt;/C&gt;&lt;D xsi:type="xsd:double"&gt;169&lt;/D&gt;&lt;/FQL&gt;&lt;FQL&gt;&lt;Q&gt;SHOP-US^FE_ESTIMATE(EBITDA_ADJ,MEAN,QTR,2026/1F,NOW,,,'')&lt;/Q&gt;&lt;R&gt;1&lt;/R&gt;&lt;C&gt;1&lt;/C&gt;&lt;D xsi:type="xsd:double"&gt;450.0533&lt;/D&gt;&lt;/FQL&gt;&lt;FQL&gt;&lt;Q&gt;SHOP-US^FE_ESTIMATE(NETBG,MEAN,QTR,2027/2F,NOW,,,'')&lt;/Q&gt;&lt;R&gt;1&lt;/R&gt;&lt;C&gt;1&lt;/C&gt;&lt;D xsi:type="xsd:double"&gt;778&lt;/D&gt;&lt;/FQL&gt;&lt;FQL&gt;&lt;Q&gt;SHOP-US^FE_TIMESERIES(EPS,MEAN,2020/2F,,Q,'CURRENCY=USD')&lt;/Q&gt;&lt;R&gt;1&lt;/R&gt;&lt;C&gt;1&lt;/C&gt;&lt;D xsi:type="xsd:double"&gt;0.105&lt;/D&gt;&lt;/FQL&gt;&lt;FQL&gt;&lt;Q&gt;SHOP-US^FE_TIMESERIES(NETPROFIT,MEAN,2020/1F,,Q,'CURRENCY=USD')&lt;/Q&gt;&lt;R&gt;1&lt;/R&gt;&lt;C&gt;1&lt;/C&gt;&lt;D xsi:type="xsd:double"&gt;22.332&lt;/D&gt;&lt;/FQL&gt;&lt;FQL&gt;&lt;Q&gt;SHOP-US^FE_TIMESERIES(EBITDA_REP,MEAN,2025/3F,,Q,'CURRENCY=USD')&lt;/Q&gt;&lt;R&gt;1&lt;/R&gt;&lt;C&gt;1&lt;/C&gt;&lt;D xsi:type="xsd:double"&gt;465.4105&lt;/D&gt;&lt;/FQL&gt;&lt;FQL&gt;&lt;Q&gt;SHOP-US^FE_TIMESERIES(EBITDA_REP,MEAN,2022/2F,,Q,'CURRENCY=USD')&lt;/Q&gt;&lt;R&gt;1&lt;/R&gt;&lt;C&gt;1&lt;/C&gt;&lt;D xsi:type="xsd:double"&gt;-99.5865&lt;/D&gt;&lt;/FQL&gt;&lt;FQL&gt;&lt;Q&gt;SHOP-US^FE_TIMESERIES(SALES,MEAN,2025/1F,,Q,'CURRENCY=USD')&lt;/Q&gt;&lt;R&gt;1&lt;/R&gt;&lt;C&gt;1&lt;/C&gt;&lt;D xsi:type="xsd:double"&gt;2319.768&lt;/D&gt;&lt;/FQL&gt;&lt;FQL&gt;&lt;Q&gt;SHOP-US^FE_ESTIMATE(PRODLINE_SALES_1,MEAN,QTR,2024/1F,NOW,,,'')&lt;/Q&gt;&lt;R&gt;1&lt;/R&gt;&lt;C&gt;1&lt;/C&gt;&lt;D xsi:type="xsd:double"&gt;511&lt;/D&gt;&lt;/FQL&gt;&lt;FQL&gt;&lt;Q&gt;SHOP-US^FE_ESTIMATE(PRODLINE_SALES_2,MEAN,QTR,2025/2F,NOW,,,'')&lt;/Q&gt;&lt;R&gt;1&lt;/R&gt;&lt;C&gt;1&lt;/C&gt;&lt;D xsi:type="xsd:double"&gt;1848.4647&lt;/D&gt;&lt;/FQL&gt;&lt;FQL&gt;&lt;Q&gt;SHOP-US^FE_ESTIMATE(EBITDA_ADJ,MEAN,QTR,2026/3F,NOW,,,'')&lt;/Q&gt;&lt;R&gt;1&lt;/R&gt;&lt;C&gt;1&lt;/C&gt;&lt;D xsi:type="xsd:double"&gt;657.7661&lt;/D&gt;&lt;/FQL&gt;&lt;FQL&gt;&lt;Q&gt;SHOP-US^FE_TIMESERIES(CAPEX,MEAN,2027,,Y,'CURRENCY=USD')&lt;/Q&gt;&lt;R&gt;1&lt;/R&gt;&lt;C&gt;1&lt;/C&gt;&lt;D xsi:type="xsd:double"&gt;40.931866&lt;/D&gt;&lt;/FQL&gt;&lt;FQL&gt;&lt;Q&gt;SHOP-US^FE_TIMESERIES(PRODLINE_SALES_1,MEAN,2023,,Y,'CURRENCY=USD')&lt;/Q&gt;&lt;R&gt;1&lt;/R&gt;&lt;C&gt;1&lt;/C&gt;&lt;D xsi:type="xsd:double"&gt;1837&lt;/D&gt;&lt;/FQL&gt;&lt;FQL&gt;&lt;Q&gt;SHOP-US^FE_TIMESERIES(SALES,MEAN,2020,,Y,'CURRENCY=USD')&lt;/Q&gt;&lt;R&gt;1&lt;/R&gt;&lt;C&gt;1&lt;/C&gt;&lt;D xsi:type="xsd:double"&gt;2929.491&lt;/D&gt;&lt;/FQL&gt;&lt;FQL&gt;&lt;Q&gt;SHOP-US^FE_TIMESERIES(NETPROFIT,MEAN,2022/3F,,Q,'CURRENCY=USD')&lt;/Q&gt;&lt;R&gt;1&lt;/R&gt;&lt;C&gt;1&lt;/C&gt;&lt;D xsi:type="xsd:double"&gt;-30&lt;/D&gt;&lt;/FQL&gt;&lt;FQL&gt;&lt;Q&gt;SHOP-US^FE_TIMESERIES(EBIT_ADJ,MEAN,2025/3F,,Q,'CURRENCY=USD')&lt;/Q&gt;&lt;R&gt;1&lt;/R&gt;&lt;C&gt;1&lt;/C&gt;&lt;D xsi:type="xsd:double"&gt;488.01785&lt;/D&gt;&lt;/FQL&gt;&lt;FQL&gt;&lt;Q&gt;SHOP-US^FE_TIMESERIES(EBITR,MEAN,2021/3F,,Q,'CURRENCY=USD')&lt;/Q&gt;&lt;R&gt;1&lt;/R&gt;&lt;C&gt;1&lt;/C&gt;&lt;D xsi:type="xsd:double"&gt;-4.085077&lt;/D&gt;&lt;/FQL&gt;&lt;FQL&gt;&lt;Q&gt;SHOP-US^FE_TIMESERIES(PRODLINE_SALES_1,MEAN,2021/2F,,Q,'CURRENCY=USD')&lt;/Q&gt;&lt;R&gt;1&lt;/R&gt;&lt;C&gt;1&lt;/C&gt;&lt;D xsi:type="xsd:double"&gt;334.237&lt;/D&gt;&lt;/FQL&gt;&lt;FQL&gt;&lt;Q&gt;SHOP-US^FE_ESTIMATE(EAG,MEAN,QTR,2027/4F,NOW,,,'')&lt;/Q&gt;&lt;R&gt;0&lt;/R&gt;&lt;C&gt;0&lt;/C&gt;&lt;/FQL&gt;&lt;FQL&gt;&lt;Q&gt;SHOP-US^FE_TIMESERIES(EBITDA_REP,MEAN,2023,,Y,'CURRENCY=USD')&lt;/Q&gt;&lt;R&gt;1&lt;/R&gt;&lt;C&gt;1&lt;/C&gt;&lt;D xsi:type="xsd:double"&gt;-132&lt;/D&gt;&lt;/FQL&gt;&lt;FQL&gt;&lt;Q&gt;SHOP-US^FE_TIMESERIES(EBITR,MEAN,2027,,Y,'CURRENCY=USD')&lt;/Q&gt;&lt;R&gt;1&lt;/R&gt;&lt;C&gt;1&lt;/C&gt;&lt;D xsi:type="xsd:double"&gt;3042&lt;/D&gt;&lt;/FQL&gt;&lt;FQL&gt;&lt;Q&gt;SHOP-US^FE_TIMESERIES(GMV,MEAN,2027,,Y,'CURRENCY=USD')&lt;/Q&gt;&lt;R&gt;1&lt;/R&gt;&lt;C&gt;1&lt;/C&gt;&lt;D xsi:type="xsd:double"&gt;504811.16&lt;/D&gt;&lt;/FQL&gt;&lt;FQL&gt;&lt;Q&gt;SHOP-US^FE_TIMESERIES(CFO,MEAN,2021/4F,,Q,'CURRENCY=USD')&lt;/Q&gt;&lt;R&gt;1&lt;/R&gt;&lt;C&gt;1&lt;/C&gt;&lt;D xsi:type="xsd:double"&gt;260.5526&lt;/D&gt;&lt;/FQL&gt;&lt;FQL&gt;&lt;Q&gt;SHOP-US^FE_TIMESERIES(NETPROFIT,MEAN,2025/4F,,Q,'CURRENCY=USD')&lt;/Q&gt;&lt;R&gt;1&lt;/R&gt;&lt;C&gt;1&lt;/C&gt;&lt;D xsi:type="xsd:double"&gt;676.0038&lt;/D&gt;&lt;/FQL&gt;&lt;FQL&gt;&lt;Q&gt;SHOP-US^FE_TIMESERIES(EBIT_ADJ,MEAN,2024/3F,,Q,'CURRENCY=USD')&lt;/Q&gt;&lt;R&gt;1&lt;/R&gt;&lt;C&gt;1&lt;/C&gt;&lt;D xsi:type="xsd:double"&gt;396.7857&lt;/D&gt;&lt;/FQL&gt;&lt;FQL&gt;&lt;Q&gt;SHOP-US^FE_TIMESERIES(NETPROFIT,MEAN,2025,,Y,'CURRENCY=USD')&lt;/Q&gt;&lt;R&gt;1&lt;/R&gt;&lt;C&gt;1&lt;/C&gt;&lt;D xsi:type="xsd:double"&gt;2013.152&lt;/D&gt;&lt;/FQL&gt;&lt;FQL&gt;&lt;Q&gt;SHOP-US^FE_TIMESERIES(EBIT_ADJ,MEAN,2021,,Y,'CURRENCY=USD')&lt;/Q&gt;&lt;R&gt;1&lt;/R&gt;&lt;C&gt;1&lt;/C&gt;&lt;D xsi:type="xsd:double"&gt;711.4762&lt;/D&gt;&lt;/FQL&gt;&lt;FQL&gt;&lt;Q&gt;SHOP-US^FE_TIMESERIES(GROSSINCOME,MEAN,2022,,Y,'CURRENCY=USD')&lt;/Q&gt;&lt;R&gt;1&lt;/R&gt;&lt;C&gt;1&lt;/C&gt;&lt;D xsi:type="xsd:double"&gt;2795.2517&lt;/D&gt;&lt;/FQL&gt;&lt;FQL&gt;&lt;Q&gt;SHOP-US^FE_TIMESERIES(DEPR_AMORT,MEAN,2024/2F,,Q,'CURRENCY=USD')&lt;/Q&gt;&lt;R&gt;1&lt;/R&gt;&lt;C&gt;1&lt;/C&gt;&lt;D xsi:type="xsd:double"&gt;10&lt;/D&gt;&lt;/FQL&gt;&lt;FQL&gt;&lt;Q&gt;SHOP-US^FE_TIMESERIES(DEPR_AMORT,MEAN,2020/4F,,Q,'CURRENCY=USD')&lt;/Q&gt;&lt;R&gt;1&lt;/R&gt;&lt;C&gt;1&lt;/C&gt;&lt;D xsi:type="xsd:double"&gt;24.7486&lt;/D&gt;&lt;/FQL&gt;&lt;FQL&gt;&lt;Q&gt;SHOP-US^FE_TIMESERIES(FCF,MEAN,2020/2F,,Q,'CURRENCY=USD')&lt;/Q&gt;&lt;R&gt;1&lt;/R&gt;&lt;C&gt;1&lt;/C&gt;&lt;D xsi:type="xsd:double"&gt;137.332&lt;/D&gt;&lt;/FQL&gt;&lt;FQL&gt;&lt;Q&gt;SHOP-US^FE_TIMESERIES(CAPEX,MEAN,2022/3F,,Q,'CURRENCY=USD')&lt;/Q&gt;&lt;R&gt;1&lt;/R&gt;&lt;C&gt;1&lt;/C&gt;&lt;D xsi:type="xsd:double"&gt;13.914444&lt;/D&gt;&lt;/FQL&gt;&lt;FQL&gt;&lt;Q&gt;SHOP-US^FE_TIMESERIES(EAG,MEAN,2020/4F,,Q,'CURRENCY=USD')&lt;/Q&gt;&lt;R&gt;1&lt;/R&gt;&lt;C&gt;1&lt;/C&gt;&lt;D xsi:type="xsd:double"&gt;0.099&lt;/D&gt;&lt;/FQL&gt;&lt;FQL&gt;&lt;Q&gt;SHOP-US^FE_TIMESERIES(EBITDA_ADJ,MEAN,2022/4F,,Q,'CURRENCY=USD')&lt;/Q&gt;&lt;R&gt;1&lt;/R&gt;&lt;C&gt;1&lt;/C&gt;&lt;D xsi:type="xsd:double"&gt;85.80839&lt;/D&gt;&lt;/FQL&gt;&lt;FQL&gt;&lt;Q&gt;SHOP-US^FE_TIMESERIES(GROSSINCOME,MEAN,2025/2F,,Q,'CURRENCY=USD')&lt;/Q&gt;&lt;R&gt;1&lt;/R&gt;&lt;C&gt;1&lt;/C&gt;&lt;D xsi:type="xsd:double"&gt;1281.7762&lt;/D&gt;&lt;/FQL&gt;&lt;FQL&gt;&lt;Q&gt;SHOP-US^FE_TIMESERIES(PRODLINE_SALES_1,MEAN,2024/4F,,Q,'CURRENCY=USD')&lt;/Q&gt;&lt;R&gt;1&lt;/R&gt;&lt;C&gt;1&lt;/C&gt;&lt;D xsi:type="xsd:double"&gt;648.8926&lt;/D&gt;&lt;/FQL&gt;&lt;FQL&gt;&lt;Q&gt;SHOP-US^FE_TIMESERIES(GMV,MEAN,2024/2F,,Q,'CURRENCY=USD')&lt;/Q&gt;&lt;R&gt;1&lt;/R&gt;&lt;C&gt;1&lt;/C&gt;&lt;D xsi:type="xsd:double"&gt;67245&lt;/D&gt;&lt;/FQL&gt;&lt;FQL&gt;&lt;Q&gt;SHOP-US^FE_TIMESERIES(EAG,MEAN,2026,,Y,'CURRENCY=USD')&lt;/Q&gt;&lt;R&gt;1&lt;/R&gt;&lt;C&gt;1&lt;/C&gt;&lt;D xsi:type="xsd:double"&gt;1.5342542&lt;/D&gt;&lt;/FQL&gt;&lt;FQL&gt;&lt;Q&gt;SHOP-US^FE_TIMESERIES(CFO,MEAN,2022/1F,,Q,'CURRENCY=USD')&lt;/Q&gt;&lt;R&gt;1&lt;/R&gt;&lt;C&gt;1&lt;/C&gt;&lt;D xsi:type="xsd:double"&gt;-53.7&lt;/D&gt;&lt;/FQL&gt;&lt;FQL&gt;&lt;Q&gt;SHOP-US^FE_TIMESERIES(EBIT_ADJ,MEAN,2022/2F,,Q,'CURRENCY=USD')&lt;/Q&gt;&lt;R&gt;1&lt;/R&gt;&lt;C&gt;1&lt;/C&gt;&lt;D xsi:type="xsd:double"&gt;-41.803856&lt;/D&gt;&lt;/FQL&gt;&lt;FQL&gt;&lt;Q&gt;SHOP-US^FE_TIMESERIES(PRODLINE_SALES_1,MEAN,2024/3F,,Q,'CURRENCY=USD')&lt;/Q&gt;&lt;R&gt;1&lt;/R&gt;&lt;C&gt;1&lt;/C&gt;&lt;D xsi:type="xsd:double"&gt;610&lt;/D&gt;&lt;/FQL&gt;&lt;FQL&gt;&lt;Q&gt;SHOP-US^FE_ESTIMATE(PRODLINE_SALES_2,MEAN,QTR,2024/4F,NOW,,,'')&lt;/Q&gt;&lt;R&gt;1&lt;/R&gt;&lt;C&gt;1&lt;/C&gt;&lt;D xsi:type="xsd:double"&gt;2069.3555&lt;/D&gt;&lt;/FQL&gt;&lt;FQL&gt;&lt;Q&gt;SHOP-US^FE_ESTIMATE(NETBG,MEAN,QTR,2026/1F,NOW,,,'')&lt;/Q&gt;&lt;R&gt;1&lt;/R&gt;&lt;C&gt;1&lt;/C&gt;&lt;D xsi:type="xsd:double"&gt;447.52667&lt;/D&gt;&lt;/FQL&gt;&lt;FQL&gt;&lt;Q&gt;SHOP-US^FE_ESTIMATE(BFNG,MEAN,QTR,2027/3F,NOW,,,'')&lt;/Q&gt;&lt;R&gt;0&lt;/R&gt;&lt;C&gt;0&lt;/C&gt;&lt;/FQL&gt;&lt;FQL&gt;&lt;Q&gt;SHOP-US^FE_TIMESERIES(NETPROFIT,MEAN,2024,,Y,'CURRENCY=USD')&lt;/Q&gt;&lt;R&gt;1&lt;/R&gt;&lt;C&gt;1&lt;/C&gt;&lt;D xsi:type="xsd:double"&gt;1625.3816&lt;/D&gt;&lt;/FQL&gt;&lt;FQL&gt;&lt;Q&gt;SHOP-US^FE_TIMESERIES(DEPR_AMORT,MEAN,2024/1F,,Q,'CURRENCY=USD')&lt;/Q&gt;&lt;R&gt;1&lt;/R&gt;&lt;C&gt;1&lt;/C&gt;&lt;D xsi:type="xsd:double"&gt;10&lt;/D&gt;&lt;/FQL&gt;&lt;FQL&gt;&lt;Q&gt;SHOP-US^FE_TIMESERIES(CAPEX,MEAN,2022/2F,,Q,'CURRENCY=USD')&lt;/Q&gt;&lt;R&gt;1&lt;/R&gt;&lt;C&gt;1&lt;/C&gt;&lt;D xsi:type="xsd:double"&gt;12.535&lt;/D&gt;&lt;/FQL&gt;&lt;FQL&gt;&lt;Q&gt;SHOP-US^FE_TIMESERIES(EBITDA_ADJ,MEAN,2022/3F,,Q,'CURRENCY=USD')&lt;/Q&gt;&lt;R&gt;1&lt;/R&gt;&lt;C&gt;1&lt;/C&gt;&lt;D xsi:type="xsd:double"&gt;-23.87625&lt;/D&gt;&lt;/FQL&gt;&lt;FQL&gt;&lt;Q&gt;SHOP-US^FE_TIMESERIES(EBITDA_REP,MEAN,2022/1F,,Q,'CURRENCY=USD')&lt;/Q&gt;&lt;R&gt;1&lt;/R&gt;&lt;C&gt;1&lt;/C&gt;&lt;D xsi:type="xsd:double"&gt;-16.361&lt;/D&gt;&lt;/FQL&gt;&lt;FQL&gt;&lt;Q&gt;SHOP-US^FE_TIMESERIES(GMV,MEAN,2024/1F,,Q,'CURRENCY=USD')&lt;/Q&gt;&lt;R&gt;1&lt;/R&gt;&lt;C&gt;1&lt;/C&gt;&lt;D xsi:type="xsd:double"&gt;60855&lt;/D&gt;&lt;/FQL&gt;&lt;FQL&gt;&lt;Q&gt;SHOP-US^FE_TIMESERIES(GMV,MEAN,2020/4F,,Q,'CURRENCY=USD')&lt;/Q&gt;&lt;R&gt;1&lt;/R&gt;&lt;C&gt;1&lt;/C&gt;&lt;D xsi:type="xsd:double"&gt;41089.375&lt;/D&gt;&lt;/FQL&gt;&lt;FQL&gt;&lt;Q&gt;SHOP^FE_ESTIMATE(EBITDA_ADJ,MEAN,ANNUAL_ROLL,2025,NOW,,,'')&lt;/Q&gt;&lt;R&gt;1&lt;/R&gt;&lt;C&gt;1&lt;/C&gt;&lt;D xsi:type="xsd:double"&gt;1996.2725&lt;/D&gt;&lt;/FQL&gt;&lt;FQL&gt;&lt;Q&gt;SHOP-US^FE_ESTIMATE(PRODLINE_SALES_2,MEAN,QTR,2024/1F,NOW,,,'')&lt;/Q&gt;&lt;R&gt;1&lt;/R&gt;&lt;C&gt;1&lt;/C&gt;&lt;D xsi:type="xsd:double"&gt;1350&lt;/D&gt;&lt;/FQL&gt;&lt;FQL&gt;&lt;Q&gt;SHOP-US^FE_ESTIMATE(EBITDA_ADJ,MEAN,QTR,2024/2F,NOW,,,'')&lt;/Q&gt;&lt;R&gt;1&lt;/R&gt;&lt;C&gt;1&lt;/C&gt;&lt;D xsi:type="xsd:double"&gt;307.92856&lt;/D&gt;&lt;/FQL&gt;&lt;FQL&gt;&lt;Q&gt;SHOP-US^FE_ESTIMATE(CUSTOM_EPS,MEAN,QTR,2026/4F,NOW,,,'')&lt;/Q&gt;&lt;R&gt;1&lt;/R&gt;&lt;C&gt;1&lt;/C&gt;&lt;D xsi:type="xsd:double"&gt;0.6759283&lt;/D&gt;&lt;/FQL&gt;&lt;FQL&gt;&lt;Q&gt;SHOP-US^FE_TIMESERIES(GROSSINCOME,MEAN,2025/1F,,Q,'CURRENCY=USD')&lt;/Q&gt;&lt;R&gt;1&lt;/R&gt;&lt;C&gt;1&lt;/C&gt;&lt;D xsi:type="xsd:double"&gt;1182.4972&lt;/D&gt;&lt;/FQL&gt;&lt;FQL&gt;&lt;Q&gt;SHOP-US^FE_ESTIMATE(BFNG,MEAN,ANNUAL_ROLL,2026,NOW,,,'')&lt;/Q&gt;&lt;R&gt;1&lt;/R&gt;&lt;C&gt;1&lt;/C&gt;&lt;D xsi:type="xsd:double"&gt;2098.087&lt;/D&gt;&lt;/FQL&gt;&lt;FQL&gt;&lt;Q&gt;SHOP-US^FE_TIMESERIES(GROSSINCOME,MEAN,2021/3F,,Q,'CURRENCY=USD')&lt;/Q&gt;&lt;R&gt;1&lt;/R&gt;&lt;C&gt;1&lt;/C&gt;&lt;D xsi:type="xsd:double"&gt;613.64575&lt;/D&gt;&lt;/FQL&gt;&lt;FQL&gt;&lt;Q&gt;SHOP-US^FE_TIMESERIES(PRODLINE_SALES_2,MEAN,2024/2F,,Q,'CURRENCY=USD')&lt;/Q&gt;&lt;R&gt;1&lt;/R&gt;&lt;C&gt;1&lt;/C&gt;&lt;D xsi:type="xsd:double"&gt;1482&lt;/D&gt;&lt;/FQL&gt;&lt;FQL&gt;&lt;Q&gt;SHOP-US^FE_TIMESERIES(PRODLINE_SALES_2,MEAN,2021/1F,,Q,'CURRENCY=USD')&lt;/Q&gt;&lt;R&gt;1&lt;/R&gt;&lt;C&gt;1&lt;/C&gt;&lt;D xsi:type="xsd:double"&gt;667.966&lt;/D&gt;&lt;/FQL&gt;&lt;FQL&gt;&lt;Q&gt;SHOP-US^FE_ESTIMATE(EBITDA_ADJ,MEAN,QTR,2025/2F,NOW,,,'')&lt;/Q&gt;&lt;R&gt;1&lt;/R&gt;&lt;C&gt;1&lt;/C&gt;&lt;D xsi:type="xsd:double"&gt;438.14517&lt;/D&gt;&lt;/FQL&gt;&lt;FQL&gt;&lt;Q&gt;SHOP-US^FE_TIMESERIES(SALES,MEAN,2021/2F,,Q,'CURRENCY=USD')&lt;/Q&gt;&lt;R&gt;1&lt;/R&gt;&lt;C&gt;1&lt;/C&gt;&lt;D xsi:type="xsd:double"&gt;1119.4&lt;/D&gt;&lt;/FQL&gt;&lt;FQL&gt;&lt;Q&gt;SHOP-US^FE_TIMESERIES(EBITR,MEAN,2024/4F,,Q,'CURRENCY=USD')&lt;/Q&gt;&lt;R&gt;1&lt;/R&gt;&lt;C&gt;1&lt;/C&gt;&lt;D xsi:type="xsd:double"&gt;424.81213&lt;/D&gt;&lt;/FQL&gt;&lt;FQL&gt;&lt;Q&gt;SHOP-US^FE_ESTIMATE(SALES,MEAN,QTR_ROLL,2027/3F,NOW,,,'')&lt;/Q&gt;&lt;R&gt;1&lt;/R&gt;&lt;C&gt;1&lt;/C&gt;&lt;D xsi:type="xsd:double"&gt;3975&lt;/D&gt;&lt;/FQL&gt;&lt;FQL&gt;&lt;Q&gt;SHOP-US^FE_ESTIMATE(EAG,MEAN,QTR,2027/1F,NOW,,,'')&lt;/Q&gt;&lt;R&gt;0&lt;/R&gt;&lt;C&gt;0&lt;/C&gt;&lt;/FQL&gt;&lt;FQL&gt;&lt;Q&gt;SHOP-US^FE_ESTIMATE(NETBG,MEAN,QTR,2025/3F,NOW,,,'')&lt;/Q&gt;&lt;R&gt;1&lt;/R&gt;&lt;C&gt;1&lt;/C&gt;&lt;D xsi:type="xsd:double"&gt;492.6197&lt;/D&gt;&lt;/FQL&gt;&lt;FQL&gt;&lt;Q&gt;SHOP-US^FE_ESTIMATE(CUSTOM_EPS,MEAN,QTR,2025/4F,NOW,,,'')&lt;/Q&gt;&lt;R&gt;1&lt;/R&gt;&lt;C&gt;1&lt;/C&gt;&lt;D xsi:type="xsd:double"&gt;0.5186198&lt;/D&gt;&lt;/FQL&gt;&lt;FQL&gt;&lt;Q&gt;SHOP-US^FE_ACTUAL(ACTUAL,SALES,ANNUAL,2025,,,,'')@FE_ESTIMATE(SALES,MEAN,ANNUAL,2025,NOW,,,'')&lt;/Q&gt;&lt;R&gt;1&lt;/R&gt;&lt;C&gt;1&lt;/C&gt;&lt;D xsi:type="xsd:double"&gt;10858.165&lt;/D&gt;&lt;/FQL&gt;&lt;FQL&gt;&lt;Q&gt;SHOP^FE_ESTIMATE(EPS,MEAN,ANNUAL_ROLL,2025,NOW,,,'')&lt;/Q&gt;&lt;R&gt;1&lt;/R&gt;&lt;C&gt;1&lt;/C&gt;&lt;D xsi:type="xsd:double"&gt;1.5340447&lt;/D&gt;&lt;/FQL&gt;&lt;FQL&gt;&lt;Q&gt;SHOP-US^FE_ACTUAL(ACTUAL,GMV,ANNUAL,2025,,,,'')@FE_ESTIMATE(GMV,MEAN,ANNUAL,2025,NOW,,,'')&lt;/Q&gt;&lt;R&gt;1&lt;/R&gt;&lt;C&gt;1&lt;/C&gt;&lt;D xsi:type="xsd:double"&gt;348713.47&lt;/D&gt;&lt;/FQL&gt;&lt;/Schema&gt;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Steven</author>
    <author>Chang, Steven</author>
    <author>Maxwell Spaeth</author>
    <author>Dan Salmon</author>
  </authors>
  <commentList>
    <comment ref="C7" authorId="0" shapeId="0" xr:uid="{88CC5090-0191-48A4-9C91-3E2C923AFA37}">
      <text>
        <r>
          <rPr>
            <b/>
            <sz val="9"/>
            <color indexed="81"/>
            <rFont val="Tahoma"/>
            <family val="2"/>
          </rPr>
          <t>Steven:</t>
        </r>
        <r>
          <rPr>
            <sz val="9"/>
            <color indexed="81"/>
            <rFont val="Tahoma"/>
            <family val="2"/>
          </rPr>
          <t xml:space="preserve">
sale of subscriptions + associated subscription solutions (i.e. custom themes/apps/registration)</t>
        </r>
      </text>
    </comment>
    <comment ref="CZ7" authorId="1" shapeId="0" xr:uid="{3FEFBB32-6738-4C8B-8DCC-380021BDF29B}">
      <text>
        <r>
          <rPr>
            <b/>
            <sz val="9"/>
            <color indexed="81"/>
            <rFont val="Tahoma"/>
            <family val="2"/>
          </rPr>
          <t>Chang, Steven:</t>
        </r>
        <r>
          <rPr>
            <sz val="9"/>
            <color indexed="81"/>
            <rFont val="Tahoma"/>
            <family val="2"/>
          </rPr>
          <t xml:space="preserve">
Headwinds in 1H22 - from elimiiniation of SHOP rev share on partners' first million dollars of rev
&amp;
Shift from gross to net revenue recognition for sale of themes on revised contract</t>
        </r>
      </text>
    </comment>
    <comment ref="CY8" authorId="1" shapeId="0" xr:uid="{F080D591-71F6-4B2C-8B53-68F1CD18E3F1}">
      <text>
        <r>
          <rPr>
            <b/>
            <sz val="9"/>
            <color indexed="81"/>
            <rFont val="Tahoma"/>
            <family val="2"/>
          </rPr>
          <t>Chang, Steven:</t>
        </r>
        <r>
          <rPr>
            <sz val="9"/>
            <color indexed="81"/>
            <rFont val="Tahoma"/>
            <family val="2"/>
          </rPr>
          <t xml:space="preserve">
Growth to be "rapid" but at a lower rate then FY20</t>
        </r>
      </text>
    </comment>
    <comment ref="CZ8" authorId="1" shapeId="0" xr:uid="{A27EFC4C-ED97-4334-A010-2E0EAAB74326}">
      <text>
        <r>
          <rPr>
            <b/>
            <sz val="9"/>
            <color indexed="81"/>
            <rFont val="Tahoma"/>
            <family val="2"/>
          </rPr>
          <t>Chang, Steven:</t>
        </r>
        <r>
          <rPr>
            <sz val="9"/>
            <color indexed="81"/>
            <rFont val="Tahoma"/>
            <family val="2"/>
          </rPr>
          <t xml:space="preserve">
lower in 1Q22</t>
        </r>
      </text>
    </comment>
    <comment ref="DC8" authorId="1" shapeId="0" xr:uid="{3D87204A-9384-44A0-874D-365EA478762A}">
      <text>
        <r>
          <rPr>
            <b/>
            <sz val="9"/>
            <color indexed="81"/>
            <rFont val="Tahoma"/>
            <family val="2"/>
          </rPr>
          <t>Chang, Steven:</t>
        </r>
        <r>
          <rPr>
            <sz val="9"/>
            <color indexed="81"/>
            <rFont val="Tahoma"/>
            <family val="2"/>
          </rPr>
          <t xml:space="preserve">
highest in 4Q22</t>
        </r>
      </text>
    </comment>
    <comment ref="DD8" authorId="1" shapeId="0" xr:uid="{7C870487-0DE0-4675-9E52-27F566A28B95}">
      <text>
        <r>
          <rPr>
            <b/>
            <sz val="9"/>
            <color indexed="81"/>
            <rFont val="Tahoma"/>
            <family val="2"/>
          </rPr>
          <t>Chang, Steven:</t>
        </r>
        <r>
          <rPr>
            <sz val="9"/>
            <color indexed="81"/>
            <rFont val="Tahoma"/>
            <family val="2"/>
          </rPr>
          <t xml:space="preserve">
lower than FY21 revenue growth</t>
        </r>
      </text>
    </comment>
    <comment ref="C9" authorId="0" shapeId="0" xr:uid="{242DADEF-ABEB-4113-BB1C-8A8B70FFD7EA}">
      <text>
        <r>
          <rPr>
            <b/>
            <sz val="9"/>
            <color indexed="81"/>
            <rFont val="Tahoma"/>
            <family val="2"/>
          </rPr>
          <t>Steven:</t>
        </r>
        <r>
          <rPr>
            <sz val="9"/>
            <color indexed="81"/>
            <rFont val="Tahoma"/>
            <family val="2"/>
          </rPr>
          <t xml:space="preserve">
additional solutions for increased value add (i.e. payments, shipping, fulfillment)
Most reveues come from payment processing fees (fully integrated procesing service)</t>
        </r>
      </text>
    </comment>
    <comment ref="CY10" authorId="1" shapeId="0" xr:uid="{1668CCF6-4E81-4134-BCE3-9875490F0B47}">
      <text>
        <r>
          <rPr>
            <b/>
            <sz val="9"/>
            <color indexed="81"/>
            <rFont val="Tahoma"/>
            <family val="2"/>
          </rPr>
          <t>Chang, Steven:</t>
        </r>
        <r>
          <rPr>
            <sz val="9"/>
            <color indexed="81"/>
            <rFont val="Tahoma"/>
            <family val="2"/>
          </rPr>
          <t xml:space="preserve">
Growth to be "rapid" but at a lower rate then FY20</t>
        </r>
      </text>
    </comment>
    <comment ref="CZ10" authorId="1" shapeId="0" xr:uid="{EA21ED15-8211-4389-A7CD-D4F846E5B32F}">
      <text>
        <r>
          <rPr>
            <b/>
            <sz val="9"/>
            <color indexed="81"/>
            <rFont val="Tahoma"/>
            <family val="2"/>
          </rPr>
          <t>Chang, Steven:</t>
        </r>
        <r>
          <rPr>
            <sz val="9"/>
            <color indexed="81"/>
            <rFont val="Tahoma"/>
            <family val="2"/>
          </rPr>
          <t xml:space="preserve">
lower in 1Q22</t>
        </r>
      </text>
    </comment>
    <comment ref="DC10" authorId="1" shapeId="0" xr:uid="{FD8EDDB2-C0C5-4B6A-A643-E05E4836DDE7}">
      <text>
        <r>
          <rPr>
            <b/>
            <sz val="9"/>
            <color indexed="81"/>
            <rFont val="Tahoma"/>
            <family val="2"/>
          </rPr>
          <t>Chang, Steven:</t>
        </r>
        <r>
          <rPr>
            <sz val="9"/>
            <color indexed="81"/>
            <rFont val="Tahoma"/>
            <family val="2"/>
          </rPr>
          <t xml:space="preserve">
highest in 4Q22</t>
        </r>
      </text>
    </comment>
    <comment ref="DD10" authorId="1" shapeId="0" xr:uid="{C6A562A3-E4D0-45B1-B246-3AFEDE82A93E}">
      <text>
        <r>
          <rPr>
            <b/>
            <sz val="9"/>
            <color indexed="81"/>
            <rFont val="Tahoma"/>
            <family val="2"/>
          </rPr>
          <t>Chang, Steven:</t>
        </r>
        <r>
          <rPr>
            <sz val="9"/>
            <color indexed="81"/>
            <rFont val="Tahoma"/>
            <family val="2"/>
          </rPr>
          <t xml:space="preserve">
lower than FY21 revenue growth</t>
        </r>
      </text>
    </comment>
    <comment ref="CX11" authorId="1" shapeId="0" xr:uid="{68278BD3-C3D8-48EF-B1BA-445BBF3B3609}">
      <text>
        <r>
          <rPr>
            <b/>
            <sz val="9"/>
            <color indexed="81"/>
            <rFont val="Tahoma"/>
            <family val="2"/>
          </rPr>
          <t>Chang, Steven:</t>
        </r>
        <r>
          <rPr>
            <sz val="9"/>
            <color indexed="81"/>
            <rFont val="Tahoma"/>
            <family val="2"/>
          </rPr>
          <t xml:space="preserve">
Still largest share of FY revenue; with spead more evenly distributed</t>
        </r>
      </text>
    </comment>
    <comment ref="CY12" authorId="1" shapeId="0" xr:uid="{77E90A80-F3C2-4277-A689-14F0C1878443}">
      <text>
        <r>
          <rPr>
            <b/>
            <sz val="9"/>
            <color indexed="81"/>
            <rFont val="Tahoma"/>
            <family val="2"/>
          </rPr>
          <t>Chang, Steven:</t>
        </r>
        <r>
          <rPr>
            <sz val="9"/>
            <color indexed="81"/>
            <rFont val="Tahoma"/>
            <family val="2"/>
          </rPr>
          <t xml:space="preserve">
Growth to be "rapid" but at a lower rate then FY20</t>
        </r>
      </text>
    </comment>
    <comment ref="CZ12" authorId="1" shapeId="0" xr:uid="{753C8B01-22F0-4071-9974-A5D1F896C764}">
      <text>
        <r>
          <rPr>
            <b/>
            <sz val="9"/>
            <color indexed="81"/>
            <rFont val="Tahoma"/>
            <family val="2"/>
          </rPr>
          <t>Chang, Steven:</t>
        </r>
        <r>
          <rPr>
            <sz val="9"/>
            <color indexed="81"/>
            <rFont val="Tahoma"/>
            <family val="2"/>
          </rPr>
          <t xml:space="preserve">
lower in 1Q22</t>
        </r>
      </text>
    </comment>
    <comment ref="DC12" authorId="1" shapeId="0" xr:uid="{1E48FEA5-11E9-44EA-9B9D-FD2AB2C6345E}">
      <text>
        <r>
          <rPr>
            <b/>
            <sz val="9"/>
            <color indexed="81"/>
            <rFont val="Tahoma"/>
            <family val="2"/>
          </rPr>
          <t>Chang, Steven:</t>
        </r>
        <r>
          <rPr>
            <sz val="9"/>
            <color indexed="81"/>
            <rFont val="Tahoma"/>
            <family val="2"/>
          </rPr>
          <t xml:space="preserve">
highest in 4Q22</t>
        </r>
      </text>
    </comment>
    <comment ref="DD12" authorId="1" shapeId="0" xr:uid="{2E660DD8-F025-4E6F-BB95-389AB63A7024}">
      <text>
        <r>
          <rPr>
            <b/>
            <sz val="9"/>
            <color indexed="81"/>
            <rFont val="Tahoma"/>
            <family val="2"/>
          </rPr>
          <t>Chang, Steven:</t>
        </r>
        <r>
          <rPr>
            <sz val="9"/>
            <color indexed="81"/>
            <rFont val="Tahoma"/>
            <family val="2"/>
          </rPr>
          <t xml:space="preserve">
lower than FY21 revenue growth</t>
        </r>
      </text>
    </comment>
    <comment ref="DM12" authorId="2" shapeId="0" xr:uid="{EBA06B03-E7E2-4676-AF3B-084464C1E03D}">
      <text>
        <r>
          <rPr>
            <b/>
            <sz val="9"/>
            <color indexed="81"/>
            <rFont val="Tahoma"/>
            <family val="2"/>
          </rPr>
          <t>Maxwell Spaeth:</t>
        </r>
        <r>
          <rPr>
            <sz val="9"/>
            <color indexed="81"/>
            <rFont val="Tahoma"/>
            <family val="2"/>
          </rPr>
          <t xml:space="preserve">
mid to high twenties
</t>
        </r>
      </text>
    </comment>
    <comment ref="DJ28" authorId="2" shapeId="0" xr:uid="{7451B810-7E55-4CDD-9BE5-2F7BFFB3795B}">
      <text>
        <r>
          <rPr>
            <b/>
            <sz val="9"/>
            <color indexed="81"/>
            <rFont val="Tahoma"/>
            <family val="2"/>
          </rPr>
          <t>Maxwell Spaeth:</t>
        </r>
        <r>
          <rPr>
            <sz val="9"/>
            <color indexed="81"/>
            <rFont val="Tahoma"/>
            <family val="2"/>
          </rPr>
          <t xml:space="preserve">
</t>
        </r>
        <r>
          <rPr>
            <b/>
            <sz val="9"/>
            <color indexed="81"/>
            <rFont val="Tahoma"/>
            <family val="2"/>
          </rPr>
          <t>4Q23 guide</t>
        </r>
        <r>
          <rPr>
            <sz val="9"/>
            <color indexed="81"/>
            <rFont val="Tahoma"/>
            <family val="2"/>
          </rPr>
          <t>: +150 bps from 4Q23</t>
        </r>
      </text>
    </comment>
    <comment ref="CY30" authorId="1" shapeId="0" xr:uid="{605168DE-73F5-4046-B016-32F13624CB0C}">
      <text>
        <r>
          <rPr>
            <b/>
            <sz val="9"/>
            <color indexed="81"/>
            <rFont val="Tahoma"/>
            <family val="2"/>
          </rPr>
          <t>Chang, Steven:</t>
        </r>
        <r>
          <rPr>
            <sz val="9"/>
            <color indexed="81"/>
            <rFont val="Tahoma"/>
            <family val="2"/>
          </rPr>
          <t xml:space="preserve">
Growth to be "rapid" but at a lower rate then FY20</t>
        </r>
      </text>
    </comment>
    <comment ref="CZ30" authorId="1" shapeId="0" xr:uid="{CD4627F6-9D3F-451F-A855-8393C4603361}">
      <text>
        <r>
          <rPr>
            <b/>
            <sz val="9"/>
            <color indexed="81"/>
            <rFont val="Tahoma"/>
            <family val="2"/>
          </rPr>
          <t>Chang, Steven:</t>
        </r>
        <r>
          <rPr>
            <sz val="9"/>
            <color indexed="81"/>
            <rFont val="Tahoma"/>
            <family val="2"/>
          </rPr>
          <t xml:space="preserve">
lower in 1Q22</t>
        </r>
      </text>
    </comment>
    <comment ref="DC30" authorId="1" shapeId="0" xr:uid="{D5719920-CCC4-4C8B-82A3-9EF07BA4845A}">
      <text>
        <r>
          <rPr>
            <b/>
            <sz val="9"/>
            <color indexed="81"/>
            <rFont val="Tahoma"/>
            <family val="2"/>
          </rPr>
          <t>Chang, Steven:</t>
        </r>
        <r>
          <rPr>
            <sz val="9"/>
            <color indexed="81"/>
            <rFont val="Tahoma"/>
            <family val="2"/>
          </rPr>
          <t xml:space="preserve">
highest in 4Q22</t>
        </r>
      </text>
    </comment>
    <comment ref="DD30" authorId="1" shapeId="0" xr:uid="{7C26547D-7DB9-4B9D-AD1C-94A3241E0ED3}">
      <text>
        <r>
          <rPr>
            <b/>
            <sz val="9"/>
            <color indexed="81"/>
            <rFont val="Tahoma"/>
            <family val="2"/>
          </rPr>
          <t>Chang, Steven:</t>
        </r>
        <r>
          <rPr>
            <sz val="9"/>
            <color indexed="81"/>
            <rFont val="Tahoma"/>
            <family val="2"/>
          </rPr>
          <t xml:space="preserve">
lower than FY21 revenue growth</t>
        </r>
      </text>
    </comment>
    <comment ref="DM30" authorId="2" shapeId="0" xr:uid="{CD0946BA-12AA-46BA-9692-F2A2A51C1DEC}">
      <text>
        <r>
          <rPr>
            <b/>
            <sz val="9"/>
            <color indexed="81"/>
            <rFont val="Tahoma"/>
            <family val="2"/>
          </rPr>
          <t>Maxwell Spaeth:</t>
        </r>
        <r>
          <rPr>
            <sz val="9"/>
            <color indexed="81"/>
            <rFont val="Tahoma"/>
            <family val="2"/>
          </rPr>
          <t xml:space="preserve">
similar to 3Q24</t>
        </r>
      </text>
    </comment>
    <comment ref="C32" authorId="1" shapeId="0" xr:uid="{7D1B1B84-28C0-4D6F-A369-0B769A51A7D1}">
      <text>
        <r>
          <rPr>
            <b/>
            <sz val="9"/>
            <color indexed="81"/>
            <rFont val="Tahoma"/>
            <family val="2"/>
          </rPr>
          <t>Chang, Steven:</t>
        </r>
        <r>
          <rPr>
            <sz val="9"/>
            <color indexed="81"/>
            <rFont val="Tahoma"/>
            <family val="2"/>
          </rPr>
          <t xml:space="preserve">
marketing programs, partner referral payments, conferences, merchant support for onboarding new merchants</t>
        </r>
      </text>
    </comment>
    <comment ref="DD32" authorId="1" shapeId="0" xr:uid="{7C7E0AD7-0EDA-4E68-AA44-5F0F04943C88}">
      <text>
        <r>
          <rPr>
            <b/>
            <sz val="9"/>
            <color indexed="81"/>
            <rFont val="Tahoma"/>
            <family val="2"/>
          </rPr>
          <t>Chang, Steven:</t>
        </r>
        <r>
          <rPr>
            <sz val="9"/>
            <color indexed="81"/>
            <rFont val="Tahoma"/>
            <family val="2"/>
          </rPr>
          <t xml:space="preserve">
4Q21: accelerating hiring in sales + new offline performance marketing program and stepping up marketing efforts internationally</t>
        </r>
      </text>
    </comment>
    <comment ref="DD34" authorId="1" shapeId="0" xr:uid="{629811DB-DD27-4C93-B6B4-F4499458BAEF}">
      <text>
        <r>
          <rPr>
            <b/>
            <sz val="9"/>
            <color indexed="81"/>
            <rFont val="Tahoma"/>
            <family val="2"/>
          </rPr>
          <t>Chang, Steven:</t>
        </r>
        <r>
          <rPr>
            <sz val="9"/>
            <color indexed="81"/>
            <rFont val="Tahoma"/>
            <family val="2"/>
          </rPr>
          <t xml:space="preserve">
expect to hire more engineers than in 2021, despite competitive market for talent</t>
        </r>
      </text>
    </comment>
    <comment ref="C38" authorId="1" shapeId="0" xr:uid="{822BE2B9-3931-479F-B11C-E9087AA5BDB5}">
      <text>
        <r>
          <rPr>
            <b/>
            <sz val="9"/>
            <color indexed="81"/>
            <rFont val="Tahoma"/>
            <family val="2"/>
          </rPr>
          <t>Chang, Steven:</t>
        </r>
        <r>
          <rPr>
            <sz val="9"/>
            <color indexed="81"/>
            <rFont val="Tahoma"/>
            <family val="2"/>
          </rPr>
          <t xml:space="preserve">
actual losses related to Shop Pay, Installments, Balance, Capital
uncovered merchant transactions from returns and disputes
- expect to increase in absolute dollars over time</t>
        </r>
      </text>
    </comment>
    <comment ref="DF40" authorId="3" shapeId="0" xr:uid="{55C755FA-7875-4D5B-A644-3178BA7F122C}">
      <text>
        <r>
          <rPr>
            <b/>
            <sz val="9"/>
            <color indexed="81"/>
            <rFont val="Tahoma"/>
            <family val="2"/>
          </rPr>
          <t>Dan Salmon:</t>
        </r>
        <r>
          <rPr>
            <sz val="9"/>
            <color indexed="81"/>
            <rFont val="Tahoma"/>
            <family val="2"/>
          </rPr>
          <t xml:space="preserve">
Impairment on sales of Shopify's logistics businesses</t>
        </r>
      </text>
    </comment>
    <comment ref="DD42" authorId="1" shapeId="0" xr:uid="{45FC9F13-E4B5-4810-BF27-C57EFF1872CE}">
      <text>
        <r>
          <rPr>
            <b/>
            <sz val="9"/>
            <color indexed="81"/>
            <rFont val="Tahoma"/>
            <family val="2"/>
          </rPr>
          <t>Chang, Steven:</t>
        </r>
        <r>
          <rPr>
            <sz val="9"/>
            <color indexed="81"/>
            <rFont val="Tahoma"/>
            <family val="2"/>
          </rPr>
          <t xml:space="preserve">
4Q21: "Deploying all of our gross profit dollars back into the business"</t>
        </r>
      </text>
    </comment>
    <comment ref="DJ42" authorId="2" shapeId="0" xr:uid="{BBCD12D0-1252-45DA-B5D9-61853A799C5B}">
      <text>
        <r>
          <rPr>
            <b/>
            <sz val="9"/>
            <color indexed="81"/>
            <rFont val="Tahoma"/>
            <family val="2"/>
          </rPr>
          <t>Maxwell Spaeth:</t>
        </r>
        <r>
          <rPr>
            <sz val="9"/>
            <color indexed="81"/>
            <rFont val="Tahoma"/>
            <family val="2"/>
          </rPr>
          <t xml:space="preserve">
</t>
        </r>
        <r>
          <rPr>
            <b/>
            <sz val="9"/>
            <color indexed="81"/>
            <rFont val="Tahoma"/>
            <family val="2"/>
          </rPr>
          <t>4Q23 Guide</t>
        </r>
        <r>
          <rPr>
            <sz val="9"/>
            <color indexed="81"/>
            <rFont val="Tahoma"/>
            <family val="2"/>
          </rPr>
          <t>: up a low-teens percentage rate vs 4Q23</t>
        </r>
      </text>
    </comment>
    <comment ref="DM43" authorId="2" shapeId="0" xr:uid="{0616B3D7-6D35-4334-A8D9-527C6B498963}">
      <text>
        <r>
          <rPr>
            <b/>
            <sz val="9"/>
            <color indexed="81"/>
            <rFont val="Tahoma"/>
            <family val="2"/>
          </rPr>
          <t>Maxwell Spaeth:</t>
        </r>
        <r>
          <rPr>
            <sz val="9"/>
            <color indexed="81"/>
            <rFont val="Tahoma"/>
            <family val="2"/>
          </rPr>
          <t xml:space="preserve">
32%-33%</t>
        </r>
      </text>
    </comment>
    <comment ref="CX44" authorId="1" shapeId="0" xr:uid="{6DCD25EE-B76F-49B5-BB88-12B360AEA6B2}">
      <text>
        <r>
          <rPr>
            <b/>
            <sz val="9"/>
            <color indexed="81"/>
            <rFont val="Tahoma"/>
            <family val="2"/>
          </rPr>
          <t>Chang, Steven:</t>
        </r>
        <r>
          <rPr>
            <sz val="9"/>
            <color indexed="81"/>
            <rFont val="Tahoma"/>
            <family val="2"/>
          </rPr>
          <t xml:space="preserve">
accelerating slightly vs. 3Q ex-$30.1M impairment charge (64%)</t>
        </r>
      </text>
    </comment>
    <comment ref="CY45" authorId="1" shapeId="0" xr:uid="{231D06BE-5676-416F-B306-CA0405950040}">
      <text>
        <r>
          <rPr>
            <b/>
            <sz val="9"/>
            <color indexed="81"/>
            <rFont val="Tahoma"/>
            <family val="2"/>
          </rPr>
          <t>Chang, Steven:</t>
        </r>
        <r>
          <rPr>
            <sz val="9"/>
            <color indexed="81"/>
            <rFont val="Tahoma"/>
            <family val="2"/>
          </rPr>
          <t xml:space="preserve">
FY21 to be above FY20</t>
        </r>
      </text>
    </comment>
    <comment ref="CY46" authorId="1" shapeId="0" xr:uid="{C8EBC77A-60F4-48DA-99C8-25B007B20D86}">
      <text>
        <r>
          <rPr>
            <b/>
            <sz val="9"/>
            <color indexed="81"/>
            <rFont val="Tahoma"/>
            <family val="2"/>
          </rPr>
          <t>Chang, Steven:</t>
        </r>
        <r>
          <rPr>
            <sz val="9"/>
            <color indexed="81"/>
            <rFont val="Tahoma"/>
            <family val="2"/>
          </rPr>
          <t xml:space="preserve">
Growth to be "rapid" but at a lower rate then FY20</t>
        </r>
      </text>
    </comment>
    <comment ref="CZ46" authorId="1" shapeId="0" xr:uid="{A2D5F9F1-ED7A-45C4-B712-89D61B452F04}">
      <text>
        <r>
          <rPr>
            <b/>
            <sz val="9"/>
            <color indexed="81"/>
            <rFont val="Tahoma"/>
            <family val="2"/>
          </rPr>
          <t>Chang, Steven:</t>
        </r>
        <r>
          <rPr>
            <sz val="9"/>
            <color indexed="81"/>
            <rFont val="Tahoma"/>
            <family val="2"/>
          </rPr>
          <t xml:space="preserve">
lower in 1Q22</t>
        </r>
      </text>
    </comment>
    <comment ref="DC46" authorId="1" shapeId="0" xr:uid="{E29E9F6F-F1CC-4789-B06D-387064B1369C}">
      <text>
        <r>
          <rPr>
            <b/>
            <sz val="9"/>
            <color indexed="81"/>
            <rFont val="Tahoma"/>
            <family val="2"/>
          </rPr>
          <t>Chang, Steven:</t>
        </r>
        <r>
          <rPr>
            <sz val="9"/>
            <color indexed="81"/>
            <rFont val="Tahoma"/>
            <family val="2"/>
          </rPr>
          <t xml:space="preserve">
highest in 4Q22</t>
        </r>
      </text>
    </comment>
    <comment ref="DD46" authorId="1" shapeId="0" xr:uid="{1AAC3118-8A2F-4881-ABB4-A395F411B9E4}">
      <text>
        <r>
          <rPr>
            <b/>
            <sz val="9"/>
            <color indexed="81"/>
            <rFont val="Tahoma"/>
            <family val="2"/>
          </rPr>
          <t>Chang, Steven:</t>
        </r>
        <r>
          <rPr>
            <sz val="9"/>
            <color indexed="81"/>
            <rFont val="Tahoma"/>
            <family val="2"/>
          </rPr>
          <t xml:space="preserve">
lower than FY21 revenue growth</t>
        </r>
      </text>
    </comment>
    <comment ref="C49" authorId="0" shapeId="0" xr:uid="{5F7A6DCF-137E-4A9D-BD56-7F0E627B3C39}">
      <text>
        <r>
          <rPr>
            <b/>
            <sz val="9"/>
            <color indexed="81"/>
            <rFont val="Tahoma"/>
            <family val="2"/>
          </rPr>
          <t>Steven:</t>
        </r>
        <r>
          <rPr>
            <sz val="9"/>
            <color indexed="81"/>
            <rFont val="Tahoma"/>
            <family val="2"/>
          </rPr>
          <t xml:space="preserve">
breadkown found in 10Q</t>
        </r>
      </text>
    </comment>
    <comment ref="CU52" authorId="0" shapeId="0" xr:uid="{A944443D-45DE-4287-AE10-86309B9EF61F}">
      <text>
        <r>
          <rPr>
            <b/>
            <sz val="9"/>
            <color indexed="81"/>
            <rFont val="Tahoma"/>
            <family val="2"/>
          </rPr>
          <t>Steven:</t>
        </r>
        <r>
          <rPr>
            <sz val="9"/>
            <color indexed="81"/>
            <rFont val="Tahoma"/>
            <family val="2"/>
          </rPr>
          <t xml:space="preserve">
$1.28B unrealized gain from Affirm
$(26.7M) unrealized loss from private company</t>
        </r>
      </text>
    </comment>
    <comment ref="CV52" authorId="0" shapeId="0" xr:uid="{A8A3D22A-75F8-4A79-9220-B67F87CD76E8}">
      <text>
        <r>
          <rPr>
            <b/>
            <sz val="9"/>
            <color indexed="81"/>
            <rFont val="Tahoma"/>
            <family val="2"/>
          </rPr>
          <t>Steven:</t>
        </r>
        <r>
          <rPr>
            <sz val="9"/>
            <color indexed="81"/>
            <rFont val="Tahoma"/>
            <family val="2"/>
          </rPr>
          <t xml:space="preserve">
$814M unrealized gain from Global-E
$(68M) unrealized loss from Affirm</t>
        </r>
      </text>
    </comment>
    <comment ref="CW52" authorId="0" shapeId="0" xr:uid="{E02A214D-9830-4E1B-A6EE-9470262FB97F}">
      <text>
        <r>
          <rPr>
            <b/>
            <sz val="9"/>
            <color indexed="81"/>
            <rFont val="Tahoma"/>
            <family val="2"/>
          </rPr>
          <t>Steven:</t>
        </r>
        <r>
          <rPr>
            <sz val="9"/>
            <color indexed="81"/>
            <rFont val="Tahoma"/>
            <family val="2"/>
          </rPr>
          <t xml:space="preserve">
$286M from Global-E
$1.1B from Affirm</t>
        </r>
      </text>
    </comment>
    <comment ref="CZ52" authorId="1" shapeId="0" xr:uid="{869BE89A-C16E-46E8-A970-1EB72EE39321}">
      <text>
        <r>
          <rPr>
            <b/>
            <sz val="9"/>
            <color indexed="81"/>
            <rFont val="Tahoma"/>
            <family val="2"/>
          </rPr>
          <t>Chang, Steven:</t>
        </r>
        <r>
          <rPr>
            <sz val="9"/>
            <color indexed="81"/>
            <rFont val="Tahoma"/>
            <family val="2"/>
          </rPr>
          <t xml:space="preserve">
incl. 122M of realized gain</t>
        </r>
      </text>
    </comment>
    <comment ref="C54" authorId="0" shapeId="0" xr:uid="{E1A9DC0F-2C28-45B2-8E7D-9F43BA4479F7}">
      <text>
        <r>
          <rPr>
            <b/>
            <sz val="9"/>
            <color indexed="81"/>
            <rFont val="Tahoma"/>
            <family val="2"/>
          </rPr>
          <t>Steven:</t>
        </r>
        <r>
          <rPr>
            <sz val="9"/>
            <color indexed="81"/>
            <rFont val="Tahoma"/>
            <family val="2"/>
          </rPr>
          <t xml:space="preserve">
breakdown found in 10Q</t>
        </r>
      </text>
    </comment>
    <comment ref="DA67" authorId="2" shapeId="0" xr:uid="{70000CBD-063A-4A1C-B62A-ED38824C3380}">
      <text>
        <r>
          <rPr>
            <b/>
            <sz val="9"/>
            <color indexed="81"/>
            <rFont val="Tahoma"/>
            <family val="2"/>
          </rPr>
          <t>Maxwell Spaeth:</t>
        </r>
        <r>
          <rPr>
            <sz val="9"/>
            <color indexed="81"/>
            <rFont val="Tahoma"/>
            <family val="2"/>
          </rPr>
          <t xml:space="preserve">
stock split 10:1 on June 29th, 2022</t>
        </r>
      </text>
    </comment>
    <comment ref="CY88" authorId="1" shapeId="0" xr:uid="{8213015C-DFE2-4024-8BFE-3E041F66EECD}">
      <text>
        <r>
          <rPr>
            <b/>
            <sz val="9"/>
            <color indexed="81"/>
            <rFont val="Tahoma"/>
            <family val="2"/>
          </rPr>
          <t>Chang, Steven:</t>
        </r>
        <r>
          <rPr>
            <sz val="9"/>
            <color indexed="81"/>
            <rFont val="Tahoma"/>
            <family val="2"/>
          </rPr>
          <t xml:space="preserve">
$400M for FY21</t>
        </r>
      </text>
    </comment>
    <comment ref="DD88" authorId="1" shapeId="0" xr:uid="{27166B39-5497-4540-BBA0-74B8CA45A500}">
      <text>
        <r>
          <rPr>
            <b/>
            <sz val="9"/>
            <color indexed="81"/>
            <rFont val="Tahoma"/>
            <family val="2"/>
          </rPr>
          <t>Chang, Steven:</t>
        </r>
        <r>
          <rPr>
            <sz val="9"/>
            <color indexed="81"/>
            <rFont val="Tahoma"/>
            <family val="2"/>
          </rPr>
          <t xml:space="preserve">
SBC and Related Payroll Taxes of $800M</t>
        </r>
      </text>
    </comment>
    <comment ref="DJ88" authorId="2" shapeId="0" xr:uid="{DC8ED6A6-95A2-4466-BB8A-9DA0C36B958F}">
      <text>
        <r>
          <rPr>
            <b/>
            <sz val="9"/>
            <color indexed="81"/>
            <rFont val="Tahoma"/>
            <family val="2"/>
          </rPr>
          <t>Maxwell Spaeth:</t>
        </r>
        <r>
          <rPr>
            <sz val="9"/>
            <color indexed="81"/>
            <rFont val="Tahoma"/>
            <family val="2"/>
          </rPr>
          <t xml:space="preserve">
4Q23 Guide: ~$105M</t>
        </r>
      </text>
    </comment>
    <comment ref="DM88" authorId="2" shapeId="0" xr:uid="{D776DAA7-199E-4034-B558-893D10D69FB3}">
      <text>
        <r>
          <rPr>
            <b/>
            <sz val="9"/>
            <color indexed="81"/>
            <rFont val="Tahoma"/>
            <family val="2"/>
          </rPr>
          <t>Maxwell Spaeth:</t>
        </r>
        <r>
          <rPr>
            <sz val="9"/>
            <color indexed="81"/>
            <rFont val="Tahoma"/>
            <family val="2"/>
          </rPr>
          <t xml:space="preserve">
</t>
        </r>
        <r>
          <rPr>
            <b/>
            <sz val="9"/>
            <color indexed="81"/>
            <rFont val="Tahoma"/>
            <family val="2"/>
          </rPr>
          <t>outlook</t>
        </r>
        <r>
          <rPr>
            <sz val="9"/>
            <color indexed="81"/>
            <rFont val="Tahoma"/>
            <family val="2"/>
          </rPr>
          <t>: $120M</t>
        </r>
      </text>
    </comment>
    <comment ref="CY95" authorId="1" shapeId="0" xr:uid="{95757E70-0E24-4706-ADE6-DF923DAEE5A2}">
      <text>
        <r>
          <rPr>
            <b/>
            <sz val="9"/>
            <color indexed="81"/>
            <rFont val="Tahoma"/>
            <family val="2"/>
          </rPr>
          <t>Chang, Steven:</t>
        </r>
        <r>
          <rPr>
            <sz val="9"/>
            <color indexed="81"/>
            <rFont val="Tahoma"/>
            <family val="2"/>
          </rPr>
          <t xml:space="preserve">
$22M for FY21</t>
        </r>
      </text>
    </comment>
    <comment ref="CY102" authorId="1" shapeId="0" xr:uid="{59F38DA2-7C5C-4321-8FEF-B50C430E347C}">
      <text>
        <r>
          <rPr>
            <b/>
            <sz val="9"/>
            <color indexed="81"/>
            <rFont val="Tahoma"/>
            <family val="2"/>
          </rPr>
          <t>Chang, Steven:</t>
        </r>
        <r>
          <rPr>
            <sz val="9"/>
            <color indexed="81"/>
            <rFont val="Tahoma"/>
            <family val="2"/>
          </rPr>
          <t xml:space="preserve">
SBC + Payroll Taxes = ~$400M</t>
        </r>
      </text>
    </comment>
    <comment ref="DG102" authorId="2" shapeId="0" xr:uid="{C5A29CF2-0509-431E-A582-4191765B330F}">
      <text>
        <r>
          <rPr>
            <b/>
            <sz val="9"/>
            <color indexed="81"/>
            <rFont val="Tahoma"/>
            <family val="2"/>
          </rPr>
          <t>Maxwell Spaeth:</t>
        </r>
        <r>
          <rPr>
            <sz val="9"/>
            <color indexed="81"/>
            <rFont val="Tahoma"/>
            <family val="2"/>
          </rPr>
          <t xml:space="preserve">
folded into "stock based compensation and related payroll taxes"</t>
        </r>
      </text>
    </comment>
    <comment ref="BQ104" authorId="1" shapeId="0" xr:uid="{ED5A44DF-2FF0-4B53-BDBB-0DB05D80F20B}">
      <text>
        <r>
          <rPr>
            <b/>
            <sz val="9"/>
            <color indexed="81"/>
            <rFont val="Tahoma"/>
            <family val="2"/>
          </rPr>
          <t>Chang, Steven:</t>
        </r>
        <r>
          <rPr>
            <sz val="9"/>
            <color indexed="81"/>
            <rFont val="Tahoma"/>
            <family val="2"/>
          </rPr>
          <t xml:space="preserve">
sales and use tax
</t>
        </r>
      </text>
    </comment>
    <comment ref="CQ104" authorId="1" shapeId="0" xr:uid="{D9277AB7-BE7D-4B7F-A259-7544063705B9}">
      <text>
        <r>
          <rPr>
            <b/>
            <sz val="9"/>
            <color indexed="81"/>
            <rFont val="Tahoma"/>
            <family val="2"/>
          </rPr>
          <t>Chang, Steven:</t>
        </r>
        <r>
          <rPr>
            <sz val="9"/>
            <color indexed="81"/>
            <rFont val="Tahoma"/>
            <family val="2"/>
          </rPr>
          <t xml:space="preserve">
impairment of right-of-use assets and leasehold improvements</t>
        </r>
      </text>
    </comment>
    <comment ref="CW104" authorId="1" shapeId="0" xr:uid="{30C7C7D7-A95E-4FF4-87E5-9AE6A17C4CFD}">
      <text>
        <r>
          <rPr>
            <b/>
            <sz val="9"/>
            <color indexed="81"/>
            <rFont val="Tahoma"/>
            <family val="2"/>
          </rPr>
          <t>Chang, Steven:</t>
        </r>
        <r>
          <rPr>
            <sz val="9"/>
            <color indexed="81"/>
            <rFont val="Tahoma"/>
            <family val="2"/>
          </rPr>
          <t xml:space="preserve">
impairment of right-of-use assets and leasehold improvements</t>
        </r>
      </text>
    </comment>
    <comment ref="DB104" authorId="2" shapeId="0" xr:uid="{81E73F24-1B3B-4828-B1C6-44908F6F0881}">
      <text>
        <r>
          <rPr>
            <b/>
            <sz val="9"/>
            <color indexed="81"/>
            <rFont val="Tahoma"/>
            <family val="2"/>
          </rPr>
          <t xml:space="preserve">Maxwell Spaeth:
</t>
        </r>
        <r>
          <rPr>
            <sz val="9"/>
            <color indexed="81"/>
            <rFont val="Tahoma"/>
            <family val="2"/>
          </rPr>
          <t>Severance: 30.481
Legal contingencies: 97.000</t>
        </r>
      </text>
    </comment>
    <comment ref="DC104" authorId="2" shapeId="0" xr:uid="{E8E25425-2B7F-4EBF-9D85-F9F88546E958}">
      <text>
        <r>
          <rPr>
            <b/>
            <sz val="9"/>
            <color indexed="81"/>
            <rFont val="Tahoma"/>
            <family val="2"/>
          </rPr>
          <t>Maxwell Spaeth:</t>
        </r>
        <r>
          <rPr>
            <sz val="9"/>
            <color indexed="81"/>
            <rFont val="Tahoma"/>
            <family val="2"/>
          </rPr>
          <t xml:space="preserve">
Impairment of right-of-use assets and leasehold improvements 84.314</t>
        </r>
      </text>
    </comment>
    <comment ref="DF104" authorId="2" shapeId="0" xr:uid="{CAF17DA7-7908-4D29-8FDF-B25FBD606D6B}">
      <text>
        <r>
          <rPr>
            <b/>
            <sz val="9"/>
            <color indexed="81"/>
            <rFont val="Tahoma"/>
            <family val="2"/>
          </rPr>
          <t>Maxwell Spaeth:</t>
        </r>
        <r>
          <rPr>
            <sz val="9"/>
            <color indexed="81"/>
            <rFont val="Tahoma"/>
            <family val="2"/>
          </rPr>
          <t xml:space="preserve">
R&amp;D acclerated SBC: 164
R&amp;D severance: 102
G&amp;A severance: 18
</t>
        </r>
      </text>
    </comment>
    <comment ref="DK104" authorId="2" shapeId="0" xr:uid="{26BD3100-DB32-4686-9009-55CB8AA784AD}">
      <text>
        <r>
          <rPr>
            <b/>
            <sz val="9"/>
            <color indexed="81"/>
            <rFont val="Tahoma"/>
            <family val="2"/>
          </rPr>
          <t>Maxwell Spaeth:</t>
        </r>
        <r>
          <rPr>
            <sz val="9"/>
            <color indexed="81"/>
            <rFont val="Tahoma"/>
            <family val="2"/>
          </rPr>
          <t xml:space="preserve">
benefit related to legal contingencies</t>
        </r>
      </text>
    </comment>
    <comment ref="CR121" authorId="1" shapeId="0" xr:uid="{83E09B3C-B320-41F9-8759-93AF1F12F059}">
      <text>
        <r>
          <rPr>
            <b/>
            <sz val="9"/>
            <color indexed="81"/>
            <rFont val="Tahoma"/>
            <family val="2"/>
          </rPr>
          <t>Chang, Steven:</t>
        </r>
        <r>
          <rPr>
            <sz val="9"/>
            <color indexed="81"/>
            <rFont val="Tahoma"/>
            <family val="2"/>
          </rPr>
          <t xml:space="preserve">
amotization of debt discount</t>
        </r>
      </text>
    </comment>
    <comment ref="CS121" authorId="1" shapeId="0" xr:uid="{4770F2C4-3854-4FF5-98CC-718C8E4E6B62}">
      <text>
        <r>
          <rPr>
            <b/>
            <sz val="9"/>
            <color indexed="81"/>
            <rFont val="Tahoma"/>
            <family val="2"/>
          </rPr>
          <t>Chang, Steven:</t>
        </r>
        <r>
          <rPr>
            <sz val="9"/>
            <color indexed="81"/>
            <rFont val="Tahoma"/>
            <family val="2"/>
          </rPr>
          <t xml:space="preserve">
amortization of debt discount of $7.116M</t>
        </r>
      </text>
    </comment>
    <comment ref="DL123" authorId="2" shapeId="0" xr:uid="{E0AFEA35-37F6-45B4-A2B4-DD4205A38E7E}">
      <text>
        <r>
          <rPr>
            <b/>
            <sz val="9"/>
            <color indexed="81"/>
            <rFont val="Tahoma"/>
            <family val="2"/>
          </rPr>
          <t>Maxwell Spaeth:</t>
        </r>
        <r>
          <rPr>
            <sz val="9"/>
            <color indexed="81"/>
            <rFont val="Tahoma"/>
            <family val="2"/>
          </rPr>
          <t xml:space="preserve">
stopped providing Non-GAAP reconciliation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Maxwell Spaeth</author>
    <author>Chang, Steven</author>
    <author>Steven</author>
  </authors>
  <commentList>
    <comment ref="DG8" authorId="0" shapeId="0" xr:uid="{F2CC82CC-128F-493B-8DA3-45AB87FA7024}">
      <text>
        <r>
          <rPr>
            <b/>
            <sz val="9"/>
            <color indexed="81"/>
            <rFont val="Tahoma"/>
            <family val="2"/>
          </rPr>
          <t>Maxwell Spaeth:</t>
        </r>
        <r>
          <rPr>
            <sz val="9"/>
            <color indexed="81"/>
            <rFont val="Tahoma"/>
            <family val="2"/>
          </rPr>
          <t xml:space="preserve">
rounding</t>
        </r>
      </text>
    </comment>
    <comment ref="C9" authorId="1" shapeId="0" xr:uid="{DF2A79AB-5A0F-438E-8A55-F6E07FDFD263}">
      <text>
        <r>
          <rPr>
            <b/>
            <sz val="9"/>
            <color indexed="81"/>
            <rFont val="Tahoma"/>
            <family val="2"/>
          </rPr>
          <t>Chang, Steven:</t>
        </r>
        <r>
          <rPr>
            <sz val="9"/>
            <color indexed="81"/>
            <rFont val="Tahoma"/>
            <family val="2"/>
          </rPr>
          <t xml:space="preserve">
US/Canadaian federal bonds, deposits etc.
making money off of float (included in interest income)</t>
        </r>
      </text>
    </comment>
    <comment ref="CB9" authorId="2" shapeId="0" xr:uid="{26F72B2E-B1CF-4AFA-912E-8D4EDF57F2E6}">
      <text>
        <r>
          <rPr>
            <b/>
            <sz val="9"/>
            <color indexed="81"/>
            <rFont val="Tahoma"/>
            <family val="2"/>
          </rPr>
          <t>Steven:</t>
        </r>
        <r>
          <rPr>
            <sz val="9"/>
            <color indexed="81"/>
            <rFont val="Tahoma"/>
            <family val="2"/>
          </rPr>
          <t xml:space="preserve">
majority is in Coporate bonds and dommericial paper
due to offering of additional shares in 2Q17</t>
        </r>
      </text>
    </comment>
    <comment ref="CF9" authorId="2" shapeId="0" xr:uid="{430D6CA6-0016-4BC4-80E5-1A66CB5882C3}">
      <text>
        <r>
          <rPr>
            <b/>
            <sz val="9"/>
            <color indexed="81"/>
            <rFont val="Tahoma"/>
            <family val="2"/>
          </rPr>
          <t>Steven:</t>
        </r>
        <r>
          <rPr>
            <sz val="9"/>
            <color indexed="81"/>
            <rFont val="Tahoma"/>
            <family val="2"/>
          </rPr>
          <t xml:space="preserve">
Additional offering of 4.8M shares in Feb</t>
        </r>
      </text>
    </comment>
    <comment ref="BX11" authorId="2" shapeId="0" xr:uid="{E9C51543-9E3D-43F5-AFEC-1C50DE09DAA6}">
      <text>
        <r>
          <rPr>
            <b/>
            <sz val="9"/>
            <color indexed="81"/>
            <rFont val="Tahoma"/>
            <family val="2"/>
          </rPr>
          <t>Steven:</t>
        </r>
        <r>
          <rPr>
            <sz val="9"/>
            <color indexed="81"/>
            <rFont val="Tahoma"/>
            <family val="2"/>
          </rPr>
          <t xml:space="preserve">
began offering a Merchant Cash Aadvance program to eligible merchants:
SHOP purchases merchant
s future receivable (usually at a discount)</t>
        </r>
      </text>
    </comment>
    <comment ref="CR19" authorId="2" shapeId="0" xr:uid="{536C80B9-C817-4393-9948-615823D9AFA0}">
      <text>
        <r>
          <rPr>
            <b/>
            <sz val="9"/>
            <color indexed="81"/>
            <rFont val="Tahoma"/>
            <family val="2"/>
          </rPr>
          <t>Steven:</t>
        </r>
        <r>
          <rPr>
            <sz val="9"/>
            <color indexed="81"/>
            <rFont val="Tahoma"/>
            <family val="2"/>
          </rPr>
          <t xml:space="preserve">
investment in Affirm (carrying value of $158M); stemming from stragic partnerhsip for Shop Pay Installments</t>
        </r>
      </text>
    </comment>
    <comment ref="CU19" authorId="2" shapeId="0" xr:uid="{1579300C-5C2D-46EC-95D2-01978513E0D8}">
      <text>
        <r>
          <rPr>
            <b/>
            <sz val="9"/>
            <color indexed="81"/>
            <rFont val="Tahoma"/>
            <family val="2"/>
          </rPr>
          <t>Steven:</t>
        </r>
        <r>
          <rPr>
            <sz val="9"/>
            <color indexed="81"/>
            <rFont val="Tahoma"/>
            <family val="2"/>
          </rPr>
          <t xml:space="preserve">
Affirm IPO's; unrealized gain of $1.28B
Add: $200M of invesments in a private company (a partner)
Add: $195M in private companies w/o readily determinable fair values</t>
        </r>
      </text>
    </comment>
    <comment ref="CV19" authorId="2" shapeId="0" xr:uid="{81A2EE0A-7FB2-4F50-895B-0EDADA6136C7}">
      <text>
        <r>
          <rPr>
            <b/>
            <sz val="9"/>
            <color indexed="81"/>
            <rFont val="Tahoma"/>
            <family val="2"/>
          </rPr>
          <t>Steven:</t>
        </r>
        <r>
          <rPr>
            <sz val="9"/>
            <color indexed="81"/>
            <rFont val="Tahoma"/>
            <family val="2"/>
          </rPr>
          <t xml:space="preserve">
Received investment in Global-E in April 2021; IPO's in May 2021 - Carrying value now $1.0B
+700M gain from Affirm equity</t>
        </r>
      </text>
    </comment>
    <comment ref="CW19" authorId="2" shapeId="0" xr:uid="{F1EAEBC6-E872-4EDE-B4F2-E059D5968CB9}">
      <text>
        <r>
          <rPr>
            <b/>
            <sz val="9"/>
            <color indexed="81"/>
            <rFont val="Tahoma"/>
            <family val="2"/>
          </rPr>
          <t>Steven:</t>
        </r>
        <r>
          <rPr>
            <sz val="9"/>
            <color indexed="81"/>
            <rFont val="Tahoma"/>
            <family val="2"/>
          </rPr>
          <t xml:space="preserve">
July 2021 - investment in private company thorugh purchase of convertible notes for $200M
Sep 2021 - equity invesments in private companies (partners in its ecosystem) - $40.7M
</t>
        </r>
      </text>
    </comment>
    <comment ref="CN21" authorId="2" shapeId="0" xr:uid="{8A61FCCB-1100-4936-AB87-F77489697F94}">
      <text>
        <r>
          <rPr>
            <b/>
            <sz val="9"/>
            <color indexed="81"/>
            <rFont val="Tahoma"/>
            <family val="2"/>
          </rPr>
          <t>Steven:</t>
        </r>
        <r>
          <rPr>
            <sz val="9"/>
            <color indexed="81"/>
            <rFont val="Tahoma"/>
            <family val="2"/>
          </rPr>
          <t xml:space="preserve">
acquired 6 River Systems:
Fulfillment Solutions &amp; warehouse Automation</t>
        </r>
      </text>
    </comment>
    <comment ref="BS22" authorId="1" shapeId="0" xr:uid="{747FC4B4-2036-4DD8-BAF7-5A0490430E1F}">
      <text>
        <r>
          <rPr>
            <b/>
            <sz val="9"/>
            <color indexed="81"/>
            <rFont val="Tahoma"/>
            <family val="2"/>
          </rPr>
          <t>Chang, Steven:</t>
        </r>
        <r>
          <rPr>
            <sz val="9"/>
            <color indexed="81"/>
            <rFont val="Tahoma"/>
            <family val="2"/>
          </rPr>
          <t xml:space="preserve">
long-term marketable securities</t>
        </r>
      </text>
    </comment>
    <comment ref="CR33" authorId="2" shapeId="0" xr:uid="{B1EDBFA9-02C8-4A6F-AC73-9F365B4988F1}">
      <text>
        <r>
          <rPr>
            <b/>
            <sz val="9"/>
            <color indexed="81"/>
            <rFont val="Tahoma"/>
            <family val="2"/>
          </rPr>
          <t>Steven:</t>
        </r>
        <r>
          <rPr>
            <sz val="9"/>
            <color indexed="81"/>
            <rFont val="Tahoma"/>
            <family val="2"/>
          </rPr>
          <t xml:space="preserve">
issued $920M of 0.125% due 2025 (proceeds of $907.9M)
750M includes unamotized discounts + offering costs</t>
        </r>
      </text>
    </comment>
    <comment ref="CU33" authorId="2" shapeId="0" xr:uid="{018B3814-18D6-4D1A-A0C6-F5361614C010}">
      <text>
        <r>
          <rPr>
            <b/>
            <sz val="9"/>
            <color indexed="81"/>
            <rFont val="Tahoma"/>
            <family val="2"/>
          </rPr>
          <t>Steven:</t>
        </r>
        <r>
          <rPr>
            <sz val="9"/>
            <color indexed="81"/>
            <rFont val="Tahoma"/>
            <family val="2"/>
          </rPr>
          <t xml:space="preserve">
increase due to adoption of ASU 2020-06 on Jan 1</t>
        </r>
      </text>
    </comment>
    <comment ref="C48" authorId="2" shapeId="0" xr:uid="{F1C13577-1FF2-4C5A-B9B7-F9251F37D804}">
      <text>
        <r>
          <rPr>
            <b/>
            <sz val="9"/>
            <color indexed="81"/>
            <rFont val="Tahoma"/>
            <family val="2"/>
          </rPr>
          <t>Steven:</t>
        </r>
        <r>
          <rPr>
            <sz val="9"/>
            <color indexed="81"/>
            <rFont val="Tahoma"/>
            <family val="2"/>
          </rPr>
          <t xml:space="preserve">
company does have a revolving credit facility with RBC for $8B CAD); currently no cash amount have been drawn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Maxwell Spaeth</author>
    <author>Chang, Steven</author>
    <author>Steven</author>
    <author>Akhavan, Rudy</author>
  </authors>
  <commentList>
    <comment ref="DF11" authorId="0" shapeId="0" xr:uid="{239A393F-DD86-440D-BB1D-4E94F0309C5B}">
      <text>
        <r>
          <rPr>
            <b/>
            <sz val="9"/>
            <color indexed="81"/>
            <rFont val="Tahoma"/>
            <family val="2"/>
          </rPr>
          <t>Maxwell Spaeth:</t>
        </r>
        <r>
          <rPr>
            <sz val="9"/>
            <color indexed="81"/>
            <rFont val="Tahoma"/>
            <family val="2"/>
          </rPr>
          <t xml:space="preserve">
hardcoded due to "accelerated sbc" related to HC reductions</t>
        </r>
      </text>
    </comment>
    <comment ref="DG11" authorId="0" shapeId="0" xr:uid="{2911A8CB-3522-4904-8987-BEE4DCCFF022}">
      <text>
        <r>
          <rPr>
            <b/>
            <sz val="9"/>
            <color indexed="81"/>
            <rFont val="Tahoma"/>
            <family val="2"/>
          </rPr>
          <t>Maxwell Spaeth:</t>
        </r>
        <r>
          <rPr>
            <sz val="9"/>
            <color indexed="81"/>
            <rFont val="Tahoma"/>
            <family val="2"/>
          </rPr>
          <t xml:space="preserve">
rounding</t>
        </r>
      </text>
    </comment>
    <comment ref="CQ17" authorId="1" shapeId="0" xr:uid="{0141D62C-3912-4825-80D6-59C5C456DDFC}">
      <text>
        <r>
          <rPr>
            <b/>
            <sz val="9"/>
            <color indexed="81"/>
            <rFont val="Tahoma"/>
            <family val="2"/>
          </rPr>
          <t>Chang, Steven:</t>
        </r>
        <r>
          <rPr>
            <sz val="9"/>
            <color indexed="81"/>
            <rFont val="Tahoma"/>
            <family val="2"/>
          </rPr>
          <t xml:space="preserve">
31M of impairment of right-of-use assets and leasehold improvements</t>
        </r>
      </text>
    </comment>
    <comment ref="CU17" authorId="1" shapeId="0" xr:uid="{164CF6AF-4670-430E-9A20-08BA0F6BFDC5}">
      <text>
        <r>
          <rPr>
            <b/>
            <sz val="9"/>
            <color indexed="81"/>
            <rFont val="Tahoma"/>
            <family val="2"/>
          </rPr>
          <t>Chang, Steven:</t>
        </r>
        <r>
          <rPr>
            <sz val="9"/>
            <color indexed="81"/>
            <rFont val="Tahoma"/>
            <family val="2"/>
          </rPr>
          <t xml:space="preserve">
provision for transaction and loan losses; unrealized foreign exchange loss (gain)</t>
        </r>
      </text>
    </comment>
    <comment ref="DF17" authorId="0" shapeId="0" xr:uid="{464B7765-88D3-49E3-A7AB-60601E398F9F}">
      <text>
        <r>
          <rPr>
            <b/>
            <sz val="9"/>
            <color indexed="81"/>
            <rFont val="Tahoma"/>
            <family val="2"/>
          </rPr>
          <t>Maxwell Spaeth:</t>
        </r>
        <r>
          <rPr>
            <sz val="9"/>
            <color indexed="81"/>
            <rFont val="Tahoma"/>
            <family val="2"/>
          </rPr>
          <t xml:space="preserve">
Impairment on sale of Shopify's logistics business: $1,340</t>
        </r>
      </text>
    </comment>
    <comment ref="DL17" authorId="0" shapeId="0" xr:uid="{AF6262F3-7752-4FF9-8656-4579E2F3AA5C}">
      <text>
        <r>
          <rPr>
            <b/>
            <sz val="9"/>
            <color indexed="81"/>
            <rFont val="Tahoma"/>
            <family val="2"/>
          </rPr>
          <t>Maxwell Spaeth:</t>
        </r>
        <r>
          <rPr>
            <sz val="9"/>
            <color indexed="81"/>
            <rFont val="Tahoma"/>
            <family val="2"/>
          </rPr>
          <t xml:space="preserve">
impairment of right-of-use assets and leasehold improvements</t>
        </r>
      </text>
    </comment>
    <comment ref="DD28" authorId="1" shapeId="0" xr:uid="{6F510CD9-C17B-40F9-959C-EB5D49A15EF2}">
      <text>
        <r>
          <rPr>
            <b/>
            <sz val="9"/>
            <color indexed="81"/>
            <rFont val="Tahoma"/>
            <family val="2"/>
          </rPr>
          <t>Chang, Steven:</t>
        </r>
        <r>
          <rPr>
            <sz val="9"/>
            <color indexed="81"/>
            <rFont val="Tahoma"/>
            <family val="2"/>
          </rPr>
          <t xml:space="preserve">
CapEx of $200M</t>
        </r>
      </text>
    </comment>
    <comment ref="DJ28" authorId="0" shapeId="0" xr:uid="{A0AB7110-CEBC-440F-9B53-B0438B1EDD18}">
      <text>
        <r>
          <rPr>
            <b/>
            <sz val="9"/>
            <color indexed="81"/>
            <rFont val="Tahoma"/>
            <family val="2"/>
          </rPr>
          <t>Maxwell Spaeth:</t>
        </r>
        <r>
          <rPr>
            <sz val="9"/>
            <color indexed="81"/>
            <rFont val="Tahoma"/>
            <family val="2"/>
          </rPr>
          <t xml:space="preserve">
4Q23 guide: ~$10M</t>
        </r>
      </text>
    </comment>
    <comment ref="DN28" authorId="1" shapeId="0" xr:uid="{815C55D6-D214-4133-BCCD-28514A034C06}">
      <text>
        <r>
          <rPr>
            <b/>
            <sz val="9"/>
            <color indexed="81"/>
            <rFont val="Tahoma"/>
            <family val="2"/>
          </rPr>
          <t>Chang, Steven:</t>
        </r>
        <r>
          <rPr>
            <sz val="9"/>
            <color indexed="81"/>
            <rFont val="Tahoma"/>
            <family val="2"/>
          </rPr>
          <t xml:space="preserve">
~$1B of capital expenditures across FY23/24 for Shopify fullfillment network</t>
        </r>
      </text>
    </comment>
    <comment ref="DS28" authorId="1" shapeId="0" xr:uid="{09C1EE77-A2B4-405F-8594-7E5CDE1AD9C1}">
      <text>
        <r>
          <rPr>
            <b/>
            <sz val="9"/>
            <color indexed="81"/>
            <rFont val="Tahoma"/>
            <family val="2"/>
          </rPr>
          <t>Chang, Steven:</t>
        </r>
        <r>
          <rPr>
            <sz val="9"/>
            <color indexed="81"/>
            <rFont val="Tahoma"/>
            <family val="2"/>
          </rPr>
          <t xml:space="preserve">
~$1B of capital expenditures across FY23/24 for Shopify fullfillment network</t>
        </r>
      </text>
    </comment>
    <comment ref="DX28" authorId="1" shapeId="0" xr:uid="{63D59321-B365-4F5B-989A-8044C02BFECE}">
      <text>
        <r>
          <rPr>
            <b/>
            <sz val="9"/>
            <color indexed="81"/>
            <rFont val="Tahoma"/>
            <family val="2"/>
          </rPr>
          <t>Chang, Steven:</t>
        </r>
        <r>
          <rPr>
            <sz val="9"/>
            <color indexed="81"/>
            <rFont val="Tahoma"/>
            <family val="2"/>
          </rPr>
          <t xml:space="preserve">
~$1B of capital expenditures across FY23/24 for Shopify fullfillment network</t>
        </r>
      </text>
    </comment>
    <comment ref="EC28" authorId="1" shapeId="0" xr:uid="{EEC54CA3-9310-4A11-9A6F-E4DF0BF7310B}">
      <text>
        <r>
          <rPr>
            <b/>
            <sz val="9"/>
            <color indexed="81"/>
            <rFont val="Tahoma"/>
            <family val="2"/>
          </rPr>
          <t>Chang, Steven:</t>
        </r>
        <r>
          <rPr>
            <sz val="9"/>
            <color indexed="81"/>
            <rFont val="Tahoma"/>
            <family val="2"/>
          </rPr>
          <t xml:space="preserve">
~$1B of capital expenditures across FY23/24 for Shopify fullfillment network</t>
        </r>
      </text>
    </comment>
    <comment ref="CQ29" authorId="2" shapeId="0" xr:uid="{48BA856E-44F6-40FA-8993-A54A14D087F3}">
      <text>
        <r>
          <rPr>
            <b/>
            <sz val="9"/>
            <color indexed="81"/>
            <rFont val="Tahoma"/>
            <family val="2"/>
          </rPr>
          <t>Steven:</t>
        </r>
        <r>
          <rPr>
            <sz val="9"/>
            <color indexed="81"/>
            <rFont val="Tahoma"/>
            <family val="2"/>
          </rPr>
          <t xml:space="preserve">
</t>
        </r>
      </text>
    </comment>
    <comment ref="CP30" authorId="2" shapeId="0" xr:uid="{40ABAE60-6D39-41FE-95E1-A87D671C333D}">
      <text>
        <r>
          <rPr>
            <b/>
            <sz val="9"/>
            <color indexed="81"/>
            <rFont val="Tahoma"/>
            <family val="2"/>
          </rPr>
          <t>Steven:</t>
        </r>
        <r>
          <rPr>
            <sz val="9"/>
            <color indexed="81"/>
            <rFont val="Tahoma"/>
            <family val="2"/>
          </rPr>
          <t xml:space="preserve">
net sales of $417M in marketable securities</t>
        </r>
      </text>
    </comment>
    <comment ref="CB35" authorId="2" shapeId="0" xr:uid="{1F765B1F-64AF-4CA3-8913-8622674CC26D}">
      <text>
        <r>
          <rPr>
            <b/>
            <sz val="9"/>
            <color indexed="81"/>
            <rFont val="Tahoma"/>
            <family val="2"/>
          </rPr>
          <t>Steven:</t>
        </r>
        <r>
          <rPr>
            <sz val="9"/>
            <color indexed="81"/>
            <rFont val="Tahoma"/>
            <family val="2"/>
          </rPr>
          <t xml:space="preserve">
purchase of Orbelo UAB -&gt; product sourcing and drop shipping (100% of outstanding shares)</t>
        </r>
      </text>
    </comment>
    <comment ref="CI35" authorId="2" shapeId="0" xr:uid="{A6C689A6-520A-4EE1-82C7-AC32F75C1762}">
      <text>
        <r>
          <rPr>
            <b/>
            <sz val="9"/>
            <color indexed="81"/>
            <rFont val="Tahoma"/>
            <family val="2"/>
          </rPr>
          <t>Steven:</t>
        </r>
        <r>
          <rPr>
            <sz val="9"/>
            <color indexed="81"/>
            <rFont val="Tahoma"/>
            <family val="2"/>
          </rPr>
          <t xml:space="preserve">
Acquisition of Tictail, inc. - e-comm platform in Sweden for $17M</t>
        </r>
      </text>
    </comment>
    <comment ref="CN35" authorId="2" shapeId="0" xr:uid="{8FCEE282-AA49-473A-8937-387FFF3587CB}">
      <text>
        <r>
          <rPr>
            <b/>
            <sz val="9"/>
            <color indexed="81"/>
            <rFont val="Tahoma"/>
            <family val="2"/>
          </rPr>
          <t>Steven:</t>
        </r>
        <r>
          <rPr>
            <sz val="9"/>
            <color indexed="81"/>
            <rFont val="Tahoma"/>
            <family val="2"/>
          </rPr>
          <t xml:space="preserve">
Acquisition of 6RS</t>
        </r>
      </text>
    </comment>
    <comment ref="CW35" authorId="2" shapeId="0" xr:uid="{B868F378-0297-453C-A370-D238D20273C6}">
      <text>
        <r>
          <rPr>
            <b/>
            <sz val="9"/>
            <color indexed="81"/>
            <rFont val="Tahoma"/>
            <family val="2"/>
          </rPr>
          <t>Steven:</t>
        </r>
        <r>
          <rPr>
            <sz val="9"/>
            <color indexed="81"/>
            <rFont val="Tahoma"/>
            <family val="2"/>
          </rPr>
          <t xml:space="preserve">
Acquisition of Donde Fashion Inc, Engineering talent to expand R&amp;D - for $50.7M</t>
        </r>
      </text>
    </comment>
    <comment ref="CU36" authorId="1" shapeId="0" xr:uid="{1C86B5F4-E5C9-49B3-AEC0-6A55A03257C1}">
      <text>
        <r>
          <rPr>
            <b/>
            <sz val="9"/>
            <color indexed="81"/>
            <rFont val="Tahoma"/>
            <family val="2"/>
          </rPr>
          <t>Chang, Steven:</t>
        </r>
        <r>
          <rPr>
            <sz val="9"/>
            <color indexed="81"/>
            <rFont val="Tahoma"/>
            <family val="2"/>
          </rPr>
          <t xml:space="preserve">
includes -2444M of purchase of marketable securities + 1038M of maturity</t>
        </r>
      </text>
    </comment>
    <comment ref="DH36" authorId="0" shapeId="0" xr:uid="{FBB969CF-0002-4652-B797-6268C52A4A35}">
      <text>
        <r>
          <rPr>
            <b/>
            <sz val="9"/>
            <color indexed="81"/>
            <rFont val="Tahoma"/>
            <family val="2"/>
          </rPr>
          <t>Maxwell Spaeth:</t>
        </r>
        <r>
          <rPr>
            <sz val="9"/>
            <color indexed="81"/>
            <rFont val="Tahoma"/>
            <family val="2"/>
          </rPr>
          <t xml:space="preserve">
includes -527 loan origination and 514 repayments of loans</t>
        </r>
      </text>
    </comment>
    <comment ref="CR39" authorId="2" shapeId="0" xr:uid="{4A27B88A-ECBD-4E86-BE38-C4A4C8EF7A77}">
      <text>
        <r>
          <rPr>
            <b/>
            <sz val="9"/>
            <color indexed="81"/>
            <rFont val="Tahoma"/>
            <family val="2"/>
          </rPr>
          <t>Steven:</t>
        </r>
        <r>
          <rPr>
            <sz val="9"/>
            <color indexed="81"/>
            <rFont val="Tahoma"/>
            <family val="2"/>
          </rPr>
          <t xml:space="preserve">
Issued $920M of 0.12% convertible senior notes due 2025</t>
        </r>
      </text>
    </comment>
    <comment ref="DQ39" authorId="0" shapeId="0" xr:uid="{821C74F1-5B73-4237-A518-B4AE18590794}">
      <text>
        <r>
          <rPr>
            <b/>
            <sz val="9"/>
            <color indexed="81"/>
            <rFont val="Tahoma"/>
            <family val="2"/>
          </rPr>
          <t>Maxwell Spaeth:</t>
        </r>
        <r>
          <rPr>
            <sz val="9"/>
            <color indexed="81"/>
            <rFont val="Tahoma"/>
            <family val="2"/>
          </rPr>
          <t xml:space="preserve">
converts mature in 2025</t>
        </r>
      </text>
    </comment>
    <comment ref="BR40" authorId="1" shapeId="0" xr:uid="{F07C9B18-C061-442A-ACC9-3C8BD085203B}">
      <text>
        <r>
          <rPr>
            <b/>
            <sz val="9"/>
            <color indexed="81"/>
            <rFont val="Tahoma"/>
            <family val="2"/>
          </rPr>
          <t>Chang, Steven:</t>
        </r>
        <r>
          <rPr>
            <sz val="9"/>
            <color indexed="81"/>
            <rFont val="Tahoma"/>
            <family val="2"/>
          </rPr>
          <t xml:space="preserve">
IPO
</t>
        </r>
      </text>
    </comment>
    <comment ref="BX40" authorId="2" shapeId="0" xr:uid="{2B753091-17BE-4B73-8CA1-C6CBF4BB894B}">
      <text>
        <r>
          <rPr>
            <b/>
            <sz val="9"/>
            <color indexed="81"/>
            <rFont val="Tahoma"/>
            <family val="2"/>
          </rPr>
          <t>Steven:</t>
        </r>
        <r>
          <rPr>
            <sz val="9"/>
            <color indexed="81"/>
            <rFont val="Tahoma"/>
            <family val="2"/>
          </rPr>
          <t xml:space="preserve">
follow-on public offering;  8.62M Class A Sub Voting Shares @ $38.25/shr</t>
        </r>
      </text>
    </comment>
    <comment ref="CB40" authorId="2" shapeId="0" xr:uid="{45A2A1CD-29B8-41A9-B07F-996D4AF9B4DB}">
      <text>
        <r>
          <rPr>
            <b/>
            <sz val="9"/>
            <color indexed="81"/>
            <rFont val="Tahoma"/>
            <family val="2"/>
          </rPr>
          <t>Steven:</t>
        </r>
        <r>
          <rPr>
            <sz val="9"/>
            <color indexed="81"/>
            <rFont val="Tahoma"/>
            <family val="2"/>
          </rPr>
          <t xml:space="preserve">
Issued 825K subordinate voting shares</t>
        </r>
      </text>
    </comment>
    <comment ref="CF40" authorId="2" shapeId="0" xr:uid="{B1D8CCF8-85EA-4A59-BAB4-1785F9009F99}">
      <text>
        <r>
          <rPr>
            <b/>
            <sz val="9"/>
            <color indexed="81"/>
            <rFont val="Tahoma"/>
            <family val="2"/>
          </rPr>
          <t>Steven:</t>
        </r>
        <r>
          <rPr>
            <sz val="9"/>
            <color indexed="81"/>
            <rFont val="Tahoma"/>
            <family val="2"/>
          </rPr>
          <t xml:space="preserve">
Issued 4.8M (Feb 2018) @ $137/sh</t>
        </r>
      </text>
    </comment>
    <comment ref="CI40" authorId="2" shapeId="0" xr:uid="{77D8A484-98C3-4FA8-BC4D-4C256725F0A3}">
      <text>
        <r>
          <rPr>
            <b/>
            <sz val="9"/>
            <color indexed="81"/>
            <rFont val="Tahoma"/>
            <family val="2"/>
          </rPr>
          <t xml:space="preserve">Steven:
</t>
        </r>
        <r>
          <rPr>
            <sz val="9"/>
            <color indexed="81"/>
            <rFont val="Tahoma"/>
            <family val="2"/>
          </rPr>
          <t>Offering of 2.6M shares (Dec 2018) @ $154/sh</t>
        </r>
      </text>
    </comment>
    <comment ref="CM40" authorId="1" shapeId="0" xr:uid="{B4D82D8B-D64A-4ABD-8AAF-6E889ABE7B25}">
      <text>
        <r>
          <rPr>
            <b/>
            <sz val="9"/>
            <color indexed="81"/>
            <rFont val="Tahoma"/>
            <family val="2"/>
          </rPr>
          <t>Chang, Steven:</t>
        </r>
        <r>
          <rPr>
            <sz val="9"/>
            <color indexed="81"/>
            <rFont val="Tahoma"/>
            <family val="2"/>
          </rPr>
          <t xml:space="preserve">
offering of Class A subordinate voting shares in Sep 2019</t>
        </r>
      </text>
    </comment>
    <comment ref="CQ40" authorId="2" shapeId="0" xr:uid="{1A1514A6-F707-4453-9585-249FFD63C7EE}">
      <text>
        <r>
          <rPr>
            <b/>
            <sz val="9"/>
            <color indexed="81"/>
            <rFont val="Tahoma"/>
            <family val="2"/>
          </rPr>
          <t>Steven:</t>
        </r>
        <r>
          <rPr>
            <sz val="9"/>
            <color indexed="81"/>
            <rFont val="Tahoma"/>
            <family val="2"/>
          </rPr>
          <t xml:space="preserve">
Public offering (May 2020) of 2.1M shares @ $600/sh</t>
        </r>
      </text>
    </comment>
    <comment ref="CR40" authorId="2" shapeId="0" xr:uid="{CECEBB01-7A7D-4D5B-B14F-B9339780E2FF}">
      <text>
        <r>
          <rPr>
            <b/>
            <sz val="9"/>
            <color indexed="81"/>
            <rFont val="Tahoma"/>
            <family val="2"/>
          </rPr>
          <t>Steven:</t>
        </r>
        <r>
          <rPr>
            <sz val="9"/>
            <color indexed="81"/>
            <rFont val="Tahoma"/>
            <family val="2"/>
          </rPr>
          <t xml:space="preserve">
public offering (sep 2020) of 1.26M shares for $900/sh</t>
        </r>
      </text>
    </comment>
    <comment ref="CU40" authorId="2" shapeId="0" xr:uid="{A76C2082-0F1E-4242-A6D3-2C3DC321B093}">
      <text>
        <r>
          <rPr>
            <b/>
            <sz val="9"/>
            <color indexed="81"/>
            <rFont val="Tahoma"/>
            <family val="2"/>
          </rPr>
          <t>Steven:</t>
        </r>
        <r>
          <rPr>
            <sz val="9"/>
            <color indexed="81"/>
            <rFont val="Tahoma"/>
            <family val="2"/>
          </rPr>
          <t xml:space="preserve">
public offering (Feb 2021) of 1.18M shares @ $1315/sh</t>
        </r>
      </text>
    </comment>
    <comment ref="DG48" authorId="0" shapeId="0" xr:uid="{BB69E886-EB2B-4B9E-84EB-10425A8E39DD}">
      <text>
        <r>
          <rPr>
            <b/>
            <sz val="9"/>
            <color indexed="81"/>
            <rFont val="Tahoma"/>
            <family val="2"/>
          </rPr>
          <t>Maxwell Spaeth:</t>
        </r>
        <r>
          <rPr>
            <sz val="9"/>
            <color indexed="81"/>
            <rFont val="Tahoma"/>
            <family val="2"/>
          </rPr>
          <t xml:space="preserve">
rounding</t>
        </r>
      </text>
    </comment>
    <comment ref="C53" authorId="3" shapeId="0" xr:uid="{3EFB2E2A-2CDF-4AB2-9A5A-EF9DF707EB3F}">
      <text>
        <r>
          <rPr>
            <b/>
            <sz val="9"/>
            <color indexed="81"/>
            <rFont val="Tahoma"/>
            <family val="2"/>
          </rPr>
          <t>Akhavan, Rudy:</t>
        </r>
        <r>
          <rPr>
            <sz val="9"/>
            <color indexed="81"/>
            <rFont val="Tahoma"/>
            <family val="2"/>
          </rPr>
          <t xml:space="preserve">
S1 - Bumble definition of FCF is CFO less Capex</t>
        </r>
      </text>
    </comment>
    <comment ref="DM58" authorId="0" shapeId="0" xr:uid="{2C17053C-B6BF-49B4-A2EA-76CFC83B51FB}">
      <text>
        <r>
          <rPr>
            <b/>
            <sz val="9"/>
            <color indexed="81"/>
            <rFont val="Tahoma"/>
            <family val="2"/>
          </rPr>
          <t>Maxwell Spaeth:</t>
        </r>
        <r>
          <rPr>
            <sz val="9"/>
            <color indexed="81"/>
            <rFont val="Tahoma"/>
            <family val="2"/>
          </rPr>
          <t xml:space="preserve">
</t>
        </r>
        <r>
          <rPr>
            <b/>
            <sz val="9"/>
            <color indexed="81"/>
            <rFont val="Tahoma"/>
            <family val="2"/>
          </rPr>
          <t>Outlook:</t>
        </r>
        <r>
          <rPr>
            <sz val="9"/>
            <color indexed="81"/>
            <rFont val="Tahoma"/>
            <family val="2"/>
          </rPr>
          <t xml:space="preserve"> similar to 3Q24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Chang, Steven</author>
    <author>Maxwell Spaeth</author>
    <author>Steven</author>
  </authors>
  <commentList>
    <comment ref="C7" authorId="0" shapeId="0" xr:uid="{75E0C3AF-3DDC-44C1-AE3B-A6728928B511}">
      <text>
        <r>
          <rPr>
            <b/>
            <sz val="9"/>
            <color indexed="81"/>
            <rFont val="Tahoma"/>
            <family val="2"/>
          </rPr>
          <t>Chang, Steven:</t>
        </r>
        <r>
          <rPr>
            <sz val="9"/>
            <color indexed="81"/>
            <rFont val="Tahoma"/>
            <family val="2"/>
          </rPr>
          <t xml:space="preserve">
</t>
        </r>
        <r>
          <rPr>
            <b/>
            <sz val="9"/>
            <color indexed="81"/>
            <rFont val="Tahoma"/>
            <family val="2"/>
          </rPr>
          <t>Found in 10Q
Function of Merchants on platform * Average monthyl subscription Plan Fee</t>
        </r>
      </text>
    </comment>
    <comment ref="CR7" authorId="0" shapeId="0" xr:uid="{FC526678-C74F-4E54-8785-2D4DD3A8242E}">
      <text>
        <r>
          <rPr>
            <b/>
            <sz val="9"/>
            <color indexed="81"/>
            <rFont val="Tahoma"/>
            <family val="2"/>
          </rPr>
          <t>Chang, Steven:</t>
        </r>
        <r>
          <rPr>
            <sz val="9"/>
            <color indexed="81"/>
            <rFont val="Tahoma"/>
            <family val="2"/>
          </rPr>
          <t xml:space="preserve">
increase due to newly created shopsduring extended free trial period</t>
        </r>
      </text>
    </comment>
    <comment ref="DE7" authorId="1" shapeId="0" xr:uid="{1C075253-CBC3-4C5F-8C1C-2569A9093360}">
      <text>
        <r>
          <rPr>
            <b/>
            <sz val="9"/>
            <color indexed="81"/>
            <rFont val="Tahoma"/>
            <family val="2"/>
          </rPr>
          <t>Maxwell Spaeth:</t>
        </r>
        <r>
          <rPr>
            <sz val="9"/>
            <color indexed="81"/>
            <rFont val="Tahoma"/>
            <family val="2"/>
          </rPr>
          <t xml:space="preserve">
originally reported $116M, revised in 1Q24</t>
        </r>
      </text>
    </comment>
    <comment ref="DF7" authorId="1" shapeId="0" xr:uid="{A75FBD0F-6BD9-4068-995E-E946AAB687C8}">
      <text>
        <r>
          <rPr>
            <b/>
            <sz val="9"/>
            <color indexed="81"/>
            <rFont val="Tahoma"/>
            <family val="2"/>
          </rPr>
          <t>Maxwell Spaeth:</t>
        </r>
        <r>
          <rPr>
            <sz val="9"/>
            <color indexed="81"/>
            <rFont val="Tahoma"/>
            <family val="2"/>
          </rPr>
          <t xml:space="preserve">
originally reported $139M, revised 1Q24</t>
        </r>
      </text>
    </comment>
    <comment ref="DG7" authorId="1" shapeId="0" xr:uid="{56ECC503-F81A-4259-8BD7-32206B9B0AE5}">
      <text>
        <r>
          <rPr>
            <b/>
            <sz val="9"/>
            <color indexed="81"/>
            <rFont val="Tahoma"/>
            <family val="2"/>
          </rPr>
          <t>Maxwell Spaeth:</t>
        </r>
        <r>
          <rPr>
            <sz val="9"/>
            <color indexed="81"/>
            <rFont val="Tahoma"/>
            <family val="2"/>
          </rPr>
          <t xml:space="preserve">
originally reported $141M, revised 1Q24</t>
        </r>
      </text>
    </comment>
    <comment ref="DH7" authorId="1" shapeId="0" xr:uid="{AAD072E5-2F46-4FFA-AC2E-CDF9D5C51BD5}">
      <text>
        <r>
          <rPr>
            <b/>
            <sz val="9"/>
            <color indexed="81"/>
            <rFont val="Tahoma"/>
            <family val="2"/>
          </rPr>
          <t>Maxwell Spaeth:</t>
        </r>
        <r>
          <rPr>
            <sz val="9"/>
            <color indexed="81"/>
            <rFont val="Tahoma"/>
            <family val="2"/>
          </rPr>
          <t xml:space="preserve">
originally reported $149M, revised 1Q241</t>
        </r>
      </text>
    </comment>
    <comment ref="DJ7" authorId="1" shapeId="0" xr:uid="{40BD929B-C48C-48A3-9903-689BA72EF953}">
      <text>
        <r>
          <rPr>
            <b/>
            <sz val="9"/>
            <color indexed="81"/>
            <rFont val="Tahoma"/>
            <family val="2"/>
          </rPr>
          <t>Maxwell Spaeth:</t>
        </r>
        <r>
          <rPr>
            <sz val="9"/>
            <color indexed="81"/>
            <rFont val="Tahoma"/>
            <family val="2"/>
          </rPr>
          <t xml:space="preserve">
</t>
        </r>
        <r>
          <rPr>
            <b/>
            <sz val="9"/>
            <color indexed="81"/>
            <rFont val="Tahoma"/>
            <family val="2"/>
          </rPr>
          <t xml:space="preserve">1Q24 release note:
</t>
        </r>
        <r>
          <rPr>
            <sz val="9"/>
            <color indexed="81"/>
            <rFont val="Tahoma"/>
            <family val="2"/>
          </rPr>
          <t>In the three months ended March 31, 2024, the Company revised the inclusion of paid trials in the calculation of MRR. Revised MRR for the 
three months ended March 31, 2023, June 30, 2023, September 30, 2023 and December 31, 2023 were $114 million, $135 million, $137 million, 
$144 million, respectively</t>
        </r>
      </text>
    </comment>
    <comment ref="C11" authorId="0" shapeId="0" xr:uid="{F14AEC68-68BD-4AAE-B99B-4435A6233C9A}">
      <text>
        <r>
          <rPr>
            <b/>
            <sz val="9"/>
            <color indexed="81"/>
            <rFont val="Tahoma"/>
            <family val="2"/>
          </rPr>
          <t>Chang, Steven:</t>
        </r>
        <r>
          <rPr>
            <sz val="9"/>
            <color indexed="81"/>
            <rFont val="Tahoma"/>
            <family val="2"/>
          </rPr>
          <t xml:space="preserve">
from Slides on earnings report </t>
        </r>
      </text>
    </comment>
    <comment ref="CZ12" authorId="0" shapeId="0" xr:uid="{8F2ED11D-D807-4F2B-8452-ACA16EC377CC}">
      <text>
        <r>
          <rPr>
            <b/>
            <sz val="9"/>
            <color indexed="81"/>
            <rFont val="Tahoma"/>
            <family val="2"/>
          </rPr>
          <t>Chang, Steven:</t>
        </r>
        <r>
          <rPr>
            <sz val="9"/>
            <color indexed="81"/>
            <rFont val="Tahoma"/>
            <family val="2"/>
          </rPr>
          <t xml:space="preserve">
no longer reported as of 1Q22</t>
        </r>
      </text>
    </comment>
    <comment ref="C13" authorId="1" shapeId="0" xr:uid="{0F5E7DD4-A451-4220-88B6-AC32EE25F15E}">
      <text>
        <r>
          <rPr>
            <b/>
            <sz val="9"/>
            <color indexed="81"/>
            <rFont val="Tahoma"/>
            <family val="2"/>
          </rPr>
          <t>Maxwell Spaeth:</t>
        </r>
        <r>
          <rPr>
            <sz val="9"/>
            <color indexed="81"/>
            <rFont val="Tahoma"/>
            <family val="2"/>
          </rPr>
          <t xml:space="preserve">
MRR does not include VPF from Plus merchants</t>
        </r>
      </text>
    </comment>
    <comment ref="CV13" authorId="1" shapeId="0" xr:uid="{44BABA85-C055-4D31-A9CB-99B407B003D7}">
      <text>
        <r>
          <rPr>
            <b/>
            <sz val="9"/>
            <color indexed="81"/>
            <rFont val="Tahoma"/>
            <family val="2"/>
          </rPr>
          <t>Maxwell Spaeth:</t>
        </r>
        <r>
          <rPr>
            <sz val="9"/>
            <color indexed="81"/>
            <rFont val="Tahoma"/>
            <family val="2"/>
          </rPr>
          <t xml:space="preserve">
26% reported 2Q22 PR</t>
        </r>
      </text>
    </comment>
    <comment ref="CZ13" authorId="0" shapeId="0" xr:uid="{D7A063A4-041C-4D8B-B936-990D0B4025DB}">
      <text>
        <r>
          <rPr>
            <b/>
            <sz val="9"/>
            <color indexed="81"/>
            <rFont val="Tahoma"/>
            <family val="2"/>
          </rPr>
          <t>Chang, Steven:</t>
        </r>
        <r>
          <rPr>
            <sz val="9"/>
            <color indexed="81"/>
            <rFont val="Tahoma"/>
            <family val="2"/>
          </rPr>
          <t xml:space="preserve">
from 1Q22 preselease</t>
        </r>
      </text>
    </comment>
    <comment ref="DL13" authorId="1" shapeId="0" xr:uid="{615530BC-8DA4-4CA4-8C1F-2EEFE062CDAA}">
      <text>
        <r>
          <rPr>
            <b/>
            <sz val="9"/>
            <color indexed="81"/>
            <rFont val="Tahoma"/>
            <family val="2"/>
          </rPr>
          <t>Maxwell Spaeth:</t>
        </r>
        <r>
          <rPr>
            <sz val="9"/>
            <color indexed="81"/>
            <rFont val="Tahoma"/>
            <family val="2"/>
          </rPr>
          <t xml:space="preserve">
Plus represented 31% of MRR for the quarter, consistent with 2Q</t>
        </r>
      </text>
    </comment>
    <comment ref="DA14" authorId="0" shapeId="0" xr:uid="{2E025316-A3FD-43F6-8A23-5170B859C14D}">
      <text>
        <r>
          <rPr>
            <b/>
            <sz val="9"/>
            <color indexed="81"/>
            <rFont val="Tahoma"/>
            <family val="2"/>
          </rPr>
          <t>Chang, Steven:</t>
        </r>
        <r>
          <rPr>
            <sz val="9"/>
            <color indexed="81"/>
            <rFont val="Tahoma"/>
            <family val="2"/>
          </rPr>
          <t xml:space="preserve">
</t>
        </r>
      </text>
    </comment>
    <comment ref="DD23" authorId="0" shapeId="0" xr:uid="{53994EA0-9D9F-4947-BE99-33915BBE26BF}">
      <text>
        <r>
          <rPr>
            <b/>
            <sz val="9"/>
            <color indexed="81"/>
            <rFont val="Tahoma"/>
            <family val="2"/>
          </rPr>
          <t>Chang, Steven:</t>
        </r>
        <r>
          <rPr>
            <sz val="9"/>
            <color indexed="81"/>
            <rFont val="Tahoma"/>
            <family val="2"/>
          </rPr>
          <t xml:space="preserve">
lower than 57$ revenue growth in 2021</t>
        </r>
      </text>
    </comment>
    <comment ref="DM23" authorId="1" shapeId="0" xr:uid="{B353A1C2-DD41-41BD-B1AB-82262DF45722}">
      <text>
        <r>
          <rPr>
            <b/>
            <sz val="9"/>
            <color indexed="81"/>
            <rFont val="Tahoma"/>
            <family val="2"/>
          </rPr>
          <t>Maxwell Spaeth:</t>
        </r>
        <r>
          <rPr>
            <sz val="9"/>
            <color indexed="81"/>
            <rFont val="Tahoma"/>
            <family val="2"/>
          </rPr>
          <t xml:space="preserve">
</t>
        </r>
        <r>
          <rPr>
            <b/>
            <sz val="9"/>
            <color indexed="81"/>
            <rFont val="Tahoma"/>
            <family val="2"/>
          </rPr>
          <t>outlook</t>
        </r>
        <r>
          <rPr>
            <sz val="9"/>
            <color indexed="81"/>
            <rFont val="Tahoma"/>
            <family val="2"/>
          </rPr>
          <t>: "mid to high twenties"</t>
        </r>
      </text>
    </comment>
    <comment ref="C27" authorId="0" shapeId="0" xr:uid="{18664803-DD46-4906-B276-7D3CC12C7B93}">
      <text>
        <r>
          <rPr>
            <b/>
            <sz val="9"/>
            <color indexed="81"/>
            <rFont val="Tahoma"/>
            <family val="2"/>
          </rPr>
          <t>Chang, Steven:</t>
        </r>
        <r>
          <rPr>
            <sz val="9"/>
            <color indexed="81"/>
            <rFont val="Tahoma"/>
            <family val="2"/>
          </rPr>
          <t xml:space="preserve">
Quarterly figures are our estimates
Search "Our Merchants " in 40F</t>
        </r>
      </text>
    </comment>
    <comment ref="CS27" authorId="0" shapeId="0" xr:uid="{AB00A9AC-AEB2-43A2-81E5-74C2D5AB5E3C}">
      <text>
        <r>
          <rPr>
            <b/>
            <sz val="9"/>
            <color indexed="81"/>
            <rFont val="Tahoma"/>
            <family val="2"/>
          </rPr>
          <t>Chang, Steven:</t>
        </r>
        <r>
          <rPr>
            <sz val="9"/>
            <color indexed="81"/>
            <rFont val="Tahoma"/>
            <family val="2"/>
          </rPr>
          <t xml:space="preserve">
given in 10K (40F)</t>
        </r>
      </text>
    </comment>
    <comment ref="CX27" authorId="1" shapeId="0" xr:uid="{BB344069-44CB-4C48-AE6F-F6863F9BB858}">
      <text>
        <r>
          <rPr>
            <b/>
            <sz val="9"/>
            <color indexed="81"/>
            <rFont val="Tahoma"/>
            <family val="2"/>
          </rPr>
          <t>Maxwell Spaeth:</t>
        </r>
        <r>
          <rPr>
            <sz val="9"/>
            <color indexed="81"/>
            <rFont val="Tahoma"/>
            <family val="2"/>
          </rPr>
          <t xml:space="preserve">
As of December 31, 2021, we had approximately 2,063,000 merchants from approximately 175 countries using our platform</t>
        </r>
      </text>
    </comment>
    <comment ref="CY27" authorId="0" shapeId="0" xr:uid="{0D460526-0776-4502-A3F7-B9092ABDB85D}">
      <text>
        <r>
          <rPr>
            <b/>
            <sz val="9"/>
            <color indexed="81"/>
            <rFont val="Tahoma"/>
            <family val="2"/>
          </rPr>
          <t>Chang, Steven:</t>
        </r>
        <r>
          <rPr>
            <sz val="9"/>
            <color indexed="81"/>
            <rFont val="Tahoma"/>
            <family val="2"/>
          </rPr>
          <t xml:space="preserve">
FY adds at a number lower than record 2020; but higher than any one year pre-2020</t>
        </r>
      </text>
    </comment>
    <comment ref="DD28" authorId="0" shapeId="0" xr:uid="{7FA2091D-86DB-4C40-A241-A5302F4CDC19}">
      <text>
        <r>
          <rPr>
            <b/>
            <sz val="9"/>
            <color indexed="81"/>
            <rFont val="Tahoma"/>
            <family val="2"/>
          </rPr>
          <t>Chang, Steven:</t>
        </r>
        <r>
          <rPr>
            <sz val="9"/>
            <color indexed="81"/>
            <rFont val="Tahoma"/>
            <family val="2"/>
          </rPr>
          <t xml:space="preserve">
subscription revenue driven by more merchants joining in 2022 vs. 2021</t>
        </r>
      </text>
    </comment>
    <comment ref="C31" authorId="0" shapeId="0" xr:uid="{34A6D22A-41C6-43AA-B279-963FB4639827}">
      <text>
        <r>
          <rPr>
            <b/>
            <sz val="9"/>
            <color indexed="81"/>
            <rFont val="Tahoma"/>
            <family val="2"/>
          </rPr>
          <t>Chang, Steven:</t>
        </r>
        <r>
          <rPr>
            <sz val="9"/>
            <color indexed="81"/>
            <rFont val="Tahoma"/>
            <family val="2"/>
          </rPr>
          <t xml:space="preserve">
Quarterly figures are our estimates</t>
        </r>
      </text>
    </comment>
    <comment ref="C32" authorId="1" shapeId="0" xr:uid="{5639EE3D-6938-4A62-846A-E705F627B8C0}">
      <text>
        <r>
          <rPr>
            <b/>
            <sz val="9"/>
            <color indexed="81"/>
            <rFont val="Tahoma"/>
            <family val="2"/>
          </rPr>
          <t>Maxwell Spaeth:</t>
        </r>
        <r>
          <rPr>
            <sz val="9"/>
            <color indexed="81"/>
            <rFont val="Tahoma"/>
            <family val="2"/>
          </rPr>
          <t xml:space="preserve">
This includes variable platform fee revenue from Plus merchants, based on % of GMV</t>
        </r>
      </text>
    </comment>
    <comment ref="DA33" authorId="0" shapeId="0" xr:uid="{6DEC298C-5DC8-438A-845C-C509EE341045}">
      <text>
        <r>
          <rPr>
            <b/>
            <sz val="9"/>
            <color indexed="81"/>
            <rFont val="Tahoma"/>
            <family val="2"/>
          </rPr>
          <t>Chang, Steven:</t>
        </r>
        <r>
          <rPr>
            <sz val="9"/>
            <color indexed="81"/>
            <rFont val="Tahoma"/>
            <family val="2"/>
          </rPr>
          <t xml:space="preserve">
lower due to implementation of apps/theme developer "subsidy"</t>
        </r>
      </text>
    </comment>
    <comment ref="C34" authorId="0" shapeId="0" xr:uid="{3D9644FF-5F0E-4EDB-AD02-2B0907FC924E}">
      <text>
        <r>
          <rPr>
            <b/>
            <sz val="9"/>
            <color indexed="81"/>
            <rFont val="Tahoma"/>
            <family val="2"/>
          </rPr>
          <t>Chang, Steven:</t>
        </r>
        <r>
          <rPr>
            <sz val="9"/>
            <color indexed="81"/>
            <rFont val="Tahoma"/>
            <family val="2"/>
          </rPr>
          <t xml:space="preserve">
"Most of merchants are on subscription plans that cost less than $50/month"
</t>
        </r>
      </text>
    </comment>
    <comment ref="DM35" authorId="1" shapeId="0" xr:uid="{91DD950D-58AD-4854-9844-71EE47D59270}">
      <text>
        <r>
          <rPr>
            <b/>
            <sz val="9"/>
            <color indexed="81"/>
            <rFont val="Tahoma"/>
            <family val="2"/>
          </rPr>
          <t>Maxwell Spaeth:</t>
        </r>
        <r>
          <rPr>
            <sz val="9"/>
            <color indexed="81"/>
            <rFont val="Tahoma"/>
            <family val="2"/>
          </rPr>
          <t xml:space="preserve">
lapping</t>
        </r>
      </text>
    </comment>
    <comment ref="CX36" authorId="0" shapeId="0" xr:uid="{B8ADC216-4537-44B3-9DE9-9A97229B762E}">
      <text>
        <r>
          <rPr>
            <b/>
            <sz val="9"/>
            <color indexed="81"/>
            <rFont val="Tahoma"/>
            <family val="2"/>
          </rPr>
          <t>Chang, Steven:</t>
        </r>
        <r>
          <rPr>
            <sz val="9"/>
            <color indexed="81"/>
            <rFont val="Tahoma"/>
            <family val="2"/>
          </rPr>
          <t xml:space="preserve">
Subscription solutions reduced by $21M in 4Q21, due to new app/theme revenue models</t>
        </r>
      </text>
    </comment>
    <comment ref="DA36" authorId="0" shapeId="0" xr:uid="{C701D5A2-A4F2-4C59-A7A5-84E2C782584D}">
      <text>
        <r>
          <rPr>
            <b/>
            <sz val="9"/>
            <color indexed="81"/>
            <rFont val="Tahoma"/>
            <family val="2"/>
          </rPr>
          <t>Chang, Steven:</t>
        </r>
        <r>
          <rPr>
            <sz val="9"/>
            <color indexed="81"/>
            <rFont val="Tahoma"/>
            <family val="2"/>
          </rPr>
          <t xml:space="preserve">
headwind to subscription revenue in 1H22</t>
        </r>
      </text>
    </comment>
    <comment ref="C41" authorId="0" shapeId="0" xr:uid="{D9E77CCB-DA72-4E7A-89FB-0BDCF541859F}">
      <text>
        <r>
          <rPr>
            <b/>
            <sz val="9"/>
            <color indexed="81"/>
            <rFont val="Tahoma"/>
            <family val="2"/>
          </rPr>
          <t>Chang, Steven:</t>
        </r>
        <r>
          <rPr>
            <sz val="9"/>
            <color indexed="81"/>
            <rFont val="Tahoma"/>
            <family val="2"/>
          </rPr>
          <t xml:space="preserve">
</t>
        </r>
        <r>
          <rPr>
            <b/>
            <sz val="9"/>
            <color indexed="81"/>
            <rFont val="Tahoma"/>
            <family val="2"/>
          </rPr>
          <t>Actual number found in 10Q
- Total Dollar Vlaue of orders faciliated through platform incl. apps and channels w/ revenue-sharing arrangement (net of refunds + inclusive of shipping and handling + duty and VAT)</t>
        </r>
      </text>
    </comment>
    <comment ref="CX43" authorId="0" shapeId="0" xr:uid="{379BE2CF-BA51-4C3E-A8B1-D5B47DBE72AD}">
      <text>
        <r>
          <rPr>
            <b/>
            <sz val="9"/>
            <color indexed="81"/>
            <rFont val="Tahoma"/>
            <family val="2"/>
          </rPr>
          <t>Chang, Steven:</t>
        </r>
        <r>
          <rPr>
            <sz val="9"/>
            <color indexed="81"/>
            <rFont val="Tahoma"/>
            <family val="2"/>
          </rPr>
          <t xml:space="preserve">
grow substantialy faster than the broader commerce market</t>
        </r>
      </text>
    </comment>
    <comment ref="C45" authorId="0" shapeId="0" xr:uid="{E6554845-238A-4EBF-BFC9-8923C7082B0F}">
      <text>
        <r>
          <rPr>
            <b/>
            <sz val="9"/>
            <color indexed="81"/>
            <rFont val="Tahoma"/>
            <family val="2"/>
          </rPr>
          <t>Chang, Steven:</t>
        </r>
        <r>
          <rPr>
            <sz val="9"/>
            <color indexed="81"/>
            <rFont val="Tahoma"/>
            <family val="2"/>
          </rPr>
          <t xml:space="preserve">
calculating revenues from all payments
</t>
        </r>
      </text>
    </comment>
    <comment ref="C48" authorId="0" shapeId="0" xr:uid="{CB0677C9-9553-4799-910A-04A7633FCBF1}">
      <text>
        <r>
          <rPr>
            <b/>
            <sz val="9"/>
            <color indexed="81"/>
            <rFont val="Tahoma"/>
            <family val="2"/>
          </rPr>
          <t xml:space="preserve">Chang, Steven:
</t>
        </r>
        <r>
          <rPr>
            <sz val="9"/>
            <color indexed="81"/>
            <rFont val="Tahoma"/>
            <family val="2"/>
          </rPr>
          <t>Princpally generate revneues from payment processing fees from Shopify payments</t>
        </r>
      </text>
    </comment>
    <comment ref="DD49" authorId="0" shapeId="0" xr:uid="{E3CABD70-73B8-446E-B88A-7B0724491085}">
      <text>
        <r>
          <rPr>
            <b/>
            <sz val="9"/>
            <color indexed="81"/>
            <rFont val="Tahoma"/>
            <family val="2"/>
          </rPr>
          <t>Chang, Steven:</t>
        </r>
        <r>
          <rPr>
            <sz val="9"/>
            <color indexed="81"/>
            <rFont val="Tahoma"/>
            <family val="2"/>
          </rPr>
          <t xml:space="preserve">
From 4Q21: more than twice the rate of subscription solutiosn revenue growth</t>
        </r>
      </text>
    </comment>
    <comment ref="C51" authorId="0" shapeId="0" xr:uid="{E2805552-5145-4DB7-8C95-A23E88CA8B40}">
      <text>
        <r>
          <rPr>
            <b/>
            <sz val="9"/>
            <color indexed="81"/>
            <rFont val="Tahoma"/>
            <family val="2"/>
          </rPr>
          <t>Chang, Steven:</t>
        </r>
        <r>
          <rPr>
            <sz val="9"/>
            <color indexed="81"/>
            <rFont val="Tahoma"/>
            <family val="2"/>
          </rPr>
          <t xml:space="preserve">
Amount of GMV processed through Shopify Payments</t>
        </r>
      </text>
    </comment>
    <comment ref="CQ52" authorId="2" shapeId="0" xr:uid="{9A4E8F3C-DAC9-4F59-ADDB-C765C4895C33}">
      <text>
        <r>
          <rPr>
            <b/>
            <sz val="9"/>
            <color indexed="81"/>
            <rFont val="Tahoma"/>
            <family val="2"/>
          </rPr>
          <t>Steven:</t>
        </r>
        <r>
          <rPr>
            <sz val="9"/>
            <color indexed="81"/>
            <rFont val="Tahoma"/>
            <family val="2"/>
          </rPr>
          <t xml:space="preserve">
from transcript
</t>
        </r>
      </text>
    </comment>
    <comment ref="CR52" authorId="2" shapeId="0" xr:uid="{D7731A6A-A997-424C-9249-7CF6E61A455B}">
      <text>
        <r>
          <rPr>
            <b/>
            <sz val="9"/>
            <color indexed="81"/>
            <rFont val="Tahoma"/>
            <family val="2"/>
          </rPr>
          <t>Steven:</t>
        </r>
        <r>
          <rPr>
            <sz val="9"/>
            <color indexed="81"/>
            <rFont val="Tahoma"/>
            <family val="2"/>
          </rPr>
          <t xml:space="preserve">
from transcript</t>
        </r>
      </text>
    </comment>
    <comment ref="CO73" authorId="1" shapeId="0" xr:uid="{80959B55-3D44-487F-9B3A-E8E37D0DFCF3}">
      <text>
        <r>
          <rPr>
            <b/>
            <sz val="9"/>
            <color indexed="81"/>
            <rFont val="Tahoma"/>
            <family val="2"/>
          </rPr>
          <t>Maxwell Spaeth:</t>
        </r>
        <r>
          <rPr>
            <sz val="9"/>
            <color indexed="81"/>
            <rFont val="Tahoma"/>
            <family val="2"/>
          </rPr>
          <t xml:space="preserve">
2023E total revenue 60% CAGR 2019-2023 - 2023 investor day</t>
        </r>
      </text>
    </comment>
    <comment ref="DI77" authorId="1" shapeId="0" xr:uid="{48A19FD7-262C-4177-9EEB-FEC19AD44CAF}">
      <text>
        <r>
          <rPr>
            <b/>
            <sz val="9"/>
            <color indexed="81"/>
            <rFont val="Tahoma"/>
            <family val="2"/>
          </rPr>
          <t>Maxwell Spaeth:</t>
        </r>
        <r>
          <rPr>
            <sz val="9"/>
            <color indexed="81"/>
            <rFont val="Tahoma"/>
            <family val="2"/>
          </rPr>
          <t xml:space="preserve">
decline y/y subs. svcs. price increase
60% of total revenue - 2023 investor day</t>
        </r>
      </text>
    </comment>
    <comment ref="CO78" authorId="1" shapeId="0" xr:uid="{BF58D9E4-B89B-460E-BA77-8335E013B32B}">
      <text>
        <r>
          <rPr>
            <b/>
            <sz val="9"/>
            <color indexed="81"/>
            <rFont val="Tahoma"/>
            <family val="2"/>
          </rPr>
          <t>Maxwell Spaeth:</t>
        </r>
        <r>
          <rPr>
            <sz val="9"/>
            <color indexed="81"/>
            <rFont val="Tahoma"/>
            <family val="2"/>
          </rPr>
          <t xml:space="preserve">
"scaled products" CAGR 2019-2023E: 66% (10% of 2023E revenue)
"emerging products" CAGR 2019-2023E: 71% (&lt;5% 2023E revenue)
</t>
        </r>
      </text>
    </comment>
    <comment ref="DI82" authorId="1" shapeId="0" xr:uid="{D3D6D174-5335-4011-8C3F-328E1B4C8195}">
      <text>
        <r>
          <rPr>
            <b/>
            <sz val="9"/>
            <color indexed="81"/>
            <rFont val="Tahoma"/>
            <family val="2"/>
          </rPr>
          <t>Maxwell Spaeth:</t>
        </r>
        <r>
          <rPr>
            <sz val="9"/>
            <color indexed="81"/>
            <rFont val="Tahoma"/>
            <family val="2"/>
          </rPr>
          <t xml:space="preserve">
15% of total revenue - 2023 investor day</t>
        </r>
      </text>
    </comment>
    <comment ref="DL84" authorId="1" shapeId="0" xr:uid="{25C17F4E-63D5-4175-B436-119A7FBE49DD}">
      <text>
        <r>
          <rPr>
            <b/>
            <sz val="9"/>
            <color indexed="81"/>
            <rFont val="Tahoma"/>
            <family val="2"/>
          </rPr>
          <t>Maxwell Spaeth:</t>
        </r>
        <r>
          <rPr>
            <sz val="9"/>
            <color indexed="81"/>
            <rFont val="Tahoma"/>
            <family val="2"/>
          </rPr>
          <t xml:space="preserve">
"International merchants increased 36% y/y"</t>
        </r>
      </text>
    </comment>
    <comment ref="DK95" authorId="1" shapeId="0" xr:uid="{F970FF44-8BE5-447C-834C-73E466D67082}">
      <text>
        <r>
          <rPr>
            <b/>
            <sz val="9"/>
            <color indexed="81"/>
            <rFont val="Tahoma"/>
            <family val="2"/>
          </rPr>
          <t>Maxwell Spaeth:</t>
        </r>
        <r>
          <rPr>
            <sz val="9"/>
            <color indexed="81"/>
            <rFont val="Tahoma"/>
            <family val="2"/>
          </rPr>
          <t xml:space="preserve">
"over 50% of the merchants that joined our platform in Q2 coming from outside the core English-speaking markets of the US, Canada, UK, Ireland, Australia and New Zealand"</t>
        </r>
      </text>
    </comment>
    <comment ref="DK98" authorId="1" shapeId="0" xr:uid="{0847DA2F-76CF-4372-A20F-635873FDF7E5}">
      <text>
        <r>
          <rPr>
            <b/>
            <sz val="9"/>
            <color indexed="81"/>
            <rFont val="Tahoma"/>
            <family val="2"/>
          </rPr>
          <t>Maxwell Spaeth:</t>
        </r>
        <r>
          <rPr>
            <sz val="9"/>
            <color indexed="81"/>
            <rFont val="Tahoma"/>
            <family val="2"/>
          </rPr>
          <t xml:space="preserve">
"This quarter represents the fifth straight quarter where we have delivered GMV growth in Europe exceeding 30%."</t>
        </r>
      </text>
    </comment>
    <comment ref="DN110" authorId="1" shapeId="0" xr:uid="{E2B3C012-B705-4901-BCE9-D56109E519D1}">
      <text>
        <r>
          <rPr>
            <b/>
            <sz val="9"/>
            <color indexed="81"/>
            <rFont val="Tahoma"/>
            <family val="2"/>
          </rPr>
          <t>Maxwell Spaeth:</t>
        </r>
        <r>
          <rPr>
            <sz val="9"/>
            <color indexed="81"/>
            <rFont val="Tahoma"/>
            <family val="2"/>
          </rPr>
          <t xml:space="preserve">
"international GMV continues to outpace the growth in North America, accelerating to greater than 30% growth in Q3"</t>
        </r>
      </text>
    </comment>
    <comment ref="BU131" authorId="1" shapeId="0" xr:uid="{7B307D81-0A43-49DF-94A4-31A256F2DF37}">
      <text>
        <r>
          <rPr>
            <b/>
            <sz val="9"/>
            <color indexed="81"/>
            <rFont val="Tahoma"/>
            <family val="2"/>
          </rPr>
          <t xml:space="preserve">Maxwell Spaeth:
</t>
        </r>
        <r>
          <rPr>
            <sz val="9"/>
            <color indexed="81"/>
            <rFont val="Tahoma"/>
            <family val="2"/>
          </rPr>
          <t>75% - 25% "ROW (ex-NA) mix - 2023 Investor Day</t>
        </r>
      </text>
    </comment>
    <comment ref="DI131" authorId="1" shapeId="0" xr:uid="{61E15E40-C874-402C-80CB-331F1CBF96B5}">
      <text>
        <r>
          <rPr>
            <b/>
            <sz val="9"/>
            <color indexed="81"/>
            <rFont val="Tahoma"/>
            <family val="2"/>
          </rPr>
          <t>Maxwell Spaeth:</t>
        </r>
        <r>
          <rPr>
            <sz val="9"/>
            <color indexed="81"/>
            <rFont val="Tahoma"/>
            <family val="2"/>
          </rPr>
          <t xml:space="preserve">
64% - 36% "ROW" - 2023 I. Day</t>
        </r>
      </text>
    </comment>
    <comment ref="DL131" authorId="1" shapeId="0" xr:uid="{EAFA5F4E-AE85-4C15-8350-078881810B64}">
      <text>
        <r>
          <rPr>
            <b/>
            <sz val="9"/>
            <color indexed="81"/>
            <rFont val="Tahoma"/>
            <family val="2"/>
          </rPr>
          <t>Maxwell Spaeth:</t>
        </r>
        <r>
          <rPr>
            <sz val="9"/>
            <color indexed="81"/>
            <rFont val="Tahoma"/>
            <family val="2"/>
          </rPr>
          <t xml:space="preserve">
"ex-NA accelerated to faster than North America; 30% growth in 3Q24" - 3Q24 call</t>
        </r>
      </text>
    </comment>
    <comment ref="CW204" authorId="1" shapeId="0" xr:uid="{FE025DF5-A0AD-41EA-9002-0FCE629A2426}">
      <text>
        <r>
          <rPr>
            <b/>
            <sz val="9"/>
            <color indexed="81"/>
            <rFont val="Tahoma"/>
            <family val="2"/>
          </rPr>
          <t>Maxwell Spaeth:</t>
        </r>
        <r>
          <rPr>
            <sz val="9"/>
            <color indexed="81"/>
            <rFont val="Tahoma"/>
            <family val="2"/>
          </rPr>
          <t xml:space="preserve">
"offline GMV has more than doublei in the past 3 years" - 3Q24 call</t>
        </r>
      </text>
    </comment>
    <comment ref="DF204" authorId="1" shapeId="0" xr:uid="{F5327FC7-7D7F-47EE-8D8B-4797425CDE73}">
      <text>
        <r>
          <rPr>
            <b/>
            <sz val="9"/>
            <color indexed="81"/>
            <rFont val="Tahoma"/>
            <family val="2"/>
          </rPr>
          <t>Maxwell Spaeth:</t>
        </r>
        <r>
          <rPr>
            <sz val="9"/>
            <color indexed="81"/>
            <rFont val="Tahoma"/>
            <family val="2"/>
          </rPr>
          <t xml:space="preserve">
"nearly 1/3 from Plus merchants"
</t>
        </r>
      </text>
    </comment>
    <comment ref="DK204" authorId="1" shapeId="0" xr:uid="{1E722A7E-AC7C-445A-9A25-CEF5D3BBE288}">
      <text>
        <r>
          <rPr>
            <b/>
            <sz val="9"/>
            <color indexed="81"/>
            <rFont val="Tahoma"/>
            <family val="2"/>
          </rPr>
          <t>Maxwell Spaeth:</t>
        </r>
        <r>
          <rPr>
            <sz val="9"/>
            <color indexed="81"/>
            <rFont val="Tahoma"/>
            <family val="2"/>
          </rPr>
          <t xml:space="preserve">
"offline business surpassed $100BN in cumulative GMV" - 2Q24 call</t>
        </r>
      </text>
    </comment>
    <comment ref="DK206" authorId="1" shapeId="0" xr:uid="{28F58332-B36A-438B-A12D-DF3900E3E6B4}">
      <text>
        <r>
          <rPr>
            <b/>
            <sz val="9"/>
            <color indexed="81"/>
            <rFont val="Tahoma"/>
            <family val="2"/>
          </rPr>
          <t>Maxwell Spaeth:</t>
        </r>
        <r>
          <rPr>
            <sz val="9"/>
            <color indexed="81"/>
            <rFont val="Tahoma"/>
            <family val="2"/>
          </rPr>
          <t xml:space="preserve">
"...EverEve and MAJOURI both of whom are launching online and offline with Shopify  ...combined &gt;130 locations across 4 regions" - 2Q24 call</t>
        </r>
      </text>
    </comment>
    <comment ref="DL206" authorId="1" shapeId="0" xr:uid="{3D96F103-852A-460E-A99C-5BBEF24351D6}">
      <text>
        <r>
          <rPr>
            <b/>
            <sz val="9"/>
            <color indexed="81"/>
            <rFont val="Tahoma"/>
            <family val="2"/>
          </rPr>
          <t>Maxwell Spaeth:</t>
        </r>
        <r>
          <rPr>
            <sz val="9"/>
            <color indexed="81"/>
            <rFont val="Tahoma"/>
            <family val="2"/>
          </rPr>
          <t xml:space="preserve">
"legendary women's fashion retailer, Laura, migrated their point-of-sale systems to Shopify, bringing over 130 stores in one of our largest point-of-sale migrations yet."</t>
        </r>
      </text>
    </comment>
    <comment ref="DK209" authorId="1" shapeId="0" xr:uid="{8327836F-3940-4C33-A41D-FC2E48F4F83C}">
      <text>
        <r>
          <rPr>
            <b/>
            <sz val="9"/>
            <color indexed="81"/>
            <rFont val="Tahoma"/>
            <family val="2"/>
          </rPr>
          <t>Maxwell Spaeth:</t>
        </r>
        <r>
          <rPr>
            <sz val="9"/>
            <color indexed="81"/>
            <rFont val="Tahoma"/>
            <family val="2"/>
          </rPr>
          <t xml:space="preserve">
highest ever quarter</t>
        </r>
      </text>
    </comment>
    <comment ref="DG210" authorId="1" shapeId="0" xr:uid="{F72B47B9-6216-4DF8-BB59-6A22BF25307D}">
      <text>
        <r>
          <rPr>
            <b/>
            <sz val="9"/>
            <color indexed="81"/>
            <rFont val="Tahoma"/>
            <family val="2"/>
          </rPr>
          <t>Maxwell Spaeth:</t>
        </r>
        <r>
          <rPr>
            <sz val="9"/>
            <color indexed="81"/>
            <rFont val="Tahoma"/>
            <family val="2"/>
          </rPr>
          <t xml:space="preserve">
"nearly doubled"</t>
        </r>
      </text>
    </comment>
    <comment ref="DK210" authorId="1" shapeId="0" xr:uid="{6ABCA244-F3B6-4D19-A6E0-D15DE90CDB1F}">
      <text>
        <r>
          <rPr>
            <b/>
            <sz val="9"/>
            <color indexed="81"/>
            <rFont val="Tahoma"/>
            <family val="2"/>
          </rPr>
          <t>Maxwell Spaeth:</t>
        </r>
        <r>
          <rPr>
            <sz val="9"/>
            <color indexed="81"/>
            <rFont val="Tahoma"/>
            <family val="2"/>
          </rPr>
          <t xml:space="preserve">
"6x increase in online orders"</t>
        </r>
      </text>
    </comment>
    <comment ref="DL210" authorId="1" shapeId="0" xr:uid="{F06ECC84-FE9A-452B-B4E0-1E8DE87203E8}">
      <text>
        <r>
          <rPr>
            <b/>
            <sz val="9"/>
            <color indexed="81"/>
            <rFont val="Tahoma"/>
            <family val="2"/>
          </rPr>
          <t>Maxwell Spaeth:</t>
        </r>
        <r>
          <rPr>
            <sz val="9"/>
            <color indexed="81"/>
            <rFont val="Tahoma"/>
            <family val="2"/>
          </rPr>
          <t xml:space="preserve">
"Q3 B2B GMV grew over 145% year-over-year and has now had five consecutive quarters of triple-digit growth"</t>
        </r>
      </text>
    </comment>
    <comment ref="DF216" authorId="1" shapeId="0" xr:uid="{6A811566-C179-469A-A616-2552026541EE}">
      <text>
        <r>
          <rPr>
            <b/>
            <sz val="9"/>
            <color indexed="81"/>
            <rFont val="Tahoma"/>
            <family val="2"/>
          </rPr>
          <t>Maxwell Spaeth:</t>
        </r>
        <r>
          <rPr>
            <sz val="9"/>
            <color indexed="81"/>
            <rFont val="Tahoma"/>
            <family val="2"/>
          </rPr>
          <t xml:space="preserve">
"we have now surpassed $100BN in cumulative GMV since its launch in 2017"</t>
        </r>
      </text>
    </comment>
    <comment ref="DL239" authorId="1" shapeId="0" xr:uid="{5D95BA21-8DD1-4353-8833-E5845A5D1DAE}">
      <text>
        <r>
          <rPr>
            <b/>
            <sz val="9"/>
            <color indexed="81"/>
            <rFont val="Tahoma"/>
            <family val="2"/>
          </rPr>
          <t>Maxwell Spaeth:</t>
        </r>
        <r>
          <rPr>
            <sz val="9"/>
            <color indexed="81"/>
            <rFont val="Tahoma"/>
            <family val="2"/>
          </rPr>
          <t xml:space="preserve">
rounding on reported percentages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Maxwell Spaeth</author>
    <author>Chang, Steven</author>
  </authors>
  <commentList>
    <comment ref="AN90" authorId="0" shapeId="0" xr:uid="{1BC7333B-48B7-4ABC-9507-BA44E2C61E85}">
      <text>
        <r>
          <rPr>
            <b/>
            <sz val="9"/>
            <color indexed="81"/>
            <rFont val="Tahoma"/>
            <family val="2"/>
          </rPr>
          <t>Maxwell Spaeth:</t>
        </r>
        <r>
          <rPr>
            <sz val="9"/>
            <color indexed="81"/>
            <rFont val="Tahoma"/>
            <family val="2"/>
          </rPr>
          <t xml:space="preserve">
rounding</t>
        </r>
      </text>
    </comment>
    <comment ref="E224" authorId="0" shapeId="0" xr:uid="{05316415-A4DF-41D1-9B58-7F3940067EF0}">
      <text>
        <r>
          <rPr>
            <b/>
            <sz val="9"/>
            <color indexed="81"/>
            <rFont val="Tahoma"/>
            <family val="2"/>
          </rPr>
          <t>Maxwell Spaeth:</t>
        </r>
        <r>
          <rPr>
            <sz val="9"/>
            <color indexed="81"/>
            <rFont val="Tahoma"/>
            <family val="2"/>
          </rPr>
          <t xml:space="preserve">
MRR does not include VPF from Plus merchants</t>
        </r>
      </text>
    </comment>
    <comment ref="Q224" authorId="0" shapeId="0" xr:uid="{2F9B7112-6A5E-4E2D-9ABA-0083B41AADAB}">
      <text>
        <r>
          <rPr>
            <b/>
            <sz val="9"/>
            <color indexed="81"/>
            <rFont val="Tahoma"/>
            <family val="2"/>
          </rPr>
          <t>Maxwell Spaeth:</t>
        </r>
        <r>
          <rPr>
            <sz val="9"/>
            <color indexed="81"/>
            <rFont val="Tahoma"/>
            <family val="2"/>
          </rPr>
          <t xml:space="preserve">
26% reported 2Q22 PR</t>
        </r>
      </text>
    </comment>
    <comment ref="T224" authorId="1" shapeId="0" xr:uid="{58D3176D-821D-4CC5-B41D-F2920E29889E}">
      <text>
        <r>
          <rPr>
            <b/>
            <sz val="9"/>
            <color indexed="81"/>
            <rFont val="Tahoma"/>
            <family val="2"/>
          </rPr>
          <t>Chang, Steven:</t>
        </r>
        <r>
          <rPr>
            <sz val="9"/>
            <color indexed="81"/>
            <rFont val="Tahoma"/>
            <family val="2"/>
          </rPr>
          <t xml:space="preserve">
from 1Q22 preselease</t>
        </r>
      </text>
    </comment>
    <comment ref="AD224" authorId="0" shapeId="0" xr:uid="{4D6B74BD-D4B8-4F2E-96FE-98D54AEBB0A9}">
      <text>
        <r>
          <rPr>
            <b/>
            <sz val="9"/>
            <color indexed="81"/>
            <rFont val="Tahoma"/>
            <family val="2"/>
          </rPr>
          <t>Maxwell Spaeth:</t>
        </r>
        <r>
          <rPr>
            <sz val="9"/>
            <color indexed="81"/>
            <rFont val="Tahoma"/>
            <family val="2"/>
          </rPr>
          <t xml:space="preserve">
Plus represented 31% of MRR for the quarter, consistent with 2Q</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<sst xmlns="http://schemas.openxmlformats.org/spreadsheetml/2006/main" count="1747" uniqueCount="804">
  <si>
    <t>Estimates</t>
  </si>
  <si>
    <t>% growth</t>
  </si>
  <si>
    <t>EBITDA</t>
  </si>
  <si>
    <t>Revenue</t>
  </si>
  <si>
    <t>Operating expenses</t>
  </si>
  <si>
    <t>Assets</t>
  </si>
  <si>
    <t>Current assets</t>
  </si>
  <si>
    <t>Liabilities</t>
  </si>
  <si>
    <t>Current liabilities</t>
  </si>
  <si>
    <t>Cash from operations</t>
  </si>
  <si>
    <t>Cash from financing</t>
  </si>
  <si>
    <t>Financing cash flow</t>
  </si>
  <si>
    <t>Net cash (debt)</t>
  </si>
  <si>
    <t>1998A</t>
  </si>
  <si>
    <t>% potential appreciation</t>
  </si>
  <si>
    <t>2000A</t>
  </si>
  <si>
    <t>1999A</t>
  </si>
  <si>
    <t>2001A</t>
  </si>
  <si>
    <t>2002A</t>
  </si>
  <si>
    <t>Net cash (debt), projected</t>
  </si>
  <si>
    <t>Enterprise value</t>
  </si>
  <si>
    <t>Free cash flow per share</t>
  </si>
  <si>
    <t>Cash</t>
  </si>
  <si>
    <t>Market capitalization</t>
  </si>
  <si>
    <t>EV/Revenue</t>
  </si>
  <si>
    <t>P/E</t>
  </si>
  <si>
    <t>Margins</t>
  </si>
  <si>
    <t>Net revenue</t>
  </si>
  <si>
    <t>Stock-based compensation</t>
  </si>
  <si>
    <t>Depreciation &amp; amortization</t>
  </si>
  <si>
    <t>Other one-time, after-tax expense</t>
  </si>
  <si>
    <t>Cash taxes</t>
  </si>
  <si>
    <t>Non-cash taxes</t>
  </si>
  <si>
    <t>Reported GAAP net income</t>
  </si>
  <si>
    <t>Reported taxes</t>
  </si>
  <si>
    <t>Value</t>
  </si>
  <si>
    <t>Total Equity Value</t>
  </si>
  <si>
    <t>Sensitivity Analysis</t>
  </si>
  <si>
    <t>Depreciation</t>
  </si>
  <si>
    <t>Free Cash Flow</t>
  </si>
  <si>
    <t>Beta</t>
  </si>
  <si>
    <t>WACC</t>
  </si>
  <si>
    <t>FCF Multiple</t>
  </si>
  <si>
    <t>- Capital expenditures</t>
  </si>
  <si>
    <t>Cash from operating activities</t>
  </si>
  <si>
    <t>Cash from investments</t>
  </si>
  <si>
    <t>Currency effect</t>
  </si>
  <si>
    <t>Cash flow from discontinued operations</t>
  </si>
  <si>
    <t>Intangible amortization</t>
  </si>
  <si>
    <t>Receivables</t>
  </si>
  <si>
    <t>Capital expenditures</t>
  </si>
  <si>
    <t>Debt</t>
  </si>
  <si>
    <t>Net cash (debt) calculation</t>
  </si>
  <si>
    <t>Other current assets</t>
  </si>
  <si>
    <t>Plant &amp; equipment, net</t>
  </si>
  <si>
    <t>Retained earnings (deficit)</t>
  </si>
  <si>
    <t>Tax effect of one-time items</t>
  </si>
  <si>
    <t>Discounted Cash Flow</t>
  </si>
  <si>
    <t>+ Adjustment</t>
  </si>
  <si>
    <t>FCF/diluted share</t>
  </si>
  <si>
    <t>Other (expenses)/income</t>
  </si>
  <si>
    <t>Gross margin</t>
  </si>
  <si>
    <t>FCF/diluted share growth</t>
  </si>
  <si>
    <t>Equity value</t>
  </si>
  <si>
    <t>Price target</t>
  </si>
  <si>
    <t>% margin</t>
  </si>
  <si>
    <t>Basic shares outstanding</t>
  </si>
  <si>
    <t>Free Cash Flow Estimates</t>
  </si>
  <si>
    <t>FCF in Terminal Year</t>
  </si>
  <si>
    <t>Discount Rate</t>
  </si>
  <si>
    <t>Leverage (Net debt/EBITDA)</t>
  </si>
  <si>
    <t>Interest coverage (EBITDA/Interest expense)</t>
  </si>
  <si>
    <t>$ in millions, except per share figures</t>
  </si>
  <si>
    <t>PV of Terminal Value</t>
  </si>
  <si>
    <t>Net acquisitions/other investing</t>
  </si>
  <si>
    <t>Other</t>
  </si>
  <si>
    <t>Low</t>
  </si>
  <si>
    <t>High</t>
  </si>
  <si>
    <t>Non-GAAP EPS</t>
  </si>
  <si>
    <t>New</t>
  </si>
  <si>
    <t>Old</t>
  </si>
  <si>
    <t>Cons.</t>
  </si>
  <si>
    <t>Quarterly Summary Box</t>
  </si>
  <si>
    <t>Valuation and Estimates Summary</t>
  </si>
  <si>
    <t>Dividend</t>
  </si>
  <si>
    <t>Liabilities &amp; Equity</t>
  </si>
  <si>
    <t>Treasury stock, at cost</t>
  </si>
  <si>
    <t>Cash from Operations</t>
  </si>
  <si>
    <t>EPS</t>
  </si>
  <si>
    <t>Recurring net income</t>
  </si>
  <si>
    <t>Leverage and Return Analysis</t>
  </si>
  <si>
    <t>Return on Invested Capital</t>
  </si>
  <si>
    <t xml:space="preserve">Return on Assets </t>
  </si>
  <si>
    <t xml:space="preserve">Return on Equity </t>
  </si>
  <si>
    <t>Mean</t>
  </si>
  <si>
    <t>DCF Summary</t>
  </si>
  <si>
    <t>Triangulated</t>
  </si>
  <si>
    <t>Adjusted EBITDA</t>
  </si>
  <si>
    <t>Implied Tgt. Multiples</t>
  </si>
  <si>
    <t>Target Multiple</t>
  </si>
  <si>
    <t>Terminal Mult.</t>
  </si>
  <si>
    <t>Enterprise Value</t>
  </si>
  <si>
    <t>Current Trading Multiples</t>
  </si>
  <si>
    <t>Scenario Analysis</t>
  </si>
  <si>
    <t>Fundamental Drivers</t>
  </si>
  <si>
    <t>Base Case</t>
  </si>
  <si>
    <t>Target EBITDA multiple</t>
  </si>
  <si>
    <t>Total revenue</t>
  </si>
  <si>
    <t>Total revenue growth</t>
  </si>
  <si>
    <t>Shares outstanding, projected</t>
  </si>
  <si>
    <t>Projected target</t>
  </si>
  <si>
    <t>Scenario likelihood</t>
  </si>
  <si>
    <t>EBITDA margin delta</t>
  </si>
  <si>
    <t>Target multiple delta</t>
  </si>
  <si>
    <t>% upside/downside</t>
  </si>
  <si>
    <t>Target price</t>
  </si>
  <si>
    <t>Check</t>
  </si>
  <si>
    <t>Terminal Value Calculation</t>
  </si>
  <si>
    <t>WACC Calculation</t>
  </si>
  <si>
    <t>Total capital</t>
  </si>
  <si>
    <t>Terminal Value</t>
  </si>
  <si>
    <t>10-year rate</t>
  </si>
  <si>
    <t>Equity Value Calculation</t>
  </si>
  <si>
    <t>Per Sh.</t>
  </si>
  <si>
    <t>Equity premium</t>
  </si>
  <si>
    <t>Cost of equity</t>
  </si>
  <si>
    <t>Cost of debt</t>
  </si>
  <si>
    <t>Tax rate</t>
  </si>
  <si>
    <t>Trough multiple</t>
  </si>
  <si>
    <t>Current multiple</t>
  </si>
  <si>
    <t>Current target multiple</t>
  </si>
  <si>
    <t>Strong multiple expansion</t>
  </si>
  <si>
    <t>except per share data</t>
  </si>
  <si>
    <t>EV/EBIT</t>
  </si>
  <si>
    <t xml:space="preserve">Consensus </t>
  </si>
  <si>
    <t>Consensus</t>
  </si>
  <si>
    <t xml:space="preserve">Gross </t>
  </si>
  <si>
    <t>EBIT</t>
  </si>
  <si>
    <t>Market Capitalization</t>
  </si>
  <si>
    <t>FCF Yield</t>
  </si>
  <si>
    <t>% yoy growth</t>
  </si>
  <si>
    <t>% sequential growth</t>
  </si>
  <si>
    <t>Strong Bear Case</t>
  </si>
  <si>
    <t>Weak Bear Case</t>
  </si>
  <si>
    <t>Weak Bull Case</t>
  </si>
  <si>
    <t>Strong Bull Case</t>
  </si>
  <si>
    <t xml:space="preserve">$ in millions, </t>
  </si>
  <si>
    <t xml:space="preserve">Terminal Multiple of FCF </t>
  </si>
  <si>
    <t>Cash paid for taxes</t>
  </si>
  <si>
    <t>Growth rates</t>
  </si>
  <si>
    <t>Other income (expense)</t>
  </si>
  <si>
    <t>North America</t>
  </si>
  <si>
    <t>Non-GAAP, EBITDA reconcilliation</t>
  </si>
  <si>
    <t>Selling and marketing expense</t>
  </si>
  <si>
    <t>General and administrative expense</t>
  </si>
  <si>
    <t>Cost of revenue</t>
  </si>
  <si>
    <t>Other adjustments, net</t>
  </si>
  <si>
    <t>Deferred revenue/other working capital</t>
  </si>
  <si>
    <t>Income taxes payable</t>
  </si>
  <si>
    <t>Payables and accrued expenses</t>
  </si>
  <si>
    <t>Stock-based compensation expense</t>
  </si>
  <si>
    <t>check</t>
  </si>
  <si>
    <t>GAAP diluted shares outstanding</t>
  </si>
  <si>
    <t>Sum-of-the-Parts</t>
  </si>
  <si>
    <t>Multiple</t>
  </si>
  <si>
    <t>Shares outstanding</t>
  </si>
  <si>
    <t>% of EV</t>
  </si>
  <si>
    <t>Actual</t>
  </si>
  <si>
    <t>Non-GAAP tax rate</t>
  </si>
  <si>
    <t>Add-back: stock-based compensation</t>
  </si>
  <si>
    <t>GAAP net income</t>
  </si>
  <si>
    <t>Mild multiple expansion</t>
  </si>
  <si>
    <t>Adjusted EBITDA margin</t>
  </si>
  <si>
    <t xml:space="preserve"> </t>
  </si>
  <si>
    <t>Total operating costs</t>
  </si>
  <si>
    <t>This sheet contains FactSet XML data for use with this workbook's =FDS codes.  Modifying the worksheet's contents may damage the workbook's =FDS functionality.</t>
  </si>
  <si>
    <t>A</t>
  </si>
  <si>
    <t>E</t>
  </si>
  <si>
    <t>Net Income</t>
  </si>
  <si>
    <t>Adj. EBITDA</t>
  </si>
  <si>
    <t>Total liabilities</t>
  </si>
  <si>
    <t>Capex</t>
  </si>
  <si>
    <t>CAPEX</t>
  </si>
  <si>
    <t>Adjusted EPS</t>
  </si>
  <si>
    <t>Adjusted Net Income</t>
  </si>
  <si>
    <t>DCF</t>
  </si>
  <si>
    <t>FCF</t>
  </si>
  <si>
    <t>Canada</t>
  </si>
  <si>
    <t>Latin America</t>
  </si>
  <si>
    <t>OPEX</t>
  </si>
  <si>
    <t>2016A</t>
  </si>
  <si>
    <t xml:space="preserve">Selling and Marketing </t>
  </si>
  <si>
    <t>Cash paid for interest</t>
  </si>
  <si>
    <t>Recurring taxes</t>
  </si>
  <si>
    <t>2017A</t>
  </si>
  <si>
    <t>Subscribers in thousands, $ in millions</t>
  </si>
  <si>
    <t>EV/Adj. EBITDA</t>
  </si>
  <si>
    <t>Total Revenue</t>
  </si>
  <si>
    <t>Net change in cash, cash equivalents, and restricted cash</t>
  </si>
  <si>
    <t>Cash, cash equivalents, and restricted cash, beginning of period</t>
  </si>
  <si>
    <t>Cash, cash equivalents, and restricted cash, end of period</t>
  </si>
  <si>
    <t>Reconciliation of cash, cash equivalents, and restricted cash</t>
  </si>
  <si>
    <t>Total cash, cash equivalents, and restricted cash</t>
  </si>
  <si>
    <t>Less restricted cash, included in prepaid expenses and other current assets</t>
  </si>
  <si>
    <t>Cash and cash equivalents, end of period</t>
  </si>
  <si>
    <t>Other assets/deferred income taxes</t>
  </si>
  <si>
    <t>Adjusted diluted shares outstanding</t>
  </si>
  <si>
    <t>'20 Adj. EBITDA</t>
  </si>
  <si>
    <t>2018A</t>
  </si>
  <si>
    <t xml:space="preserve">  </t>
  </si>
  <si>
    <t>% of revenue</t>
  </si>
  <si>
    <t>Cash Flow</t>
  </si>
  <si>
    <t>2019A</t>
  </si>
  <si>
    <t>FCF conversion ratio</t>
  </si>
  <si>
    <t>as % of revenue</t>
  </si>
  <si>
    <t xml:space="preserve">Equity </t>
  </si>
  <si>
    <t>Implied Terminal Year GR</t>
  </si>
  <si>
    <t>Common &amp; paid-in capital &amp; Other</t>
  </si>
  <si>
    <t>Common equity and other</t>
  </si>
  <si>
    <t>Balance Sheet Drivers</t>
  </si>
  <si>
    <t>Accounts Receivable Days</t>
  </si>
  <si>
    <t>Accounts Payable Days</t>
  </si>
  <si>
    <t>Other Current Assets as % of revenue</t>
  </si>
  <si>
    <t>Accrued and Other as % of revenue</t>
  </si>
  <si>
    <t>Net Debt to Equity</t>
  </si>
  <si>
    <t>BUMBL-US</t>
  </si>
  <si>
    <t>Diluted shares</t>
  </si>
  <si>
    <t>2020A</t>
  </si>
  <si>
    <t>Factset consensus total revenue</t>
  </si>
  <si>
    <t>Total Gross Profit</t>
  </si>
  <si>
    <t>Subscription Solutions CoR</t>
  </si>
  <si>
    <t>Merchant Solutions CoR</t>
  </si>
  <si>
    <t>Subscription Solutions Gross margin</t>
  </si>
  <si>
    <t>Merchant Solutions Gross margin</t>
  </si>
  <si>
    <t>Subscription Solution Gross Profit</t>
  </si>
  <si>
    <t>Merchant Solutions Gross Profit</t>
  </si>
  <si>
    <t>Research and Development</t>
  </si>
  <si>
    <t>General and Administrative</t>
  </si>
  <si>
    <t>Transaction and loan losses</t>
  </si>
  <si>
    <t>EBIT (operating income)</t>
  </si>
  <si>
    <t>Pre-tax Income</t>
  </si>
  <si>
    <t>Effective tax rate</t>
  </si>
  <si>
    <t>GAAP Net Income</t>
  </si>
  <si>
    <t>GAAP Diluted EPS</t>
  </si>
  <si>
    <t>Operating income (EBIT)</t>
  </si>
  <si>
    <t>Research and Development expense</t>
  </si>
  <si>
    <t>Amortization of Acquired Intangibles</t>
  </si>
  <si>
    <t>Total amortization of acquired intangibles</t>
  </si>
  <si>
    <t>Payroll Taxes related to SBC</t>
  </si>
  <si>
    <t>Total Gross margin</t>
  </si>
  <si>
    <t>Total Payroll Taxes related to SBC</t>
  </si>
  <si>
    <t>Deferred income taxes (benefit)</t>
  </si>
  <si>
    <t>Unrealized gain on equity and other investments</t>
  </si>
  <si>
    <t>Proceeds from public equity offerings, net of issuance</t>
  </si>
  <si>
    <t>Proceeds from exercise of stock options</t>
  </si>
  <si>
    <t>Income tax assets and liabilities</t>
  </si>
  <si>
    <t>Acquisition of Intangible assets</t>
  </si>
  <si>
    <t>Acquisition of Business, net of cash acquired</t>
  </si>
  <si>
    <t>Purchase of marketable securities</t>
  </si>
  <si>
    <t>Maturity of marketable securities</t>
  </si>
  <si>
    <t>Shopify</t>
  </si>
  <si>
    <t>% of subscription revenue</t>
  </si>
  <si>
    <t>% of merchant revenue</t>
  </si>
  <si>
    <t>Marketable Securities</t>
  </si>
  <si>
    <t>Income Taxes Receivable</t>
  </si>
  <si>
    <t>Intangible Assets, net</t>
  </si>
  <si>
    <t>Right-of-use assets, net</t>
  </si>
  <si>
    <t>Deferred tax assets</t>
  </si>
  <si>
    <t>Equity and other investments</t>
  </si>
  <si>
    <t>Goodwill</t>
  </si>
  <si>
    <t>Merchant cash advances, loans and related receivables, net</t>
  </si>
  <si>
    <t>Accounts payable and accrued liabilities</t>
  </si>
  <si>
    <t>Convertible senior notes</t>
  </si>
  <si>
    <t>Deferred tax liabilities</t>
  </si>
  <si>
    <t>Total Cost of Revenue</t>
  </si>
  <si>
    <t>ST Deferred revenue</t>
  </si>
  <si>
    <t>LT Deferred revenue</t>
  </si>
  <si>
    <t>Cash, Cash Equivalents, and Marketable Securities</t>
  </si>
  <si>
    <t>Foreign Exchange Gain</t>
  </si>
  <si>
    <t>Interest Expense</t>
  </si>
  <si>
    <t>Interest Income</t>
  </si>
  <si>
    <t>Interest Income (Expense), net</t>
  </si>
  <si>
    <t>Merchant cash advances, loans and related receivables</t>
  </si>
  <si>
    <t>Monthly Recurring Revenue (MRR) in $Mns</t>
  </si>
  <si>
    <t>Operating KPIs</t>
  </si>
  <si>
    <t>Monthly Billings Retention Rate (MBRR)</t>
  </si>
  <si>
    <t>100%+</t>
  </si>
  <si>
    <t>Add-back: payroll taxes related to stock-based 
compensation</t>
  </si>
  <si>
    <t>Add-back: amortization of acquired intangibles</t>
  </si>
  <si>
    <t>Add: income tax effects related to non-GAAP adjustments</t>
  </si>
  <si>
    <t>Less: net unrealized gain on equity and other investments</t>
  </si>
  <si>
    <t>Lease liabilities, current</t>
  </si>
  <si>
    <t>Lease liabilities, non-current</t>
  </si>
  <si>
    <t>Net Adds</t>
  </si>
  <si>
    <t>Basic Annual Recurring Revenue (ARR)</t>
  </si>
  <si>
    <t>Subscription Revenue</t>
  </si>
  <si>
    <t>Basic Qtrly Recurring Revenue (QRR)</t>
  </si>
  <si>
    <t>+/- bps yoy</t>
  </si>
  <si>
    <t>+/- bps qoq</t>
  </si>
  <si>
    <t>Non-GAAP Adjustment Drivers</t>
  </si>
  <si>
    <t>Cost of revenue as % of revenue</t>
  </si>
  <si>
    <t>Selling and marketing expense as % of revenue</t>
  </si>
  <si>
    <t>Research and Development expense as % of revenue</t>
  </si>
  <si>
    <t>General and administrative expense as % of revenue</t>
  </si>
  <si>
    <t>2024E</t>
  </si>
  <si>
    <t>Marketable Securities as a % of revenue</t>
  </si>
  <si>
    <t>Merchant cash advances, loans and related receivables, net as a % of rev</t>
  </si>
  <si>
    <t>Income taxes payable as a % of expenses</t>
  </si>
  <si>
    <t>ST Deferred Revenue as % of revenue</t>
  </si>
  <si>
    <t>LT Deferred Revenue as % of revenue</t>
  </si>
  <si>
    <t>Subscription Solution Revenue</t>
  </si>
  <si>
    <t>Merchant Solution Revenue</t>
  </si>
  <si>
    <t>Gross Merchandise Value (GMV)</t>
  </si>
  <si>
    <t>Gross Merchandise Value (GMV) in $mns</t>
  </si>
  <si>
    <t>Subscription Solution Revenues Breakdown</t>
  </si>
  <si>
    <t>MRR - Core as %</t>
  </si>
  <si>
    <t>MRR - Shopify Plus as %</t>
  </si>
  <si>
    <t>Apps, Themes, Domains, Shopify Plus Platform Fee Revenue as %</t>
  </si>
  <si>
    <t>Shopify GMV</t>
  </si>
  <si>
    <t>Shopify Total Merchants</t>
  </si>
  <si>
    <t>Shopify Avg. Sub per Merchant</t>
  </si>
  <si>
    <t>Shopify Take Rate</t>
  </si>
  <si>
    <t>Shopify Total Merchants (in 000s)</t>
  </si>
  <si>
    <t>Shopify Avg. Sub Rev Per Merchant</t>
  </si>
  <si>
    <t>Shopify Avg. Sub Rev per Merchant</t>
  </si>
  <si>
    <t>Shopify GMV in $mns</t>
  </si>
  <si>
    <t>Shopify GMV ($mns)</t>
  </si>
  <si>
    <t>Drivers</t>
  </si>
  <si>
    <t>Merchant Breakdown by Geo</t>
  </si>
  <si>
    <t>US</t>
  </si>
  <si>
    <t>EMEA</t>
  </si>
  <si>
    <t>UK</t>
  </si>
  <si>
    <t>APAC</t>
  </si>
  <si>
    <t>Australia</t>
  </si>
  <si>
    <t>Average GMV per Merchant</t>
  </si>
  <si>
    <t>% of total revenue</t>
  </si>
  <si>
    <t>2021A</t>
  </si>
  <si>
    <t>Payments Revenue</t>
  </si>
  <si>
    <t>% qoq growth</t>
  </si>
  <si>
    <t>% of merchant Solutions rev</t>
  </si>
  <si>
    <t>3P Pay Take Rate</t>
  </si>
  <si>
    <t>Total Payments Revenue</t>
  </si>
  <si>
    <t>% of Total GMV</t>
  </si>
  <si>
    <t>Operating Expenses</t>
  </si>
  <si>
    <t>as % of Adj. EBITDA</t>
  </si>
  <si>
    <t>FCF Margin</t>
  </si>
  <si>
    <t>Merchant Solution Revenues</t>
  </si>
  <si>
    <t>Non-Payments Merchant Solution Revenue</t>
  </si>
  <si>
    <t>Subscription Solution Revenues</t>
  </si>
  <si>
    <t>FIX OFFSET FORMULA to pull from year as well (not just qtr)</t>
  </si>
  <si>
    <t>Adjusted Operating Income</t>
  </si>
  <si>
    <t>Unrealized loss (gain) on equity and other investments</t>
  </si>
  <si>
    <t>2025E</t>
  </si>
  <si>
    <t>Equity method investment</t>
  </si>
  <si>
    <t>Total changes in working capital</t>
  </si>
  <si>
    <t>Supplemental Cash Flow Information</t>
  </si>
  <si>
    <t>Lease liabilities arising from obtaining right-of-use assets</t>
  </si>
  <si>
    <t>Acquired property and equipment remaining unpaid</t>
  </si>
  <si>
    <t>Cash paid for income taxes, reported</t>
  </si>
  <si>
    <t>Non-working capittal OCF</t>
  </si>
  <si>
    <t>Gross profit</t>
  </si>
  <si>
    <t>Shares</t>
  </si>
  <si>
    <t>Subscription Solutions revenue</t>
  </si>
  <si>
    <t>Merchant Solutions revenue</t>
  </si>
  <si>
    <t>Net Cash (Debt)</t>
  </si>
  <si>
    <t>Charts and Exhibits</t>
  </si>
  <si>
    <t>Factset codes</t>
  </si>
  <si>
    <t>SHOP-US</t>
  </si>
  <si>
    <t>GMV</t>
  </si>
  <si>
    <t>SPEC_GROSS_1</t>
  </si>
  <si>
    <t>SALES</t>
  </si>
  <si>
    <t>PRODLINE_SALES_1</t>
  </si>
  <si>
    <t>PRODLINE_SALES_2</t>
  </si>
  <si>
    <t>EBITDA_ADJ</t>
  </si>
  <si>
    <t>NETBG</t>
  </si>
  <si>
    <t>Custom_EPS</t>
  </si>
  <si>
    <t>BFNG</t>
  </si>
  <si>
    <t>EAG</t>
  </si>
  <si>
    <t>Year</t>
  </si>
  <si>
    <t>Quarter</t>
  </si>
  <si>
    <t>2022A</t>
  </si>
  <si>
    <t>Prior Cons.</t>
  </si>
  <si>
    <t>Chg.</t>
  </si>
  <si>
    <t>New Cons. Vs Prior Cons.</t>
  </si>
  <si>
    <t>New Cons.</t>
  </si>
  <si>
    <t>New Val vs Prior Cons.</t>
  </si>
  <si>
    <t>New Val vs New Cons.</t>
  </si>
  <si>
    <t>2026E</t>
  </si>
  <si>
    <t>2027E</t>
  </si>
  <si>
    <t>Total stock-based compensation and related payroll taxes</t>
  </si>
  <si>
    <t>Long-term Liabilities</t>
  </si>
  <si>
    <t>Total Equity</t>
  </si>
  <si>
    <t>NSR vs consensus</t>
  </si>
  <si>
    <t>Source: Company reports, New Street Research estimates</t>
  </si>
  <si>
    <t>Large Cap Comp Group Historical Multiples ('17-present)</t>
  </si>
  <si>
    <t>Historical Valuation Data</t>
  </si>
  <si>
    <t>Large Cap EV/EBITDA</t>
  </si>
  <si>
    <t>Large Cap P/E</t>
  </si>
  <si>
    <t>Large Cap EV/revenue</t>
  </si>
  <si>
    <t>SHOP Mean</t>
  </si>
  <si>
    <t>SHOP P/E</t>
  </si>
  <si>
    <t>SHOP EV/revenue</t>
  </si>
  <si>
    <t>Target stress test (EV/Adj. EBITDA)</t>
  </si>
  <si>
    <t>&lt;--- 2025 Adj. EBITDA growth</t>
  </si>
  <si>
    <t>2023A</t>
  </si>
  <si>
    <t>Provision for transaction and loan losses</t>
  </si>
  <si>
    <t>Revenue related to non-cash consideration</t>
  </si>
  <si>
    <t>Unrealized foreign exchange (gain) loss</t>
  </si>
  <si>
    <t>Purchases and originations of loans</t>
  </si>
  <si>
    <t>Repayments and sales of loans</t>
  </si>
  <si>
    <t>Purchase of equity and other investments</t>
  </si>
  <si>
    <t>APIC</t>
  </si>
  <si>
    <t>AOCI</t>
  </si>
  <si>
    <t xml:space="preserve">Monthly Recurring Revenue (MRR) </t>
  </si>
  <si>
    <t>Total Merchants on Platform (in 000s)</t>
  </si>
  <si>
    <t>Average Subscription Revenue Per Merchant (ARPM)</t>
  </si>
  <si>
    <t>Other and one-time expenses</t>
  </si>
  <si>
    <t>Source: Company reports and New Street Research</t>
  </si>
  <si>
    <t>- Capex</t>
  </si>
  <si>
    <t>Current stock price</t>
  </si>
  <si>
    <t>CAGR '24-'27E</t>
  </si>
  <si>
    <t>PV of FCF '24-30</t>
  </si>
  <si>
    <t>Live</t>
  </si>
  <si>
    <t>Previous</t>
  </si>
  <si>
    <t>$ in M except EPS</t>
  </si>
  <si>
    <t>NSR Prior</t>
  </si>
  <si>
    <t>% ▲</t>
  </si>
  <si>
    <t>vs Cons.</t>
  </si>
  <si>
    <t>NSR New</t>
  </si>
  <si>
    <t>Prior</t>
  </si>
  <si>
    <t>Old Cons.</t>
  </si>
  <si>
    <t>TOTALSALES</t>
  </si>
  <si>
    <t>TOTALSALESYY</t>
  </si>
  <si>
    <t>y/y growth %</t>
  </si>
  <si>
    <t>GP</t>
  </si>
  <si>
    <t>GPMARGIN</t>
  </si>
  <si>
    <t>Gross margin %</t>
  </si>
  <si>
    <t>Total operating profit</t>
  </si>
  <si>
    <t>EBITMARGIN</t>
  </si>
  <si>
    <t>Operating margin %</t>
  </si>
  <si>
    <t>Margin %</t>
  </si>
  <si>
    <t>ADJEBITDA</t>
  </si>
  <si>
    <t>ADJEBITDAMARGIN</t>
  </si>
  <si>
    <t>NETINCOME</t>
  </si>
  <si>
    <t>NETINCOMEYY</t>
  </si>
  <si>
    <t>CFO</t>
  </si>
  <si>
    <t>CFOYY</t>
  </si>
  <si>
    <t>CapEx</t>
  </si>
  <si>
    <t>CAPEXYY</t>
  </si>
  <si>
    <t>CAPEXMARGIN</t>
  </si>
  <si>
    <t>% of sales</t>
  </si>
  <si>
    <t>FCFYY</t>
  </si>
  <si>
    <t>FCFMARGIN</t>
  </si>
  <si>
    <t>$ in millions</t>
  </si>
  <si>
    <t>Current quarter end date</t>
  </si>
  <si>
    <t>Estimate Changes</t>
  </si>
  <si>
    <t>Income</t>
  </si>
  <si>
    <t>ChangeLog</t>
  </si>
  <si>
    <t>Summary</t>
  </si>
  <si>
    <t>Scenario</t>
  </si>
  <si>
    <t>Balance Sheet</t>
  </si>
  <si>
    <t>Revenue Build</t>
  </si>
  <si>
    <t>Changes to Estimates</t>
  </si>
  <si>
    <t>Charts</t>
  </si>
  <si>
    <t>2020/1F</t>
  </si>
  <si>
    <t>2020/2F</t>
  </si>
  <si>
    <t>2020/3F</t>
  </si>
  <si>
    <t>2020/4F</t>
  </si>
  <si>
    <t>2021/1F</t>
  </si>
  <si>
    <t>2021/2F</t>
  </si>
  <si>
    <t>2021/3F</t>
  </si>
  <si>
    <t>2021/4F</t>
  </si>
  <si>
    <t>2022/1F</t>
  </si>
  <si>
    <t>2022/2F</t>
  </si>
  <si>
    <t>2022/3F</t>
  </si>
  <si>
    <t>2022/4F</t>
  </si>
  <si>
    <t>2023/1F</t>
  </si>
  <si>
    <t>2023/2F</t>
  </si>
  <si>
    <t>2023/3F</t>
  </si>
  <si>
    <t>2023/4F</t>
  </si>
  <si>
    <t>2024/1F</t>
  </si>
  <si>
    <t>2024/2F</t>
  </si>
  <si>
    <t>2024/3F</t>
  </si>
  <si>
    <t>2024/4F</t>
  </si>
  <si>
    <t>2025/1F</t>
  </si>
  <si>
    <t>2025/2F</t>
  </si>
  <si>
    <t>2025/3F</t>
  </si>
  <si>
    <t>2025/4F</t>
  </si>
  <si>
    <t>TOTALSALESQQ</t>
  </si>
  <si>
    <t>GPYY</t>
  </si>
  <si>
    <t>GPQQ</t>
  </si>
  <si>
    <t>EBITYY</t>
  </si>
  <si>
    <t>EBITQQ</t>
  </si>
  <si>
    <t>ADJEBIT</t>
  </si>
  <si>
    <t>ADJEBITYY</t>
  </si>
  <si>
    <t>ADJEBITQQ</t>
  </si>
  <si>
    <t>ADJEBITMARGIN</t>
  </si>
  <si>
    <t>EBITDAYY</t>
  </si>
  <si>
    <t>EBITDAQQ</t>
  </si>
  <si>
    <t>EBITDAMARGIN</t>
  </si>
  <si>
    <t>ADJEBITDAYY</t>
  </si>
  <si>
    <t>ADJEBITDAQQ</t>
  </si>
  <si>
    <t>NETINCOMEQQ</t>
  </si>
  <si>
    <t>EPSYY</t>
  </si>
  <si>
    <t>EPSQQ</t>
  </si>
  <si>
    <t>CFOQQ</t>
  </si>
  <si>
    <t>CFOMARGIN</t>
  </si>
  <si>
    <t>CAPEXQQ</t>
  </si>
  <si>
    <t>FCFQQ</t>
  </si>
  <si>
    <t>D&amp;A</t>
  </si>
  <si>
    <t>Sales</t>
  </si>
  <si>
    <t>Total sales</t>
  </si>
  <si>
    <t>Y/Y % growth</t>
  </si>
  <si>
    <t>Q/Q % growth</t>
  </si>
  <si>
    <t>Gross Profit</t>
  </si>
  <si>
    <t>GAAP operating income</t>
  </si>
  <si>
    <t>Non-GAAP operating income</t>
  </si>
  <si>
    <t>GAAP EBITDA</t>
  </si>
  <si>
    <t>Non-GAAP EBITDA</t>
  </si>
  <si>
    <t>Net income</t>
  </si>
  <si>
    <t>Cash flow</t>
  </si>
  <si>
    <t>Prodline_sales_1</t>
  </si>
  <si>
    <t>Prodline_sales_2</t>
  </si>
  <si>
    <t>Merchant Solutions Revenue</t>
  </si>
  <si>
    <t>Subscription Solutions Revenue</t>
  </si>
  <si>
    <t>GROSSINCOME</t>
  </si>
  <si>
    <t>EBITR</t>
  </si>
  <si>
    <t>EBIT_ADJ</t>
  </si>
  <si>
    <t>EBITDA_REP</t>
  </si>
  <si>
    <t>NETPROFIT</t>
  </si>
  <si>
    <t>DEPR_AMORT</t>
  </si>
  <si>
    <t>NETMARGIN</t>
  </si>
  <si>
    <t>OPEXYY</t>
  </si>
  <si>
    <t>OPEXQQ</t>
  </si>
  <si>
    <t>SUBSALES</t>
  </si>
  <si>
    <t>SUBSALESYY</t>
  </si>
  <si>
    <t>SUBSALESQQ</t>
  </si>
  <si>
    <t>MERCHSALES</t>
  </si>
  <si>
    <t>MERCHSALESYY</t>
  </si>
  <si>
    <t>MERCHSALESQQ</t>
  </si>
  <si>
    <t>SBC</t>
  </si>
  <si>
    <t>$ in mn except EPS</t>
  </si>
  <si>
    <t>NSR live</t>
  </si>
  <si>
    <t>NSR est.</t>
  </si>
  <si>
    <t>▲ Cons</t>
  </si>
  <si>
    <t>Diluted EPS</t>
  </si>
  <si>
    <t>x</t>
  </si>
  <si>
    <t>Merchant solutions revenue</t>
  </si>
  <si>
    <t>Current period end date</t>
  </si>
  <si>
    <t>Prior period end date</t>
  </si>
  <si>
    <t>Next period end date</t>
  </si>
  <si>
    <t>Current year</t>
  </si>
  <si>
    <t>Prior year</t>
  </si>
  <si>
    <t>Next year</t>
  </si>
  <si>
    <t>CY + 2</t>
  </si>
  <si>
    <t>prior year quarter</t>
  </si>
  <si>
    <t>Operating cash flow</t>
  </si>
  <si>
    <t>Actuals</t>
  </si>
  <si>
    <t>Consenus Shop GMV</t>
  </si>
  <si>
    <t>SHOP GMV % Global ex-China eComm</t>
  </si>
  <si>
    <t>Shopify GPV</t>
  </si>
  <si>
    <t>Global ex-US ex-China</t>
  </si>
  <si>
    <t>1Q24A</t>
  </si>
  <si>
    <t>y/y growth</t>
  </si>
  <si>
    <t>2Q24A</t>
  </si>
  <si>
    <t>4Q24E</t>
  </si>
  <si>
    <t>1Q25E</t>
  </si>
  <si>
    <t>2Q25E</t>
  </si>
  <si>
    <t>3Q25E</t>
  </si>
  <si>
    <t>4Q25E</t>
  </si>
  <si>
    <t>1Q26E</t>
  </si>
  <si>
    <t>2Q26E</t>
  </si>
  <si>
    <t>3Q26E</t>
  </si>
  <si>
    <t>4Q26E</t>
  </si>
  <si>
    <t>1Q27E</t>
  </si>
  <si>
    <t>2Q27E</t>
  </si>
  <si>
    <t>3Q27E</t>
  </si>
  <si>
    <t>1Q19A</t>
  </si>
  <si>
    <t>2Q19A</t>
  </si>
  <si>
    <t>3Q19A</t>
  </si>
  <si>
    <t>4Q19A</t>
  </si>
  <si>
    <t>1Q20A</t>
  </si>
  <si>
    <t>2Q20A</t>
  </si>
  <si>
    <t>3Q20A</t>
  </si>
  <si>
    <t>4Q20A</t>
  </si>
  <si>
    <t>1Q21A</t>
  </si>
  <si>
    <t>2Q21A</t>
  </si>
  <si>
    <t>3Q21A</t>
  </si>
  <si>
    <t>4Q21A</t>
  </si>
  <si>
    <t>1Q22A</t>
  </si>
  <si>
    <t>2Q22A</t>
  </si>
  <si>
    <t>3Q22A</t>
  </si>
  <si>
    <t>4Q22A</t>
  </si>
  <si>
    <t>1Q23A</t>
  </si>
  <si>
    <t>2Q23A</t>
  </si>
  <si>
    <t>3Q23A</t>
  </si>
  <si>
    <t>4Q23A</t>
  </si>
  <si>
    <t>1Q16A</t>
  </si>
  <si>
    <t>2Q16A</t>
  </si>
  <si>
    <t>3Q16A</t>
  </si>
  <si>
    <t>4Q16A</t>
  </si>
  <si>
    <t>1Q17A</t>
  </si>
  <si>
    <t>2Q17A</t>
  </si>
  <si>
    <t>3Q17A</t>
  </si>
  <si>
    <t>4Q17A</t>
  </si>
  <si>
    <t>1Q18A</t>
  </si>
  <si>
    <t>2Q18A</t>
  </si>
  <si>
    <t>3Q18A</t>
  </si>
  <si>
    <t>4Q18A</t>
  </si>
  <si>
    <t>Total Gross Margin</t>
  </si>
  <si>
    <t>Equity Value</t>
  </si>
  <si>
    <t>GAAP EPS</t>
  </si>
  <si>
    <t>Base and Potential 2025 Financials</t>
  </si>
  <si>
    <t>Income Statement</t>
  </si>
  <si>
    <t>Cash Flow Statement</t>
  </si>
  <si>
    <t>Bottom Up Revenue Build</t>
  </si>
  <si>
    <t>CAGR '24-27E</t>
  </si>
  <si>
    <t>Cash paid for amounts included in the measurement of lease liabilities included in CFO</t>
  </si>
  <si>
    <t>EV/GMV</t>
  </si>
  <si>
    <t>nm</t>
  </si>
  <si>
    <t>GMVYY</t>
  </si>
  <si>
    <t>GMVQQ</t>
  </si>
  <si>
    <t>GPV</t>
  </si>
  <si>
    <t>Shopify Payments Revenue</t>
  </si>
  <si>
    <t>% of total GMV</t>
  </si>
  <si>
    <t>Guide</t>
  </si>
  <si>
    <t>mid-to-high twenties</t>
  </si>
  <si>
    <t>y/y similar to 3Q24</t>
  </si>
  <si>
    <t>margin %</t>
  </si>
  <si>
    <t>y/y bps +/(-)</t>
  </si>
  <si>
    <t>3Q24A / This Quarter</t>
  </si>
  <si>
    <t>similar to 3Q24</t>
  </si>
  <si>
    <t>GAAP Opex</t>
  </si>
  <si>
    <t>GAAPOPEX</t>
  </si>
  <si>
    <t>GAAPOPEXMARGIN</t>
  </si>
  <si>
    <t>GAAPOPEXYY</t>
  </si>
  <si>
    <t>32%-33%</t>
  </si>
  <si>
    <t>Gross Payment Volume (GPV) - Shopify Payments</t>
  </si>
  <si>
    <t>Other Merchants Solutions Revenue</t>
  </si>
  <si>
    <t>Cash Flow from operations</t>
  </si>
  <si>
    <t>TAM Analysis</t>
  </si>
  <si>
    <t>Shopify Payments Gross Take Rate</t>
  </si>
  <si>
    <t xml:space="preserve">Non-Shopify Payments GMV </t>
  </si>
  <si>
    <t>3P Transaction Fee Revenue</t>
  </si>
  <si>
    <t>GPVYY</t>
  </si>
  <si>
    <t>Adj EPS</t>
  </si>
  <si>
    <t>Market cap</t>
  </si>
  <si>
    <t>ADJ_EPS</t>
  </si>
  <si>
    <t>ADJ_EPSYY</t>
  </si>
  <si>
    <t>ADJ_EPSQQ</t>
  </si>
  <si>
    <t>Average Monthly Subscripton Plan Fee</t>
  </si>
  <si>
    <t>Merchants by Geo</t>
  </si>
  <si>
    <t>United Kingdom</t>
  </si>
  <si>
    <t>ROW</t>
  </si>
  <si>
    <t>Total</t>
  </si>
  <si>
    <t>Subscription Solutions Gross Profit</t>
  </si>
  <si>
    <t>GPV % GMV</t>
  </si>
  <si>
    <t>SP rev % MS revenue</t>
  </si>
  <si>
    <t>3P rev % MS rev</t>
  </si>
  <si>
    <t>Total payments rev % MS rev</t>
  </si>
  <si>
    <t>Non-payments % MS rev</t>
  </si>
  <si>
    <t>Shopify Total Revenue</t>
  </si>
  <si>
    <t>Shopify total attach rate</t>
  </si>
  <si>
    <t>4Q27E</t>
  </si>
  <si>
    <t>% of merchants</t>
  </si>
  <si>
    <t>Monthly price</t>
  </si>
  <si>
    <t>Blended monthly price</t>
  </si>
  <si>
    <t>x % paying annual (w/ discount)</t>
  </si>
  <si>
    <t>x (1- annual discount)</t>
  </si>
  <si>
    <t>= Price per month paying annually</t>
  </si>
  <si>
    <t>Merchants on Advanced Plan Level (000s)</t>
  </si>
  <si>
    <t>= Merchants Basic paying annually (000s)</t>
  </si>
  <si>
    <t>Merchants on Basic paying monthly (000s)</t>
  </si>
  <si>
    <t>MRR - Advanced Plan Level ($, M)</t>
  </si>
  <si>
    <t>% total MRR</t>
  </si>
  <si>
    <t>Merchants on Plus Plan Level (000s)</t>
  </si>
  <si>
    <t>MRR - Plus Plan Level ($, M)</t>
  </si>
  <si>
    <t>Merchants on Shopify Plan Level (000s)</t>
  </si>
  <si>
    <t>MRR - Shopify Plan Level ($, M)</t>
  </si>
  <si>
    <t>= Merchants Shopify paying annually (000s)</t>
  </si>
  <si>
    <t>Merchants on Shopify paying monthly (000s)</t>
  </si>
  <si>
    <t>Merchants on Free Trial (000s)</t>
  </si>
  <si>
    <t>Merchant Plan Level Breakdown Est</t>
  </si>
  <si>
    <t>Merchants on Basic Plan Level (000s)</t>
  </si>
  <si>
    <t>MRR - Basic Plan Level ($, M)</t>
  </si>
  <si>
    <t>MRR - Free Trial ($, M)</t>
  </si>
  <si>
    <t>eCommerce Sales</t>
  </si>
  <si>
    <t>% of Retail Sales</t>
  </si>
  <si>
    <t>Retail Sales</t>
  </si>
  <si>
    <t>North America (US + CAN)</t>
  </si>
  <si>
    <t>Revenue breakdown by Geo (40-F)</t>
  </si>
  <si>
    <t>Revenue % breakdown by Geo (40-F)</t>
  </si>
  <si>
    <t>SHOP GMV % Global ex-China retail sales</t>
  </si>
  <si>
    <t>Merchant Count Ex-North America</t>
  </si>
  <si>
    <t>Revenue Ex-North America</t>
  </si>
  <si>
    <t>Revenue % Growth y/y</t>
  </si>
  <si>
    <t>GMV split</t>
  </si>
  <si>
    <t>% total</t>
  </si>
  <si>
    <t>Merchant services revenue spill</t>
  </si>
  <si>
    <t>likely decline over time due to greater mix of international and large merchants</t>
  </si>
  <si>
    <t>Larger merchants migrating to Payments, mix to smaller merchants</t>
  </si>
  <si>
    <t>GMV per Merchant ($, 000s)</t>
  </si>
  <si>
    <t>Historical EV/Revenue Chart</t>
  </si>
  <si>
    <t>Large Cap Mean</t>
  </si>
  <si>
    <t>Merchant Solutions Attach Rate (Take Rate)</t>
  </si>
  <si>
    <t>Total attach rate</t>
  </si>
  <si>
    <t>SHOP EV/EBITDA</t>
  </si>
  <si>
    <t>Small sample</t>
  </si>
  <si>
    <t>VPF fee</t>
  </si>
  <si>
    <t>SS Delta (MM)</t>
  </si>
  <si>
    <t>Offline GMV</t>
  </si>
  <si>
    <t>y/y % Growth</t>
  </si>
  <si>
    <t>Offline locations</t>
  </si>
  <si>
    <t>B2B GMV</t>
  </si>
  <si>
    <t>Cross-border GMV</t>
  </si>
  <si>
    <t>Shop Pay GMV</t>
  </si>
  <si>
    <t>Offline revenue</t>
  </si>
  <si>
    <t>"more than 70% of GMV through Shopify Payments"</t>
  </si>
  <si>
    <t>nearly 1/3 from Plus merchants</t>
  </si>
  <si>
    <t>Valuation on 2025E</t>
  </si>
  <si>
    <t>FCF yield</t>
  </si>
  <si>
    <t>BZ</t>
  </si>
  <si>
    <t>CE</t>
  </si>
  <si>
    <t>CJ</t>
  </si>
  <si>
    <t>CO</t>
  </si>
  <si>
    <t>CT</t>
  </si>
  <si>
    <t>CY</t>
  </si>
  <si>
    <t>DD</t>
  </si>
  <si>
    <t>DI</t>
  </si>
  <si>
    <t>DN</t>
  </si>
  <si>
    <t>DS</t>
  </si>
  <si>
    <t>DX</t>
  </si>
  <si>
    <t>EC</t>
  </si>
  <si>
    <t>Opex % revenue</t>
  </si>
  <si>
    <t>TAM analysis</t>
  </si>
  <si>
    <t>Do not delete - column names on other sheets</t>
  </si>
  <si>
    <t>More charts below</t>
  </si>
  <si>
    <t>CY16</t>
  </si>
  <si>
    <t>CY17</t>
  </si>
  <si>
    <t>CY18</t>
  </si>
  <si>
    <t>CY19</t>
  </si>
  <si>
    <t>CY20</t>
  </si>
  <si>
    <t>CY21</t>
  </si>
  <si>
    <t>CY22</t>
  </si>
  <si>
    <t>CY23</t>
  </si>
  <si>
    <t>Adobe Digital Experience segment y/y growth</t>
  </si>
  <si>
    <t>BigCommerce sales growth y/y</t>
  </si>
  <si>
    <t>SHOP revenue growth</t>
  </si>
  <si>
    <t>GDDY revenue growth</t>
  </si>
  <si>
    <t>WIX revenue growth</t>
  </si>
  <si>
    <t>GMV per merchant</t>
  </si>
  <si>
    <t>y/y % growth</t>
  </si>
  <si>
    <t>Offline GMV growth</t>
  </si>
  <si>
    <t>Overall GMV growth</t>
  </si>
  <si>
    <t>3Q24A</t>
  </si>
  <si>
    <t>Subscription solutions revenue components</t>
  </si>
  <si>
    <t>Standard revenue</t>
  </si>
  <si>
    <t>Plus revenue</t>
  </si>
  <si>
    <t>Apps, Themes, Domains, and Plus Platform Fees</t>
  </si>
  <si>
    <t>Subscription solutions revenue growth y/y</t>
  </si>
  <si>
    <t xml:space="preserve">Merchant solutions revenue growth y/y </t>
  </si>
  <si>
    <t>Total revenue growth y/y</t>
  </si>
  <si>
    <t>CY24</t>
  </si>
  <si>
    <t>CY25</t>
  </si>
  <si>
    <t>CY26</t>
  </si>
  <si>
    <t>CY27</t>
  </si>
  <si>
    <t>"double"</t>
  </si>
  <si>
    <t>B2B GMV growth</t>
  </si>
  <si>
    <t>Overal GMV growth</t>
  </si>
  <si>
    <t>Standard revenue % subscription solutions revenue</t>
  </si>
  <si>
    <t>Plus revenue % subscription solutions revenue</t>
  </si>
  <si>
    <t>Subscription solutions revenue</t>
  </si>
  <si>
    <t>3P Transaction Fee y/y revenue growth</t>
  </si>
  <si>
    <t>Merchant solutions y/y revenue growth</t>
  </si>
  <si>
    <t>3P transaction fee y/y revenue growth</t>
  </si>
  <si>
    <t>GMV y/y growth</t>
  </si>
  <si>
    <t>Number of App Store partners</t>
  </si>
  <si>
    <t>App Store partners (40-F)</t>
  </si>
  <si>
    <t>% GPV</t>
  </si>
  <si>
    <t>% GMV</t>
  </si>
  <si>
    <t>bps y/y</t>
  </si>
  <si>
    <t>% Total GMV</t>
  </si>
  <si>
    <t>NSR</t>
  </si>
  <si>
    <t>bps ch. y/y</t>
  </si>
  <si>
    <t>CAGR</t>
  </si>
  <si>
    <t>2025-2027</t>
  </si>
  <si>
    <t>Apps, Themes, Domains, Plus Platform Fees % SS revenue</t>
  </si>
  <si>
    <t>Salesforce Marketing and Commerce segment y/y growth</t>
  </si>
  <si>
    <t>Shopify Merchant Solutions Attach Rate (Take Rate)</t>
  </si>
  <si>
    <t>Shopify Merchant Solutions Attach Rate</t>
  </si>
  <si>
    <t>Total Merchant Solution Revenues</t>
  </si>
  <si>
    <t>Total Subscription Solution Revenues</t>
  </si>
  <si>
    <t>eCom software mean</t>
  </si>
  <si>
    <t>eCom Software mean</t>
  </si>
  <si>
    <t>eCom Software EV/Rev</t>
  </si>
  <si>
    <t>eCom software EV/EBITDA</t>
  </si>
  <si>
    <t>ARPM (quarterly average for the year)</t>
  </si>
  <si>
    <t>SHOP GMV y/y % Growth</t>
  </si>
  <si>
    <t>Global eCommerce ex-China y/y growth</t>
  </si>
  <si>
    <t>SHOP North America GMV (est'd) as a % of NA eCommerce sales</t>
  </si>
  <si>
    <t>SHOP North America GMV (est'd) as a % of NA retail sales</t>
  </si>
  <si>
    <t>North America eCommerce % y/y Growth</t>
  </si>
  <si>
    <t>SHOP North America GMV % y/y Growth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</si>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</sst>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_);\(#,##0.0\)"/>
    <numFmt numFmtId="165" formatCode="0.0%;\(0.0%\)"/>
    <numFmt numFmtId="166" formatCode="0.0\x"/>
    <numFmt numFmtId="167" formatCode="#,##0.000_);\(#,##0.000\)"/>
    <numFmt numFmtId="168" formatCode="_(* #,##0_);_(* \(#,##0\);_(* &quot;-&quot;??_);_(@_)"/>
    <numFmt numFmtId="169" formatCode="0.0%"/>
    <numFmt numFmtId="170" formatCode="0.00_);\(0.00\);0.00_)"/>
    <numFmt numFmtId="171" formatCode="0.00\%;\-0.00\%;0.00\%"/>
    <numFmt numFmtId="172" formatCode="0.00_);\(0.00\);0.00"/>
    <numFmt numFmtId="173" formatCode="0.00\x;\-0.00\x;0.00\x"/>
    <numFmt numFmtId="174" formatCode="0.00_)"/>
    <numFmt numFmtId="175" formatCode="#,##0\ ;\(#,##0.0\)"/>
    <numFmt numFmtId="176" formatCode="&quot;$&quot;#,##0.0_);[Red]\(&quot;$&quot;#,##0.0\)"/>
    <numFmt numFmtId="177" formatCode="General_)"/>
    <numFmt numFmtId="178" formatCode="#,##0.0000"/>
    <numFmt numFmtId="179" formatCode="#,##0.00000000_);[Red]\(#,##0.00000000\)"/>
    <numFmt numFmtId="180" formatCode="_(* #,##0.0_);_(* \(#,##0.0\);_(* &quot;-&quot;_);_(@_)"/>
    <numFmt numFmtId="181" formatCode="&quot;$&quot;#,##0.0_);\(&quot;$&quot;#,##0.0\)&quot;MM&quot;"/>
    <numFmt numFmtId="182" formatCode="_([$€-2]* #,##0.00_);_([$€-2]* \(#,##0.00\);_([$€-2]* &quot;-&quot;??_)"/>
    <numFmt numFmtId="183" formatCode="0.0"/>
    <numFmt numFmtId="184" formatCode="&quot;$&quot;#,##0.00"/>
    <numFmt numFmtId="185" formatCode="0_);\(0\)"/>
    <numFmt numFmtId="186" formatCode="#,##0.0000_);\(#,##0.0000\)"/>
    <numFmt numFmtId="187" formatCode="#,##0.0"/>
    <numFmt numFmtId="188" formatCode="_(* #,##0.0_);_(* \(#,##0.0\);_(* &quot;-&quot;??_);_(@_)"/>
    <numFmt numFmtId="189" formatCode="_(* #,##0.0000_);_(* \(#,##0.0000\);_(* &quot;-&quot;??_);_(@_)"/>
    <numFmt numFmtId="190" formatCode="m/d/yy;@"/>
    <numFmt numFmtId="191" formatCode="#,##0&quot;A&quot;_ ;\(#,##0\)"/>
    <numFmt numFmtId="192" formatCode="0.0%_);\(0.0%\);0.0%_);@_)"/>
    <numFmt numFmtId="193" formatCode="#,##0.0_);\(#,##0.0\);#,##0.0_);@_)"/>
    <numFmt numFmtId="194" formatCode="&quot;$&quot;#,##0.0_);\(&quot;$&quot;#,##0.0\);&quot;$&quot;#,##0.0_);@_)"/>
    <numFmt numFmtId="195" formatCode="&quot;$&quot;#,##0.00_);\(&quot;$&quot;#,##0.00\);&quot;$&quot;#,##0.00_);@_)"/>
    <numFmt numFmtId="196" formatCode="&quot;$&quot;#,##0_);\(&quot;$&quot;#,##0\);&quot;$&quot;#,##0_);@_)"/>
    <numFmt numFmtId="197" formatCode="#,##0_);\(#,##0\);#,##0_);@_)"/>
    <numFmt numFmtId="198" formatCode="0.0\x_);\(0.0\x\)"/>
    <numFmt numFmtId="199" formatCode="&quot;$&quot;#,##0"/>
    <numFmt numFmtId="200" formatCode="0.0;\(0.0\);&quot;-&quot;"/>
    <numFmt numFmtId="201" formatCode="#,#00\ &quot;bps&quot;;\(#,#00\)\ &quot;bps&quot;;\ \-"/>
    <numFmt numFmtId="202" formatCode="#,##0.00_);\(#,##0.00\);#,##0.00_);@_)"/>
    <numFmt numFmtId="203" formatCode="0%_);\(0%\);0%_);@_)"/>
    <numFmt numFmtId="204" formatCode="&quot;$&quot;#,##0.0,&quot;B&quot;_);\(&quot;$&quot;#,##0.0&quot;B&quot;\);&quot;$&quot;#,##0.00_);@_)"/>
    <numFmt numFmtId="205" formatCode="0.00%_);\(0.00%\);0.00%_);@_)"/>
    <numFmt numFmtId="206" formatCode="0.000%_);\(0.000%\);0.000%_);@_)"/>
    <numFmt numFmtId="207" formatCode="0.0,&quot;B&quot;;\(0.0,&quot;B&quot;\);&quot;-&quot;"/>
    <numFmt numFmtId="208" formatCode="0.0%_);\(0.0%\);0%_);@_)"/>
  </numFmts>
  <fonts count="157">
    <font>
      <sz val="10"/>
      <name val="Arial"/>
    </font>
    <font>
      <sz val="8"/>
      <color theme="1"/>
      <name val="Roboto"/>
      <family val="2"/>
      <scheme val="minor"/>
    </font>
    <font>
      <sz val="10"/>
      <color theme="1"/>
      <name val="Arial"/>
      <family val="2"/>
    </font>
    <font>
      <sz val="8"/>
      <color theme="1"/>
      <name val="Roboto"/>
      <family val="2"/>
      <scheme val="minor"/>
    </font>
    <font>
      <sz val="10"/>
      <color theme="1"/>
      <name val="Arial"/>
      <family val="2"/>
    </font>
    <font>
      <sz val="11"/>
      <color theme="1"/>
      <name val="Roboto"/>
      <family val="2"/>
      <scheme val="minor"/>
    </font>
    <font>
      <sz val="11"/>
      <color theme="1"/>
      <name val="Roboto"/>
      <family val="2"/>
      <scheme val="minor"/>
    </font>
    <font>
      <sz val="11"/>
      <color theme="1"/>
      <name val="Roboto"/>
      <family val="2"/>
      <scheme val="minor"/>
    </font>
    <font>
      <sz val="11"/>
      <color theme="1"/>
      <name val="Roboto"/>
      <family val="2"/>
      <scheme val="minor"/>
    </font>
    <font>
      <sz val="11"/>
      <color theme="1"/>
      <name val="Roboto"/>
      <family val="2"/>
      <scheme val="minor"/>
    </font>
    <font>
      <sz val="11"/>
      <color theme="1"/>
      <name val="Roboto"/>
      <family val="2"/>
      <scheme val="minor"/>
    </font>
    <font>
      <b/>
      <sz val="10"/>
      <name val="Arial"/>
      <family val="2"/>
    </font>
    <font>
      <sz val="10"/>
      <name val="Arial"/>
      <family val="2"/>
    </font>
    <font>
      <sz val="10"/>
      <name val="MS Sans Serif"/>
      <family val="2"/>
    </font>
    <font>
      <sz val="24"/>
      <name val="MS Sans Serif"/>
      <family val="2"/>
    </font>
    <font>
      <b/>
      <sz val="12"/>
      <name val="MS Sans Serif"/>
      <family val="2"/>
    </font>
    <font>
      <sz val="8"/>
      <name val="Arial"/>
      <family val="2"/>
    </font>
    <font>
      <sz val="10"/>
      <color indexed="8"/>
      <name val="MS Sans Serif"/>
      <family val="2"/>
    </font>
    <font>
      <i/>
      <sz val="11"/>
      <name val="Helvetica-Black"/>
      <family val="2"/>
    </font>
    <font>
      <sz val="10"/>
      <name val="Geneva"/>
    </font>
    <font>
      <sz val="10"/>
      <name val="Times New Roman"/>
      <family val="1"/>
    </font>
    <font>
      <b/>
      <sz val="9"/>
      <name val="Helvetica 65"/>
      <family val="2"/>
    </font>
    <font>
      <sz val="8"/>
      <color indexed="12"/>
      <name val="Tms Rmn"/>
      <family val="1"/>
    </font>
    <font>
      <b/>
      <sz val="12"/>
      <name val="Times New Roman"/>
      <family val="1"/>
    </font>
    <font>
      <sz val="10"/>
      <color indexed="18"/>
      <name val="Times New Roman"/>
      <family val="1"/>
    </font>
    <font>
      <sz val="10"/>
      <name val="Helv"/>
    </font>
    <font>
      <b/>
      <sz val="12"/>
      <name val="Times New Roman"/>
      <family val="1"/>
    </font>
    <font>
      <sz val="8"/>
      <name val="Times New Roman"/>
      <family val="1"/>
    </font>
    <font>
      <b/>
      <sz val="14"/>
      <name val="Tms Rmn"/>
    </font>
    <font>
      <sz val="9"/>
      <name val="Helvetica 45"/>
    </font>
    <font>
      <sz val="10"/>
      <name val="Times New Roman"/>
      <family val="1"/>
    </font>
    <font>
      <i/>
      <sz val="8"/>
      <name val="Times New Roman"/>
      <family val="1"/>
    </font>
    <font>
      <b/>
      <i/>
      <sz val="16"/>
      <name val="Helv"/>
    </font>
    <font>
      <sz val="12"/>
      <name val="SWISS"/>
    </font>
    <font>
      <u/>
      <sz val="8"/>
      <name val="Times New Roman"/>
      <family val="1"/>
    </font>
    <font>
      <sz val="9"/>
      <color indexed="81"/>
      <name val="Tahoma"/>
      <family val="2"/>
    </font>
    <font>
      <b/>
      <sz val="9"/>
      <color indexed="81"/>
      <name val="Tahoma"/>
      <family val="2"/>
    </font>
    <font>
      <sz val="11"/>
      <color theme="1"/>
      <name val="Roboto"/>
      <family val="2"/>
      <scheme val="minor"/>
    </font>
    <font>
      <sz val="10"/>
      <color rgb="FF000000"/>
      <name val="Arial"/>
      <family val="2"/>
    </font>
    <font>
      <sz val="8"/>
      <color theme="1"/>
      <name val="Roboto"/>
    </font>
    <font>
      <b/>
      <sz val="8"/>
      <name val="Roboto"/>
    </font>
    <font>
      <sz val="8"/>
      <name val="Roboto"/>
    </font>
    <font>
      <i/>
      <sz val="8"/>
      <color indexed="8"/>
      <name val="Roboto"/>
    </font>
    <font>
      <i/>
      <sz val="8"/>
      <name val="Roboto"/>
    </font>
    <font>
      <sz val="8"/>
      <color indexed="8"/>
      <name val="Roboto"/>
    </font>
    <font>
      <b/>
      <i/>
      <sz val="8"/>
      <name val="Roboto"/>
    </font>
    <font>
      <b/>
      <sz val="8"/>
      <color indexed="8"/>
      <name val="Roboto"/>
    </font>
    <font>
      <sz val="8"/>
      <color rgb="FF000000"/>
      <name val="Roboto"/>
    </font>
    <font>
      <sz val="8"/>
      <name val="Roboto"/>
      <scheme val="minor"/>
    </font>
    <font>
      <sz val="8"/>
      <color indexed="12"/>
      <name val="Roboto"/>
      <scheme val="minor"/>
    </font>
    <font>
      <b/>
      <sz val="8"/>
      <name val="Roboto"/>
      <scheme val="minor"/>
    </font>
    <font>
      <b/>
      <i/>
      <sz val="8"/>
      <name val="Roboto"/>
      <scheme val="minor"/>
    </font>
    <font>
      <sz val="8"/>
      <color rgb="FF0000FF"/>
      <name val="Roboto"/>
      <scheme val="minor"/>
    </font>
    <font>
      <b/>
      <i/>
      <sz val="8"/>
      <color rgb="FF000000"/>
      <name val="Roboto"/>
      <scheme val="minor"/>
    </font>
    <font>
      <b/>
      <sz val="8"/>
      <color rgb="FF000000"/>
      <name val="Roboto"/>
      <scheme val="minor"/>
    </font>
    <font>
      <sz val="8"/>
      <color rgb="FF000000"/>
      <name val="Roboto"/>
      <scheme val="minor"/>
    </font>
    <font>
      <sz val="8"/>
      <color rgb="FF008000"/>
      <name val="Roboto"/>
      <scheme val="minor"/>
    </font>
    <font>
      <i/>
      <sz val="8"/>
      <color rgb="FF000000"/>
      <name val="Roboto"/>
      <scheme val="minor"/>
    </font>
    <font>
      <i/>
      <sz val="8"/>
      <color rgb="FF0000FF"/>
      <name val="Roboto"/>
      <scheme val="minor"/>
    </font>
    <font>
      <i/>
      <sz val="8"/>
      <name val="Roboto"/>
      <scheme val="minor"/>
    </font>
    <font>
      <sz val="8"/>
      <color indexed="17"/>
      <name val="Roboto"/>
      <scheme val="minor"/>
    </font>
    <font>
      <b/>
      <u/>
      <sz val="8"/>
      <color rgb="FF000000"/>
      <name val="Roboto"/>
      <scheme val="minor"/>
    </font>
    <font>
      <u/>
      <sz val="8"/>
      <name val="Roboto"/>
      <scheme val="minor"/>
    </font>
    <font>
      <i/>
      <u/>
      <sz val="8"/>
      <name val="Roboto"/>
      <scheme val="minor"/>
    </font>
    <font>
      <sz val="8"/>
      <color theme="0"/>
      <name val="Roboto"/>
      <scheme val="minor"/>
    </font>
    <font>
      <b/>
      <sz val="8"/>
      <color rgb="FFFF0000"/>
      <name val="Roboto"/>
      <scheme val="minor"/>
    </font>
    <font>
      <sz val="8"/>
      <color rgb="FFFF0000"/>
      <name val="Roboto"/>
      <scheme val="minor"/>
    </font>
    <font>
      <b/>
      <sz val="8"/>
      <color indexed="14"/>
      <name val="Roboto"/>
      <scheme val="minor"/>
    </font>
    <font>
      <b/>
      <u/>
      <sz val="8"/>
      <name val="Roboto"/>
      <scheme val="minor"/>
    </font>
    <font>
      <sz val="8"/>
      <color indexed="14"/>
      <name val="Roboto"/>
      <scheme val="minor"/>
    </font>
    <font>
      <sz val="8"/>
      <color rgb="FF7030A0"/>
      <name val="Roboto"/>
      <scheme val="minor"/>
    </font>
    <font>
      <u/>
      <sz val="8"/>
      <color indexed="12"/>
      <name val="Roboto"/>
      <scheme val="minor"/>
    </font>
    <font>
      <i/>
      <sz val="8"/>
      <color rgb="FF00B050"/>
      <name val="Roboto"/>
      <scheme val="minor"/>
    </font>
    <font>
      <i/>
      <sz val="8"/>
      <color indexed="12"/>
      <name val="Roboto"/>
      <scheme val="minor"/>
    </font>
    <font>
      <sz val="10"/>
      <name val="Roboto"/>
      <scheme val="minor"/>
    </font>
    <font>
      <b/>
      <sz val="8"/>
      <color theme="0"/>
      <name val="Roboto"/>
      <scheme val="minor"/>
    </font>
    <font>
      <u/>
      <sz val="8"/>
      <color rgb="FF000000"/>
      <name val="Roboto"/>
      <scheme val="minor"/>
    </font>
    <font>
      <u/>
      <sz val="8"/>
      <color rgb="FF800000"/>
      <name val="Roboto"/>
      <scheme val="minor"/>
    </font>
    <font>
      <b/>
      <i/>
      <sz val="8"/>
      <color theme="0"/>
      <name val="Roboto"/>
      <scheme val="minor"/>
    </font>
    <font>
      <i/>
      <sz val="8"/>
      <color theme="0"/>
      <name val="Roboto"/>
      <scheme val="minor"/>
    </font>
    <font>
      <sz val="8"/>
      <color indexed="8"/>
      <name val="Roboto"/>
      <scheme val="minor"/>
    </font>
    <font>
      <i/>
      <sz val="8"/>
      <color indexed="8"/>
      <name val="Roboto"/>
      <scheme val="minor"/>
    </font>
    <font>
      <b/>
      <sz val="8"/>
      <color indexed="8"/>
      <name val="Roboto"/>
      <scheme val="minor"/>
    </font>
    <font>
      <b/>
      <i/>
      <sz val="8"/>
      <color indexed="8"/>
      <name val="Roboto"/>
      <scheme val="minor"/>
    </font>
    <font>
      <b/>
      <i/>
      <sz val="8"/>
      <color rgb="FF0000FF"/>
      <name val="Roboto"/>
      <scheme val="minor"/>
    </font>
    <font>
      <u/>
      <sz val="8"/>
      <color rgb="FF0000FF"/>
      <name val="Roboto"/>
      <scheme val="minor"/>
    </font>
    <font>
      <b/>
      <i/>
      <u/>
      <sz val="8"/>
      <name val="Roboto"/>
      <scheme val="minor"/>
    </font>
    <font>
      <i/>
      <u/>
      <sz val="8"/>
      <color rgb="FF0033CC"/>
      <name val="Roboto"/>
      <scheme val="minor"/>
    </font>
    <font>
      <i/>
      <sz val="8"/>
      <color rgb="FFFF0000"/>
      <name val="Roboto"/>
      <scheme val="minor"/>
    </font>
    <font>
      <b/>
      <sz val="8"/>
      <color rgb="FF0000FF"/>
      <name val="Roboto"/>
      <scheme val="minor"/>
    </font>
    <font>
      <b/>
      <sz val="8"/>
      <color rgb="FF7030A0"/>
      <name val="Roboto"/>
      <scheme val="minor"/>
    </font>
    <font>
      <i/>
      <sz val="8"/>
      <color indexed="10"/>
      <name val="Roboto"/>
      <scheme val="minor"/>
    </font>
    <font>
      <b/>
      <i/>
      <sz val="8"/>
      <color indexed="10"/>
      <name val="Roboto"/>
      <scheme val="minor"/>
    </font>
    <font>
      <i/>
      <u/>
      <sz val="8"/>
      <color rgb="FF000000"/>
      <name val="Roboto"/>
      <scheme val="minor"/>
    </font>
    <font>
      <u/>
      <sz val="8"/>
      <color indexed="17"/>
      <name val="Roboto"/>
      <scheme val="minor"/>
    </font>
    <font>
      <i/>
      <sz val="8"/>
      <color rgb="FF800000"/>
      <name val="Roboto"/>
      <scheme val="minor"/>
    </font>
    <font>
      <b/>
      <u/>
      <sz val="8"/>
      <color indexed="17"/>
      <name val="Roboto"/>
      <scheme val="minor"/>
    </font>
    <font>
      <b/>
      <sz val="10"/>
      <name val="Roboto"/>
      <scheme val="minor"/>
    </font>
    <font>
      <i/>
      <sz val="10"/>
      <name val="Roboto"/>
      <scheme val="minor"/>
    </font>
    <font>
      <sz val="8"/>
      <color rgb="FF800000"/>
      <name val="Roboto"/>
      <scheme val="minor"/>
    </font>
    <font>
      <sz val="8"/>
      <color rgb="FF0033CC"/>
      <name val="Roboto"/>
      <scheme val="minor"/>
    </font>
    <font>
      <sz val="8"/>
      <color rgb="FF0070C0"/>
      <name val="Roboto"/>
      <scheme val="minor"/>
    </font>
    <font>
      <u/>
      <sz val="8"/>
      <color rgb="FF0070C0"/>
      <name val="Roboto"/>
      <scheme val="minor"/>
    </font>
    <font>
      <u/>
      <sz val="8"/>
      <color rgb="FF008000"/>
      <name val="Roboto"/>
      <scheme val="minor"/>
    </font>
    <font>
      <i/>
      <sz val="8"/>
      <color indexed="17"/>
      <name val="Roboto"/>
      <scheme val="minor"/>
    </font>
    <font>
      <i/>
      <sz val="8"/>
      <color theme="3"/>
      <name val="Roboto"/>
      <scheme val="minor"/>
    </font>
    <font>
      <b/>
      <sz val="8"/>
      <color indexed="17"/>
      <name val="Roboto"/>
      <scheme val="minor"/>
    </font>
    <font>
      <sz val="8"/>
      <color theme="9" tint="-0.499984740745262"/>
      <name val="Roboto"/>
      <scheme val="minor"/>
    </font>
    <font>
      <b/>
      <sz val="8"/>
      <color rgb="FF008000"/>
      <name val="Roboto"/>
      <scheme val="minor"/>
    </font>
    <font>
      <sz val="8"/>
      <color rgb="FFFFFFFF"/>
      <name val="Roboto"/>
      <scheme val="minor"/>
    </font>
    <font>
      <i/>
      <sz val="10"/>
      <color rgb="FF0000FF"/>
      <name val="Roboto"/>
      <scheme val="minor"/>
    </font>
    <font>
      <i/>
      <sz val="8"/>
      <color rgb="FF008000"/>
      <name val="Roboto"/>
      <scheme val="minor"/>
    </font>
    <font>
      <b/>
      <i/>
      <sz val="8"/>
      <color indexed="17"/>
      <name val="Roboto"/>
      <scheme val="minor"/>
    </font>
    <font>
      <b/>
      <sz val="8"/>
      <color rgb="FF800000"/>
      <name val="Roboto"/>
      <scheme val="minor"/>
    </font>
    <font>
      <sz val="8"/>
      <color indexed="16"/>
      <name val="Roboto"/>
      <scheme val="minor"/>
    </font>
    <font>
      <sz val="8"/>
      <color theme="0" tint="-0.249977111117893"/>
      <name val="Roboto"/>
      <scheme val="minor"/>
    </font>
    <font>
      <sz val="8"/>
      <color rgb="FFBFBFBF"/>
      <name val="Roboto"/>
      <scheme val="minor"/>
    </font>
    <font>
      <i/>
      <sz val="8"/>
      <color rgb="FF0070C0"/>
      <name val="Roboto"/>
      <scheme val="minor"/>
    </font>
    <font>
      <b/>
      <sz val="8"/>
      <color indexed="12"/>
      <name val="Roboto"/>
      <scheme val="minor"/>
    </font>
    <font>
      <b/>
      <sz val="8"/>
      <color indexed="16"/>
      <name val="Roboto"/>
      <scheme val="minor"/>
    </font>
    <font>
      <b/>
      <sz val="9"/>
      <name val="Roboto"/>
    </font>
    <font>
      <sz val="8"/>
      <color theme="1"/>
      <name val="Roboto"/>
      <scheme val="minor"/>
    </font>
    <font>
      <sz val="10"/>
      <color theme="1"/>
      <name val="Roboto"/>
    </font>
    <font>
      <sz val="14"/>
      <color rgb="FFFF0000"/>
      <name val="Roboto"/>
      <scheme val="minor"/>
    </font>
    <font>
      <sz val="14"/>
      <name val="Roboto"/>
      <scheme val="minor"/>
    </font>
    <font>
      <sz val="8"/>
      <color theme="0"/>
      <name val="Roboto"/>
      <family val="2"/>
      <scheme val="minor"/>
    </font>
    <font>
      <b/>
      <sz val="8"/>
      <color theme="1"/>
      <name val="Roboto"/>
      <scheme val="minor"/>
    </font>
    <font>
      <sz val="8"/>
      <name val="Roboto"/>
      <family val="2"/>
      <scheme val="minor"/>
    </font>
    <font>
      <i/>
      <sz val="8"/>
      <color theme="1"/>
      <name val="Roboto"/>
      <scheme val="minor"/>
    </font>
    <font>
      <sz val="8"/>
      <color rgb="FF0000FF"/>
      <name val="Roboto"/>
    </font>
    <font>
      <sz val="12"/>
      <color rgb="FF000000"/>
      <name val="Times New Roman"/>
      <family val="1"/>
    </font>
    <font>
      <sz val="11"/>
      <color theme="1"/>
      <name val="Roboto"/>
      <scheme val="minor"/>
    </font>
    <font>
      <b/>
      <u val="singleAccounting"/>
      <sz val="8"/>
      <color theme="1"/>
      <name val="Roboto"/>
      <scheme val="minor"/>
    </font>
    <font>
      <sz val="8"/>
      <color theme="1"/>
      <name val="Arial"/>
      <family val="2"/>
    </font>
    <font>
      <sz val="8"/>
      <color rgb="FF7030A0"/>
      <name val="Roboto"/>
    </font>
    <font>
      <i/>
      <sz val="8"/>
      <color theme="1"/>
      <name val="Roboto"/>
    </font>
    <font>
      <b/>
      <sz val="8"/>
      <color theme="1"/>
      <name val="Roboto"/>
    </font>
    <font>
      <i/>
      <sz val="8"/>
      <color rgb="FF7030A0"/>
      <name val="Roboto"/>
    </font>
    <font>
      <b/>
      <sz val="8"/>
      <color rgb="FF7030A0"/>
      <name val="Roboto"/>
    </font>
    <font>
      <i/>
      <sz val="8"/>
      <color rgb="FF7030A0"/>
      <name val="Roboto"/>
      <scheme val="minor"/>
    </font>
    <font>
      <b/>
      <sz val="9"/>
      <name val="Roboto"/>
      <scheme val="minor"/>
    </font>
    <font>
      <sz val="9"/>
      <name val="Roboto"/>
      <scheme val="minor"/>
    </font>
    <font>
      <sz val="9"/>
      <color theme="1"/>
      <name val="Roboto"/>
      <scheme val="minor"/>
    </font>
    <font>
      <i/>
      <sz val="9"/>
      <color theme="1"/>
      <name val="Roboto"/>
      <scheme val="minor"/>
    </font>
    <font>
      <i/>
      <sz val="9"/>
      <name val="Roboto"/>
      <scheme val="minor"/>
    </font>
    <font>
      <b/>
      <i/>
      <u/>
      <sz val="8"/>
      <color rgb="FF000000"/>
      <name val="Roboto"/>
      <scheme val="minor"/>
    </font>
    <font>
      <i/>
      <u/>
      <sz val="8"/>
      <color rgb="FF0000FF"/>
      <name val="Roboto"/>
      <scheme val="minor"/>
    </font>
    <font>
      <sz val="11"/>
      <color rgb="FF000000"/>
      <name val="Calibri"/>
      <family val="2"/>
    </font>
    <font>
      <u/>
      <sz val="8"/>
      <color indexed="8"/>
      <name val="Roboto"/>
      <scheme val="minor"/>
    </font>
    <font>
      <sz val="8"/>
      <color rgb="FFFF0000"/>
      <name val="Roboto"/>
    </font>
    <font>
      <i/>
      <sz val="8"/>
      <color rgb="FF000000"/>
      <name val="Roboto"/>
    </font>
    <font>
      <b/>
      <u/>
      <sz val="8"/>
      <name val="Roboto"/>
    </font>
    <font>
      <sz val="8"/>
      <color theme="3"/>
      <name val="Roboto"/>
    </font>
    <font>
      <i/>
      <sz val="8"/>
      <color theme="3"/>
      <name val="Roboto"/>
    </font>
    <font>
      <u/>
      <sz val="8"/>
      <color rgb="FF7030A0"/>
      <name val="Roboto"/>
      <scheme val="minor"/>
    </font>
    <font>
      <i/>
      <sz val="10"/>
      <name val="Arial"/>
      <family val="2"/>
    </font>
    <font>
      <i/>
      <sz val="8"/>
      <color rgb="FF0000FF"/>
      <name val="Roboto"/>
    </font>
  </fonts>
  <fills count="31">
    <fill>
      <patternFill patternType="none"/>
    </fill>
    <fill>
      <patternFill patternType="gray125"/>
    </fill>
    <fill>
      <patternFill patternType="solid">
        <fgColor indexed="44"/>
      </patternFill>
    </fill>
    <fill>
      <patternFill patternType="lightGray">
        <fgColor indexed="12"/>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bgColor indexed="64"/>
      </patternFill>
    </fill>
    <fill>
      <patternFill patternType="solid">
        <fgColor theme="9" tint="0.3999450666829432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8"/>
        <bgColor indexed="64"/>
      </patternFill>
    </fill>
    <fill>
      <patternFill patternType="solid">
        <fgColor theme="8" tint="0.79998168889431442"/>
        <bgColor indexed="64"/>
      </patternFill>
    </fill>
    <fill>
      <patternFill patternType="solid">
        <fgColor rgb="FFC1FFEE"/>
        <bgColor indexed="64"/>
      </patternFill>
    </fill>
    <fill>
      <patternFill patternType="solid">
        <fgColor rgb="FFFCE9E2"/>
        <bgColor indexed="64"/>
      </patternFill>
    </fill>
    <fill>
      <patternFill patternType="solid">
        <fgColor theme="3" tint="0.59999389629810485"/>
        <bgColor indexed="64"/>
      </patternFill>
    </fill>
    <fill>
      <patternFill patternType="solid">
        <fgColor rgb="FFC9D2D6"/>
        <bgColor indexed="64"/>
      </patternFill>
    </fill>
    <fill>
      <patternFill patternType="solid">
        <fgColor theme="2" tint="0.499984740745262"/>
        <bgColor indexed="64"/>
      </patternFill>
    </fill>
    <fill>
      <patternFill patternType="solid">
        <fgColor theme="2" tint="0.89996032593768116"/>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s>
  <borders count="43">
    <border>
      <left/>
      <right/>
      <top/>
      <bottom/>
      <diagonal/>
    </border>
    <border>
      <left/>
      <right/>
      <top style="medium">
        <color indexed="8"/>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s>
  <cellStyleXfs count="591">
    <xf numFmtId="0" fontId="0" fillId="0" borderId="0"/>
    <xf numFmtId="0" fontId="17" fillId="0" borderId="0"/>
    <xf numFmtId="0" fontId="18" fillId="0" borderId="1"/>
    <xf numFmtId="5" fontId="19" fillId="0" borderId="0" applyFont="0" applyFill="0" applyBorder="0" applyAlignment="0" applyProtection="0"/>
    <xf numFmtId="8" fontId="19" fillId="0" borderId="0" applyFont="0" applyFill="0" applyBorder="0" applyAlignment="0" applyProtection="0"/>
    <xf numFmtId="9" fontId="19" fillId="0" borderId="0" applyFont="0" applyFill="0" applyBorder="0" applyAlignment="0" applyProtection="0"/>
    <xf numFmtId="10" fontId="19" fillId="0" borderId="0" applyFont="0" applyFill="0" applyBorder="0" applyAlignment="0" applyProtection="0"/>
    <xf numFmtId="44" fontId="20" fillId="0" borderId="0" applyFont="0" applyFill="0" applyBorder="0" applyAlignment="0" applyProtection="0"/>
    <xf numFmtId="42" fontId="20" fillId="0" borderId="0" applyFont="0" applyFill="0" applyBorder="0" applyAlignment="0" applyProtection="0"/>
    <xf numFmtId="179" fontId="12" fillId="0" borderId="0" applyFont="0" applyFill="0" applyBorder="0" applyAlignment="0" applyProtection="0"/>
    <xf numFmtId="178" fontId="12" fillId="0" borderId="0" applyFont="0" applyFill="0" applyBorder="0" applyAlignment="0" applyProtection="0"/>
    <xf numFmtId="0" fontId="20" fillId="0" borderId="0"/>
    <xf numFmtId="1" fontId="21" fillId="0" borderId="0">
      <alignment horizontal="center"/>
    </xf>
    <xf numFmtId="0" fontId="22" fillId="0" borderId="0" applyNumberFormat="0" applyFill="0" applyBorder="0" applyAlignment="0" applyProtection="0"/>
    <xf numFmtId="0" fontId="23" fillId="0" borderId="2" applyNumberFormat="0" applyFill="0" applyAlignment="0" applyProtection="0"/>
    <xf numFmtId="0" fontId="19" fillId="0" borderId="2" applyNumberFormat="0" applyFont="0" applyFill="0" applyAlignment="0" applyProtection="0"/>
    <xf numFmtId="0" fontId="19" fillId="0" borderId="3" applyNumberFormat="0" applyFont="0" applyFill="0" applyAlignment="0" applyProtection="0"/>
    <xf numFmtId="0" fontId="19" fillId="0" borderId="4" applyNumberFormat="0" applyFont="0" applyFill="0" applyAlignment="0" applyProtection="0"/>
    <xf numFmtId="0" fontId="19" fillId="0" borderId="5" applyNumberFormat="0" applyFont="0" applyFill="0" applyAlignment="0" applyProtection="0"/>
    <xf numFmtId="180" fontId="12" fillId="0" borderId="0" applyFont="0" applyFill="0" applyBorder="0" applyAlignment="0" applyProtection="0"/>
    <xf numFmtId="1" fontId="24" fillId="0" borderId="0"/>
    <xf numFmtId="0" fontId="13" fillId="0" borderId="0">
      <alignment horizontal="center" wrapText="1"/>
      <protection hidden="1"/>
    </xf>
    <xf numFmtId="43" fontId="12" fillId="0" borderId="0" applyFont="0" applyFill="0" applyBorder="0" applyAlignment="0" applyProtection="0"/>
    <xf numFmtId="175" fontId="25" fillId="0" borderId="2"/>
    <xf numFmtId="0" fontId="14" fillId="3" borderId="0">
      <alignment horizontal="center" vertical="center" wrapText="1"/>
    </xf>
    <xf numFmtId="38" fontId="26" fillId="0" borderId="0" applyNumberFormat="0" applyFill="0" applyBorder="0">
      <alignment horizontal="left"/>
    </xf>
    <xf numFmtId="172" fontId="12" fillId="0" borderId="0" applyFill="0" applyBorder="0">
      <alignment horizontal="right"/>
      <protection locked="0"/>
    </xf>
    <xf numFmtId="44" fontId="12" fillId="0" borderId="0" applyFont="0" applyFill="0" applyBorder="0" applyAlignment="0" applyProtection="0"/>
    <xf numFmtId="8" fontId="27" fillId="0" borderId="0" applyFont="0" applyFill="0" applyBorder="0" applyAlignment="0" applyProtection="0">
      <alignment horizontal="left"/>
    </xf>
    <xf numFmtId="176" fontId="28" fillId="0" borderId="0" applyFont="0" applyFill="0" applyBorder="0" applyAlignment="0" applyProtection="0"/>
    <xf numFmtId="181" fontId="12" fillId="0" borderId="0" applyFont="0" applyFill="0" applyBorder="0" applyAlignment="0" applyProtection="0"/>
    <xf numFmtId="37" fontId="29" fillId="0" borderId="0"/>
    <xf numFmtId="182" fontId="12" fillId="0" borderId="0" applyFont="0" applyFill="0" applyBorder="0" applyAlignment="0" applyProtection="0"/>
    <xf numFmtId="38" fontId="16" fillId="4" borderId="0" applyNumberFormat="0" applyBorder="0" applyAlignment="0" applyProtection="0"/>
    <xf numFmtId="169" fontId="30" fillId="2" borderId="0" applyAlignment="0">
      <protection locked="0"/>
    </xf>
    <xf numFmtId="10" fontId="16" fillId="5" borderId="6" applyNumberFormat="0" applyBorder="0" applyAlignment="0" applyProtection="0"/>
    <xf numFmtId="0" fontId="12" fillId="0" borderId="0" applyFill="0" applyBorder="0">
      <alignment horizontal="right"/>
      <protection locked="0"/>
    </xf>
    <xf numFmtId="38" fontId="31" fillId="0" borderId="0" applyNumberFormat="0" applyBorder="0" applyProtection="0">
      <alignment horizontal="left"/>
    </xf>
    <xf numFmtId="170" fontId="12" fillId="0" borderId="0" applyFill="0" applyBorder="0">
      <alignment horizontal="right"/>
      <protection locked="0"/>
    </xf>
    <xf numFmtId="0" fontId="11" fillId="6" borderId="7">
      <alignment horizontal="left" vertical="center" wrapText="1"/>
    </xf>
    <xf numFmtId="14" fontId="19" fillId="0" borderId="0" applyFont="0" applyFill="0" applyBorder="0" applyAlignment="0" applyProtection="0"/>
    <xf numFmtId="174" fontId="32" fillId="0" borderId="0"/>
    <xf numFmtId="0" fontId="12" fillId="0" borderId="0"/>
    <xf numFmtId="0" fontId="37" fillId="0" borderId="0"/>
    <xf numFmtId="0" fontId="37" fillId="0" borderId="0"/>
    <xf numFmtId="0" fontId="12" fillId="0" borderId="0"/>
    <xf numFmtId="0" fontId="33" fillId="0" borderId="0"/>
    <xf numFmtId="0" fontId="12" fillId="0" borderId="0"/>
    <xf numFmtId="177" fontId="31" fillId="0" borderId="0" applyBorder="0">
      <alignment horizontal="left"/>
    </xf>
    <xf numFmtId="43" fontId="20" fillId="0" borderId="0" applyFont="0" applyFill="0" applyBorder="0" applyAlignment="0" applyProtection="0"/>
    <xf numFmtId="41" fontId="20" fillId="0" borderId="0" applyFont="0" applyFill="0" applyBorder="0" applyAlignment="0" applyProtection="0"/>
    <xf numFmtId="9" fontId="12" fillId="0" borderId="0" applyFont="0" applyFill="0" applyBorder="0" applyAlignment="0" applyProtection="0"/>
    <xf numFmtId="10" fontId="12" fillId="0" borderId="0" applyFont="0" applyFill="0" applyBorder="0" applyAlignment="0" applyProtection="0"/>
    <xf numFmtId="169" fontId="28" fillId="0" borderId="0" applyFont="0" applyFill="0" applyBorder="0" applyAlignment="0" applyProtection="0"/>
    <xf numFmtId="10" fontId="28" fillId="0" borderId="0" applyFont="0" applyFill="0" applyBorder="0" applyAlignment="0" applyProtection="0"/>
    <xf numFmtId="9" fontId="12" fillId="0" borderId="0"/>
    <xf numFmtId="171" fontId="12" fillId="0" borderId="0" applyFill="0" applyBorder="0">
      <alignment horizontal="right"/>
      <protection locked="0"/>
    </xf>
    <xf numFmtId="173" fontId="12" fillId="0" borderId="0">
      <alignment horizontal="right"/>
      <protection locked="0"/>
    </xf>
    <xf numFmtId="0" fontId="15" fillId="3" borderId="6">
      <alignment horizontal="center" vertical="center" wrapText="1"/>
      <protection hidden="1"/>
    </xf>
    <xf numFmtId="38" fontId="34" fillId="0" borderId="0" applyNumberFormat="0" applyBorder="0">
      <alignment horizontal="left"/>
    </xf>
    <xf numFmtId="0" fontId="19" fillId="0" borderId="0" applyNumberFormat="0" applyFont="0" applyFill="0" applyBorder="0" applyProtection="0">
      <alignment horizontal="left" vertical="top" wrapText="1"/>
    </xf>
    <xf numFmtId="0" fontId="13" fillId="0" borderId="0" applyBorder="0"/>
    <xf numFmtId="1" fontId="27" fillId="0" borderId="2" applyNumberFormat="0">
      <alignment horizontal="right"/>
    </xf>
    <xf numFmtId="0" fontId="12" fillId="0" borderId="0"/>
    <xf numFmtId="38" fontId="23" fillId="0" borderId="0" applyNumberFormat="0" applyFill="0" applyBorder="0">
      <alignment horizontal="left"/>
    </xf>
    <xf numFmtId="169" fontId="20" fillId="2" borderId="0" applyAlignment="0">
      <protection locked="0"/>
    </xf>
    <xf numFmtId="169" fontId="20" fillId="2" borderId="0" applyAlignment="0">
      <protection locked="0"/>
    </xf>
    <xf numFmtId="169" fontId="20" fillId="2" borderId="0" applyAlignment="0">
      <protection locked="0"/>
    </xf>
    <xf numFmtId="169" fontId="20" fillId="2" borderId="0" applyAlignment="0">
      <protection locked="0"/>
    </xf>
    <xf numFmtId="169" fontId="20" fillId="2" borderId="0" applyAlignment="0">
      <protection locked="0"/>
    </xf>
    <xf numFmtId="0" fontId="10" fillId="0" borderId="0"/>
    <xf numFmtId="0" fontId="10" fillId="0" borderId="0"/>
    <xf numFmtId="0" fontId="12" fillId="0" borderId="0"/>
    <xf numFmtId="0" fontId="12" fillId="0" borderId="0"/>
    <xf numFmtId="0" fontId="12" fillId="0" borderId="0"/>
    <xf numFmtId="0" fontId="12" fillId="0" borderId="0"/>
    <xf numFmtId="0" fontId="12" fillId="0" borderId="0"/>
    <xf numFmtId="169" fontId="20" fillId="2" borderId="0" applyAlignment="0">
      <protection locked="0"/>
    </xf>
    <xf numFmtId="169" fontId="20" fillId="2" borderId="0" applyAlignment="0">
      <protection locked="0"/>
    </xf>
    <xf numFmtId="169" fontId="20" fillId="2" borderId="0" applyAlignment="0">
      <protection locked="0"/>
    </xf>
    <xf numFmtId="169" fontId="20" fillId="2" borderId="0" applyAlignment="0">
      <protection locked="0"/>
    </xf>
    <xf numFmtId="169" fontId="20" fillId="2" borderId="0" applyAlignment="0">
      <protection locked="0"/>
    </xf>
    <xf numFmtId="169" fontId="20" fillId="2" borderId="0" applyAlignment="0">
      <protection locked="0"/>
    </xf>
    <xf numFmtId="169" fontId="20" fillId="2" borderId="0" applyAlignment="0">
      <protection locked="0"/>
    </xf>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20" fillId="2" borderId="0" applyAlignment="0">
      <protection locked="0"/>
    </xf>
    <xf numFmtId="169" fontId="20" fillId="2" borderId="0" applyAlignment="0">
      <protection locked="0"/>
    </xf>
    <xf numFmtId="169" fontId="20" fillId="2" borderId="0" applyAlignment="0">
      <protection locked="0"/>
    </xf>
    <xf numFmtId="0" fontId="8" fillId="0" borderId="0"/>
    <xf numFmtId="0" fontId="8" fillId="0" borderId="0"/>
    <xf numFmtId="0" fontId="12" fillId="0" borderId="0"/>
    <xf numFmtId="0" fontId="12" fillId="0" borderId="0"/>
    <xf numFmtId="169" fontId="20" fillId="2" borderId="0" applyAlignment="0">
      <protection locked="0"/>
    </xf>
    <xf numFmtId="169" fontId="20" fillId="2" borderId="0" applyAlignment="0">
      <protection locked="0"/>
    </xf>
    <xf numFmtId="169" fontId="20" fillId="2" borderId="0" applyAlignment="0">
      <protection locked="0"/>
    </xf>
    <xf numFmtId="0" fontId="12" fillId="0" borderId="0"/>
    <xf numFmtId="0" fontId="12" fillId="0" borderId="0"/>
    <xf numFmtId="0" fontId="12" fillId="0" borderId="0"/>
    <xf numFmtId="169" fontId="20" fillId="2" borderId="0" applyAlignment="0">
      <protection locked="0"/>
    </xf>
    <xf numFmtId="169" fontId="20" fillId="2" borderId="0" applyAlignment="0">
      <protection locked="0"/>
    </xf>
    <xf numFmtId="169" fontId="20" fillId="2" borderId="0" applyAlignment="0">
      <protection locked="0"/>
    </xf>
    <xf numFmtId="0" fontId="7" fillId="0" borderId="0"/>
    <xf numFmtId="0" fontId="7" fillId="0" borderId="0"/>
    <xf numFmtId="0" fontId="12" fillId="0" borderId="0"/>
    <xf numFmtId="0" fontId="12" fillId="0" borderId="0"/>
    <xf numFmtId="0" fontId="12" fillId="0" borderId="0"/>
    <xf numFmtId="169" fontId="20" fillId="2" borderId="0" applyAlignment="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38" fillId="0" borderId="0"/>
    <xf numFmtId="43" fontId="3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12" fillId="0" borderId="0"/>
    <xf numFmtId="37" fontId="39" fillId="0" borderId="0" applyProtection="0">
      <alignment horizontal="center"/>
    </xf>
    <xf numFmtId="164" fontId="122" fillId="0" borderId="0" applyNumberFormat="0" applyFont="0" applyFill="0" applyBorder="0" applyProtection="0">
      <alignment horizontal="left"/>
    </xf>
    <xf numFmtId="37" fontId="39" fillId="0" borderId="0" applyProtection="0">
      <alignment horizontal="center"/>
    </xf>
    <xf numFmtId="0" fontId="133" fillId="0" borderId="0"/>
    <xf numFmtId="9" fontId="133" fillId="0" borderId="0" applyFont="0" applyFill="0" applyBorder="0" applyAlignment="0" applyProtection="0"/>
    <xf numFmtId="43" fontId="133" fillId="0" borderId="0" applyFont="0" applyFill="0" applyBorder="0" applyAlignment="0" applyProtection="0"/>
    <xf numFmtId="0" fontId="12" fillId="0" borderId="0"/>
    <xf numFmtId="0" fontId="2" fillId="0" borderId="0"/>
    <xf numFmtId="0" fontId="147" fillId="0" borderId="0"/>
  </cellStyleXfs>
  <cellXfs count="1606">
    <xf numFmtId="0" fontId="0" fillId="0" borderId="0" xfId="0"/>
    <xf numFmtId="14" fontId="39" fillId="8" borderId="2" xfId="88" applyNumberFormat="1" applyFont="1" applyFill="1" applyBorder="1"/>
    <xf numFmtId="5" fontId="40" fillId="8" borderId="0" xfId="0" applyNumberFormat="1" applyFont="1" applyFill="1" applyAlignment="1">
      <alignment vertical="center"/>
    </xf>
    <xf numFmtId="0" fontId="40" fillId="12" borderId="8" xfId="42" applyFont="1" applyFill="1" applyBorder="1" applyAlignment="1">
      <alignment horizontal="center" vertical="center"/>
    </xf>
    <xf numFmtId="0" fontId="40" fillId="12" borderId="34" xfId="42" applyFont="1" applyFill="1" applyBorder="1" applyAlignment="1">
      <alignment horizontal="center" vertical="center"/>
    </xf>
    <xf numFmtId="0" fontId="40" fillId="12" borderId="2" xfId="42" applyFont="1" applyFill="1" applyBorder="1" applyAlignment="1">
      <alignment horizontal="center" vertical="center"/>
    </xf>
    <xf numFmtId="0" fontId="41" fillId="8" borderId="0" xfId="0" applyFont="1" applyFill="1"/>
    <xf numFmtId="183" fontId="41" fillId="8" borderId="0" xfId="0" applyNumberFormat="1" applyFont="1" applyFill="1"/>
    <xf numFmtId="164" fontId="44" fillId="8" borderId="4" xfId="0" applyNumberFormat="1" applyFont="1" applyFill="1" applyBorder="1" applyAlignment="1">
      <alignment vertical="center"/>
    </xf>
    <xf numFmtId="3" fontId="43" fillId="8" borderId="0" xfId="0" applyNumberFormat="1" applyFont="1" applyFill="1" applyAlignment="1">
      <alignment vertical="center"/>
    </xf>
    <xf numFmtId="164" fontId="44" fillId="8" borderId="4" xfId="0" applyNumberFormat="1" applyFont="1" applyFill="1" applyBorder="1" applyAlignment="1">
      <alignment horizontal="left" vertical="center" indent="1"/>
    </xf>
    <xf numFmtId="3" fontId="45" fillId="8" borderId="4" xfId="0" applyNumberFormat="1" applyFont="1" applyFill="1" applyBorder="1" applyAlignment="1">
      <alignment vertical="center"/>
    </xf>
    <xf numFmtId="3" fontId="41" fillId="8" borderId="4" xfId="0" applyNumberFormat="1" applyFont="1" applyFill="1" applyBorder="1" applyAlignment="1">
      <alignment vertical="center"/>
    </xf>
    <xf numFmtId="3" fontId="41" fillId="8" borderId="0" xfId="0" applyNumberFormat="1" applyFont="1" applyFill="1" applyAlignment="1">
      <alignment vertical="center"/>
    </xf>
    <xf numFmtId="3" fontId="41" fillId="8" borderId="3" xfId="0" applyNumberFormat="1" applyFont="1" applyFill="1" applyBorder="1" applyAlignment="1">
      <alignment vertical="center"/>
    </xf>
    <xf numFmtId="184" fontId="41" fillId="8" borderId="0" xfId="0" applyNumberFormat="1" applyFont="1" applyFill="1"/>
    <xf numFmtId="0" fontId="48" fillId="0" borderId="0" xfId="0" applyFont="1" applyAlignment="1">
      <alignment vertical="center"/>
    </xf>
    <xf numFmtId="37" fontId="49" fillId="0" borderId="0" xfId="0" applyNumberFormat="1" applyFont="1" applyAlignment="1">
      <alignment vertical="center"/>
    </xf>
    <xf numFmtId="37" fontId="50" fillId="0" borderId="0" xfId="0" applyNumberFormat="1" applyFont="1" applyAlignment="1">
      <alignment vertical="center"/>
    </xf>
    <xf numFmtId="37" fontId="51" fillId="0" borderId="0" xfId="0" applyNumberFormat="1" applyFont="1" applyAlignment="1">
      <alignment vertical="center"/>
    </xf>
    <xf numFmtId="190" fontId="48" fillId="0" borderId="0" xfId="0" applyNumberFormat="1" applyFont="1" applyAlignment="1">
      <alignment vertical="center"/>
    </xf>
    <xf numFmtId="190" fontId="48" fillId="0" borderId="0" xfId="51" applyNumberFormat="1" applyFont="1" applyBorder="1" applyAlignment="1">
      <alignment vertical="center"/>
    </xf>
    <xf numFmtId="1" fontId="52" fillId="0" borderId="0" xfId="0" applyNumberFormat="1" applyFont="1" applyAlignment="1">
      <alignment vertical="center"/>
    </xf>
    <xf numFmtId="1" fontId="48" fillId="0" borderId="0" xfId="0" applyNumberFormat="1" applyFont="1" applyAlignment="1">
      <alignment vertical="center"/>
    </xf>
    <xf numFmtId="0" fontId="53" fillId="12" borderId="26" xfId="0" applyFont="1" applyFill="1" applyBorder="1" applyAlignment="1">
      <alignment vertical="center"/>
    </xf>
    <xf numFmtId="37" fontId="54" fillId="15" borderId="26" xfId="0" applyNumberFormat="1" applyFont="1" applyFill="1" applyBorder="1" applyAlignment="1">
      <alignment horizontal="centerContinuous"/>
    </xf>
    <xf numFmtId="0" fontId="55" fillId="15" borderId="5" xfId="0" applyFont="1" applyFill="1" applyBorder="1" applyAlignment="1">
      <alignment horizontal="centerContinuous"/>
    </xf>
    <xf numFmtId="37" fontId="54" fillId="12" borderId="26" xfId="0" applyNumberFormat="1" applyFont="1" applyFill="1" applyBorder="1" applyAlignment="1">
      <alignment horizontal="centerContinuous"/>
    </xf>
    <xf numFmtId="0" fontId="55" fillId="12" borderId="5" xfId="0" applyFont="1" applyFill="1" applyBorder="1" applyAlignment="1">
      <alignment horizontal="centerContinuous"/>
    </xf>
    <xf numFmtId="37" fontId="54" fillId="12" borderId="5" xfId="0" applyNumberFormat="1" applyFont="1" applyFill="1" applyBorder="1" applyAlignment="1">
      <alignment horizontal="centerContinuous"/>
    </xf>
    <xf numFmtId="37" fontId="54" fillId="12" borderId="30" xfId="0" applyNumberFormat="1" applyFont="1" applyFill="1" applyBorder="1" applyAlignment="1">
      <alignment horizontal="centerContinuous"/>
    </xf>
    <xf numFmtId="0" fontId="53" fillId="12" borderId="3" xfId="0" applyFont="1" applyFill="1" applyBorder="1" applyAlignment="1">
      <alignment vertical="center"/>
    </xf>
    <xf numFmtId="37" fontId="54" fillId="15" borderId="31" xfId="0" applyNumberFormat="1" applyFont="1" applyFill="1" applyBorder="1" applyAlignment="1">
      <alignment horizontal="center"/>
    </xf>
    <xf numFmtId="37" fontId="54" fillId="15" borderId="2" xfId="0" applyNumberFormat="1" applyFont="1" applyFill="1" applyBorder="1" applyAlignment="1">
      <alignment horizontal="center"/>
    </xf>
    <xf numFmtId="37" fontId="54" fillId="15" borderId="0" xfId="0" applyNumberFormat="1" applyFont="1" applyFill="1" applyAlignment="1">
      <alignment horizontal="center" wrapText="1"/>
    </xf>
    <xf numFmtId="37" fontId="54" fillId="15" borderId="0" xfId="0" applyNumberFormat="1" applyFont="1" applyFill="1" applyAlignment="1">
      <alignment horizontal="center"/>
    </xf>
    <xf numFmtId="37" fontId="54" fillId="12" borderId="31" xfId="0" applyNumberFormat="1" applyFont="1" applyFill="1" applyBorder="1" applyAlignment="1">
      <alignment horizontal="center"/>
    </xf>
    <xf numFmtId="37" fontId="54" fillId="12" borderId="2" xfId="0" applyNumberFormat="1" applyFont="1" applyFill="1" applyBorder="1" applyAlignment="1">
      <alignment horizontal="center"/>
    </xf>
    <xf numFmtId="37" fontId="54" fillId="12" borderId="2" xfId="0" applyNumberFormat="1" applyFont="1" applyFill="1" applyBorder="1" applyAlignment="1">
      <alignment horizontal="center" wrapText="1"/>
    </xf>
    <xf numFmtId="37" fontId="54" fillId="15" borderId="2" xfId="0" applyNumberFormat="1" applyFont="1" applyFill="1" applyBorder="1" applyAlignment="1">
      <alignment horizontal="center" wrapText="1"/>
    </xf>
    <xf numFmtId="37" fontId="54" fillId="12" borderId="0" xfId="0" applyNumberFormat="1" applyFont="1" applyFill="1" applyAlignment="1">
      <alignment horizontal="center" wrapText="1"/>
    </xf>
    <xf numFmtId="37" fontId="54" fillId="12" borderId="4" xfId="0" applyNumberFormat="1" applyFont="1" applyFill="1" applyBorder="1" applyAlignment="1">
      <alignment horizontal="center" wrapText="1"/>
    </xf>
    <xf numFmtId="183" fontId="49" fillId="0" borderId="0" xfId="0" applyNumberFormat="1" applyFont="1" applyAlignment="1">
      <alignment vertical="center"/>
    </xf>
    <xf numFmtId="0" fontId="55" fillId="8" borderId="26" xfId="0" applyFont="1" applyFill="1" applyBorder="1" applyAlignment="1">
      <alignment horizontal="left" indent="1"/>
    </xf>
    <xf numFmtId="37" fontId="52" fillId="0" borderId="26" xfId="0" applyNumberFormat="1" applyFont="1" applyBorder="1" applyAlignment="1">
      <alignment horizontal="center"/>
    </xf>
    <xf numFmtId="3" fontId="55" fillId="8" borderId="0" xfId="0" applyNumberFormat="1" applyFont="1" applyFill="1" applyAlignment="1">
      <alignment horizontal="center"/>
    </xf>
    <xf numFmtId="192" fontId="55" fillId="8" borderId="0" xfId="0" applyNumberFormat="1" applyFont="1" applyFill="1" applyAlignment="1">
      <alignment horizontal="center"/>
    </xf>
    <xf numFmtId="164" fontId="52" fillId="0" borderId="5" xfId="0" applyNumberFormat="1" applyFont="1" applyBorder="1" applyAlignment="1">
      <alignment horizontal="center"/>
    </xf>
    <xf numFmtId="164" fontId="56" fillId="0" borderId="5" xfId="0" applyNumberFormat="1" applyFont="1" applyBorder="1" applyAlignment="1">
      <alignment horizontal="center"/>
    </xf>
    <xf numFmtId="3" fontId="52" fillId="8" borderId="3" xfId="0" applyNumberFormat="1" applyFont="1" applyFill="1" applyBorder="1" applyAlignment="1">
      <alignment horizontal="center"/>
    </xf>
    <xf numFmtId="192" fontId="55" fillId="8" borderId="5" xfId="0" applyNumberFormat="1" applyFont="1" applyFill="1" applyBorder="1" applyAlignment="1">
      <alignment horizontal="center"/>
    </xf>
    <xf numFmtId="192" fontId="55" fillId="8" borderId="4" xfId="0" applyNumberFormat="1" applyFont="1" applyFill="1" applyBorder="1" applyAlignment="1">
      <alignment horizontal="center"/>
    </xf>
    <xf numFmtId="0" fontId="55" fillId="8" borderId="3" xfId="0" applyFont="1" applyFill="1" applyBorder="1" applyAlignment="1">
      <alignment horizontal="left" indent="1"/>
    </xf>
    <xf numFmtId="184" fontId="52" fillId="8" borderId="31" xfId="0" applyNumberFormat="1" applyFont="1" applyFill="1" applyBorder="1" applyAlignment="1">
      <alignment horizontal="center"/>
    </xf>
    <xf numFmtId="3" fontId="55" fillId="8" borderId="2" xfId="0" applyNumberFormat="1" applyFont="1" applyFill="1" applyBorder="1" applyAlignment="1">
      <alignment horizontal="center"/>
    </xf>
    <xf numFmtId="192" fontId="55" fillId="8" borderId="2" xfId="0" applyNumberFormat="1" applyFont="1" applyFill="1" applyBorder="1" applyAlignment="1">
      <alignment horizontal="center"/>
    </xf>
    <xf numFmtId="164" fontId="52" fillId="0" borderId="2" xfId="0" applyNumberFormat="1" applyFont="1" applyBorder="1" applyAlignment="1">
      <alignment horizontal="center"/>
    </xf>
    <xf numFmtId="164" fontId="56" fillId="0" borderId="2" xfId="0" applyNumberFormat="1" applyFont="1" applyBorder="1" applyAlignment="1">
      <alignment horizontal="center"/>
    </xf>
    <xf numFmtId="192" fontId="55" fillId="8" borderId="32" xfId="0" applyNumberFormat="1" applyFont="1" applyFill="1" applyBorder="1" applyAlignment="1">
      <alignment horizontal="center"/>
    </xf>
    <xf numFmtId="183" fontId="48" fillId="0" borderId="0" xfId="0" applyNumberFormat="1" applyFont="1" applyAlignment="1">
      <alignment vertical="center"/>
    </xf>
    <xf numFmtId="0" fontId="55" fillId="8" borderId="26" xfId="0" applyFont="1" applyFill="1" applyBorder="1" applyAlignment="1">
      <alignment horizontal="left"/>
    </xf>
    <xf numFmtId="164" fontId="52" fillId="0" borderId="3" xfId="0" applyNumberFormat="1" applyFont="1" applyBorder="1" applyAlignment="1">
      <alignment horizontal="center"/>
    </xf>
    <xf numFmtId="183" fontId="55" fillId="8" borderId="0" xfId="0" applyNumberFormat="1" applyFont="1" applyFill="1" applyAlignment="1">
      <alignment horizontal="center"/>
    </xf>
    <xf numFmtId="164" fontId="52" fillId="0" borderId="0" xfId="0" applyNumberFormat="1" applyFont="1" applyAlignment="1">
      <alignment horizontal="center"/>
    </xf>
    <xf numFmtId="164" fontId="56" fillId="0" borderId="0" xfId="0" applyNumberFormat="1" applyFont="1" applyAlignment="1">
      <alignment horizontal="center"/>
    </xf>
    <xf numFmtId="183" fontId="52" fillId="8" borderId="26" xfId="0" applyNumberFormat="1" applyFont="1" applyFill="1" applyBorder="1" applyAlignment="1">
      <alignment horizontal="center"/>
    </xf>
    <xf numFmtId="5" fontId="55" fillId="8" borderId="3" xfId="0" applyNumberFormat="1" applyFont="1" applyFill="1" applyBorder="1" applyAlignment="1">
      <alignment horizontal="left" vertical="center" indent="2"/>
    </xf>
    <xf numFmtId="183" fontId="52" fillId="8" borderId="3" xfId="0" applyNumberFormat="1" applyFont="1" applyFill="1" applyBorder="1" applyAlignment="1">
      <alignment horizontal="center"/>
    </xf>
    <xf numFmtId="164" fontId="55" fillId="8" borderId="3" xfId="0" applyNumberFormat="1" applyFont="1" applyFill="1" applyBorder="1" applyAlignment="1">
      <alignment horizontal="left" vertical="center" indent="2"/>
    </xf>
    <xf numFmtId="183" fontId="48" fillId="0" borderId="2" xfId="0" applyNumberFormat="1" applyFont="1" applyBorder="1" applyAlignment="1">
      <alignment vertical="center"/>
    </xf>
    <xf numFmtId="164" fontId="55" fillId="0" borderId="0" xfId="0" applyNumberFormat="1" applyFont="1" applyAlignment="1">
      <alignment horizontal="center"/>
    </xf>
    <xf numFmtId="0" fontId="57" fillId="8" borderId="3" xfId="0" applyFont="1" applyFill="1" applyBorder="1" applyAlignment="1">
      <alignment horizontal="left"/>
    </xf>
    <xf numFmtId="192" fontId="52" fillId="8" borderId="3" xfId="0" applyNumberFormat="1" applyFont="1" applyFill="1" applyBorder="1" applyAlignment="1">
      <alignment horizontal="center"/>
    </xf>
    <xf numFmtId="192" fontId="52" fillId="8" borderId="0" xfId="0" applyNumberFormat="1" applyFont="1" applyFill="1" applyAlignment="1">
      <alignment horizontal="center"/>
    </xf>
    <xf numFmtId="0" fontId="55" fillId="8" borderId="3" xfId="0" applyFont="1" applyFill="1" applyBorder="1" applyAlignment="1">
      <alignment horizontal="left"/>
    </xf>
    <xf numFmtId="7" fontId="52" fillId="0" borderId="0" xfId="0" applyNumberFormat="1" applyFont="1" applyAlignment="1">
      <alignment horizontal="center"/>
    </xf>
    <xf numFmtId="7" fontId="56" fillId="0" borderId="0" xfId="0" applyNumberFormat="1" applyFont="1" applyAlignment="1">
      <alignment horizontal="center"/>
    </xf>
    <xf numFmtId="7" fontId="52" fillId="0" borderId="3" xfId="0" applyNumberFormat="1" applyFont="1" applyBorder="1" applyAlignment="1">
      <alignment horizontal="center"/>
    </xf>
    <xf numFmtId="7" fontId="55" fillId="0" borderId="0" xfId="0" applyNumberFormat="1" applyFont="1" applyAlignment="1">
      <alignment horizontal="center"/>
    </xf>
    <xf numFmtId="0" fontId="55" fillId="8" borderId="31" xfId="0" applyFont="1" applyFill="1" applyBorder="1" applyAlignment="1">
      <alignment horizontal="left"/>
    </xf>
    <xf numFmtId="7" fontId="52" fillId="0" borderId="31" xfId="0" applyNumberFormat="1" applyFont="1" applyBorder="1" applyAlignment="1">
      <alignment horizontal="center"/>
    </xf>
    <xf numFmtId="164" fontId="55" fillId="0" borderId="2" xfId="0" applyNumberFormat="1" applyFont="1" applyBorder="1" applyAlignment="1">
      <alignment horizontal="center"/>
    </xf>
    <xf numFmtId="7" fontId="52" fillId="0" borderId="2" xfId="0" applyNumberFormat="1" applyFont="1" applyBorder="1" applyAlignment="1">
      <alignment horizontal="center"/>
    </xf>
    <xf numFmtId="7" fontId="56" fillId="0" borderId="2" xfId="0" applyNumberFormat="1" applyFont="1" applyBorder="1" applyAlignment="1">
      <alignment horizontal="center"/>
    </xf>
    <xf numFmtId="7" fontId="55" fillId="0" borderId="2" xfId="0" applyNumberFormat="1" applyFont="1" applyBorder="1" applyAlignment="1">
      <alignment horizontal="center"/>
    </xf>
    <xf numFmtId="0" fontId="55" fillId="8" borderId="0" xfId="0" applyFont="1" applyFill="1" applyAlignment="1">
      <alignment horizontal="left"/>
    </xf>
    <xf numFmtId="7" fontId="56" fillId="0" borderId="5" xfId="0" applyNumberFormat="1" applyFont="1" applyBorder="1" applyAlignment="1">
      <alignment horizontal="center"/>
    </xf>
    <xf numFmtId="7" fontId="60" fillId="0" borderId="0" xfId="0" applyNumberFormat="1" applyFont="1" applyAlignment="1">
      <alignment horizontal="center"/>
    </xf>
    <xf numFmtId="0" fontId="48" fillId="0" borderId="0" xfId="0" applyFont="1" applyAlignment="1">
      <alignment horizontal="center"/>
    </xf>
    <xf numFmtId="14" fontId="50" fillId="0" borderId="0" xfId="0" applyNumberFormat="1" applyFont="1" applyAlignment="1">
      <alignment vertical="center"/>
    </xf>
    <xf numFmtId="192" fontId="59" fillId="0" borderId="0" xfId="0" applyNumberFormat="1" applyFont="1" applyAlignment="1">
      <alignment horizontal="center" vertical="center"/>
    </xf>
    <xf numFmtId="192" fontId="48" fillId="0" borderId="0" xfId="0" applyNumberFormat="1" applyFont="1" applyAlignment="1">
      <alignment horizontal="center" vertical="center"/>
    </xf>
    <xf numFmtId="37" fontId="64" fillId="0" borderId="0" xfId="0" applyNumberFormat="1" applyFont="1" applyAlignment="1">
      <alignment vertical="center"/>
    </xf>
    <xf numFmtId="37" fontId="48" fillId="0" borderId="0" xfId="0" applyNumberFormat="1" applyFont="1" applyAlignment="1">
      <alignment horizontal="center" vertical="center"/>
    </xf>
    <xf numFmtId="37" fontId="48" fillId="0" borderId="0" xfId="0" applyNumberFormat="1" applyFont="1" applyAlignment="1">
      <alignment vertical="center"/>
    </xf>
    <xf numFmtId="165" fontId="48" fillId="0" borderId="0" xfId="0" applyNumberFormat="1" applyFont="1" applyAlignment="1">
      <alignment horizontal="right" vertical="center"/>
    </xf>
    <xf numFmtId="37" fontId="48" fillId="0" borderId="0" xfId="0" applyNumberFormat="1" applyFont="1" applyAlignment="1">
      <alignment horizontal="left" vertical="center"/>
    </xf>
    <xf numFmtId="37" fontId="65" fillId="0" borderId="0" xfId="0" applyNumberFormat="1" applyFont="1" applyAlignment="1">
      <alignment vertical="center"/>
    </xf>
    <xf numFmtId="14" fontId="48" fillId="0" borderId="0" xfId="0" applyNumberFormat="1" applyFont="1" applyAlignment="1">
      <alignment horizontal="center" vertical="center"/>
    </xf>
    <xf numFmtId="37" fontId="59" fillId="0" borderId="0" xfId="0" applyNumberFormat="1" applyFont="1" applyAlignment="1">
      <alignment vertical="center"/>
    </xf>
    <xf numFmtId="167" fontId="48" fillId="0" borderId="0" xfId="0" applyNumberFormat="1" applyFont="1" applyAlignment="1">
      <alignment horizontal="center" vertical="center"/>
    </xf>
    <xf numFmtId="37" fontId="67" fillId="0" borderId="0" xfId="0" applyNumberFormat="1" applyFont="1" applyAlignment="1">
      <alignment horizontal="center" vertical="center"/>
    </xf>
    <xf numFmtId="37" fontId="50" fillId="0" borderId="0" xfId="0" applyNumberFormat="1" applyFont="1" applyAlignment="1">
      <alignment horizontal="centerContinuous" vertical="center"/>
    </xf>
    <xf numFmtId="37" fontId="50" fillId="0" borderId="0" xfId="0" applyNumberFormat="1" applyFont="1" applyAlignment="1">
      <alignment horizontal="right" vertical="center"/>
    </xf>
    <xf numFmtId="37" fontId="50" fillId="12" borderId="0" xfId="0" applyNumberFormat="1" applyFont="1" applyFill="1" applyAlignment="1">
      <alignment vertical="center"/>
    </xf>
    <xf numFmtId="37" fontId="50" fillId="12" borderId="0" xfId="0" applyNumberFormat="1" applyFont="1" applyFill="1" applyAlignment="1">
      <alignment horizontal="center" vertical="center"/>
    </xf>
    <xf numFmtId="15" fontId="50" fillId="12" borderId="0" xfId="0" applyNumberFormat="1" applyFont="1" applyFill="1" applyAlignment="1">
      <alignment horizontal="center" vertical="center"/>
    </xf>
    <xf numFmtId="37" fontId="68" fillId="0" borderId="0" xfId="0" applyNumberFormat="1" applyFont="1" applyAlignment="1">
      <alignment horizontal="right" vertical="center"/>
    </xf>
    <xf numFmtId="7" fontId="48" fillId="8" borderId="0" xfId="0" applyNumberFormat="1" applyFont="1" applyFill="1" applyAlignment="1">
      <alignment horizontal="center" vertical="center"/>
    </xf>
    <xf numFmtId="37" fontId="69" fillId="0" borderId="0" xfId="0" applyNumberFormat="1" applyFont="1" applyAlignment="1">
      <alignment horizontal="center" vertical="center"/>
    </xf>
    <xf numFmtId="37" fontId="50" fillId="0" borderId="0" xfId="0" applyNumberFormat="1" applyFont="1" applyAlignment="1">
      <alignment horizontal="left" vertical="center"/>
    </xf>
    <xf numFmtId="164" fontId="70" fillId="0" borderId="0" xfId="0" applyNumberFormat="1" applyFont="1" applyAlignment="1">
      <alignment horizontal="center" vertical="center"/>
    </xf>
    <xf numFmtId="37" fontId="59" fillId="0" borderId="0" xfId="0" applyNumberFormat="1" applyFont="1" applyAlignment="1">
      <alignment horizontal="left" vertical="center"/>
    </xf>
    <xf numFmtId="37" fontId="66" fillId="0" borderId="0" xfId="0" applyNumberFormat="1" applyFont="1" applyAlignment="1">
      <alignment horizontal="left" vertical="center"/>
    </xf>
    <xf numFmtId="164" fontId="50" fillId="0" borderId="5" xfId="0" applyNumberFormat="1" applyFont="1" applyBorder="1" applyAlignment="1">
      <alignment horizontal="center" vertical="center"/>
    </xf>
    <xf numFmtId="37" fontId="71" fillId="0" borderId="0" xfId="0" applyNumberFormat="1" applyFont="1" applyAlignment="1">
      <alignment vertical="center"/>
    </xf>
    <xf numFmtId="37" fontId="68" fillId="0" borderId="0" xfId="0" applyNumberFormat="1" applyFont="1" applyAlignment="1">
      <alignment horizontal="left" vertical="center"/>
    </xf>
    <xf numFmtId="37" fontId="68" fillId="0" borderId="0" xfId="0" applyNumberFormat="1" applyFont="1" applyAlignment="1">
      <alignment horizontal="centerContinuous" vertical="center"/>
    </xf>
    <xf numFmtId="37" fontId="62" fillId="0" borderId="0" xfId="0" applyNumberFormat="1" applyFont="1" applyAlignment="1">
      <alignment vertical="center"/>
    </xf>
    <xf numFmtId="37" fontId="48" fillId="0" borderId="5" xfId="0" applyNumberFormat="1" applyFont="1" applyBorder="1" applyAlignment="1">
      <alignment vertical="center"/>
    </xf>
    <xf numFmtId="37" fontId="54" fillId="12" borderId="0" xfId="0" applyNumberFormat="1" applyFont="1" applyFill="1" applyAlignment="1">
      <alignment vertical="center"/>
    </xf>
    <xf numFmtId="37" fontId="54" fillId="12" borderId="0" xfId="0" applyNumberFormat="1" applyFont="1" applyFill="1" applyAlignment="1">
      <alignment horizontal="center" vertical="center"/>
    </xf>
    <xf numFmtId="15" fontId="53" fillId="12" borderId="0" xfId="0" applyNumberFormat="1" applyFont="1" applyFill="1" applyAlignment="1">
      <alignment horizontal="center" vertical="center"/>
    </xf>
    <xf numFmtId="37" fontId="55" fillId="0" borderId="0" xfId="0" applyNumberFormat="1" applyFont="1" applyAlignment="1">
      <alignment vertical="center"/>
    </xf>
    <xf numFmtId="194" fontId="70" fillId="0" borderId="0" xfId="0" applyNumberFormat="1" applyFont="1" applyAlignment="1">
      <alignment horizontal="center" vertical="center"/>
    </xf>
    <xf numFmtId="164" fontId="55" fillId="0" borderId="0" xfId="0" applyNumberFormat="1" applyFont="1" applyAlignment="1">
      <alignment horizontal="center" vertical="center"/>
    </xf>
    <xf numFmtId="37" fontId="72" fillId="0" borderId="0" xfId="0" applyNumberFormat="1" applyFont="1" applyAlignment="1">
      <alignment vertical="center"/>
    </xf>
    <xf numFmtId="164" fontId="72" fillId="0" borderId="0" xfId="0" applyNumberFormat="1" applyFont="1" applyAlignment="1">
      <alignment horizontal="center" vertical="center"/>
    </xf>
    <xf numFmtId="164" fontId="72" fillId="8" borderId="0" xfId="0" applyNumberFormat="1" applyFont="1" applyFill="1" applyAlignment="1">
      <alignment horizontal="center" vertical="center"/>
    </xf>
    <xf numFmtId="195" fontId="70" fillId="0" borderId="0" xfId="0" applyNumberFormat="1" applyFont="1" applyAlignment="1">
      <alignment horizontal="center" vertical="center"/>
    </xf>
    <xf numFmtId="7" fontId="72" fillId="0" borderId="0" xfId="0" applyNumberFormat="1" applyFont="1" applyAlignment="1">
      <alignment horizontal="center"/>
    </xf>
    <xf numFmtId="0" fontId="55" fillId="0" borderId="0" xfId="0" applyFont="1" applyAlignment="1">
      <alignment vertical="center"/>
    </xf>
    <xf numFmtId="37" fontId="73" fillId="0" borderId="0" xfId="0" applyNumberFormat="1" applyFont="1" applyAlignment="1">
      <alignment vertical="center"/>
    </xf>
    <xf numFmtId="192" fontId="70" fillId="0" borderId="0" xfId="51" applyNumberFormat="1" applyFont="1" applyBorder="1" applyAlignment="1">
      <alignment horizontal="center" vertical="center"/>
    </xf>
    <xf numFmtId="37" fontId="59" fillId="0" borderId="0" xfId="0" applyNumberFormat="1" applyFont="1" applyAlignment="1">
      <alignment horizontal="center" vertical="center"/>
    </xf>
    <xf numFmtId="192" fontId="55" fillId="0" borderId="0" xfId="51" applyNumberFormat="1" applyFont="1" applyBorder="1" applyAlignment="1">
      <alignment horizontal="center" vertical="center"/>
    </xf>
    <xf numFmtId="39" fontId="50" fillId="0" borderId="0" xfId="0" applyNumberFormat="1" applyFont="1" applyAlignment="1">
      <alignment horizontal="left" vertical="center"/>
    </xf>
    <xf numFmtId="37" fontId="50" fillId="0" borderId="0" xfId="0" applyNumberFormat="1" applyFont="1" applyAlignment="1">
      <alignment horizontal="center" vertical="center"/>
    </xf>
    <xf numFmtId="37" fontId="54" fillId="12" borderId="9" xfId="0" applyNumberFormat="1" applyFont="1" applyFill="1" applyBorder="1" applyAlignment="1">
      <alignment vertical="center"/>
    </xf>
    <xf numFmtId="0" fontId="74" fillId="0" borderId="0" xfId="0" applyFont="1"/>
    <xf numFmtId="37" fontId="54" fillId="12" borderId="10" xfId="0" applyNumberFormat="1" applyFont="1" applyFill="1" applyBorder="1" applyAlignment="1">
      <alignment horizontal="center" vertical="center"/>
    </xf>
    <xf numFmtId="37" fontId="54" fillId="12" borderId="9" xfId="0" applyNumberFormat="1" applyFont="1" applyFill="1" applyBorder="1" applyAlignment="1">
      <alignment horizontal="centerContinuous" vertical="center"/>
    </xf>
    <xf numFmtId="37" fontId="54" fillId="12" borderId="10" xfId="0" applyNumberFormat="1" applyFont="1" applyFill="1" applyBorder="1" applyAlignment="1">
      <alignment horizontal="centerContinuous" vertical="center"/>
    </xf>
    <xf numFmtId="37" fontId="54" fillId="12" borderId="25" xfId="0" applyNumberFormat="1" applyFont="1" applyFill="1" applyBorder="1" applyAlignment="1">
      <alignment horizontal="centerContinuous" vertical="center"/>
    </xf>
    <xf numFmtId="37" fontId="75" fillId="0" borderId="0" xfId="0" applyNumberFormat="1" applyFont="1" applyAlignment="1">
      <alignment vertical="center"/>
    </xf>
    <xf numFmtId="37" fontId="75" fillId="0" borderId="0" xfId="0" applyNumberFormat="1" applyFont="1" applyAlignment="1">
      <alignment horizontal="right" vertical="center"/>
    </xf>
    <xf numFmtId="37" fontId="55" fillId="0" borderId="11" xfId="0" applyNumberFormat="1" applyFont="1" applyBorder="1" applyAlignment="1">
      <alignment vertical="center"/>
    </xf>
    <xf numFmtId="164" fontId="55" fillId="0" borderId="12" xfId="0" applyNumberFormat="1" applyFont="1" applyBorder="1" applyAlignment="1">
      <alignment horizontal="center" vertical="center"/>
    </xf>
    <xf numFmtId="37" fontId="55" fillId="0" borderId="11" xfId="0" applyNumberFormat="1" applyFont="1" applyBorder="1" applyAlignment="1">
      <alignment horizontal="right" vertical="center"/>
    </xf>
    <xf numFmtId="164" fontId="54" fillId="0" borderId="0" xfId="0" applyNumberFormat="1" applyFont="1" applyAlignment="1">
      <alignment horizontal="centerContinuous" vertical="center"/>
    </xf>
    <xf numFmtId="37" fontId="54" fillId="0" borderId="12" xfId="0" applyNumberFormat="1" applyFont="1" applyBorder="1" applyAlignment="1">
      <alignment horizontal="centerContinuous" vertical="center"/>
    </xf>
    <xf numFmtId="164" fontId="64" fillId="0" borderId="0" xfId="0" applyNumberFormat="1" applyFont="1" applyAlignment="1">
      <alignment vertical="center"/>
    </xf>
    <xf numFmtId="37" fontId="76" fillId="0" borderId="11" xfId="0" applyNumberFormat="1" applyFont="1" applyBorder="1" applyAlignment="1">
      <alignment vertical="center"/>
    </xf>
    <xf numFmtId="37" fontId="76" fillId="0" borderId="11" xfId="0" applyNumberFormat="1" applyFont="1" applyBorder="1" applyAlignment="1">
      <alignment horizontal="right" vertical="center"/>
    </xf>
    <xf numFmtId="164" fontId="55" fillId="0" borderId="11" xfId="0" applyNumberFormat="1" applyFont="1" applyBorder="1" applyAlignment="1">
      <alignment horizontal="right" vertical="center"/>
    </xf>
    <xf numFmtId="164" fontId="55" fillId="0" borderId="0" xfId="0" applyNumberFormat="1" applyFont="1" applyAlignment="1">
      <alignment horizontal="right" vertical="center"/>
    </xf>
    <xf numFmtId="7" fontId="74" fillId="0" borderId="0" xfId="0" applyNumberFormat="1" applyFont="1" applyAlignment="1">
      <alignment horizontal="left"/>
    </xf>
    <xf numFmtId="37" fontId="55" fillId="0" borderId="11" xfId="0" quotePrefix="1" applyNumberFormat="1" applyFont="1" applyBorder="1" applyAlignment="1">
      <alignment horizontal="right" vertical="center"/>
    </xf>
    <xf numFmtId="0" fontId="74" fillId="0" borderId="0" xfId="0" applyFont="1" applyAlignment="1">
      <alignment horizontal="left"/>
    </xf>
    <xf numFmtId="164" fontId="76" fillId="0" borderId="12" xfId="0" applyNumberFormat="1" applyFont="1" applyBorder="1" applyAlignment="1">
      <alignment horizontal="center" vertical="center"/>
    </xf>
    <xf numFmtId="164" fontId="55" fillId="0" borderId="11" xfId="0" applyNumberFormat="1" applyFont="1" applyBorder="1" applyAlignment="1">
      <alignment horizontal="center" vertical="center"/>
    </xf>
    <xf numFmtId="37" fontId="55" fillId="0" borderId="12" xfId="0" applyNumberFormat="1" applyFont="1" applyBorder="1" applyAlignment="1">
      <alignment horizontal="center" vertical="center"/>
    </xf>
    <xf numFmtId="37" fontId="55" fillId="0" borderId="11" xfId="0" applyNumberFormat="1" applyFont="1" applyBorder="1" applyAlignment="1">
      <alignment horizontal="center" vertical="center"/>
    </xf>
    <xf numFmtId="37" fontId="54" fillId="0" borderId="11" xfId="0" applyNumberFormat="1" applyFont="1" applyBorder="1" applyAlignment="1">
      <alignment vertical="center"/>
    </xf>
    <xf numFmtId="7" fontId="55" fillId="0" borderId="11" xfId="0" applyNumberFormat="1" applyFont="1" applyBorder="1" applyAlignment="1">
      <alignment horizontal="center" vertical="center"/>
    </xf>
    <xf numFmtId="7" fontId="54" fillId="0" borderId="0" xfId="0" applyNumberFormat="1" applyFont="1" applyAlignment="1">
      <alignment horizontal="center" vertical="center"/>
    </xf>
    <xf numFmtId="37" fontId="64" fillId="0" borderId="0" xfId="0" applyNumberFormat="1" applyFont="1" applyAlignment="1">
      <alignment horizontal="left" vertical="center"/>
    </xf>
    <xf numFmtId="15" fontId="50" fillId="12" borderId="0" xfId="0" applyNumberFormat="1" applyFont="1" applyFill="1" applyAlignment="1">
      <alignment horizontal="left" vertical="center"/>
    </xf>
    <xf numFmtId="15" fontId="50" fillId="0" borderId="0" xfId="0" applyNumberFormat="1" applyFont="1" applyAlignment="1">
      <alignment horizontal="left" vertical="center"/>
    </xf>
    <xf numFmtId="7" fontId="48" fillId="0" borderId="0" xfId="27" applyNumberFormat="1" applyFont="1" applyBorder="1" applyAlignment="1">
      <alignment horizontal="center" vertical="center"/>
    </xf>
    <xf numFmtId="7" fontId="48" fillId="0" borderId="0" xfId="27" applyNumberFormat="1" applyFont="1" applyBorder="1" applyAlignment="1">
      <alignment horizontal="left" vertical="center"/>
    </xf>
    <xf numFmtId="7" fontId="48" fillId="0" borderId="0" xfId="27" applyNumberFormat="1" applyFont="1" applyBorder="1" applyAlignment="1">
      <alignment horizontal="right" vertical="center"/>
    </xf>
    <xf numFmtId="37" fontId="48" fillId="14" borderId="26" xfId="0" applyNumberFormat="1" applyFont="1" applyFill="1" applyBorder="1" applyAlignment="1">
      <alignment horizontal="center" vertical="center"/>
    </xf>
    <xf numFmtId="7" fontId="50" fillId="13" borderId="29" xfId="27" applyNumberFormat="1" applyFont="1" applyFill="1" applyBorder="1" applyAlignment="1">
      <alignment horizontal="center" vertical="center"/>
    </xf>
    <xf numFmtId="37" fontId="48" fillId="14" borderId="3" xfId="0" applyNumberFormat="1" applyFont="1" applyFill="1" applyBorder="1" applyAlignment="1">
      <alignment horizontal="center" vertical="center"/>
    </xf>
    <xf numFmtId="37" fontId="48" fillId="14" borderId="31" xfId="0" applyNumberFormat="1" applyFont="1" applyFill="1" applyBorder="1" applyAlignment="1">
      <alignment horizontal="center" vertical="center"/>
    </xf>
    <xf numFmtId="39" fontId="48" fillId="0" borderId="0" xfId="0" applyNumberFormat="1" applyFont="1" applyAlignment="1">
      <alignment vertical="center"/>
    </xf>
    <xf numFmtId="39" fontId="48" fillId="0" borderId="0" xfId="0" applyNumberFormat="1" applyFont="1" applyAlignment="1">
      <alignment horizontal="center" vertical="center"/>
    </xf>
    <xf numFmtId="39" fontId="48" fillId="0" borderId="0" xfId="0" applyNumberFormat="1" applyFont="1" applyAlignment="1">
      <alignment horizontal="right" vertical="center"/>
    </xf>
    <xf numFmtId="164" fontId="48" fillId="0" borderId="0" xfId="0" applyNumberFormat="1" applyFont="1" applyAlignment="1">
      <alignment horizontal="center" vertical="center"/>
    </xf>
    <xf numFmtId="164" fontId="48" fillId="0" borderId="0" xfId="0" applyNumberFormat="1" applyFont="1" applyAlignment="1">
      <alignment horizontal="left" vertical="center"/>
    </xf>
    <xf numFmtId="37" fontId="48" fillId="8" borderId="0" xfId="0" applyNumberFormat="1" applyFont="1" applyFill="1" applyAlignment="1">
      <alignment vertical="center"/>
    </xf>
    <xf numFmtId="37" fontId="49" fillId="7" borderId="0" xfId="0" applyNumberFormat="1" applyFont="1" applyFill="1" applyAlignment="1">
      <alignment vertical="center"/>
    </xf>
    <xf numFmtId="39" fontId="50" fillId="12" borderId="0" xfId="0" applyNumberFormat="1" applyFont="1" applyFill="1" applyAlignment="1">
      <alignment horizontal="left" vertical="center"/>
    </xf>
    <xf numFmtId="37" fontId="48" fillId="12" borderId="0" xfId="0" applyNumberFormat="1" applyFont="1" applyFill="1" applyAlignment="1">
      <alignment vertical="center"/>
    </xf>
    <xf numFmtId="37" fontId="50" fillId="16" borderId="0" xfId="0" applyNumberFormat="1" applyFont="1" applyFill="1" applyAlignment="1">
      <alignment horizontal="center" vertical="center" wrapText="1"/>
    </xf>
    <xf numFmtId="0" fontId="50" fillId="16" borderId="0" xfId="0" applyFont="1" applyFill="1" applyAlignment="1">
      <alignment horizontal="center" vertical="center" wrapText="1"/>
    </xf>
    <xf numFmtId="14" fontId="50" fillId="0" borderId="0" xfId="0" applyNumberFormat="1" applyFont="1" applyAlignment="1">
      <alignment horizontal="centerContinuous" vertical="center"/>
    </xf>
    <xf numFmtId="0" fontId="80" fillId="0" borderId="0" xfId="47" applyFont="1" applyAlignment="1">
      <alignment vertical="center"/>
    </xf>
    <xf numFmtId="37" fontId="54" fillId="0" borderId="0" xfId="46" applyNumberFormat="1" applyFont="1" applyAlignment="1">
      <alignment vertical="center"/>
    </xf>
    <xf numFmtId="0" fontId="53" fillId="0" borderId="0" xfId="46" applyFont="1" applyAlignment="1">
      <alignment vertical="center"/>
    </xf>
    <xf numFmtId="0" fontId="48" fillId="0" borderId="0" xfId="46" applyFont="1" applyAlignment="1">
      <alignment vertical="center"/>
    </xf>
    <xf numFmtId="0" fontId="55" fillId="0" borderId="0" xfId="46" applyFont="1" applyAlignment="1">
      <alignment vertical="center"/>
    </xf>
    <xf numFmtId="0" fontId="55" fillId="0" borderId="0" xfId="47" applyFont="1" applyAlignment="1">
      <alignment vertical="center"/>
    </xf>
    <xf numFmtId="37" fontId="57" fillId="0" borderId="0" xfId="46" applyNumberFormat="1" applyFont="1" applyAlignment="1">
      <alignment vertical="center"/>
    </xf>
    <xf numFmtId="0" fontId="57" fillId="0" borderId="0" xfId="46" applyFont="1" applyAlignment="1">
      <alignment vertical="center"/>
    </xf>
    <xf numFmtId="168" fontId="55" fillId="0" borderId="0" xfId="22" applyNumberFormat="1" applyFont="1" applyAlignment="1" applyProtection="1">
      <alignment vertical="center"/>
    </xf>
    <xf numFmtId="37" fontId="48" fillId="12" borderId="0" xfId="0" applyNumberFormat="1" applyFont="1" applyFill="1" applyAlignment="1">
      <alignment horizontal="right" vertical="center"/>
    </xf>
    <xf numFmtId="37" fontId="55" fillId="0" borderId="11" xfId="47" applyNumberFormat="1" applyFont="1" applyBorder="1" applyAlignment="1">
      <alignment vertical="center"/>
    </xf>
    <xf numFmtId="164" fontId="55" fillId="0" borderId="0" xfId="22" applyNumberFormat="1" applyFont="1" applyFill="1" applyBorder="1" applyAlignment="1">
      <alignment horizontal="right" vertical="center"/>
    </xf>
    <xf numFmtId="0" fontId="55" fillId="0" borderId="11" xfId="47" quotePrefix="1" applyFont="1" applyBorder="1" applyAlignment="1">
      <alignment vertical="center"/>
    </xf>
    <xf numFmtId="0" fontId="57" fillId="12" borderId="14" xfId="47" applyFont="1" applyFill="1" applyBorder="1" applyAlignment="1">
      <alignment vertical="center"/>
    </xf>
    <xf numFmtId="0" fontId="54" fillId="12" borderId="16" xfId="47" applyFont="1" applyFill="1" applyBorder="1" applyAlignment="1">
      <alignment vertical="center"/>
    </xf>
    <xf numFmtId="0" fontId="81" fillId="0" borderId="0" xfId="47" applyFont="1" applyAlignment="1">
      <alignment vertical="center"/>
    </xf>
    <xf numFmtId="0" fontId="53" fillId="0" borderId="11" xfId="46" applyFont="1" applyBorder="1" applyAlignment="1">
      <alignment vertical="center"/>
    </xf>
    <xf numFmtId="0" fontId="53" fillId="12" borderId="9" xfId="46" applyFont="1" applyFill="1" applyBorder="1" applyAlignment="1">
      <alignment vertical="center"/>
    </xf>
    <xf numFmtId="0" fontId="53" fillId="12" borderId="25" xfId="46" applyFont="1" applyFill="1" applyBorder="1" applyAlignment="1">
      <alignment vertical="center"/>
    </xf>
    <xf numFmtId="168" fontId="55" fillId="12" borderId="25" xfId="22" applyNumberFormat="1" applyFont="1" applyFill="1" applyBorder="1" applyAlignment="1" applyProtection="1">
      <alignment vertical="center"/>
    </xf>
    <xf numFmtId="168" fontId="54" fillId="12" borderId="25" xfId="22" applyNumberFormat="1" applyFont="1" applyFill="1" applyBorder="1" applyAlignment="1" applyProtection="1">
      <alignment horizontal="center" vertical="center"/>
    </xf>
    <xf numFmtId="168" fontId="55" fillId="12" borderId="10" xfId="22" applyNumberFormat="1" applyFont="1" applyFill="1" applyBorder="1" applyAlignment="1" applyProtection="1">
      <alignment vertical="center"/>
    </xf>
    <xf numFmtId="0" fontId="53" fillId="12" borderId="11" xfId="46" applyFont="1" applyFill="1" applyBorder="1" applyAlignment="1">
      <alignment vertical="center"/>
    </xf>
    <xf numFmtId="168" fontId="54" fillId="12" borderId="0" xfId="22" applyNumberFormat="1" applyFont="1" applyFill="1" applyBorder="1" applyAlignment="1" applyProtection="1">
      <alignment horizontal="center" vertical="center"/>
    </xf>
    <xf numFmtId="0" fontId="55" fillId="0" borderId="11" xfId="47" applyFont="1" applyBorder="1" applyAlignment="1">
      <alignment vertical="center"/>
    </xf>
    <xf numFmtId="7" fontId="58" fillId="0" borderId="26" xfId="27" applyNumberFormat="1" applyFont="1" applyBorder="1" applyAlignment="1" applyProtection="1">
      <alignment horizontal="right" vertical="center"/>
    </xf>
    <xf numFmtId="166" fontId="54" fillId="0" borderId="5" xfId="22" applyNumberFormat="1" applyFont="1" applyBorder="1" applyAlignment="1" applyProtection="1">
      <alignment horizontal="center" vertical="center"/>
    </xf>
    <xf numFmtId="166" fontId="54" fillId="12" borderId="5" xfId="22" applyNumberFormat="1" applyFont="1" applyFill="1" applyBorder="1" applyAlignment="1" applyProtection="1">
      <alignment horizontal="center" vertical="center"/>
    </xf>
    <xf numFmtId="166" fontId="54" fillId="0" borderId="27" xfId="22" applyNumberFormat="1" applyFont="1" applyBorder="1" applyAlignment="1" applyProtection="1">
      <alignment horizontal="center" vertical="center"/>
    </xf>
    <xf numFmtId="164" fontId="55" fillId="0" borderId="0" xfId="27" applyNumberFormat="1" applyFont="1" applyBorder="1" applyAlignment="1">
      <alignment horizontal="center" vertical="center"/>
    </xf>
    <xf numFmtId="0" fontId="76" fillId="0" borderId="11" xfId="47" applyFont="1" applyBorder="1" applyAlignment="1">
      <alignment vertical="center"/>
    </xf>
    <xf numFmtId="7" fontId="55" fillId="5" borderId="6" xfId="27" applyNumberFormat="1" applyFont="1" applyFill="1" applyBorder="1" applyAlignment="1" applyProtection="1">
      <alignment horizontal="center" vertical="center"/>
    </xf>
    <xf numFmtId="7" fontId="55" fillId="5" borderId="39" xfId="27" applyNumberFormat="1" applyFont="1" applyFill="1" applyBorder="1" applyAlignment="1" applyProtection="1">
      <alignment horizontal="center" vertical="center"/>
    </xf>
    <xf numFmtId="0" fontId="54" fillId="12" borderId="14" xfId="45" applyFont="1" applyFill="1" applyBorder="1" applyAlignment="1">
      <alignment vertical="center"/>
    </xf>
    <xf numFmtId="0" fontId="54" fillId="12" borderId="16" xfId="45" applyFont="1" applyFill="1" applyBorder="1" applyAlignment="1">
      <alignment vertical="center"/>
    </xf>
    <xf numFmtId="5" fontId="54" fillId="12" borderId="16" xfId="27" applyNumberFormat="1" applyFont="1" applyFill="1" applyBorder="1" applyAlignment="1">
      <alignment horizontal="center" vertical="center"/>
    </xf>
    <xf numFmtId="0" fontId="53" fillId="0" borderId="9" xfId="46" applyFont="1" applyBorder="1" applyAlignment="1">
      <alignment vertical="center"/>
    </xf>
    <xf numFmtId="0" fontId="55" fillId="0" borderId="25" xfId="47" applyFont="1" applyBorder="1" applyAlignment="1">
      <alignment vertical="center"/>
    </xf>
    <xf numFmtId="0" fontId="55" fillId="0" borderId="10" xfId="47" applyFont="1" applyBorder="1" applyAlignment="1">
      <alignment vertical="center"/>
    </xf>
    <xf numFmtId="7" fontId="55" fillId="5" borderId="35" xfId="27" applyNumberFormat="1" applyFont="1" applyFill="1" applyBorder="1" applyAlignment="1" applyProtection="1">
      <alignment horizontal="center" vertical="center"/>
    </xf>
    <xf numFmtId="168" fontId="54" fillId="12" borderId="12" xfId="22" applyNumberFormat="1" applyFont="1" applyFill="1" applyBorder="1" applyAlignment="1" applyProtection="1">
      <alignment horizontal="center" vertical="center"/>
    </xf>
    <xf numFmtId="7" fontId="55" fillId="5" borderId="33" xfId="27" applyNumberFormat="1" applyFont="1" applyFill="1" applyBorder="1" applyAlignment="1" applyProtection="1">
      <alignment horizontal="center" vertical="center"/>
    </xf>
    <xf numFmtId="7" fontId="55" fillId="5" borderId="34" xfId="27" applyNumberFormat="1" applyFont="1" applyFill="1" applyBorder="1" applyAlignment="1" applyProtection="1">
      <alignment horizontal="center" vertical="center"/>
    </xf>
    <xf numFmtId="0" fontId="55" fillId="0" borderId="11" xfId="46" applyFont="1" applyBorder="1" applyAlignment="1">
      <alignment vertical="center"/>
    </xf>
    <xf numFmtId="164" fontId="55" fillId="0" borderId="0" xfId="27" applyNumberFormat="1" applyFont="1" applyBorder="1" applyAlignment="1" applyProtection="1">
      <alignment horizontal="center" vertical="center"/>
    </xf>
    <xf numFmtId="7" fontId="55" fillId="5" borderId="21" xfId="27" applyNumberFormat="1" applyFont="1" applyFill="1" applyBorder="1" applyAlignment="1" applyProtection="1">
      <alignment horizontal="center" vertical="center"/>
    </xf>
    <xf numFmtId="0" fontId="76" fillId="0" borderId="11" xfId="46" applyFont="1" applyBorder="1" applyAlignment="1">
      <alignment vertical="center"/>
    </xf>
    <xf numFmtId="164" fontId="76" fillId="0" borderId="0" xfId="27" applyNumberFormat="1" applyFont="1" applyBorder="1" applyAlignment="1" applyProtection="1">
      <alignment horizontal="center" vertical="center"/>
    </xf>
    <xf numFmtId="0" fontId="54" fillId="12" borderId="14" xfId="47" applyFont="1" applyFill="1" applyBorder="1" applyAlignment="1">
      <alignment vertical="center"/>
    </xf>
    <xf numFmtId="7" fontId="55" fillId="5" borderId="23" xfId="27" applyNumberFormat="1" applyFont="1" applyFill="1" applyBorder="1" applyAlignment="1" applyProtection="1">
      <alignment horizontal="center" vertical="center"/>
    </xf>
    <xf numFmtId="7" fontId="55" fillId="5" borderId="24" xfId="27" applyNumberFormat="1" applyFont="1" applyFill="1" applyBorder="1" applyAlignment="1" applyProtection="1">
      <alignment horizontal="center" vertical="center"/>
    </xf>
    <xf numFmtId="37" fontId="82" fillId="0" borderId="0" xfId="46" applyNumberFormat="1" applyFont="1" applyAlignment="1">
      <alignment vertical="center"/>
    </xf>
    <xf numFmtId="0" fontId="48" fillId="0" borderId="0" xfId="0" applyFont="1"/>
    <xf numFmtId="0" fontId="83" fillId="0" borderId="0" xfId="46" applyFont="1" applyAlignment="1">
      <alignment vertical="center"/>
    </xf>
    <xf numFmtId="37" fontId="81" fillId="0" borderId="0" xfId="46" applyNumberFormat="1" applyFont="1" applyAlignment="1">
      <alignment vertical="center"/>
    </xf>
    <xf numFmtId="3" fontId="55" fillId="8" borderId="21" xfId="51" applyNumberFormat="1" applyFont="1" applyFill="1" applyBorder="1" applyAlignment="1">
      <alignment horizontal="center" vertical="center" wrapText="1"/>
    </xf>
    <xf numFmtId="3" fontId="55" fillId="8" borderId="40" xfId="51" applyNumberFormat="1" applyFont="1" applyFill="1" applyBorder="1" applyAlignment="1">
      <alignment horizontal="center" vertical="center" wrapText="1"/>
    </xf>
    <xf numFmtId="3" fontId="55" fillId="8" borderId="22" xfId="51" applyNumberFormat="1" applyFont="1" applyFill="1" applyBorder="1" applyAlignment="1">
      <alignment horizontal="center" vertical="center" wrapText="1"/>
    </xf>
    <xf numFmtId="0" fontId="55" fillId="0" borderId="23" xfId="0" applyFont="1" applyBorder="1" applyAlignment="1">
      <alignment horizontal="center" vertical="center" wrapText="1"/>
    </xf>
    <xf numFmtId="0" fontId="55" fillId="0" borderId="24" xfId="0" applyFont="1" applyBorder="1" applyAlignment="1">
      <alignment horizontal="center" vertical="center" wrapText="1"/>
    </xf>
    <xf numFmtId="0" fontId="48" fillId="8" borderId="0" xfId="0" applyFont="1" applyFill="1"/>
    <xf numFmtId="3" fontId="55" fillId="8" borderId="25" xfId="0" applyNumberFormat="1" applyFont="1" applyFill="1" applyBorder="1" applyAlignment="1">
      <alignment horizontal="center"/>
    </xf>
    <xf numFmtId="3" fontId="55" fillId="8" borderId="10" xfId="0" applyNumberFormat="1" applyFont="1" applyFill="1" applyBorder="1" applyAlignment="1">
      <alignment horizontal="center"/>
    </xf>
    <xf numFmtId="2" fontId="48" fillId="0" borderId="0" xfId="0" applyNumberFormat="1" applyFont="1"/>
    <xf numFmtId="164" fontId="55" fillId="0" borderId="12" xfId="0" applyNumberFormat="1" applyFont="1" applyBorder="1" applyAlignment="1">
      <alignment horizontal="center"/>
    </xf>
    <xf numFmtId="164" fontId="76" fillId="0" borderId="12" xfId="0" applyNumberFormat="1" applyFont="1" applyBorder="1" applyAlignment="1">
      <alignment horizontal="center"/>
    </xf>
    <xf numFmtId="183" fontId="55" fillId="0" borderId="12" xfId="0" applyNumberFormat="1" applyFont="1" applyBorder="1" applyAlignment="1">
      <alignment horizontal="center"/>
    </xf>
    <xf numFmtId="0" fontId="55" fillId="0" borderId="12" xfId="0" applyFont="1" applyBorder="1"/>
    <xf numFmtId="0" fontId="55" fillId="0" borderId="16" xfId="0" applyFont="1" applyBorder="1"/>
    <xf numFmtId="0" fontId="55" fillId="0" borderId="17" xfId="0" applyFont="1" applyBorder="1"/>
    <xf numFmtId="0" fontId="48" fillId="0" borderId="25" xfId="0" applyFont="1" applyBorder="1"/>
    <xf numFmtId="0" fontId="91" fillId="0" borderId="0" xfId="0" applyFont="1" applyAlignment="1">
      <alignment horizontal="center"/>
    </xf>
    <xf numFmtId="0" fontId="48" fillId="0" borderId="14" xfId="0" applyFont="1" applyBorder="1" applyAlignment="1">
      <alignment horizontal="right"/>
    </xf>
    <xf numFmtId="0" fontId="66" fillId="0" borderId="16" xfId="0" applyFont="1" applyBorder="1"/>
    <xf numFmtId="184" fontId="48" fillId="0" borderId="0" xfId="0" applyNumberFormat="1" applyFont="1"/>
    <xf numFmtId="43" fontId="48" fillId="0" borderId="0" xfId="22" applyFont="1" applyBorder="1" applyAlignment="1">
      <alignment vertical="center"/>
    </xf>
    <xf numFmtId="188" fontId="48" fillId="0" borderId="0" xfId="22" applyNumberFormat="1" applyFont="1" applyBorder="1" applyAlignment="1">
      <alignment vertical="center"/>
    </xf>
    <xf numFmtId="43" fontId="48" fillId="0" borderId="0" xfId="22" applyFont="1" applyAlignment="1">
      <alignment vertical="center"/>
    </xf>
    <xf numFmtId="192" fontId="48" fillId="0" borderId="0" xfId="22" applyNumberFormat="1" applyFont="1" applyBorder="1" applyAlignment="1">
      <alignment vertical="center"/>
    </xf>
    <xf numFmtId="37" fontId="50" fillId="12" borderId="35" xfId="0" applyNumberFormat="1" applyFont="1" applyFill="1" applyBorder="1" applyAlignment="1">
      <alignment horizontal="center" vertical="center"/>
    </xf>
    <xf numFmtId="15" fontId="57" fillId="14" borderId="0" xfId="0" applyNumberFormat="1" applyFont="1" applyFill="1" applyAlignment="1">
      <alignment horizontal="left" vertical="center"/>
    </xf>
    <xf numFmtId="37" fontId="68" fillId="0" borderId="36" xfId="0" applyNumberFormat="1" applyFont="1" applyBorder="1" applyAlignment="1">
      <alignment horizontal="right" vertical="center"/>
    </xf>
    <xf numFmtId="37" fontId="59" fillId="0" borderId="0" xfId="0" applyNumberFormat="1" applyFont="1" applyAlignment="1">
      <alignment horizontal="right" vertical="center"/>
    </xf>
    <xf numFmtId="37" fontId="68" fillId="0" borderId="36" xfId="0" applyNumberFormat="1" applyFont="1" applyBorder="1" applyAlignment="1">
      <alignment horizontal="center" vertical="center"/>
    </xf>
    <xf numFmtId="164" fontId="59" fillId="0" borderId="0" xfId="0" applyNumberFormat="1" applyFont="1" applyAlignment="1">
      <alignment horizontal="center" vertical="center"/>
    </xf>
    <xf numFmtId="164" fontId="59" fillId="0" borderId="0" xfId="51" applyNumberFormat="1" applyFont="1" applyBorder="1" applyAlignment="1">
      <alignment horizontal="center" vertical="center"/>
    </xf>
    <xf numFmtId="164" fontId="68" fillId="0" borderId="0" xfId="51" applyNumberFormat="1" applyFont="1" applyBorder="1" applyAlignment="1">
      <alignment horizontal="center" vertical="center"/>
    </xf>
    <xf numFmtId="37" fontId="57" fillId="0" borderId="0" xfId="0" applyNumberFormat="1" applyFont="1" applyAlignment="1">
      <alignment horizontal="center" vertical="center"/>
    </xf>
    <xf numFmtId="37" fontId="61" fillId="0" borderId="36" xfId="0" applyNumberFormat="1" applyFont="1" applyBorder="1" applyAlignment="1">
      <alignment horizontal="center" vertical="center"/>
    </xf>
    <xf numFmtId="37" fontId="61" fillId="0" borderId="0" xfId="0" applyNumberFormat="1" applyFont="1" applyAlignment="1">
      <alignment horizontal="center" vertical="center"/>
    </xf>
    <xf numFmtId="37" fontId="62" fillId="0" borderId="36" xfId="0" applyNumberFormat="1" applyFont="1" applyBorder="1" applyAlignment="1">
      <alignment horizontal="right" vertical="center"/>
    </xf>
    <xf numFmtId="43" fontId="59" fillId="0" borderId="0" xfId="22" applyFont="1" applyBorder="1" applyAlignment="1">
      <alignment horizontal="right" vertical="center"/>
    </xf>
    <xf numFmtId="43" fontId="62" fillId="0" borderId="0" xfId="22" applyFont="1" applyBorder="1" applyAlignment="1">
      <alignment horizontal="right" vertical="center"/>
    </xf>
    <xf numFmtId="164" fontId="55" fillId="0" borderId="36" xfId="22" applyNumberFormat="1" applyFont="1" applyFill="1" applyBorder="1" applyAlignment="1">
      <alignment horizontal="center" vertical="center"/>
    </xf>
    <xf numFmtId="164" fontId="56" fillId="0" borderId="0" xfId="0" applyNumberFormat="1" applyFont="1" applyAlignment="1">
      <alignment horizontal="center" vertical="center"/>
    </xf>
    <xf numFmtId="37" fontId="57" fillId="0" borderId="0" xfId="0" applyNumberFormat="1" applyFont="1" applyAlignment="1">
      <alignment horizontal="left" vertical="center" indent="1"/>
    </xf>
    <xf numFmtId="37" fontId="59" fillId="0" borderId="36" xfId="0" applyNumberFormat="1" applyFont="1" applyBorder="1" applyAlignment="1">
      <alignment vertical="center"/>
    </xf>
    <xf numFmtId="37" fontId="48" fillId="0" borderId="0" xfId="0" applyNumberFormat="1" applyFont="1" applyAlignment="1">
      <alignment horizontal="center"/>
    </xf>
    <xf numFmtId="192" fontId="57" fillId="0" borderId="36" xfId="51" applyNumberFormat="1" applyFont="1" applyFill="1" applyBorder="1" applyAlignment="1">
      <alignment horizontal="center" vertical="center"/>
    </xf>
    <xf numFmtId="192" fontId="57" fillId="0" borderId="0" xfId="51" applyNumberFormat="1" applyFont="1" applyFill="1" applyBorder="1" applyAlignment="1">
      <alignment horizontal="center" vertical="center"/>
    </xf>
    <xf numFmtId="192" fontId="57" fillId="0" borderId="0" xfId="51" applyNumberFormat="1" applyFont="1" applyFill="1" applyAlignment="1">
      <alignment horizontal="center" vertical="center"/>
    </xf>
    <xf numFmtId="37" fontId="48" fillId="0" borderId="0" xfId="0" applyNumberFormat="1" applyFont="1" applyAlignment="1">
      <alignment horizontal="right" vertical="center"/>
    </xf>
    <xf numFmtId="164" fontId="48" fillId="0" borderId="0" xfId="0" applyNumberFormat="1" applyFont="1" applyAlignment="1">
      <alignment horizontal="right" vertical="center"/>
    </xf>
    <xf numFmtId="164" fontId="54" fillId="14" borderId="0" xfId="0" applyNumberFormat="1" applyFont="1" applyFill="1" applyAlignment="1">
      <alignment vertical="center"/>
    </xf>
    <xf numFmtId="164" fontId="50" fillId="14" borderId="35" xfId="0" applyNumberFormat="1" applyFont="1" applyFill="1" applyBorder="1" applyAlignment="1">
      <alignment vertical="center"/>
    </xf>
    <xf numFmtId="164" fontId="50" fillId="14" borderId="5" xfId="0" applyNumberFormat="1" applyFont="1" applyFill="1" applyBorder="1" applyAlignment="1">
      <alignment vertical="center"/>
    </xf>
    <xf numFmtId="164" fontId="54" fillId="14" borderId="5" xfId="0" applyNumberFormat="1" applyFont="1" applyFill="1" applyBorder="1" applyAlignment="1">
      <alignment horizontal="center" vertical="center"/>
    </xf>
    <xf numFmtId="164" fontId="54" fillId="14" borderId="35" xfId="0" applyNumberFormat="1" applyFont="1" applyFill="1" applyBorder="1" applyAlignment="1">
      <alignment horizontal="center" vertical="center"/>
    </xf>
    <xf numFmtId="164" fontId="48" fillId="0" borderId="0" xfId="0" applyNumberFormat="1" applyFont="1" applyAlignment="1">
      <alignment vertical="center"/>
    </xf>
    <xf numFmtId="164" fontId="50" fillId="0" borderId="0" xfId="0" applyNumberFormat="1" applyFont="1" applyAlignment="1">
      <alignment vertical="center"/>
    </xf>
    <xf numFmtId="164" fontId="94" fillId="0" borderId="36" xfId="0" applyNumberFormat="1" applyFont="1" applyBorder="1" applyAlignment="1">
      <alignment vertical="center"/>
    </xf>
    <xf numFmtId="164" fontId="60" fillId="0" borderId="0" xfId="0" applyNumberFormat="1" applyFont="1" applyAlignment="1">
      <alignment vertical="center"/>
    </xf>
    <xf numFmtId="164" fontId="55" fillId="0" borderId="36" xfId="0" applyNumberFormat="1" applyFont="1" applyBorder="1" applyAlignment="1">
      <alignment horizontal="center" vertical="center"/>
    </xf>
    <xf numFmtId="164" fontId="55" fillId="8" borderId="0" xfId="0" applyNumberFormat="1" applyFont="1" applyFill="1" applyAlignment="1">
      <alignment vertical="center"/>
    </xf>
    <xf numFmtId="164" fontId="56" fillId="0" borderId="0" xfId="0" quotePrefix="1" applyNumberFormat="1" applyFont="1" applyAlignment="1">
      <alignment horizontal="center" vertical="center"/>
    </xf>
    <xf numFmtId="164" fontId="59" fillId="0" borderId="0" xfId="0" applyNumberFormat="1" applyFont="1" applyAlignment="1">
      <alignment horizontal="left" vertical="center" indent="1"/>
    </xf>
    <xf numFmtId="164" fontId="96" fillId="0" borderId="36" xfId="0" applyNumberFormat="1" applyFont="1" applyBorder="1" applyAlignment="1">
      <alignment vertical="center"/>
    </xf>
    <xf numFmtId="164" fontId="54" fillId="0" borderId="26" xfId="0" applyNumberFormat="1" applyFont="1" applyBorder="1" applyAlignment="1">
      <alignment horizontal="center" vertical="center"/>
    </xf>
    <xf numFmtId="164" fontId="54" fillId="0" borderId="5" xfId="0" applyNumberFormat="1" applyFont="1" applyBorder="1" applyAlignment="1">
      <alignment horizontal="center" vertical="center"/>
    </xf>
    <xf numFmtId="164" fontId="54" fillId="0" borderId="35" xfId="0" applyNumberFormat="1" applyFont="1" applyBorder="1" applyAlignment="1">
      <alignment horizontal="center" vertical="center"/>
    </xf>
    <xf numFmtId="164" fontId="63" fillId="0" borderId="0" xfId="0" applyNumberFormat="1" applyFont="1" applyAlignment="1">
      <alignment vertical="center"/>
    </xf>
    <xf numFmtId="164" fontId="55" fillId="0" borderId="0" xfId="0" applyNumberFormat="1" applyFont="1" applyAlignment="1">
      <alignment vertical="center"/>
    </xf>
    <xf numFmtId="164" fontId="94" fillId="14" borderId="35" xfId="0" applyNumberFormat="1" applyFont="1" applyFill="1" applyBorder="1" applyAlignment="1">
      <alignment vertical="center"/>
    </xf>
    <xf numFmtId="0" fontId="97" fillId="0" borderId="0" xfId="0" applyFont="1"/>
    <xf numFmtId="37" fontId="93" fillId="0" borderId="0" xfId="0" applyNumberFormat="1" applyFont="1" applyAlignment="1">
      <alignment vertical="center"/>
    </xf>
    <xf numFmtId="164" fontId="48" fillId="0" borderId="30" xfId="0" applyNumberFormat="1" applyFont="1" applyBorder="1" applyAlignment="1">
      <alignment vertical="center"/>
    </xf>
    <xf numFmtId="164" fontId="48" fillId="0" borderId="35" xfId="0" applyNumberFormat="1" applyFont="1" applyBorder="1" applyAlignment="1">
      <alignment vertical="center"/>
    </xf>
    <xf numFmtId="164" fontId="48" fillId="0" borderId="5" xfId="0" applyNumberFormat="1" applyFont="1" applyBorder="1" applyAlignment="1">
      <alignment vertical="center"/>
    </xf>
    <xf numFmtId="164" fontId="55" fillId="0" borderId="5" xfId="0" applyNumberFormat="1" applyFont="1" applyBorder="1" applyAlignment="1">
      <alignment horizontal="center" vertical="center"/>
    </xf>
    <xf numFmtId="164" fontId="55" fillId="0" borderId="35" xfId="0" applyNumberFormat="1" applyFont="1" applyBorder="1" applyAlignment="1">
      <alignment horizontal="center" vertical="center"/>
    </xf>
    <xf numFmtId="37" fontId="57" fillId="8" borderId="0" xfId="0" applyNumberFormat="1" applyFont="1" applyFill="1" applyAlignment="1">
      <alignment horizontal="left" vertical="center" indent="1"/>
    </xf>
    <xf numFmtId="164" fontId="59" fillId="0" borderId="36" xfId="0" applyNumberFormat="1" applyFont="1" applyBorder="1" applyAlignment="1">
      <alignment vertical="center"/>
    </xf>
    <xf numFmtId="164" fontId="59" fillId="0" borderId="0" xfId="0" applyNumberFormat="1" applyFont="1" applyAlignment="1">
      <alignment vertical="center"/>
    </xf>
    <xf numFmtId="0" fontId="98" fillId="0" borderId="0" xfId="0" applyFont="1"/>
    <xf numFmtId="37" fontId="48" fillId="0" borderId="36" xfId="0" applyNumberFormat="1" applyFont="1" applyBorder="1" applyAlignment="1">
      <alignment vertical="center"/>
    </xf>
    <xf numFmtId="37" fontId="55" fillId="0" borderId="36" xfId="0" applyNumberFormat="1" applyFont="1" applyBorder="1" applyAlignment="1">
      <alignment horizontal="center" vertical="center"/>
    </xf>
    <xf numFmtId="37" fontId="55" fillId="0" borderId="0" xfId="0" applyNumberFormat="1" applyFont="1" applyAlignment="1">
      <alignment horizontal="left" vertical="center" indent="1"/>
    </xf>
    <xf numFmtId="43" fontId="60" fillId="0" borderId="0" xfId="22" applyFont="1" applyBorder="1" applyAlignment="1">
      <alignment vertical="center"/>
    </xf>
    <xf numFmtId="164" fontId="99" fillId="0" borderId="0" xfId="0" applyNumberFormat="1" applyFont="1" applyAlignment="1">
      <alignment horizontal="center" vertical="center"/>
    </xf>
    <xf numFmtId="37" fontId="48" fillId="0" borderId="35" xfId="0" applyNumberFormat="1" applyFont="1" applyBorder="1" applyAlignment="1">
      <alignment vertical="center"/>
    </xf>
    <xf numFmtId="43" fontId="48" fillId="0" borderId="5" xfId="22" applyFont="1" applyBorder="1" applyAlignment="1">
      <alignment vertical="center"/>
    </xf>
    <xf numFmtId="164" fontId="48" fillId="0" borderId="5" xfId="0" applyNumberFormat="1" applyFont="1" applyBorder="1" applyAlignment="1">
      <alignment horizontal="center" vertical="center"/>
    </xf>
    <xf numFmtId="164" fontId="48" fillId="0" borderId="36" xfId="0" applyNumberFormat="1" applyFont="1" applyBorder="1" applyAlignment="1">
      <alignment vertical="center"/>
    </xf>
    <xf numFmtId="193" fontId="55" fillId="0" borderId="36" xfId="0" applyNumberFormat="1" applyFont="1" applyBorder="1" applyAlignment="1">
      <alignment horizontal="center" vertical="center"/>
    </xf>
    <xf numFmtId="193" fontId="48" fillId="0" borderId="0" xfId="0" applyNumberFormat="1" applyFont="1" applyAlignment="1">
      <alignment horizontal="center" vertical="center"/>
    </xf>
    <xf numFmtId="193" fontId="48" fillId="0" borderId="36" xfId="0" applyNumberFormat="1" applyFont="1" applyBorder="1" applyAlignment="1">
      <alignment horizontal="center" vertical="center"/>
    </xf>
    <xf numFmtId="193" fontId="48" fillId="0" borderId="36" xfId="22" applyNumberFormat="1" applyFont="1" applyFill="1" applyBorder="1" applyAlignment="1">
      <alignment horizontal="center" vertical="center"/>
    </xf>
    <xf numFmtId="193" fontId="48" fillId="0" borderId="32" xfId="0" applyNumberFormat="1" applyFont="1" applyBorder="1" applyAlignment="1">
      <alignment horizontal="center" vertical="center"/>
    </xf>
    <xf numFmtId="193" fontId="48" fillId="0" borderId="4" xfId="22" applyNumberFormat="1" applyFont="1" applyFill="1" applyBorder="1" applyAlignment="1">
      <alignment horizontal="center" vertical="center"/>
    </xf>
    <xf numFmtId="193" fontId="48" fillId="0" borderId="2" xfId="0" applyNumberFormat="1" applyFont="1" applyBorder="1" applyAlignment="1">
      <alignment horizontal="center" vertical="center"/>
    </xf>
    <xf numFmtId="164" fontId="62" fillId="0" borderId="0" xfId="0" applyNumberFormat="1" applyFont="1" applyAlignment="1">
      <alignment vertical="center"/>
    </xf>
    <xf numFmtId="164" fontId="50" fillId="14" borderId="36" xfId="0" applyNumberFormat="1" applyFont="1" applyFill="1" applyBorder="1" applyAlignment="1">
      <alignment vertical="center"/>
    </xf>
    <xf numFmtId="164" fontId="50" fillId="14" borderId="0" xfId="0" applyNumberFormat="1" applyFont="1" applyFill="1" applyAlignment="1">
      <alignment vertical="center"/>
    </xf>
    <xf numFmtId="164" fontId="54" fillId="14" borderId="26" xfId="0" applyNumberFormat="1" applyFont="1" applyFill="1" applyBorder="1" applyAlignment="1">
      <alignment horizontal="center" vertical="center"/>
    </xf>
    <xf numFmtId="164" fontId="54" fillId="14" borderId="0" xfId="0" applyNumberFormat="1" applyFont="1" applyFill="1" applyAlignment="1">
      <alignment horizontal="center" vertical="center"/>
    </xf>
    <xf numFmtId="164" fontId="60" fillId="0" borderId="36" xfId="0" applyNumberFormat="1" applyFont="1" applyBorder="1" applyAlignment="1">
      <alignment vertical="center"/>
    </xf>
    <xf numFmtId="164" fontId="55" fillId="8" borderId="0" xfId="0" applyNumberFormat="1" applyFont="1" applyFill="1" applyAlignment="1">
      <alignment horizontal="center" vertical="center"/>
    </xf>
    <xf numFmtId="164" fontId="60" fillId="0" borderId="5" xfId="0" applyNumberFormat="1" applyFont="1" applyBorder="1" applyAlignment="1">
      <alignment vertical="center"/>
    </xf>
    <xf numFmtId="193" fontId="56" fillId="0" borderId="5" xfId="22" applyNumberFormat="1" applyFont="1" applyBorder="1" applyAlignment="1">
      <alignment horizontal="center" vertical="center"/>
    </xf>
    <xf numFmtId="193" fontId="56" fillId="0" borderId="5" xfId="22" quotePrefix="1" applyNumberFormat="1" applyFont="1" applyBorder="1" applyAlignment="1">
      <alignment horizontal="center" vertical="center"/>
    </xf>
    <xf numFmtId="188" fontId="55" fillId="0" borderId="0" xfId="22" applyNumberFormat="1" applyFont="1" applyBorder="1" applyAlignment="1">
      <alignment vertical="center"/>
    </xf>
    <xf numFmtId="188" fontId="94" fillId="0" borderId="36" xfId="22" applyNumberFormat="1" applyFont="1" applyFill="1" applyBorder="1" applyAlignment="1">
      <alignment vertical="center"/>
    </xf>
    <xf numFmtId="188" fontId="94" fillId="0" borderId="0" xfId="22" applyNumberFormat="1" applyFont="1" applyBorder="1" applyAlignment="1">
      <alignment vertical="center"/>
    </xf>
    <xf numFmtId="43" fontId="55" fillId="8" borderId="0" xfId="22" applyFont="1" applyFill="1" applyBorder="1" applyAlignment="1">
      <alignment horizontal="center" vertical="center"/>
    </xf>
    <xf numFmtId="193" fontId="55" fillId="0" borderId="36" xfId="22" applyNumberFormat="1" applyFont="1" applyFill="1" applyBorder="1" applyAlignment="1">
      <alignment horizontal="center" vertical="center"/>
    </xf>
    <xf numFmtId="193" fontId="55" fillId="8" borderId="0" xfId="22" applyNumberFormat="1" applyFont="1" applyFill="1" applyBorder="1" applyAlignment="1">
      <alignment horizontal="center" vertical="center"/>
    </xf>
    <xf numFmtId="193" fontId="55" fillId="8" borderId="0" xfId="22" applyNumberFormat="1" applyFont="1" applyFill="1" applyAlignment="1">
      <alignment horizontal="center" vertical="center"/>
    </xf>
    <xf numFmtId="188" fontId="74" fillId="0" borderId="0" xfId="22" applyNumberFormat="1" applyFont="1"/>
    <xf numFmtId="188" fontId="48" fillId="0" borderId="0" xfId="22" applyNumberFormat="1" applyFont="1" applyFill="1" applyBorder="1" applyAlignment="1">
      <alignment vertical="center"/>
    </xf>
    <xf numFmtId="164" fontId="55" fillId="8" borderId="5" xfId="0" applyNumberFormat="1" applyFont="1" applyFill="1" applyBorder="1" applyAlignment="1">
      <alignment horizontal="center" vertical="center"/>
    </xf>
    <xf numFmtId="169" fontId="59" fillId="0" borderId="0" xfId="0" applyNumberFormat="1" applyFont="1" applyAlignment="1">
      <alignment vertical="center"/>
    </xf>
    <xf numFmtId="192" fontId="57" fillId="0" borderId="36" xfId="0" applyNumberFormat="1" applyFont="1" applyBorder="1" applyAlignment="1">
      <alignment horizontal="center" vertical="center"/>
    </xf>
    <xf numFmtId="192" fontId="57" fillId="8" borderId="0" xfId="0" applyNumberFormat="1" applyFont="1" applyFill="1" applyAlignment="1">
      <alignment horizontal="center" vertical="center"/>
    </xf>
    <xf numFmtId="192" fontId="95" fillId="8" borderId="0" xfId="51" applyNumberFormat="1" applyFont="1" applyFill="1" applyBorder="1" applyAlignment="1">
      <alignment horizontal="center" vertical="center"/>
    </xf>
    <xf numFmtId="164" fontId="60" fillId="8" borderId="0" xfId="0" applyNumberFormat="1" applyFont="1" applyFill="1" applyAlignment="1">
      <alignment vertical="center"/>
    </xf>
    <xf numFmtId="188" fontId="99" fillId="0" borderId="0" xfId="22" applyNumberFormat="1" applyFont="1" applyBorder="1" applyAlignment="1">
      <alignment horizontal="center" vertical="center"/>
    </xf>
    <xf numFmtId="43" fontId="55" fillId="0" borderId="36" xfId="22" applyFont="1" applyFill="1" applyBorder="1" applyAlignment="1">
      <alignment horizontal="center" vertical="center"/>
    </xf>
    <xf numFmtId="188" fontId="55" fillId="0" borderId="36" xfId="22" applyNumberFormat="1" applyFont="1" applyFill="1" applyBorder="1" applyAlignment="1">
      <alignment horizontal="center" vertical="center"/>
    </xf>
    <xf numFmtId="43" fontId="99" fillId="0" borderId="0" xfId="22" applyFont="1" applyAlignment="1">
      <alignment horizontal="center" vertical="center"/>
    </xf>
    <xf numFmtId="43" fontId="99" fillId="0" borderId="0" xfId="22" applyFont="1" applyBorder="1" applyAlignment="1">
      <alignment horizontal="center" vertical="center"/>
    </xf>
    <xf numFmtId="37" fontId="51" fillId="0" borderId="36" xfId="0" applyNumberFormat="1" applyFont="1" applyBorder="1" applyAlignment="1">
      <alignment vertical="center"/>
    </xf>
    <xf numFmtId="164" fontId="60" fillId="0" borderId="36" xfId="0" applyNumberFormat="1" applyFont="1" applyBorder="1" applyAlignment="1">
      <alignment horizontal="center" vertical="center"/>
    </xf>
    <xf numFmtId="164" fontId="60" fillId="0" borderId="0" xfId="0" applyNumberFormat="1" applyFont="1" applyAlignment="1">
      <alignment horizontal="center" vertical="center"/>
    </xf>
    <xf numFmtId="164" fontId="60" fillId="8" borderId="0" xfId="0" applyNumberFormat="1" applyFont="1" applyFill="1" applyAlignment="1">
      <alignment horizontal="center" vertical="center"/>
    </xf>
    <xf numFmtId="164" fontId="56" fillId="8" borderId="0" xfId="0" applyNumberFormat="1" applyFont="1" applyFill="1" applyAlignment="1">
      <alignment horizontal="center" vertical="center"/>
    </xf>
    <xf numFmtId="164" fontId="56" fillId="0" borderId="36" xfId="0" applyNumberFormat="1" applyFont="1" applyBorder="1" applyAlignment="1">
      <alignment horizontal="center" vertical="center"/>
    </xf>
    <xf numFmtId="164" fontId="100" fillId="8" borderId="0" xfId="0" applyNumberFormat="1" applyFont="1" applyFill="1" applyAlignment="1">
      <alignment horizontal="center" vertical="center"/>
    </xf>
    <xf numFmtId="164" fontId="48" fillId="8" borderId="0" xfId="0" applyNumberFormat="1" applyFont="1" applyFill="1" applyAlignment="1">
      <alignment vertical="center"/>
    </xf>
    <xf numFmtId="7" fontId="50" fillId="14" borderId="36" xfId="27" applyNumberFormat="1" applyFont="1" applyFill="1" applyBorder="1" applyAlignment="1">
      <alignment vertical="center"/>
    </xf>
    <xf numFmtId="7" fontId="50" fillId="14" borderId="0" xfId="27" applyNumberFormat="1" applyFont="1" applyFill="1" applyBorder="1" applyAlignment="1">
      <alignment vertical="center"/>
    </xf>
    <xf numFmtId="7" fontId="54" fillId="14" borderId="0" xfId="27" applyNumberFormat="1" applyFont="1" applyFill="1" applyBorder="1" applyAlignment="1">
      <alignment horizontal="center" vertical="center"/>
    </xf>
    <xf numFmtId="7" fontId="54" fillId="14" borderId="36" xfId="27" applyNumberFormat="1" applyFont="1" applyFill="1" applyBorder="1" applyAlignment="1">
      <alignment horizontal="center" vertical="center"/>
    </xf>
    <xf numFmtId="7" fontId="54" fillId="14" borderId="0" xfId="27" applyNumberFormat="1" applyFont="1" applyFill="1" applyAlignment="1">
      <alignment horizontal="center" vertical="center"/>
    </xf>
    <xf numFmtId="37" fontId="53" fillId="0" borderId="0" xfId="0" applyNumberFormat="1" applyFont="1" applyAlignment="1">
      <alignment vertical="center"/>
    </xf>
    <xf numFmtId="37" fontId="55" fillId="0" borderId="0" xfId="0" applyNumberFormat="1" applyFont="1" applyAlignment="1">
      <alignment horizontal="center" vertical="center"/>
    </xf>
    <xf numFmtId="164" fontId="49" fillId="0" borderId="0" xfId="0" applyNumberFormat="1" applyFont="1" applyAlignment="1">
      <alignment vertical="center"/>
    </xf>
    <xf numFmtId="37" fontId="57" fillId="0" borderId="0" xfId="0" applyNumberFormat="1" applyFont="1" applyAlignment="1">
      <alignment vertical="center"/>
    </xf>
    <xf numFmtId="186" fontId="55" fillId="0" borderId="0" xfId="0" applyNumberFormat="1" applyFont="1" applyAlignment="1">
      <alignment horizontal="center" vertical="center"/>
    </xf>
    <xf numFmtId="183" fontId="101" fillId="8" borderId="0" xfId="22" applyNumberFormat="1" applyFont="1" applyFill="1" applyBorder="1" applyAlignment="1">
      <alignment vertical="center"/>
    </xf>
    <xf numFmtId="164" fontId="76" fillId="0" borderId="0" xfId="0" applyNumberFormat="1" applyFont="1" applyAlignment="1">
      <alignment vertical="center"/>
    </xf>
    <xf numFmtId="164" fontId="94" fillId="0" borderId="0" xfId="0" applyNumberFormat="1" applyFont="1" applyAlignment="1">
      <alignment vertical="center"/>
    </xf>
    <xf numFmtId="183" fontId="102" fillId="8" borderId="0" xfId="22" applyNumberFormat="1" applyFont="1" applyFill="1" applyBorder="1" applyAlignment="1">
      <alignment vertical="center"/>
    </xf>
    <xf numFmtId="164" fontId="103" fillId="0" borderId="0" xfId="0" applyNumberFormat="1" applyFont="1" applyAlignment="1">
      <alignment horizontal="center" vertical="center"/>
    </xf>
    <xf numFmtId="164" fontId="76" fillId="0" borderId="36" xfId="0" applyNumberFormat="1" applyFont="1" applyBorder="1" applyAlignment="1">
      <alignment horizontal="center" vertical="center"/>
    </xf>
    <xf numFmtId="164" fontId="76" fillId="0" borderId="0" xfId="0" applyNumberFormat="1" applyFont="1" applyAlignment="1">
      <alignment horizontal="center" vertical="center"/>
    </xf>
    <xf numFmtId="192" fontId="57" fillId="0" borderId="0" xfId="0" applyNumberFormat="1" applyFont="1" applyAlignment="1">
      <alignment horizontal="left" vertical="center" indent="1"/>
    </xf>
    <xf numFmtId="192" fontId="60" fillId="0" borderId="36" xfId="0" applyNumberFormat="1" applyFont="1" applyBorder="1" applyAlignment="1">
      <alignment vertical="center"/>
    </xf>
    <xf numFmtId="192" fontId="60" fillId="0" borderId="0" xfId="0" applyNumberFormat="1" applyFont="1" applyAlignment="1">
      <alignment vertical="center"/>
    </xf>
    <xf numFmtId="192" fontId="59" fillId="0" borderId="0" xfId="51" applyNumberFormat="1" applyFont="1" applyBorder="1" applyAlignment="1">
      <alignment vertical="center"/>
    </xf>
    <xf numFmtId="192" fontId="57" fillId="0" borderId="0" xfId="51" applyNumberFormat="1" applyFont="1" applyBorder="1" applyAlignment="1">
      <alignment horizontal="center" vertical="center"/>
    </xf>
    <xf numFmtId="164" fontId="103" fillId="8" borderId="0" xfId="0" applyNumberFormat="1" applyFont="1" applyFill="1" applyAlignment="1">
      <alignment horizontal="center" vertical="center"/>
    </xf>
    <xf numFmtId="164" fontId="57" fillId="0" borderId="0" xfId="0" applyNumberFormat="1" applyFont="1" applyAlignment="1">
      <alignment horizontal="left" vertical="center" indent="1"/>
    </xf>
    <xf numFmtId="192" fontId="57" fillId="8" borderId="0" xfId="51" applyNumberFormat="1" applyFont="1" applyFill="1" applyBorder="1" applyAlignment="1">
      <alignment horizontal="center" vertical="center"/>
    </xf>
    <xf numFmtId="183" fontId="56" fillId="0" borderId="0" xfId="22" applyNumberFormat="1" applyFont="1" applyBorder="1" applyAlignment="1">
      <alignment horizontal="center" vertical="center"/>
    </xf>
    <xf numFmtId="193" fontId="56" fillId="0" borderId="0" xfId="22" applyNumberFormat="1" applyFont="1" applyBorder="1" applyAlignment="1">
      <alignment horizontal="center" vertical="center"/>
    </xf>
    <xf numFmtId="183" fontId="99" fillId="0" borderId="0" xfId="22" applyNumberFormat="1" applyFont="1" applyBorder="1" applyAlignment="1">
      <alignment horizontal="center" vertical="center"/>
    </xf>
    <xf numFmtId="164" fontId="54" fillId="14" borderId="36" xfId="0" applyNumberFormat="1" applyFont="1" applyFill="1" applyBorder="1" applyAlignment="1">
      <alignment horizontal="center" vertical="center"/>
    </xf>
    <xf numFmtId="37" fontId="57" fillId="14" borderId="0" xfId="0" applyNumberFormat="1" applyFont="1" applyFill="1" applyAlignment="1">
      <alignment vertical="center"/>
    </xf>
    <xf numFmtId="37" fontId="59" fillId="14" borderId="36" xfId="0" applyNumberFormat="1" applyFont="1" applyFill="1" applyBorder="1" applyAlignment="1">
      <alignment vertical="center"/>
    </xf>
    <xf numFmtId="37" fontId="59" fillId="14" borderId="0" xfId="0" applyNumberFormat="1" applyFont="1" applyFill="1" applyAlignment="1">
      <alignment vertical="center"/>
    </xf>
    <xf numFmtId="192" fontId="57" fillId="14" borderId="36" xfId="51" applyNumberFormat="1" applyFont="1" applyFill="1" applyBorder="1" applyAlignment="1">
      <alignment horizontal="center" vertical="center"/>
    </xf>
    <xf numFmtId="192" fontId="57" fillId="14" borderId="0" xfId="51" applyNumberFormat="1" applyFont="1" applyFill="1" applyBorder="1" applyAlignment="1">
      <alignment horizontal="center" vertical="center"/>
    </xf>
    <xf numFmtId="192" fontId="57" fillId="14" borderId="0" xfId="51" applyNumberFormat="1" applyFont="1" applyFill="1" applyAlignment="1">
      <alignment horizontal="center" vertical="center"/>
    </xf>
    <xf numFmtId="37" fontId="57" fillId="8" borderId="0" xfId="0" applyNumberFormat="1" applyFont="1" applyFill="1" applyAlignment="1">
      <alignment vertical="center"/>
    </xf>
    <xf numFmtId="188" fontId="55" fillId="0" borderId="0" xfId="22" applyNumberFormat="1" applyFont="1" applyBorder="1" applyAlignment="1">
      <alignment horizontal="center" vertical="center"/>
    </xf>
    <xf numFmtId="188" fontId="55" fillId="0" borderId="36" xfId="0" applyNumberFormat="1" applyFont="1" applyBorder="1" applyAlignment="1">
      <alignment horizontal="center" vertical="center"/>
    </xf>
    <xf numFmtId="188" fontId="55" fillId="0" borderId="0" xfId="0" applyNumberFormat="1" applyFont="1" applyAlignment="1">
      <alignment horizontal="center" vertical="center"/>
    </xf>
    <xf numFmtId="43" fontId="55" fillId="0" borderId="0" xfId="22" applyFont="1" applyBorder="1" applyAlignment="1">
      <alignment horizontal="center" vertical="center"/>
    </xf>
    <xf numFmtId="164" fontId="57" fillId="8" borderId="0" xfId="0" applyNumberFormat="1" applyFont="1" applyFill="1" applyAlignment="1">
      <alignment vertical="center"/>
    </xf>
    <xf numFmtId="164" fontId="104" fillId="0" borderId="36" xfId="0" applyNumberFormat="1" applyFont="1" applyBorder="1" applyAlignment="1">
      <alignment vertical="center"/>
    </xf>
    <xf numFmtId="164" fontId="104" fillId="0" borderId="0" xfId="0" applyNumberFormat="1" applyFont="1" applyAlignment="1">
      <alignment vertical="center"/>
    </xf>
    <xf numFmtId="192" fontId="59" fillId="0" borderId="0" xfId="51" applyNumberFormat="1" applyFont="1" applyFill="1" applyBorder="1" applyAlignment="1">
      <alignment horizontal="center" vertical="center"/>
    </xf>
    <xf numFmtId="192" fontId="95" fillId="0" borderId="0" xfId="51" applyNumberFormat="1" applyFont="1" applyFill="1" applyBorder="1" applyAlignment="1">
      <alignment horizontal="center" vertical="center"/>
    </xf>
    <xf numFmtId="164" fontId="76" fillId="8" borderId="0" xfId="0" applyNumberFormat="1" applyFont="1" applyFill="1" applyAlignment="1">
      <alignment vertical="center"/>
    </xf>
    <xf numFmtId="164" fontId="103" fillId="8" borderId="0" xfId="0" quotePrefix="1" applyNumberFormat="1" applyFont="1" applyFill="1" applyAlignment="1">
      <alignment horizontal="center" vertical="center"/>
    </xf>
    <xf numFmtId="164" fontId="76" fillId="8" borderId="0" xfId="0" applyNumberFormat="1" applyFont="1" applyFill="1" applyAlignment="1">
      <alignment horizontal="center" vertical="center"/>
    </xf>
    <xf numFmtId="164" fontId="106" fillId="14" borderId="36" xfId="0" applyNumberFormat="1" applyFont="1" applyFill="1" applyBorder="1" applyAlignment="1">
      <alignment vertical="center"/>
    </xf>
    <xf numFmtId="164" fontId="106" fillId="14" borderId="0" xfId="0" applyNumberFormat="1" applyFont="1" applyFill="1" applyAlignment="1">
      <alignment vertical="center"/>
    </xf>
    <xf numFmtId="37" fontId="54" fillId="14" borderId="0" xfId="0" applyNumberFormat="1" applyFont="1" applyFill="1" applyAlignment="1">
      <alignment vertical="center"/>
    </xf>
    <xf numFmtId="7" fontId="60" fillId="0" borderId="36" xfId="27" applyNumberFormat="1" applyFont="1" applyFill="1" applyBorder="1" applyAlignment="1">
      <alignment vertical="center"/>
    </xf>
    <xf numFmtId="7" fontId="60" fillId="0" borderId="0" xfId="27" applyNumberFormat="1" applyFont="1" applyBorder="1" applyAlignment="1">
      <alignment vertical="center"/>
    </xf>
    <xf numFmtId="7" fontId="55" fillId="0" borderId="0" xfId="27" applyNumberFormat="1" applyFont="1" applyBorder="1" applyAlignment="1">
      <alignment horizontal="center" vertical="center"/>
    </xf>
    <xf numFmtId="7" fontId="55" fillId="0" borderId="36" xfId="27" applyNumberFormat="1" applyFont="1" applyFill="1" applyBorder="1" applyAlignment="1">
      <alignment horizontal="center" vertical="center"/>
    </xf>
    <xf numFmtId="7" fontId="55" fillId="0" borderId="0" xfId="27" applyNumberFormat="1" applyFont="1" applyAlignment="1">
      <alignment horizontal="center" vertical="center"/>
    </xf>
    <xf numFmtId="37" fontId="48" fillId="0" borderId="2" xfId="0" applyNumberFormat="1" applyFont="1" applyBorder="1" applyAlignment="1">
      <alignment vertical="center"/>
    </xf>
    <xf numFmtId="37" fontId="48" fillId="0" borderId="36" xfId="0" applyNumberFormat="1" applyFont="1" applyBorder="1" applyAlignment="1">
      <alignment horizontal="center" vertical="center"/>
    </xf>
    <xf numFmtId="37" fontId="48" fillId="14" borderId="0" xfId="0" applyNumberFormat="1" applyFont="1" applyFill="1" applyAlignment="1">
      <alignment horizontal="center" vertical="center"/>
    </xf>
    <xf numFmtId="37" fontId="48" fillId="14" borderId="36" xfId="0" applyNumberFormat="1" applyFont="1" applyFill="1" applyBorder="1" applyAlignment="1">
      <alignment horizontal="center" vertical="center"/>
    </xf>
    <xf numFmtId="37" fontId="57" fillId="0" borderId="26" xfId="0" applyNumberFormat="1" applyFont="1" applyBorder="1" applyAlignment="1">
      <alignment vertical="center"/>
    </xf>
    <xf numFmtId="37" fontId="48" fillId="0" borderId="5" xfId="0" applyNumberFormat="1" applyFont="1" applyBorder="1" applyAlignment="1">
      <alignment horizontal="center" vertical="center"/>
    </xf>
    <xf numFmtId="37" fontId="48" fillId="0" borderId="35" xfId="0" applyNumberFormat="1" applyFont="1" applyBorder="1" applyAlignment="1">
      <alignment horizontal="center" vertical="center"/>
    </xf>
    <xf numFmtId="164" fontId="55" fillId="0" borderId="3" xfId="0" applyNumberFormat="1" applyFont="1" applyBorder="1" applyAlignment="1">
      <alignment vertical="center"/>
    </xf>
    <xf numFmtId="37" fontId="57" fillId="0" borderId="3" xfId="0" applyNumberFormat="1" applyFont="1" applyBorder="1" applyAlignment="1">
      <alignment vertical="center"/>
    </xf>
    <xf numFmtId="164" fontId="55" fillId="0" borderId="31" xfId="0" applyNumberFormat="1" applyFont="1" applyBorder="1" applyAlignment="1">
      <alignment vertical="center"/>
    </xf>
    <xf numFmtId="37" fontId="48" fillId="0" borderId="2" xfId="0" applyNumberFormat="1" applyFont="1" applyBorder="1" applyAlignment="1">
      <alignment horizontal="center" vertical="center"/>
    </xf>
    <xf numFmtId="37" fontId="48" fillId="0" borderId="21" xfId="0" applyNumberFormat="1" applyFont="1" applyBorder="1" applyAlignment="1">
      <alignment horizontal="center" vertical="center"/>
    </xf>
    <xf numFmtId="164" fontId="48" fillId="0" borderId="2" xfId="0" applyNumberFormat="1" applyFont="1" applyBorder="1" applyAlignment="1">
      <alignment horizontal="center" vertical="center"/>
    </xf>
    <xf numFmtId="37" fontId="49" fillId="0" borderId="0" xfId="0" applyNumberFormat="1" applyFont="1" applyAlignment="1">
      <alignment horizontal="center" vertical="center"/>
    </xf>
    <xf numFmtId="0" fontId="74" fillId="0" borderId="0" xfId="0" applyFont="1" applyAlignment="1">
      <alignment horizontal="center"/>
    </xf>
    <xf numFmtId="164" fontId="74" fillId="0" borderId="0" xfId="0" applyNumberFormat="1" applyFont="1" applyAlignment="1">
      <alignment horizontal="center"/>
    </xf>
    <xf numFmtId="15" fontId="57" fillId="12" borderId="0" xfId="0" applyNumberFormat="1" applyFont="1" applyFill="1" applyAlignment="1">
      <alignment horizontal="right" vertical="center"/>
    </xf>
    <xf numFmtId="37" fontId="50" fillId="12" borderId="36" xfId="0" applyNumberFormat="1" applyFont="1" applyFill="1" applyBorder="1" applyAlignment="1">
      <alignment horizontal="center" vertical="center"/>
    </xf>
    <xf numFmtId="37" fontId="54" fillId="12" borderId="36" xfId="0" applyNumberFormat="1" applyFont="1" applyFill="1" applyBorder="1" applyAlignment="1">
      <alignment horizontal="center" vertical="center"/>
    </xf>
    <xf numFmtId="164" fontId="55" fillId="0" borderId="0" xfId="0" applyNumberFormat="1" applyFont="1" applyAlignment="1">
      <alignment horizontal="left" vertical="center" indent="1"/>
    </xf>
    <xf numFmtId="164" fontId="48" fillId="0" borderId="36" xfId="0" applyNumberFormat="1" applyFont="1" applyBorder="1" applyAlignment="1">
      <alignment horizontal="center" vertical="center"/>
    </xf>
    <xf numFmtId="43" fontId="60" fillId="0" borderId="36" xfId="22" applyFont="1" applyFill="1" applyBorder="1" applyAlignment="1">
      <alignment horizontal="center" vertical="center"/>
    </xf>
    <xf numFmtId="43" fontId="48" fillId="0" borderId="36" xfId="22" applyFont="1" applyFill="1" applyBorder="1" applyAlignment="1">
      <alignment horizontal="center" vertical="center"/>
    </xf>
    <xf numFmtId="193" fontId="55" fillId="0" borderId="0" xfId="22" applyNumberFormat="1" applyFont="1" applyFill="1" applyBorder="1" applyAlignment="1">
      <alignment horizontal="center" vertical="center"/>
    </xf>
    <xf numFmtId="193" fontId="99" fillId="0" borderId="0" xfId="22" applyNumberFormat="1" applyFont="1" applyFill="1" applyBorder="1" applyAlignment="1">
      <alignment horizontal="center" vertical="center"/>
    </xf>
    <xf numFmtId="164" fontId="94" fillId="0" borderId="36" xfId="0" applyNumberFormat="1" applyFont="1" applyBorder="1" applyAlignment="1">
      <alignment horizontal="center" vertical="center"/>
    </xf>
    <xf numFmtId="164" fontId="94" fillId="0" borderId="0" xfId="0" applyNumberFormat="1" applyFont="1" applyAlignment="1">
      <alignment horizontal="center" vertical="center"/>
    </xf>
    <xf numFmtId="164" fontId="62" fillId="0" borderId="36" xfId="0" applyNumberFormat="1" applyFont="1" applyBorder="1" applyAlignment="1">
      <alignment horizontal="center" vertical="center"/>
    </xf>
    <xf numFmtId="164" fontId="53" fillId="0" borderId="0" xfId="0" applyNumberFormat="1" applyFont="1" applyAlignment="1">
      <alignment vertical="center"/>
    </xf>
    <xf numFmtId="164" fontId="59" fillId="0" borderId="36" xfId="0" applyNumberFormat="1" applyFont="1" applyBorder="1" applyAlignment="1">
      <alignment horizontal="center" vertical="center"/>
    </xf>
    <xf numFmtId="188" fontId="56" fillId="0" borderId="0" xfId="22" applyNumberFormat="1" applyFont="1" applyFill="1" applyBorder="1" applyAlignment="1">
      <alignment horizontal="center" vertical="center"/>
    </xf>
    <xf numFmtId="193" fontId="56" fillId="0" borderId="0" xfId="22" applyNumberFormat="1" applyFont="1" applyFill="1" applyBorder="1" applyAlignment="1">
      <alignment horizontal="center" vertical="center"/>
    </xf>
    <xf numFmtId="193" fontId="48" fillId="0" borderId="0" xfId="22" applyNumberFormat="1" applyFont="1" applyFill="1" applyBorder="1" applyAlignment="1">
      <alignment horizontal="center" vertical="center"/>
    </xf>
    <xf numFmtId="193" fontId="56" fillId="0" borderId="0" xfId="0" applyNumberFormat="1" applyFont="1" applyAlignment="1">
      <alignment horizontal="center" vertical="center"/>
    </xf>
    <xf numFmtId="164" fontId="54" fillId="0" borderId="0" xfId="0" applyNumberFormat="1" applyFont="1" applyAlignment="1">
      <alignment vertical="center"/>
    </xf>
    <xf numFmtId="164" fontId="50" fillId="0" borderId="36" xfId="0" applyNumberFormat="1" applyFont="1" applyBorder="1" applyAlignment="1">
      <alignment horizontal="center" vertical="center"/>
    </xf>
    <xf numFmtId="164" fontId="50" fillId="0" borderId="0" xfId="0" applyNumberFormat="1" applyFont="1" applyAlignment="1">
      <alignment horizontal="center" vertical="center"/>
    </xf>
    <xf numFmtId="164" fontId="54" fillId="0" borderId="0" xfId="0" applyNumberFormat="1" applyFont="1" applyAlignment="1">
      <alignment horizontal="center" vertical="center"/>
    </xf>
    <xf numFmtId="164" fontId="54" fillId="0" borderId="36" xfId="0" applyNumberFormat="1" applyFont="1" applyBorder="1" applyAlignment="1">
      <alignment horizontal="center" vertical="center"/>
    </xf>
    <xf numFmtId="188" fontId="80" fillId="0" borderId="36" xfId="22" applyNumberFormat="1" applyFont="1" applyFill="1" applyBorder="1" applyAlignment="1">
      <alignment horizontal="center" vertical="center"/>
    </xf>
    <xf numFmtId="164" fontId="106" fillId="0" borderId="0" xfId="0" applyNumberFormat="1" applyFont="1" applyAlignment="1">
      <alignment horizontal="center" vertical="center"/>
    </xf>
    <xf numFmtId="164" fontId="108" fillId="0" borderId="0" xfId="0" applyNumberFormat="1" applyFont="1" applyAlignment="1">
      <alignment horizontal="center" vertical="center"/>
    </xf>
    <xf numFmtId="43" fontId="56" fillId="0" borderId="0" xfId="22" applyFont="1" applyFill="1" applyBorder="1" applyAlignment="1">
      <alignment horizontal="center" vertical="center"/>
    </xf>
    <xf numFmtId="164" fontId="88" fillId="0" borderId="0" xfId="0" applyNumberFormat="1" applyFont="1" applyAlignment="1">
      <alignment vertical="center"/>
    </xf>
    <xf numFmtId="192" fontId="55" fillId="0" borderId="36" xfId="51" applyNumberFormat="1" applyFont="1" applyFill="1" applyBorder="1" applyAlignment="1">
      <alignment horizontal="center" vertical="center"/>
    </xf>
    <xf numFmtId="192" fontId="55" fillId="0" borderId="0" xfId="51" applyNumberFormat="1" applyFont="1" applyFill="1" applyBorder="1" applyAlignment="1">
      <alignment horizontal="center" vertical="center"/>
    </xf>
    <xf numFmtId="192" fontId="99" fillId="0" borderId="0" xfId="51" applyNumberFormat="1" applyFont="1" applyFill="1" applyBorder="1" applyAlignment="1">
      <alignment horizontal="center" vertical="center"/>
    </xf>
    <xf numFmtId="192" fontId="48" fillId="0" borderId="36" xfId="51" applyNumberFormat="1" applyFont="1" applyFill="1" applyBorder="1" applyAlignment="1">
      <alignment horizontal="center" vertical="center"/>
    </xf>
    <xf numFmtId="186" fontId="48" fillId="0" borderId="0" xfId="0" applyNumberFormat="1" applyFont="1" applyAlignment="1">
      <alignment vertical="center"/>
    </xf>
    <xf numFmtId="164" fontId="50" fillId="12" borderId="36" xfId="0" applyNumberFormat="1" applyFont="1" applyFill="1" applyBorder="1" applyAlignment="1">
      <alignment horizontal="center" vertical="center"/>
    </xf>
    <xf numFmtId="164" fontId="50" fillId="12" borderId="0" xfId="0" applyNumberFormat="1" applyFont="1" applyFill="1" applyAlignment="1">
      <alignment horizontal="center" vertical="center"/>
    </xf>
    <xf numFmtId="15" fontId="53" fillId="0" borderId="0" xfId="0" applyNumberFormat="1" applyFont="1" applyAlignment="1">
      <alignment horizontal="left" vertical="center"/>
    </xf>
    <xf numFmtId="37" fontId="68" fillId="0" borderId="0" xfId="0" applyNumberFormat="1" applyFont="1" applyAlignment="1">
      <alignment horizontal="center" vertical="center"/>
    </xf>
    <xf numFmtId="164" fontId="68" fillId="0" borderId="36" xfId="0" applyNumberFormat="1" applyFont="1" applyBorder="1" applyAlignment="1">
      <alignment horizontal="center" vertical="center"/>
    </xf>
    <xf numFmtId="164" fontId="68" fillId="0" borderId="0" xfId="0" applyNumberFormat="1" applyFont="1" applyAlignment="1">
      <alignment horizontal="center" vertical="center"/>
    </xf>
    <xf numFmtId="164" fontId="62" fillId="0" borderId="0" xfId="0" applyNumberFormat="1" applyFont="1" applyAlignment="1">
      <alignment horizontal="center" vertical="center"/>
    </xf>
    <xf numFmtId="164" fontId="57" fillId="0" borderId="0" xfId="0" applyNumberFormat="1" applyFont="1" applyAlignment="1">
      <alignment vertical="center"/>
    </xf>
    <xf numFmtId="164" fontId="111" fillId="0" borderId="0" xfId="0" applyNumberFormat="1" applyFont="1" applyAlignment="1">
      <alignment horizontal="center" vertical="center"/>
    </xf>
    <xf numFmtId="164" fontId="57" fillId="0" borderId="36" xfId="0" applyNumberFormat="1" applyFont="1" applyBorder="1" applyAlignment="1">
      <alignment horizontal="center" vertical="center"/>
    </xf>
    <xf numFmtId="164" fontId="57" fillId="0" borderId="0" xfId="0" applyNumberFormat="1" applyFont="1" applyAlignment="1">
      <alignment horizontal="center" vertical="center"/>
    </xf>
    <xf numFmtId="164" fontId="56" fillId="0" borderId="0" xfId="22" applyNumberFormat="1" applyFont="1" applyFill="1" applyBorder="1" applyAlignment="1">
      <alignment horizontal="center" vertical="center"/>
    </xf>
    <xf numFmtId="164" fontId="56" fillId="0" borderId="0" xfId="22" quotePrefix="1" applyNumberFormat="1" applyFont="1" applyFill="1" applyBorder="1" applyAlignment="1">
      <alignment horizontal="center" vertical="center"/>
    </xf>
    <xf numFmtId="164" fontId="55" fillId="0" borderId="0" xfId="22" applyNumberFormat="1" applyFont="1" applyFill="1" applyBorder="1" applyAlignment="1">
      <alignment horizontal="center" vertical="center"/>
    </xf>
    <xf numFmtId="164" fontId="49" fillId="0" borderId="36" xfId="0" applyNumberFormat="1" applyFont="1" applyBorder="1" applyAlignment="1">
      <alignment horizontal="center" vertical="center"/>
    </xf>
    <xf numFmtId="164" fontId="49" fillId="0" borderId="0" xfId="0" applyNumberFormat="1" applyFont="1" applyAlignment="1">
      <alignment horizontal="center" vertical="center"/>
    </xf>
    <xf numFmtId="193" fontId="60" fillId="0" borderId="0" xfId="0" applyNumberFormat="1" applyFont="1" applyAlignment="1">
      <alignment horizontal="center" vertical="center"/>
    </xf>
    <xf numFmtId="193" fontId="111" fillId="0" borderId="0" xfId="0" applyNumberFormat="1" applyFont="1" applyAlignment="1">
      <alignment horizontal="center" vertical="center"/>
    </xf>
    <xf numFmtId="193" fontId="55" fillId="0" borderId="0" xfId="0" applyNumberFormat="1" applyFont="1" applyAlignment="1">
      <alignment horizontal="center" vertical="center"/>
    </xf>
    <xf numFmtId="164" fontId="55" fillId="0" borderId="5" xfId="0" applyNumberFormat="1" applyFont="1" applyBorder="1" applyAlignment="1">
      <alignment vertical="center"/>
    </xf>
    <xf numFmtId="164" fontId="94" fillId="0" borderId="35" xfId="0" applyNumberFormat="1" applyFont="1" applyBorder="1" applyAlignment="1">
      <alignment horizontal="center" vertical="center"/>
    </xf>
    <xf numFmtId="164" fontId="94" fillId="0" borderId="5" xfId="0" applyNumberFormat="1" applyFont="1" applyBorder="1" applyAlignment="1">
      <alignment horizontal="center" vertical="center"/>
    </xf>
    <xf numFmtId="164" fontId="62" fillId="0" borderId="35" xfId="0" applyNumberFormat="1" applyFont="1" applyBorder="1" applyAlignment="1">
      <alignment horizontal="center" vertical="center"/>
    </xf>
    <xf numFmtId="37" fontId="68" fillId="0" borderId="5" xfId="0" applyNumberFormat="1" applyFont="1" applyBorder="1" applyAlignment="1">
      <alignment horizontal="center" vertical="center"/>
    </xf>
    <xf numFmtId="164" fontId="56" fillId="0" borderId="5" xfId="0" applyNumberFormat="1" applyFont="1" applyBorder="1" applyAlignment="1">
      <alignment horizontal="center" vertical="center"/>
    </xf>
    <xf numFmtId="164" fontId="56" fillId="0" borderId="5" xfId="0" quotePrefix="1" applyNumberFormat="1" applyFont="1" applyBorder="1" applyAlignment="1">
      <alignment horizontal="center" vertical="center"/>
    </xf>
    <xf numFmtId="164" fontId="54" fillId="14" borderId="5" xfId="0" applyNumberFormat="1" applyFont="1" applyFill="1" applyBorder="1" applyAlignment="1">
      <alignment vertical="center"/>
    </xf>
    <xf numFmtId="164" fontId="50" fillId="14" borderId="35" xfId="0" applyNumberFormat="1" applyFont="1" applyFill="1" applyBorder="1" applyAlignment="1">
      <alignment horizontal="center" vertical="center"/>
    </xf>
    <xf numFmtId="164" fontId="50" fillId="14" borderId="5" xfId="0" applyNumberFormat="1" applyFont="1" applyFill="1" applyBorder="1" applyAlignment="1">
      <alignment horizontal="center" vertical="center"/>
    </xf>
    <xf numFmtId="164" fontId="108" fillId="14" borderId="5" xfId="0" applyNumberFormat="1" applyFont="1" applyFill="1" applyBorder="1" applyAlignment="1">
      <alignment horizontal="center" vertical="center"/>
    </xf>
    <xf numFmtId="164" fontId="112" fillId="0" borderId="36" xfId="0" applyNumberFormat="1" applyFont="1" applyBorder="1" applyAlignment="1">
      <alignment horizontal="center" vertical="center"/>
    </xf>
    <xf numFmtId="164" fontId="112" fillId="0" borderId="0" xfId="0" applyNumberFormat="1" applyFont="1" applyAlignment="1">
      <alignment horizontal="center" vertical="center"/>
    </xf>
    <xf numFmtId="164" fontId="51" fillId="0" borderId="36" xfId="0" applyNumberFormat="1" applyFont="1" applyBorder="1" applyAlignment="1">
      <alignment horizontal="center" vertical="center"/>
    </xf>
    <xf numFmtId="37" fontId="86" fillId="0" borderId="0" xfId="0" applyNumberFormat="1" applyFont="1" applyAlignment="1">
      <alignment horizontal="center" vertical="center"/>
    </xf>
    <xf numFmtId="188" fontId="66" fillId="8" borderId="0" xfId="22" applyNumberFormat="1" applyFont="1" applyFill="1" applyBorder="1" applyAlignment="1">
      <alignment horizontal="center" vertical="center"/>
    </xf>
    <xf numFmtId="188" fontId="66" fillId="8" borderId="36" xfId="22" applyNumberFormat="1" applyFont="1" applyFill="1" applyBorder="1" applyAlignment="1">
      <alignment horizontal="center" vertical="center"/>
    </xf>
    <xf numFmtId="164" fontId="106" fillId="0" borderId="36" xfId="0" applyNumberFormat="1" applyFont="1" applyBorder="1" applyAlignment="1">
      <alignment horizontal="center" vertical="center"/>
    </xf>
    <xf numFmtId="164" fontId="65" fillId="0" borderId="0" xfId="0" quotePrefix="1" applyNumberFormat="1" applyFont="1" applyAlignment="1">
      <alignment horizontal="center" vertical="center"/>
    </xf>
    <xf numFmtId="188" fontId="113" fillId="0" borderId="0" xfId="22" applyNumberFormat="1" applyFont="1" applyFill="1" applyBorder="1" applyAlignment="1">
      <alignment horizontal="center" vertical="center"/>
    </xf>
    <xf numFmtId="193" fontId="56" fillId="0" borderId="0" xfId="0" quotePrefix="1" applyNumberFormat="1" applyFont="1" applyAlignment="1">
      <alignment horizontal="center" vertical="center"/>
    </xf>
    <xf numFmtId="37" fontId="62" fillId="0" borderId="0" xfId="0" applyNumberFormat="1" applyFont="1" applyAlignment="1">
      <alignment horizontal="center" vertical="center"/>
    </xf>
    <xf numFmtId="188" fontId="60" fillId="0" borderId="36" xfId="0" applyNumberFormat="1" applyFont="1" applyBorder="1" applyAlignment="1">
      <alignment horizontal="center" vertical="center"/>
    </xf>
    <xf numFmtId="188" fontId="60" fillId="0" borderId="0" xfId="0" applyNumberFormat="1" applyFont="1" applyAlignment="1">
      <alignment horizontal="center" vertical="center"/>
    </xf>
    <xf numFmtId="188" fontId="48" fillId="0" borderId="36" xfId="0" applyNumberFormat="1" applyFont="1" applyBorder="1" applyAlignment="1">
      <alignment horizontal="center" vertical="center"/>
    </xf>
    <xf numFmtId="188" fontId="68" fillId="0" borderId="0" xfId="0" applyNumberFormat="1" applyFont="1" applyAlignment="1">
      <alignment horizontal="center" vertical="center"/>
    </xf>
    <xf numFmtId="188" fontId="48" fillId="0" borderId="0" xfId="0" applyNumberFormat="1" applyFont="1" applyAlignment="1">
      <alignment vertical="center"/>
    </xf>
    <xf numFmtId="193" fontId="54" fillId="14" borderId="5" xfId="22" applyNumberFormat="1" applyFont="1" applyFill="1" applyBorder="1" applyAlignment="1">
      <alignment horizontal="center" vertical="center"/>
    </xf>
    <xf numFmtId="193" fontId="54" fillId="14" borderId="35" xfId="0" applyNumberFormat="1" applyFont="1" applyFill="1" applyBorder="1" applyAlignment="1">
      <alignment horizontal="center" vertical="center"/>
    </xf>
    <xf numFmtId="193" fontId="54" fillId="14" borderId="35" xfId="22" applyNumberFormat="1" applyFont="1" applyFill="1" applyBorder="1" applyAlignment="1">
      <alignment horizontal="center" vertical="center"/>
    </xf>
    <xf numFmtId="193" fontId="56" fillId="0" borderId="0" xfId="22" quotePrefix="1" applyNumberFormat="1" applyFont="1" applyFill="1" applyBorder="1" applyAlignment="1">
      <alignment horizontal="center" vertical="center"/>
    </xf>
    <xf numFmtId="188" fontId="55" fillId="0" borderId="0" xfId="0" applyNumberFormat="1" applyFont="1" applyAlignment="1">
      <alignment vertical="center"/>
    </xf>
    <xf numFmtId="43" fontId="55" fillId="0" borderId="0" xfId="22" applyFont="1" applyFill="1" applyBorder="1" applyAlignment="1">
      <alignment horizontal="center" vertical="center"/>
    </xf>
    <xf numFmtId="188" fontId="99" fillId="0" borderId="0" xfId="22" applyNumberFormat="1" applyFont="1" applyFill="1" applyBorder="1" applyAlignment="1">
      <alignment horizontal="center" vertical="center"/>
    </xf>
    <xf numFmtId="164" fontId="48" fillId="0" borderId="35" xfId="0" applyNumberFormat="1" applyFont="1" applyBorder="1" applyAlignment="1">
      <alignment horizontal="center" vertical="center"/>
    </xf>
    <xf numFmtId="164" fontId="55" fillId="0" borderId="26" xfId="0" applyNumberFormat="1" applyFont="1" applyBorder="1" applyAlignment="1">
      <alignment horizontal="center" vertical="center"/>
    </xf>
    <xf numFmtId="164" fontId="61" fillId="0" borderId="0" xfId="0" applyNumberFormat="1" applyFont="1" applyAlignment="1">
      <alignment vertical="center"/>
    </xf>
    <xf numFmtId="37" fontId="48" fillId="0" borderId="36" xfId="0" applyNumberFormat="1" applyFont="1" applyBorder="1" applyAlignment="1">
      <alignment horizontal="center"/>
    </xf>
    <xf numFmtId="164" fontId="48" fillId="0" borderId="36" xfId="0" applyNumberFormat="1" applyFont="1" applyBorder="1" applyAlignment="1">
      <alignment horizontal="center"/>
    </xf>
    <xf numFmtId="37" fontId="55" fillId="0" borderId="36" xfId="0" applyNumberFormat="1" applyFont="1" applyBorder="1" applyAlignment="1">
      <alignment horizontal="center"/>
    </xf>
    <xf numFmtId="37" fontId="55" fillId="0" borderId="0" xfId="0" applyNumberFormat="1" applyFont="1" applyAlignment="1">
      <alignment horizontal="center"/>
    </xf>
    <xf numFmtId="37" fontId="48" fillId="0" borderId="0" xfId="0" applyNumberFormat="1" applyFont="1"/>
    <xf numFmtId="43" fontId="48" fillId="0" borderId="0" xfId="22" applyFont="1" applyFill="1" applyBorder="1" applyAlignment="1">
      <alignment horizontal="center"/>
    </xf>
    <xf numFmtId="43" fontId="55" fillId="0" borderId="0" xfId="22" applyFont="1" applyFill="1" applyBorder="1" applyAlignment="1">
      <alignment horizontal="center"/>
    </xf>
    <xf numFmtId="43" fontId="48" fillId="0" borderId="0" xfId="22" applyFont="1" applyBorder="1"/>
    <xf numFmtId="164" fontId="50" fillId="14" borderId="36" xfId="0" applyNumberFormat="1" applyFont="1" applyFill="1" applyBorder="1" applyAlignment="1">
      <alignment horizontal="center"/>
    </xf>
    <xf numFmtId="164" fontId="50" fillId="14" borderId="0" xfId="0" applyNumberFormat="1" applyFont="1" applyFill="1" applyAlignment="1">
      <alignment horizontal="center"/>
    </xf>
    <xf numFmtId="164" fontId="54" fillId="14" borderId="36" xfId="0" applyNumberFormat="1" applyFont="1" applyFill="1" applyBorder="1" applyAlignment="1">
      <alignment horizontal="center"/>
    </xf>
    <xf numFmtId="184" fontId="54" fillId="14" borderId="0" xfId="0" applyNumberFormat="1" applyFont="1" applyFill="1"/>
    <xf numFmtId="184" fontId="50" fillId="14" borderId="36" xfId="27" applyNumberFormat="1" applyFont="1" applyFill="1" applyBorder="1" applyAlignment="1">
      <alignment horizontal="center"/>
    </xf>
    <xf numFmtId="164" fontId="50" fillId="14" borderId="36" xfId="27" applyNumberFormat="1" applyFont="1" applyFill="1" applyBorder="1" applyAlignment="1">
      <alignment horizontal="center"/>
    </xf>
    <xf numFmtId="37" fontId="57" fillId="0" borderId="0" xfId="0" applyNumberFormat="1" applyFont="1"/>
    <xf numFmtId="164" fontId="59" fillId="0" borderId="36" xfId="51" applyNumberFormat="1" applyFont="1" applyFill="1" applyBorder="1" applyAlignment="1">
      <alignment horizontal="center"/>
    </xf>
    <xf numFmtId="164" fontId="48" fillId="0" borderId="36" xfId="22" applyNumberFormat="1" applyFont="1" applyFill="1" applyBorder="1" applyAlignment="1">
      <alignment horizontal="center" vertical="center"/>
    </xf>
    <xf numFmtId="37" fontId="54" fillId="0" borderId="0" xfId="0" applyNumberFormat="1" applyFont="1"/>
    <xf numFmtId="37" fontId="55" fillId="0" borderId="0" xfId="0" applyNumberFormat="1" applyFont="1"/>
    <xf numFmtId="164" fontId="55" fillId="0" borderId="0" xfId="0" quotePrefix="1" applyNumberFormat="1" applyFont="1"/>
    <xf numFmtId="43" fontId="55" fillId="0" borderId="0" xfId="22" quotePrefix="1" applyFont="1" applyBorder="1" applyAlignment="1">
      <alignment vertical="center"/>
    </xf>
    <xf numFmtId="164" fontId="54" fillId="14" borderId="0" xfId="0" applyNumberFormat="1" applyFont="1" applyFill="1"/>
    <xf numFmtId="164" fontId="54" fillId="14" borderId="0" xfId="0" applyNumberFormat="1" applyFont="1" applyFill="1" applyAlignment="1">
      <alignment horizontal="center"/>
    </xf>
    <xf numFmtId="184" fontId="50" fillId="14" borderId="0" xfId="0" applyNumberFormat="1" applyFont="1" applyFill="1" applyAlignment="1">
      <alignment horizontal="center"/>
    </xf>
    <xf numFmtId="164" fontId="60" fillId="0" borderId="21" xfId="0" applyNumberFormat="1" applyFont="1" applyBorder="1" applyAlignment="1">
      <alignment horizontal="center" vertical="center"/>
    </xf>
    <xf numFmtId="167" fontId="49" fillId="0" borderId="0" xfId="0" applyNumberFormat="1" applyFont="1" applyAlignment="1">
      <alignment vertical="center"/>
    </xf>
    <xf numFmtId="43" fontId="50" fillId="0" borderId="0" xfId="22" applyFont="1" applyBorder="1" applyAlignment="1">
      <alignment vertical="center"/>
    </xf>
    <xf numFmtId="167" fontId="48" fillId="0" borderId="0" xfId="0" applyNumberFormat="1" applyFont="1" applyAlignment="1">
      <alignment vertical="center"/>
    </xf>
    <xf numFmtId="0" fontId="63" fillId="0" borderId="0" xfId="0" applyFont="1" applyAlignment="1">
      <alignment horizontal="right" vertical="center"/>
    </xf>
    <xf numFmtId="15" fontId="57" fillId="12" borderId="0" xfId="0" applyNumberFormat="1" applyFont="1" applyFill="1" applyAlignment="1">
      <alignment horizontal="left" vertical="center"/>
    </xf>
    <xf numFmtId="14" fontId="48" fillId="0" borderId="0" xfId="0" applyNumberFormat="1" applyFont="1" applyAlignment="1">
      <alignment vertical="center"/>
    </xf>
    <xf numFmtId="14" fontId="51" fillId="8" borderId="0" xfId="0" applyNumberFormat="1" applyFont="1" applyFill="1" applyAlignment="1">
      <alignment vertical="center"/>
    </xf>
    <xf numFmtId="14" fontId="49" fillId="0" borderId="36" xfId="0" applyNumberFormat="1" applyFont="1" applyBorder="1" applyAlignment="1">
      <alignment horizontal="center" vertical="center"/>
    </xf>
    <xf numFmtId="14" fontId="49" fillId="0" borderId="0" xfId="0" applyNumberFormat="1" applyFont="1" applyAlignment="1">
      <alignment horizontal="center" vertical="center"/>
    </xf>
    <xf numFmtId="14" fontId="80" fillId="0" borderId="36" xfId="0" applyNumberFormat="1" applyFont="1" applyBorder="1" applyAlignment="1">
      <alignment horizontal="center" vertical="center"/>
    </xf>
    <xf numFmtId="14" fontId="114" fillId="0" borderId="0" xfId="0" applyNumberFormat="1" applyFont="1" applyAlignment="1">
      <alignment horizontal="center" vertical="center"/>
    </xf>
    <xf numFmtId="14" fontId="80" fillId="0" borderId="0" xfId="0" applyNumberFormat="1" applyFont="1" applyAlignment="1">
      <alignment horizontal="center" vertical="center"/>
    </xf>
    <xf numFmtId="43" fontId="115" fillId="0" borderId="36" xfId="22" applyFont="1" applyFill="1" applyBorder="1" applyAlignment="1">
      <alignment horizontal="center" vertical="center"/>
    </xf>
    <xf numFmtId="189" fontId="64" fillId="0" borderId="0" xfId="22" applyNumberFormat="1" applyFont="1" applyFill="1" applyBorder="1" applyAlignment="1">
      <alignment horizontal="center" vertical="center"/>
    </xf>
    <xf numFmtId="43" fontId="116" fillId="0" borderId="36" xfId="22" applyFont="1" applyFill="1" applyBorder="1" applyAlignment="1">
      <alignment horizontal="center" vertical="center"/>
    </xf>
    <xf numFmtId="189" fontId="109" fillId="0" borderId="0" xfId="22" applyNumberFormat="1" applyFont="1" applyFill="1" applyBorder="1" applyAlignment="1">
      <alignment horizontal="center" vertical="center"/>
    </xf>
    <xf numFmtId="14" fontId="59" fillId="0" borderId="0" xfId="0" applyNumberFormat="1" applyFont="1" applyAlignment="1">
      <alignment vertical="center"/>
    </xf>
    <xf numFmtId="164" fontId="54" fillId="8" borderId="0" xfId="0" applyNumberFormat="1" applyFont="1" applyFill="1" applyAlignment="1">
      <alignment vertical="center"/>
    </xf>
    <xf numFmtId="164" fontId="106" fillId="0" borderId="36" xfId="22" applyNumberFormat="1" applyFont="1" applyFill="1" applyBorder="1" applyAlignment="1">
      <alignment horizontal="center" vertical="center"/>
    </xf>
    <xf numFmtId="164" fontId="106" fillId="0" borderId="0" xfId="22" applyNumberFormat="1" applyFont="1" applyFill="1" applyBorder="1" applyAlignment="1">
      <alignment horizontal="center" vertical="center"/>
    </xf>
    <xf numFmtId="164" fontId="50" fillId="0" borderId="36" xfId="22" applyNumberFormat="1" applyFont="1" applyFill="1" applyBorder="1" applyAlignment="1">
      <alignment horizontal="center" vertical="center"/>
    </xf>
    <xf numFmtId="164" fontId="108" fillId="0" borderId="36" xfId="22" applyNumberFormat="1" applyFont="1" applyFill="1" applyBorder="1" applyAlignment="1">
      <alignment horizontal="center" vertical="center"/>
    </xf>
    <xf numFmtId="164" fontId="54" fillId="0" borderId="36" xfId="22" applyNumberFormat="1" applyFont="1" applyFill="1" applyBorder="1" applyAlignment="1">
      <alignment horizontal="center" vertical="center"/>
    </xf>
    <xf numFmtId="164" fontId="108" fillId="0" borderId="0" xfId="22" applyNumberFormat="1" applyFont="1" applyFill="1" applyBorder="1" applyAlignment="1">
      <alignment horizontal="center" vertical="center"/>
    </xf>
    <xf numFmtId="183" fontId="108" fillId="0" borderId="0" xfId="22" applyNumberFormat="1" applyFont="1" applyFill="1" applyBorder="1" applyAlignment="1">
      <alignment horizontal="center" vertical="center"/>
    </xf>
    <xf numFmtId="183" fontId="54" fillId="0" borderId="0" xfId="22" applyNumberFormat="1" applyFont="1" applyFill="1" applyBorder="1" applyAlignment="1">
      <alignment horizontal="center" vertical="center"/>
    </xf>
    <xf numFmtId="14" fontId="51" fillId="0" borderId="0" xfId="0" applyNumberFormat="1" applyFont="1" applyAlignment="1">
      <alignment vertical="center"/>
    </xf>
    <xf numFmtId="192" fontId="50" fillId="0" borderId="36" xfId="51" applyNumberFormat="1" applyFont="1" applyFill="1" applyBorder="1" applyAlignment="1">
      <alignment horizontal="center" vertical="center"/>
    </xf>
    <xf numFmtId="192" fontId="59" fillId="0" borderId="36" xfId="51" applyNumberFormat="1" applyFont="1" applyFill="1" applyBorder="1" applyAlignment="1">
      <alignment horizontal="center" vertical="center"/>
    </xf>
    <xf numFmtId="192" fontId="50" fillId="0" borderId="0" xfId="51" applyNumberFormat="1" applyFont="1" applyFill="1" applyBorder="1" applyAlignment="1">
      <alignment horizontal="center" vertical="center"/>
    </xf>
    <xf numFmtId="192" fontId="48" fillId="0" borderId="0" xfId="0" applyNumberFormat="1" applyFont="1" applyAlignment="1">
      <alignment horizontal="center"/>
    </xf>
    <xf numFmtId="192" fontId="55" fillId="0" borderId="36" xfId="22" applyNumberFormat="1" applyFont="1" applyFill="1" applyBorder="1" applyAlignment="1">
      <alignment horizontal="center" vertical="center"/>
    </xf>
    <xf numFmtId="37" fontId="59" fillId="0" borderId="0" xfId="0" applyNumberFormat="1" applyFont="1" applyAlignment="1">
      <alignment horizontal="center"/>
    </xf>
    <xf numFmtId="2" fontId="57" fillId="0" borderId="0" xfId="51" applyNumberFormat="1" applyFont="1" applyFill="1" applyBorder="1" applyAlignment="1">
      <alignment horizontal="center" vertical="center"/>
    </xf>
    <xf numFmtId="164" fontId="48" fillId="0" borderId="0" xfId="22" applyNumberFormat="1" applyFont="1" applyFill="1" applyBorder="1" applyAlignment="1">
      <alignment horizontal="center" vertical="center"/>
    </xf>
    <xf numFmtId="164" fontId="48" fillId="0" borderId="0" xfId="22" applyNumberFormat="1" applyFont="1" applyFill="1" applyAlignment="1">
      <alignment horizontal="center" vertical="center"/>
    </xf>
    <xf numFmtId="14" fontId="49" fillId="14" borderId="35" xfId="0" applyNumberFormat="1" applyFont="1" applyFill="1" applyBorder="1" applyAlignment="1">
      <alignment horizontal="center" vertical="center"/>
    </xf>
    <xf numFmtId="14" fontId="49" fillId="14" borderId="5" xfId="0" applyNumberFormat="1" applyFont="1" applyFill="1" applyBorder="1" applyAlignment="1">
      <alignment horizontal="center" vertical="center"/>
    </xf>
    <xf numFmtId="14" fontId="80" fillId="14" borderId="35" xfId="0" applyNumberFormat="1" applyFont="1" applyFill="1" applyBorder="1" applyAlignment="1">
      <alignment horizontal="center" vertical="center"/>
    </xf>
    <xf numFmtId="14" fontId="114" fillId="14" borderId="5" xfId="0" applyNumberFormat="1" applyFont="1" applyFill="1" applyBorder="1" applyAlignment="1">
      <alignment horizontal="center" vertical="center"/>
    </xf>
    <xf numFmtId="14" fontId="80" fillId="14" borderId="5" xfId="0" applyNumberFormat="1" applyFont="1" applyFill="1" applyBorder="1" applyAlignment="1">
      <alignment horizontal="center" vertical="center"/>
    </xf>
    <xf numFmtId="164" fontId="50" fillId="14" borderId="35" xfId="22" applyNumberFormat="1" applyFont="1" applyFill="1" applyBorder="1" applyAlignment="1">
      <alignment horizontal="center" vertical="center"/>
    </xf>
    <xf numFmtId="164" fontId="50" fillId="14" borderId="5" xfId="22" applyNumberFormat="1" applyFont="1" applyFill="1" applyBorder="1" applyAlignment="1">
      <alignment horizontal="center" vertical="center"/>
    </xf>
    <xf numFmtId="14" fontId="59" fillId="8" borderId="0" xfId="0" applyNumberFormat="1" applyFont="1" applyFill="1" applyAlignment="1">
      <alignment vertical="center"/>
    </xf>
    <xf numFmtId="14" fontId="49" fillId="14" borderId="36" xfId="0" applyNumberFormat="1" applyFont="1" applyFill="1" applyBorder="1" applyAlignment="1">
      <alignment horizontal="center" vertical="center"/>
    </xf>
    <xf numFmtId="14" fontId="49" fillId="14" borderId="0" xfId="0" applyNumberFormat="1" applyFont="1" applyFill="1" applyAlignment="1">
      <alignment horizontal="center" vertical="center"/>
    </xf>
    <xf numFmtId="14" fontId="80" fillId="14" borderId="36" xfId="0" applyNumberFormat="1" applyFont="1" applyFill="1" applyBorder="1" applyAlignment="1">
      <alignment horizontal="center" vertical="center"/>
    </xf>
    <xf numFmtId="14" fontId="114" fillId="14" borderId="0" xfId="0" applyNumberFormat="1" applyFont="1" applyFill="1" applyAlignment="1">
      <alignment horizontal="center" vertical="center"/>
    </xf>
    <xf numFmtId="14" fontId="80" fillId="14" borderId="0" xfId="0" applyNumberFormat="1" applyFont="1" applyFill="1" applyAlignment="1">
      <alignment horizontal="center" vertical="center"/>
    </xf>
    <xf numFmtId="14" fontId="115" fillId="14" borderId="36" xfId="0" applyNumberFormat="1" applyFont="1" applyFill="1" applyBorder="1" applyAlignment="1">
      <alignment horizontal="center" vertical="center"/>
    </xf>
    <xf numFmtId="14" fontId="64" fillId="14" borderId="0" xfId="0" applyNumberFormat="1" applyFont="1" applyFill="1" applyAlignment="1">
      <alignment horizontal="center" vertical="center"/>
    </xf>
    <xf numFmtId="14" fontId="115" fillId="0" borderId="36" xfId="0" applyNumberFormat="1" applyFont="1" applyBorder="1" applyAlignment="1">
      <alignment horizontal="center" vertical="center"/>
    </xf>
    <xf numFmtId="14" fontId="64" fillId="0" borderId="0" xfId="0" applyNumberFormat="1" applyFont="1" applyAlignment="1">
      <alignment horizontal="center" vertical="center"/>
    </xf>
    <xf numFmtId="14" fontId="64" fillId="0" borderId="36" xfId="0" applyNumberFormat="1" applyFont="1" applyBorder="1" applyAlignment="1">
      <alignment horizontal="center" vertical="center"/>
    </xf>
    <xf numFmtId="14" fontId="109" fillId="0" borderId="36" xfId="0" applyNumberFormat="1" applyFont="1" applyBorder="1" applyAlignment="1">
      <alignment horizontal="center" vertical="center"/>
    </xf>
    <xf numFmtId="14" fontId="109" fillId="0" borderId="0" xfId="0" applyNumberFormat="1" applyFont="1" applyAlignment="1">
      <alignment horizontal="center" vertical="center"/>
    </xf>
    <xf numFmtId="193" fontId="117" fillId="0" borderId="0" xfId="22" applyNumberFormat="1" applyFont="1" applyFill="1" applyBorder="1" applyAlignment="1">
      <alignment horizontal="center" vertical="center"/>
    </xf>
    <xf numFmtId="193" fontId="117" fillId="0" borderId="36" xfId="22" applyNumberFormat="1" applyFont="1" applyFill="1" applyBorder="1" applyAlignment="1">
      <alignment horizontal="center" vertical="center"/>
    </xf>
    <xf numFmtId="188" fontId="117" fillId="0" borderId="0" xfId="22" applyNumberFormat="1" applyFont="1" applyFill="1" applyBorder="1" applyAlignment="1">
      <alignment horizontal="center" vertical="center"/>
    </xf>
    <xf numFmtId="192" fontId="117" fillId="0" borderId="36" xfId="22" applyNumberFormat="1" applyFont="1" applyFill="1" applyBorder="1" applyAlignment="1">
      <alignment horizontal="center" vertical="center"/>
    </xf>
    <xf numFmtId="192" fontId="117" fillId="0" borderId="0" xfId="22" applyNumberFormat="1" applyFont="1" applyFill="1" applyBorder="1" applyAlignment="1">
      <alignment horizontal="center" vertical="center"/>
    </xf>
    <xf numFmtId="183" fontId="55" fillId="0" borderId="36" xfId="51" applyNumberFormat="1" applyFont="1" applyFill="1" applyBorder="1" applyAlignment="1">
      <alignment horizontal="center" vertical="center"/>
    </xf>
    <xf numFmtId="183" fontId="48" fillId="0" borderId="0" xfId="22" applyNumberFormat="1" applyFont="1" applyFill="1" applyBorder="1" applyAlignment="1">
      <alignment horizontal="center" vertical="center"/>
    </xf>
    <xf numFmtId="0" fontId="57" fillId="0" borderId="0" xfId="51" applyNumberFormat="1" applyFont="1" applyFill="1" applyBorder="1" applyAlignment="1">
      <alignment horizontal="center" vertical="center"/>
    </xf>
    <xf numFmtId="193" fontId="57" fillId="0" borderId="36" xfId="51" applyNumberFormat="1" applyFont="1" applyFill="1" applyBorder="1" applyAlignment="1">
      <alignment horizontal="center" vertical="center"/>
    </xf>
    <xf numFmtId="183" fontId="48" fillId="0" borderId="36" xfId="22" applyNumberFormat="1" applyFont="1" applyFill="1" applyBorder="1" applyAlignment="1">
      <alignment horizontal="center" vertical="center"/>
    </xf>
    <xf numFmtId="192" fontId="59" fillId="0" borderId="0" xfId="51" applyNumberFormat="1" applyFont="1" applyFill="1" applyBorder="1" applyAlignment="1">
      <alignment horizontal="center"/>
    </xf>
    <xf numFmtId="14" fontId="49" fillId="0" borderId="35" xfId="0" applyNumberFormat="1" applyFont="1" applyBorder="1" applyAlignment="1">
      <alignment horizontal="center" vertical="center"/>
    </xf>
    <xf numFmtId="14" fontId="49" fillId="0" borderId="5" xfId="0" applyNumberFormat="1" applyFont="1" applyBorder="1" applyAlignment="1">
      <alignment horizontal="center" vertical="center"/>
    </xf>
    <xf numFmtId="14" fontId="80" fillId="0" borderId="35" xfId="0" applyNumberFormat="1" applyFont="1" applyBorder="1" applyAlignment="1">
      <alignment horizontal="center" vertical="center"/>
    </xf>
    <xf numFmtId="14" fontId="114" fillId="0" borderId="5" xfId="0" applyNumberFormat="1" applyFont="1" applyBorder="1" applyAlignment="1">
      <alignment horizontal="center" vertical="center"/>
    </xf>
    <xf numFmtId="14" fontId="80" fillId="0" borderId="5" xfId="0" applyNumberFormat="1" applyFont="1" applyBorder="1" applyAlignment="1">
      <alignment horizontal="center" vertical="center"/>
    </xf>
    <xf numFmtId="14" fontId="115" fillId="0" borderId="35" xfId="0" applyNumberFormat="1" applyFont="1" applyBorder="1" applyAlignment="1">
      <alignment horizontal="center" vertical="center"/>
    </xf>
    <xf numFmtId="14" fontId="64" fillId="0" borderId="5" xfId="0" applyNumberFormat="1" applyFont="1" applyBorder="1" applyAlignment="1">
      <alignment horizontal="center" vertical="center"/>
    </xf>
    <xf numFmtId="183" fontId="90" fillId="14" borderId="5" xfId="22" applyNumberFormat="1" applyFont="1" applyFill="1" applyBorder="1" applyAlignment="1">
      <alignment horizontal="center" vertical="center"/>
    </xf>
    <xf numFmtId="164" fontId="54" fillId="14" borderId="35" xfId="22" applyNumberFormat="1" applyFont="1" applyFill="1" applyBorder="1" applyAlignment="1">
      <alignment horizontal="center" vertical="center"/>
    </xf>
    <xf numFmtId="183" fontId="50" fillId="14" borderId="5" xfId="22" applyNumberFormat="1" applyFont="1" applyFill="1" applyBorder="1" applyAlignment="1">
      <alignment horizontal="center" vertical="center"/>
    </xf>
    <xf numFmtId="164" fontId="55" fillId="14" borderId="36" xfId="22" applyNumberFormat="1" applyFont="1" applyFill="1" applyBorder="1" applyAlignment="1">
      <alignment horizontal="center" vertical="center"/>
    </xf>
    <xf numFmtId="5" fontId="54" fillId="8" borderId="0" xfId="0" applyNumberFormat="1" applyFont="1" applyFill="1" applyAlignment="1">
      <alignment vertical="center"/>
    </xf>
    <xf numFmtId="5" fontId="118" fillId="0" borderId="36" xfId="0" applyNumberFormat="1" applyFont="1" applyBorder="1" applyAlignment="1">
      <alignment horizontal="center" vertical="center"/>
    </xf>
    <xf numFmtId="5" fontId="118" fillId="0" borderId="0" xfId="0" applyNumberFormat="1" applyFont="1" applyAlignment="1">
      <alignment horizontal="center" vertical="center"/>
    </xf>
    <xf numFmtId="5" fontId="82" fillId="0" borderId="36" xfId="0" applyNumberFormat="1" applyFont="1" applyBorder="1" applyAlignment="1">
      <alignment horizontal="center" vertical="center"/>
    </xf>
    <xf numFmtId="5" fontId="119" fillId="0" borderId="0" xfId="0" applyNumberFormat="1" applyFont="1" applyAlignment="1">
      <alignment horizontal="center" vertical="center"/>
    </xf>
    <xf numFmtId="5" fontId="50" fillId="0" borderId="0" xfId="0" applyNumberFormat="1" applyFont="1" applyAlignment="1">
      <alignment horizontal="center" vertical="center"/>
    </xf>
    <xf numFmtId="5" fontId="82" fillId="0" borderId="0" xfId="0" applyNumberFormat="1" applyFont="1" applyAlignment="1">
      <alignment horizontal="center" vertical="center"/>
    </xf>
    <xf numFmtId="164" fontId="50" fillId="0" borderId="0" xfId="22" applyNumberFormat="1" applyFont="1" applyFill="1" applyBorder="1" applyAlignment="1">
      <alignment horizontal="center" vertical="center"/>
    </xf>
    <xf numFmtId="197" fontId="108" fillId="0" borderId="0" xfId="22" applyNumberFormat="1" applyFont="1" applyFill="1" applyBorder="1" applyAlignment="1">
      <alignment horizontal="center" vertical="center"/>
    </xf>
    <xf numFmtId="197" fontId="54" fillId="0" borderId="36" xfId="22" applyNumberFormat="1" applyFont="1" applyFill="1" applyBorder="1" applyAlignment="1">
      <alignment horizontal="center" vertical="center"/>
    </xf>
    <xf numFmtId="197" fontId="108" fillId="0" borderId="0" xfId="51" applyNumberFormat="1" applyFont="1" applyFill="1" applyBorder="1" applyAlignment="1">
      <alignment horizontal="center" vertical="center"/>
    </xf>
    <xf numFmtId="197" fontId="54" fillId="0" borderId="0" xfId="51" applyNumberFormat="1" applyFont="1" applyFill="1" applyBorder="1" applyAlignment="1">
      <alignment horizontal="center" vertical="center"/>
    </xf>
    <xf numFmtId="192" fontId="49" fillId="0" borderId="36" xfId="0" applyNumberFormat="1" applyFont="1" applyBorder="1" applyAlignment="1">
      <alignment horizontal="center" vertical="center"/>
    </xf>
    <xf numFmtId="192" fontId="49" fillId="0" borderId="0" xfId="0" applyNumberFormat="1" applyFont="1" applyAlignment="1">
      <alignment horizontal="center" vertical="center"/>
    </xf>
    <xf numFmtId="192" fontId="80" fillId="0" borderId="36" xfId="0" applyNumberFormat="1" applyFont="1" applyBorder="1" applyAlignment="1">
      <alignment horizontal="center" vertical="center"/>
    </xf>
    <xf numFmtId="192" fontId="60" fillId="0" borderId="0" xfId="22" applyNumberFormat="1" applyFont="1" applyFill="1" applyBorder="1" applyAlignment="1">
      <alignment horizontal="center" vertical="center"/>
    </xf>
    <xf numFmtId="192" fontId="114" fillId="0" borderId="0" xfId="0" applyNumberFormat="1" applyFont="1" applyAlignment="1">
      <alignment horizontal="center" vertical="center"/>
    </xf>
    <xf numFmtId="192" fontId="80" fillId="0" borderId="0" xfId="0" applyNumberFormat="1" applyFont="1" applyAlignment="1">
      <alignment horizontal="center" vertical="center"/>
    </xf>
    <xf numFmtId="192" fontId="48" fillId="0" borderId="36" xfId="22" applyNumberFormat="1" applyFont="1" applyFill="1" applyBorder="1" applyAlignment="1">
      <alignment horizontal="center" vertical="center"/>
    </xf>
    <xf numFmtId="192" fontId="48" fillId="0" borderId="0" xfId="22" applyNumberFormat="1" applyFont="1" applyFill="1" applyBorder="1" applyAlignment="1">
      <alignment horizontal="center" vertical="center"/>
    </xf>
    <xf numFmtId="5" fontId="49" fillId="0" borderId="36" xfId="0" applyNumberFormat="1" applyFont="1" applyBorder="1" applyAlignment="1">
      <alignment horizontal="center" vertical="center"/>
    </xf>
    <xf numFmtId="5" fontId="49" fillId="0" borderId="0" xfId="0" applyNumberFormat="1" applyFont="1" applyAlignment="1">
      <alignment horizontal="center" vertical="center"/>
    </xf>
    <xf numFmtId="5" fontId="80" fillId="0" borderId="36" xfId="0" applyNumberFormat="1" applyFont="1" applyBorder="1" applyAlignment="1">
      <alignment horizontal="center" vertical="center"/>
    </xf>
    <xf numFmtId="164" fontId="60" fillId="0" borderId="0" xfId="22" applyNumberFormat="1" applyFont="1" applyFill="1" applyBorder="1" applyAlignment="1">
      <alignment horizontal="center" vertical="center"/>
    </xf>
    <xf numFmtId="5" fontId="114" fillId="0" borderId="0" xfId="0" applyNumberFormat="1" applyFont="1" applyAlignment="1">
      <alignment horizontal="center" vertical="center"/>
    </xf>
    <xf numFmtId="5" fontId="48" fillId="0" borderId="0" xfId="0" applyNumberFormat="1" applyFont="1" applyAlignment="1">
      <alignment horizontal="center" vertical="center"/>
    </xf>
    <xf numFmtId="5" fontId="80" fillId="0" borderId="0" xfId="0" applyNumberFormat="1" applyFont="1" applyAlignment="1">
      <alignment horizontal="center" vertical="center"/>
    </xf>
    <xf numFmtId="183" fontId="59" fillId="0" borderId="0" xfId="51" applyNumberFormat="1" applyFont="1" applyFill="1" applyBorder="1" applyAlignment="1">
      <alignment horizontal="center" vertical="center"/>
    </xf>
    <xf numFmtId="183" fontId="59" fillId="0" borderId="36" xfId="51" applyNumberFormat="1" applyFont="1" applyFill="1" applyBorder="1" applyAlignment="1">
      <alignment horizontal="center" vertical="center"/>
    </xf>
    <xf numFmtId="183" fontId="57" fillId="0" borderId="36" xfId="51" applyNumberFormat="1" applyFont="1" applyFill="1" applyBorder="1" applyAlignment="1">
      <alignment horizontal="center" vertical="center"/>
    </xf>
    <xf numFmtId="183" fontId="95" fillId="0" borderId="0" xfId="51" applyNumberFormat="1" applyFont="1" applyFill="1" applyBorder="1" applyAlignment="1">
      <alignment horizontal="center" vertical="center"/>
    </xf>
    <xf numFmtId="197" fontId="90" fillId="14" borderId="0" xfId="22" applyNumberFormat="1" applyFont="1" applyFill="1" applyBorder="1" applyAlignment="1">
      <alignment horizontal="center" vertical="center"/>
    </xf>
    <xf numFmtId="197" fontId="54" fillId="14" borderId="36" xfId="22" applyNumberFormat="1" applyFont="1" applyFill="1" applyBorder="1" applyAlignment="1">
      <alignment horizontal="center" vertical="center"/>
    </xf>
    <xf numFmtId="197" fontId="50" fillId="14" borderId="0" xfId="22" applyNumberFormat="1" applyFont="1" applyFill="1" applyBorder="1" applyAlignment="1">
      <alignment horizontal="center" vertical="center"/>
    </xf>
    <xf numFmtId="37" fontId="48" fillId="14" borderId="0" xfId="0" applyNumberFormat="1" applyFont="1" applyFill="1" applyAlignment="1">
      <alignment horizontal="center"/>
    </xf>
    <xf numFmtId="192" fontId="111" fillId="0" borderId="0" xfId="51" applyNumberFormat="1" applyFont="1" applyFill="1" applyBorder="1" applyAlignment="1">
      <alignment horizontal="center" vertical="center"/>
    </xf>
    <xf numFmtId="183" fontId="51" fillId="0" borderId="0" xfId="51" applyNumberFormat="1" applyFont="1" applyFill="1" applyBorder="1" applyAlignment="1">
      <alignment horizontal="center" vertical="center"/>
    </xf>
    <xf numFmtId="183" fontId="51" fillId="0" borderId="36" xfId="51" applyNumberFormat="1" applyFont="1" applyFill="1" applyBorder="1" applyAlignment="1">
      <alignment horizontal="center" vertical="center"/>
    </xf>
    <xf numFmtId="183" fontId="53" fillId="0" borderId="36" xfId="51" applyNumberFormat="1" applyFont="1" applyFill="1" applyBorder="1" applyAlignment="1">
      <alignment horizontal="center" vertical="center"/>
    </xf>
    <xf numFmtId="183" fontId="50" fillId="0" borderId="0" xfId="51" applyNumberFormat="1" applyFont="1" applyFill="1" applyBorder="1" applyAlignment="1">
      <alignment horizontal="center" vertical="center"/>
    </xf>
    <xf numFmtId="193" fontId="50" fillId="0" borderId="0" xfId="51" applyNumberFormat="1" applyFont="1" applyFill="1" applyBorder="1" applyAlignment="1">
      <alignment horizontal="center" vertical="center"/>
    </xf>
    <xf numFmtId="192" fontId="58" fillId="0" borderId="0" xfId="51" applyNumberFormat="1" applyFont="1" applyFill="1" applyBorder="1" applyAlignment="1">
      <alignment horizontal="center" vertical="center"/>
    </xf>
    <xf numFmtId="183" fontId="59" fillId="14" borderId="0" xfId="51" applyNumberFormat="1" applyFont="1" applyFill="1" applyBorder="1" applyAlignment="1">
      <alignment horizontal="center" vertical="center"/>
    </xf>
    <xf numFmtId="183" fontId="59" fillId="14" borderId="36" xfId="51" applyNumberFormat="1" applyFont="1" applyFill="1" applyBorder="1" applyAlignment="1">
      <alignment horizontal="center" vertical="center"/>
    </xf>
    <xf numFmtId="183" fontId="57" fillId="14" borderId="36" xfId="51" applyNumberFormat="1" applyFont="1" applyFill="1" applyBorder="1" applyAlignment="1">
      <alignment horizontal="center" vertical="center"/>
    </xf>
    <xf numFmtId="192" fontId="59" fillId="14" borderId="0" xfId="51" applyNumberFormat="1" applyFont="1" applyFill="1" applyBorder="1" applyAlignment="1">
      <alignment horizontal="center" vertical="center"/>
    </xf>
    <xf numFmtId="192" fontId="59" fillId="14" borderId="36" xfId="51" applyNumberFormat="1" applyFont="1" applyFill="1" applyBorder="1" applyAlignment="1">
      <alignment horizontal="center" vertical="center"/>
    </xf>
    <xf numFmtId="37" fontId="80" fillId="0" borderId="0" xfId="0" applyNumberFormat="1" applyFont="1" applyAlignment="1">
      <alignment vertical="center"/>
    </xf>
    <xf numFmtId="164" fontId="93" fillId="0" borderId="0" xfId="0" applyNumberFormat="1" applyFont="1" applyAlignment="1">
      <alignment horizontal="left" vertical="center"/>
    </xf>
    <xf numFmtId="164" fontId="55" fillId="0" borderId="0" xfId="0" applyNumberFormat="1" applyFont="1" applyAlignment="1">
      <alignment horizontal="left" vertical="center" indent="2"/>
    </xf>
    <xf numFmtId="192" fontId="48" fillId="0" borderId="0" xfId="0" applyNumberFormat="1" applyFont="1" applyAlignment="1">
      <alignment horizontal="right" vertical="center"/>
    </xf>
    <xf numFmtId="192" fontId="69" fillId="0" borderId="0" xfId="0" applyNumberFormat="1" applyFont="1" applyAlignment="1">
      <alignment horizontal="left" vertical="center"/>
    </xf>
    <xf numFmtId="192" fontId="48" fillId="0" borderId="0" xfId="51" applyNumberFormat="1" applyFont="1" applyBorder="1" applyAlignment="1">
      <alignment horizontal="left" vertical="center"/>
    </xf>
    <xf numFmtId="192" fontId="59" fillId="0" borderId="0" xfId="0" applyNumberFormat="1" applyFont="1" applyAlignment="1">
      <alignment horizontal="left" vertical="center"/>
    </xf>
    <xf numFmtId="192" fontId="64" fillId="0" borderId="0" xfId="51" applyNumberFormat="1" applyFont="1" applyFill="1" applyBorder="1" applyAlignment="1">
      <alignment vertical="center"/>
    </xf>
    <xf numFmtId="192" fontId="70" fillId="0" borderId="12" xfId="51" applyNumberFormat="1" applyFont="1" applyFill="1" applyBorder="1" applyAlignment="1">
      <alignment horizontal="center" vertical="center"/>
    </xf>
    <xf numFmtId="192" fontId="74" fillId="0" borderId="0" xfId="51" applyNumberFormat="1" applyFont="1"/>
    <xf numFmtId="192" fontId="55" fillId="0" borderId="12" xfId="51" applyNumberFormat="1" applyFont="1" applyBorder="1" applyAlignment="1">
      <alignment horizontal="center" vertical="center"/>
    </xf>
    <xf numFmtId="192" fontId="78" fillId="0" borderId="0" xfId="0" applyNumberFormat="1" applyFont="1" applyAlignment="1">
      <alignment vertical="center"/>
    </xf>
    <xf numFmtId="192" fontId="78" fillId="0" borderId="0" xfId="0" applyNumberFormat="1" applyFont="1" applyAlignment="1">
      <alignment horizontal="center" vertical="center"/>
    </xf>
    <xf numFmtId="192" fontId="79" fillId="0" borderId="0" xfId="51" applyNumberFormat="1" applyFont="1" applyFill="1" applyBorder="1" applyAlignment="1">
      <alignment vertical="center"/>
    </xf>
    <xf numFmtId="192" fontId="50" fillId="12" borderId="0" xfId="51" applyNumberFormat="1" applyFont="1" applyFill="1" applyBorder="1" applyAlignment="1">
      <alignment horizontal="center" vertical="center"/>
    </xf>
    <xf numFmtId="192" fontId="57" fillId="0" borderId="0" xfId="51" applyNumberFormat="1" applyFont="1" applyFill="1" applyBorder="1" applyAlignment="1">
      <alignment vertical="center"/>
    </xf>
    <xf numFmtId="192" fontId="54" fillId="0" borderId="3" xfId="46" applyNumberFormat="1" applyFont="1" applyBorder="1" applyAlignment="1">
      <alignment horizontal="center" vertical="center"/>
    </xf>
    <xf numFmtId="192" fontId="54" fillId="12" borderId="3" xfId="46" applyNumberFormat="1" applyFont="1" applyFill="1" applyBorder="1" applyAlignment="1">
      <alignment horizontal="center" vertical="center"/>
    </xf>
    <xf numFmtId="192" fontId="54" fillId="12" borderId="16" xfId="47" applyNumberFormat="1" applyFont="1" applyFill="1" applyBorder="1" applyAlignment="1">
      <alignment vertical="center"/>
    </xf>
    <xf numFmtId="192" fontId="54" fillId="12" borderId="16" xfId="47" applyNumberFormat="1" applyFont="1" applyFill="1" applyBorder="1" applyAlignment="1">
      <alignment horizontal="center" vertical="center"/>
    </xf>
    <xf numFmtId="192" fontId="54" fillId="0" borderId="28" xfId="46" applyNumberFormat="1" applyFont="1" applyBorder="1" applyAlignment="1">
      <alignment horizontal="center" vertical="center"/>
    </xf>
    <xf numFmtId="192" fontId="54" fillId="12" borderId="29" xfId="51" applyNumberFormat="1" applyFont="1" applyFill="1" applyBorder="1" applyAlignment="1" applyProtection="1">
      <alignment horizontal="left" vertical="center"/>
    </xf>
    <xf numFmtId="192" fontId="54" fillId="12" borderId="20" xfId="51" applyNumberFormat="1" applyFont="1" applyFill="1" applyBorder="1" applyAlignment="1" applyProtection="1">
      <alignment horizontal="center" vertical="center"/>
    </xf>
    <xf numFmtId="192" fontId="54" fillId="10" borderId="20" xfId="51" applyNumberFormat="1" applyFont="1" applyFill="1" applyBorder="1" applyAlignment="1" applyProtection="1">
      <alignment horizontal="center" vertical="center"/>
    </xf>
    <xf numFmtId="192" fontId="80" fillId="0" borderId="0" xfId="47" applyNumberFormat="1" applyFont="1" applyAlignment="1">
      <alignment vertical="center"/>
    </xf>
    <xf numFmtId="192" fontId="55" fillId="8" borderId="21" xfId="51" applyNumberFormat="1" applyFont="1" applyFill="1" applyBorder="1" applyAlignment="1">
      <alignment horizontal="center" vertical="center" wrapText="1"/>
    </xf>
    <xf numFmtId="192" fontId="55" fillId="8" borderId="22" xfId="51" applyNumberFormat="1" applyFont="1" applyFill="1" applyBorder="1" applyAlignment="1">
      <alignment horizontal="center" vertical="center" wrapText="1"/>
    </xf>
    <xf numFmtId="192" fontId="55" fillId="8" borderId="0" xfId="51" applyNumberFormat="1" applyFont="1" applyFill="1" applyBorder="1" applyAlignment="1">
      <alignment horizontal="center"/>
    </xf>
    <xf numFmtId="192" fontId="55" fillId="8" borderId="12" xfId="51" applyNumberFormat="1" applyFont="1" applyFill="1" applyBorder="1" applyAlignment="1">
      <alignment horizontal="center"/>
    </xf>
    <xf numFmtId="192" fontId="57" fillId="0" borderId="0" xfId="51" applyNumberFormat="1" applyFont="1" applyBorder="1" applyAlignment="1">
      <alignment horizontal="center"/>
    </xf>
    <xf numFmtId="192" fontId="57" fillId="0" borderId="12" xfId="51" applyNumberFormat="1" applyFont="1" applyBorder="1" applyAlignment="1">
      <alignment horizontal="center"/>
    </xf>
    <xf numFmtId="192" fontId="57" fillId="0" borderId="12" xfId="0" applyNumberFormat="1" applyFont="1" applyBorder="1" applyAlignment="1">
      <alignment horizontal="center"/>
    </xf>
    <xf numFmtId="192" fontId="89" fillId="0" borderId="0" xfId="51" applyNumberFormat="1" applyFont="1" applyBorder="1" applyAlignment="1">
      <alignment horizontal="center"/>
    </xf>
    <xf numFmtId="192" fontId="54" fillId="0" borderId="0" xfId="51" applyNumberFormat="1" applyFont="1" applyBorder="1" applyAlignment="1">
      <alignment horizontal="center"/>
    </xf>
    <xf numFmtId="192" fontId="89" fillId="0" borderId="12" xfId="51" applyNumberFormat="1" applyFont="1" applyBorder="1" applyAlignment="1">
      <alignment horizontal="center"/>
    </xf>
    <xf numFmtId="192" fontId="49" fillId="0" borderId="25" xfId="51" applyNumberFormat="1" applyFont="1" applyBorder="1" applyAlignment="1">
      <alignment horizontal="center"/>
    </xf>
    <xf numFmtId="192" fontId="49" fillId="0" borderId="10" xfId="51" applyNumberFormat="1" applyFont="1" applyBorder="1" applyAlignment="1">
      <alignment horizontal="center"/>
    </xf>
    <xf numFmtId="192" fontId="49" fillId="0" borderId="0" xfId="51" applyNumberFormat="1" applyFont="1" applyBorder="1" applyAlignment="1">
      <alignment horizontal="center"/>
    </xf>
    <xf numFmtId="192" fontId="49" fillId="0" borderId="12" xfId="51" applyNumberFormat="1" applyFont="1" applyBorder="1" applyAlignment="1">
      <alignment horizontal="center"/>
    </xf>
    <xf numFmtId="192" fontId="92" fillId="0" borderId="0" xfId="0" applyNumberFormat="1" applyFont="1" applyAlignment="1">
      <alignment horizontal="center"/>
    </xf>
    <xf numFmtId="192" fontId="48" fillId="0" borderId="0" xfId="51" applyNumberFormat="1" applyFont="1" applyBorder="1" applyAlignment="1">
      <alignment vertical="center"/>
    </xf>
    <xf numFmtId="192" fontId="48" fillId="0" borderId="0" xfId="51" applyNumberFormat="1" applyFont="1" applyAlignment="1">
      <alignment vertical="center"/>
    </xf>
    <xf numFmtId="192" fontId="48" fillId="0" borderId="0" xfId="51" applyNumberFormat="1" applyFont="1" applyFill="1" applyBorder="1" applyAlignment="1">
      <alignment vertical="center"/>
    </xf>
    <xf numFmtId="192" fontId="48" fillId="0" borderId="0" xfId="0" applyNumberFormat="1" applyFont="1" applyAlignment="1">
      <alignment vertical="center"/>
    </xf>
    <xf numFmtId="192" fontId="59" fillId="0" borderId="0" xfId="51" applyNumberFormat="1" applyFont="1" applyBorder="1" applyAlignment="1">
      <alignment horizontal="right" vertical="center"/>
    </xf>
    <xf numFmtId="192" fontId="68" fillId="0" borderId="0" xfId="51" applyNumberFormat="1" applyFont="1" applyBorder="1" applyAlignment="1">
      <alignment horizontal="right" vertical="center"/>
    </xf>
    <xf numFmtId="192" fontId="59" fillId="0" borderId="0" xfId="51" applyNumberFormat="1" applyFont="1" applyBorder="1" applyAlignment="1">
      <alignment horizontal="center" vertical="center"/>
    </xf>
    <xf numFmtId="192" fontId="68" fillId="0" borderId="0" xfId="51" applyNumberFormat="1" applyFont="1" applyBorder="1" applyAlignment="1">
      <alignment horizontal="center" vertical="center"/>
    </xf>
    <xf numFmtId="192" fontId="61" fillId="0" borderId="0" xfId="51" applyNumberFormat="1" applyFont="1" applyBorder="1" applyAlignment="1">
      <alignment horizontal="center" vertical="center"/>
    </xf>
    <xf numFmtId="192" fontId="61" fillId="0" borderId="0" xfId="51" applyNumberFormat="1" applyFont="1" applyAlignment="1">
      <alignment horizontal="center" vertical="center"/>
    </xf>
    <xf numFmtId="192" fontId="62" fillId="0" borderId="0" xfId="51" applyNumberFormat="1" applyFont="1" applyBorder="1" applyAlignment="1">
      <alignment horizontal="right" vertical="center"/>
    </xf>
    <xf numFmtId="192" fontId="59" fillId="0" borderId="0" xfId="51" applyNumberFormat="1" applyFont="1" applyFill="1" applyBorder="1" applyAlignment="1">
      <alignment vertical="center"/>
    </xf>
    <xf numFmtId="192" fontId="48" fillId="0" borderId="0" xfId="51" applyNumberFormat="1" applyFont="1" applyBorder="1" applyAlignment="1">
      <alignment horizontal="right" vertical="center"/>
    </xf>
    <xf numFmtId="192" fontId="59" fillId="8" borderId="0" xfId="51" applyNumberFormat="1" applyFont="1" applyFill="1" applyBorder="1" applyAlignment="1">
      <alignment horizontal="center" vertical="center"/>
    </xf>
    <xf numFmtId="192" fontId="59" fillId="8" borderId="0" xfId="51" applyNumberFormat="1" applyFont="1" applyFill="1" applyBorder="1" applyAlignment="1">
      <alignment vertical="center"/>
    </xf>
    <xf numFmtId="192" fontId="51" fillId="8" borderId="0" xfId="51" applyNumberFormat="1" applyFont="1" applyFill="1" applyBorder="1" applyAlignment="1">
      <alignment vertical="center"/>
    </xf>
    <xf numFmtId="192" fontId="59" fillId="0" borderId="0" xfId="51" applyNumberFormat="1" applyFont="1" applyFill="1" applyAlignment="1">
      <alignment horizontal="center" vertical="center"/>
    </xf>
    <xf numFmtId="192" fontId="59" fillId="0" borderId="36" xfId="51" applyNumberFormat="1" applyFont="1" applyFill="1" applyBorder="1" applyAlignment="1">
      <alignment vertical="center"/>
    </xf>
    <xf numFmtId="192" fontId="52" fillId="8" borderId="0" xfId="51" applyNumberFormat="1" applyFont="1" applyFill="1" applyBorder="1" applyAlignment="1">
      <alignment horizontal="center" vertical="center"/>
    </xf>
    <xf numFmtId="192" fontId="66" fillId="0" borderId="36" xfId="51" applyNumberFormat="1" applyFont="1" applyFill="1" applyBorder="1" applyAlignment="1">
      <alignment horizontal="center" vertical="center"/>
    </xf>
    <xf numFmtId="192" fontId="52" fillId="8" borderId="0" xfId="51" applyNumberFormat="1" applyFont="1" applyFill="1" applyAlignment="1">
      <alignment horizontal="center" vertical="center"/>
    </xf>
    <xf numFmtId="192" fontId="57" fillId="0" borderId="0" xfId="51" applyNumberFormat="1" applyFont="1" applyAlignment="1">
      <alignment horizontal="center" vertical="center"/>
    </xf>
    <xf numFmtId="192" fontId="57" fillId="0" borderId="0" xfId="0" applyNumberFormat="1" applyFont="1" applyAlignment="1">
      <alignment horizontal="left" vertical="center"/>
    </xf>
    <xf numFmtId="192" fontId="59" fillId="0" borderId="36" xfId="0" applyNumberFormat="1" applyFont="1" applyBorder="1" applyAlignment="1">
      <alignment vertical="center"/>
    </xf>
    <xf numFmtId="192" fontId="59" fillId="0" borderId="0" xfId="0" applyNumberFormat="1" applyFont="1" applyAlignment="1">
      <alignment vertical="center"/>
    </xf>
    <xf numFmtId="192" fontId="95" fillId="0" borderId="0" xfId="51" applyNumberFormat="1" applyFont="1" applyBorder="1" applyAlignment="1">
      <alignment horizontal="center" vertical="center"/>
    </xf>
    <xf numFmtId="192" fontId="59" fillId="14" borderId="0" xfId="51" applyNumberFormat="1" applyFont="1" applyFill="1" applyBorder="1" applyAlignment="1">
      <alignment vertical="center"/>
    </xf>
    <xf numFmtId="192" fontId="59" fillId="14" borderId="36" xfId="51" applyNumberFormat="1" applyFont="1" applyFill="1" applyBorder="1" applyAlignment="1">
      <alignment vertical="center"/>
    </xf>
    <xf numFmtId="192" fontId="52" fillId="0" borderId="36" xfId="51" applyNumberFormat="1" applyFont="1" applyFill="1" applyBorder="1" applyAlignment="1">
      <alignment horizontal="center" vertical="center"/>
    </xf>
    <xf numFmtId="192" fontId="105" fillId="0" borderId="0" xfId="51" applyNumberFormat="1" applyFont="1" applyBorder="1" applyAlignment="1">
      <alignment vertical="center"/>
    </xf>
    <xf numFmtId="192" fontId="48" fillId="0" borderId="5" xfId="51" applyNumberFormat="1" applyFont="1" applyFill="1" applyBorder="1" applyAlignment="1">
      <alignment horizontal="center" vertical="center"/>
    </xf>
    <xf numFmtId="192" fontId="59" fillId="0" borderId="36" xfId="0" applyNumberFormat="1" applyFont="1" applyBorder="1" applyAlignment="1">
      <alignment horizontal="center" vertical="center"/>
    </xf>
    <xf numFmtId="192" fontId="59" fillId="0" borderId="36" xfId="51" applyNumberFormat="1" applyFont="1" applyFill="1" applyBorder="1" applyAlignment="1">
      <alignment horizontal="center"/>
    </xf>
    <xf numFmtId="192" fontId="49" fillId="0" borderId="0" xfId="51" applyNumberFormat="1" applyFont="1" applyBorder="1" applyAlignment="1">
      <alignment vertical="center"/>
    </xf>
    <xf numFmtId="192" fontId="50" fillId="0" borderId="0" xfId="51" applyNumberFormat="1" applyFont="1" applyBorder="1" applyAlignment="1">
      <alignment vertical="center"/>
    </xf>
    <xf numFmtId="192" fontId="57" fillId="8" borderId="0" xfId="51" applyNumberFormat="1" applyFont="1" applyFill="1" applyBorder="1" applyAlignment="1">
      <alignment vertical="center"/>
    </xf>
    <xf numFmtId="192" fontId="57" fillId="8" borderId="0" xfId="51" applyNumberFormat="1" applyFont="1" applyFill="1" applyBorder="1" applyAlignment="1">
      <alignment horizontal="left" vertical="center" indent="1"/>
    </xf>
    <xf numFmtId="192" fontId="51" fillId="0" borderId="36" xfId="51" applyNumberFormat="1" applyFont="1" applyFill="1" applyBorder="1" applyAlignment="1">
      <alignment horizontal="center" vertical="center"/>
    </xf>
    <xf numFmtId="192" fontId="51" fillId="0" borderId="0" xfId="51" applyNumberFormat="1" applyFont="1" applyFill="1" applyBorder="1" applyAlignment="1">
      <alignment horizontal="center" vertical="center"/>
    </xf>
    <xf numFmtId="192" fontId="55" fillId="8" borderId="0" xfId="51" applyNumberFormat="1" applyFont="1" applyFill="1" applyBorder="1" applyAlignment="1">
      <alignment vertical="center"/>
    </xf>
    <xf numFmtId="192" fontId="48" fillId="0" borderId="0" xfId="51" applyNumberFormat="1" applyFont="1" applyFill="1" applyBorder="1" applyAlignment="1">
      <alignment horizontal="center" vertical="center"/>
    </xf>
    <xf numFmtId="192" fontId="54" fillId="14" borderId="5" xfId="51" applyNumberFormat="1" applyFont="1" applyFill="1" applyBorder="1" applyAlignment="1">
      <alignment vertical="center"/>
    </xf>
    <xf numFmtId="192" fontId="57" fillId="14" borderId="0" xfId="51" applyNumberFormat="1" applyFont="1" applyFill="1" applyBorder="1" applyAlignment="1">
      <alignment vertical="center"/>
    </xf>
    <xf numFmtId="192" fontId="93" fillId="0" borderId="0" xfId="51" applyNumberFormat="1" applyFont="1" applyFill="1" applyBorder="1" applyAlignment="1">
      <alignment horizontal="left" vertical="center" indent="1"/>
    </xf>
    <xf numFmtId="192" fontId="55" fillId="0" borderId="0" xfId="51" applyNumberFormat="1" applyFont="1" applyFill="1" applyBorder="1" applyAlignment="1">
      <alignment horizontal="left" vertical="center" indent="1"/>
    </xf>
    <xf numFmtId="192" fontId="50" fillId="14" borderId="36" xfId="51" applyNumberFormat="1" applyFont="1" applyFill="1" applyBorder="1" applyAlignment="1">
      <alignment horizontal="center" vertical="center"/>
    </xf>
    <xf numFmtId="192" fontId="50" fillId="14" borderId="0" xfId="51" applyNumberFormat="1" applyFont="1" applyFill="1" applyBorder="1" applyAlignment="1">
      <alignment horizontal="center" vertical="center"/>
    </xf>
    <xf numFmtId="192" fontId="59" fillId="14" borderId="0" xfId="51" applyNumberFormat="1" applyFont="1" applyFill="1" applyBorder="1" applyAlignment="1">
      <alignment horizontal="center"/>
    </xf>
    <xf numFmtId="192" fontId="54" fillId="8" borderId="0" xfId="51" applyNumberFormat="1" applyFont="1" applyFill="1" applyBorder="1" applyAlignment="1">
      <alignment vertical="center"/>
    </xf>
    <xf numFmtId="192" fontId="51" fillId="0" borderId="0" xfId="51" applyNumberFormat="1" applyFont="1" applyFill="1" applyBorder="1" applyAlignment="1">
      <alignment horizontal="center"/>
    </xf>
    <xf numFmtId="192" fontId="53" fillId="0" borderId="36" xfId="51" applyNumberFormat="1" applyFont="1" applyFill="1" applyBorder="1" applyAlignment="1">
      <alignment horizontal="center" vertical="center"/>
    </xf>
    <xf numFmtId="192" fontId="54" fillId="14" borderId="0" xfId="51" applyNumberFormat="1" applyFont="1" applyFill="1" applyBorder="1" applyAlignment="1">
      <alignment vertical="center"/>
    </xf>
    <xf numFmtId="192" fontId="57" fillId="8" borderId="3" xfId="51" applyNumberFormat="1" applyFont="1" applyFill="1" applyBorder="1" applyAlignment="1">
      <alignment horizontal="left" vertical="center" indent="1"/>
    </xf>
    <xf numFmtId="192" fontId="58" fillId="0" borderId="3" xfId="51" applyNumberFormat="1" applyFont="1" applyFill="1" applyBorder="1" applyAlignment="1">
      <alignment horizontal="center"/>
    </xf>
    <xf numFmtId="192" fontId="57" fillId="8" borderId="0" xfId="51" applyNumberFormat="1" applyFont="1" applyFill="1" applyBorder="1" applyAlignment="1">
      <alignment horizontal="center"/>
    </xf>
    <xf numFmtId="192" fontId="58" fillId="0" borderId="0" xfId="51" applyNumberFormat="1" applyFont="1" applyFill="1" applyBorder="1" applyAlignment="1">
      <alignment horizontal="center"/>
    </xf>
    <xf numFmtId="192" fontId="58" fillId="8" borderId="3" xfId="51" applyNumberFormat="1" applyFont="1" applyFill="1" applyBorder="1" applyAlignment="1">
      <alignment horizontal="center"/>
    </xf>
    <xf numFmtId="192" fontId="57" fillId="8" borderId="3" xfId="51" applyNumberFormat="1" applyFont="1" applyFill="1" applyBorder="1" applyAlignment="1">
      <alignment horizontal="left" vertical="center" indent="3"/>
    </xf>
    <xf numFmtId="192" fontId="57" fillId="8" borderId="31" xfId="51" applyNumberFormat="1" applyFont="1" applyFill="1" applyBorder="1" applyAlignment="1">
      <alignment horizontal="left" vertical="center" indent="3"/>
    </xf>
    <xf numFmtId="192" fontId="58" fillId="0" borderId="31" xfId="51" applyNumberFormat="1" applyFont="1" applyFill="1" applyBorder="1" applyAlignment="1">
      <alignment horizontal="center"/>
    </xf>
    <xf numFmtId="192" fontId="57" fillId="8" borderId="2" xfId="51" applyNumberFormat="1" applyFont="1" applyFill="1" applyBorder="1" applyAlignment="1">
      <alignment horizontal="center"/>
    </xf>
    <xf numFmtId="192" fontId="58" fillId="0" borderId="2" xfId="51" applyNumberFormat="1" applyFont="1" applyFill="1" applyBorder="1" applyAlignment="1">
      <alignment horizontal="center"/>
    </xf>
    <xf numFmtId="192" fontId="59" fillId="0" borderId="2" xfId="51" applyNumberFormat="1" applyFont="1" applyFill="1" applyBorder="1" applyAlignment="1">
      <alignment horizontal="center"/>
    </xf>
    <xf numFmtId="192" fontId="58" fillId="8" borderId="31" xfId="51" applyNumberFormat="1" applyFont="1" applyFill="1" applyBorder="1" applyAlignment="1">
      <alignment horizontal="center"/>
    </xf>
    <xf numFmtId="192" fontId="42" fillId="8" borderId="4" xfId="51" applyNumberFormat="1" applyFont="1" applyFill="1" applyBorder="1" applyAlignment="1">
      <alignment horizontal="left" vertical="center" indent="1"/>
    </xf>
    <xf numFmtId="192" fontId="43" fillId="8" borderId="0" xfId="51" applyNumberFormat="1" applyFont="1" applyFill="1"/>
    <xf numFmtId="192" fontId="42" fillId="8" borderId="0" xfId="51" applyNumberFormat="1" applyFont="1" applyFill="1" applyBorder="1" applyAlignment="1">
      <alignment horizontal="left" vertical="center" indent="1"/>
    </xf>
    <xf numFmtId="192" fontId="43" fillId="8" borderId="3" xfId="51" applyNumberFormat="1" applyFont="1" applyFill="1" applyBorder="1"/>
    <xf numFmtId="192" fontId="41" fillId="8" borderId="0" xfId="51" applyNumberFormat="1" applyFont="1" applyFill="1"/>
    <xf numFmtId="193" fontId="55" fillId="0" borderId="5" xfId="22" applyNumberFormat="1" applyFont="1" applyBorder="1" applyAlignment="1">
      <alignment horizontal="center" vertical="center"/>
    </xf>
    <xf numFmtId="193" fontId="55" fillId="0" borderId="35" xfId="0" applyNumberFormat="1" applyFont="1" applyBorder="1" applyAlignment="1">
      <alignment horizontal="center" vertical="center"/>
    </xf>
    <xf numFmtId="0" fontId="48" fillId="0" borderId="0" xfId="47" applyFont="1" applyAlignment="1">
      <alignment vertical="center"/>
    </xf>
    <xf numFmtId="0" fontId="59" fillId="0" borderId="0" xfId="47" applyFont="1" applyAlignment="1">
      <alignment vertical="center"/>
    </xf>
    <xf numFmtId="195" fontId="54" fillId="12" borderId="16" xfId="27" applyNumberFormat="1" applyFont="1" applyFill="1" applyBorder="1" applyAlignment="1" applyProtection="1">
      <alignment horizontal="center" vertical="center"/>
    </xf>
    <xf numFmtId="197" fontId="54" fillId="12" borderId="16" xfId="27" applyNumberFormat="1" applyFont="1" applyFill="1" applyBorder="1" applyAlignment="1" applyProtection="1">
      <alignment horizontal="center" vertical="center"/>
    </xf>
    <xf numFmtId="3" fontId="48" fillId="0" borderId="0" xfId="51" applyNumberFormat="1" applyFont="1" applyFill="1" applyBorder="1" applyAlignment="1">
      <alignment horizontal="center" vertical="center"/>
    </xf>
    <xf numFmtId="0" fontId="120" fillId="8" borderId="0" xfId="0" applyFont="1" applyFill="1"/>
    <xf numFmtId="37" fontId="54" fillId="9" borderId="0" xfId="0" applyNumberFormat="1" applyFont="1" applyFill="1" applyAlignment="1">
      <alignment horizontal="center" wrapText="1"/>
    </xf>
    <xf numFmtId="37" fontId="54" fillId="9" borderId="2" xfId="0" applyNumberFormat="1" applyFont="1" applyFill="1" applyBorder="1" applyAlignment="1">
      <alignment horizontal="center" wrapText="1"/>
    </xf>
    <xf numFmtId="0" fontId="48" fillId="14" borderId="36" xfId="0" applyFont="1" applyFill="1" applyBorder="1" applyAlignment="1">
      <alignment horizontal="center" vertical="center"/>
    </xf>
    <xf numFmtId="190" fontId="48" fillId="14" borderId="3" xfId="51" applyNumberFormat="1" applyFont="1" applyFill="1" applyBorder="1" applyAlignment="1">
      <alignment horizontal="center" vertical="center"/>
    </xf>
    <xf numFmtId="190" fontId="48" fillId="14" borderId="0" xfId="51" applyNumberFormat="1" applyFont="1" applyFill="1" applyBorder="1" applyAlignment="1">
      <alignment horizontal="center" vertical="center"/>
    </xf>
    <xf numFmtId="191" fontId="50" fillId="12" borderId="0" xfId="0" applyNumberFormat="1" applyFont="1" applyFill="1" applyAlignment="1">
      <alignment horizontal="center" vertical="center"/>
    </xf>
    <xf numFmtId="15" fontId="57" fillId="17" borderId="9" xfId="0" applyNumberFormat="1" applyFont="1" applyFill="1" applyBorder="1" applyAlignment="1">
      <alignment vertical="center"/>
    </xf>
    <xf numFmtId="15" fontId="57" fillId="17" borderId="25" xfId="0" applyNumberFormat="1" applyFont="1" applyFill="1" applyBorder="1" applyAlignment="1">
      <alignment horizontal="right" vertical="center"/>
    </xf>
    <xf numFmtId="0" fontId="57" fillId="0" borderId="0" xfId="47" applyFont="1" applyAlignment="1">
      <alignment vertical="center"/>
    </xf>
    <xf numFmtId="192" fontId="55" fillId="0" borderId="0" xfId="47" applyNumberFormat="1" applyFont="1" applyAlignment="1">
      <alignment vertical="center"/>
    </xf>
    <xf numFmtId="0" fontId="53" fillId="12" borderId="0" xfId="46" applyFont="1" applyFill="1" applyAlignment="1">
      <alignment vertical="center"/>
    </xf>
    <xf numFmtId="164" fontId="55" fillId="0" borderId="0" xfId="47" applyNumberFormat="1" applyFont="1" applyAlignment="1">
      <alignment horizontal="center" vertical="center"/>
    </xf>
    <xf numFmtId="164" fontId="76" fillId="0" borderId="0" xfId="47" applyNumberFormat="1" applyFont="1" applyAlignment="1">
      <alignment horizontal="center" vertical="center"/>
    </xf>
    <xf numFmtId="192" fontId="52" fillId="8" borderId="0" xfId="47" applyNumberFormat="1" applyFont="1" applyFill="1" applyAlignment="1">
      <alignment horizontal="center" vertical="center"/>
    </xf>
    <xf numFmtId="166" fontId="52" fillId="8" borderId="0" xfId="47" applyNumberFormat="1" applyFont="1" applyFill="1" applyAlignment="1">
      <alignment horizontal="center" vertical="center"/>
    </xf>
    <xf numFmtId="192" fontId="76" fillId="0" borderId="0" xfId="47" applyNumberFormat="1" applyFont="1" applyAlignment="1">
      <alignment vertical="center"/>
    </xf>
    <xf numFmtId="192" fontId="85" fillId="8" borderId="0" xfId="47" applyNumberFormat="1" applyFont="1" applyFill="1" applyAlignment="1">
      <alignment horizontal="center" vertical="center"/>
    </xf>
    <xf numFmtId="192" fontId="55" fillId="0" borderId="0" xfId="47" applyNumberFormat="1" applyFont="1" applyAlignment="1">
      <alignment horizontal="center" vertical="center"/>
    </xf>
    <xf numFmtId="0" fontId="76" fillId="0" borderId="0" xfId="46" applyFont="1" applyAlignment="1">
      <alignment vertical="center"/>
    </xf>
    <xf numFmtId="37" fontId="54" fillId="12" borderId="41" xfId="47" applyNumberFormat="1" applyFont="1" applyFill="1" applyBorder="1" applyAlignment="1">
      <alignment vertical="center"/>
    </xf>
    <xf numFmtId="37" fontId="39" fillId="0" borderId="0" xfId="582">
      <alignment horizontal="center"/>
    </xf>
    <xf numFmtId="37" fontId="39" fillId="0" borderId="0" xfId="582" applyAlignment="1">
      <alignment horizontal="left"/>
    </xf>
    <xf numFmtId="37" fontId="121" fillId="0" borderId="0" xfId="582" applyFont="1" applyAlignment="1">
      <alignment horizontal="left"/>
    </xf>
    <xf numFmtId="198" fontId="48" fillId="0" borderId="0" xfId="0" applyNumberFormat="1" applyFont="1" applyAlignment="1">
      <alignment horizontal="center" vertical="center"/>
    </xf>
    <xf numFmtId="198" fontId="70" fillId="0" borderId="12" xfId="0" applyNumberFormat="1" applyFont="1" applyBorder="1" applyAlignment="1">
      <alignment horizontal="center" vertical="center"/>
    </xf>
    <xf numFmtId="198" fontId="64" fillId="0" borderId="0" xfId="0" applyNumberFormat="1" applyFont="1" applyAlignment="1">
      <alignment horizontal="center" vertical="center"/>
    </xf>
    <xf numFmtId="198" fontId="77" fillId="8" borderId="12" xfId="0" applyNumberFormat="1" applyFont="1" applyFill="1" applyBorder="1" applyAlignment="1">
      <alignment horizontal="center" vertical="center"/>
    </xf>
    <xf numFmtId="198" fontId="55" fillId="0" borderId="12" xfId="0" applyNumberFormat="1" applyFont="1" applyBorder="1" applyAlignment="1">
      <alignment horizontal="center" vertical="center"/>
    </xf>
    <xf numFmtId="198" fontId="48" fillId="0" borderId="0" xfId="0" applyNumberFormat="1" applyFont="1" applyAlignment="1">
      <alignment vertical="center"/>
    </xf>
    <xf numFmtId="198" fontId="50" fillId="14" borderId="30" xfId="0" applyNumberFormat="1" applyFont="1" applyFill="1" applyBorder="1" applyAlignment="1">
      <alignment horizontal="center" vertical="center"/>
    </xf>
    <xf numFmtId="198" fontId="50" fillId="14" borderId="4" xfId="0" applyNumberFormat="1" applyFont="1" applyFill="1" applyBorder="1" applyAlignment="1">
      <alignment horizontal="center" vertical="center"/>
    </xf>
    <xf numFmtId="198" fontId="50" fillId="14" borderId="32" xfId="0" applyNumberFormat="1" applyFont="1" applyFill="1" applyBorder="1" applyAlignment="1">
      <alignment horizontal="center" vertical="center"/>
    </xf>
    <xf numFmtId="198" fontId="48" fillId="0" borderId="0" xfId="0" applyNumberFormat="1" applyFont="1" applyAlignment="1">
      <alignment horizontal="left" vertical="center"/>
    </xf>
    <xf numFmtId="198" fontId="50" fillId="12" borderId="0" xfId="0" applyNumberFormat="1" applyFont="1" applyFill="1" applyAlignment="1">
      <alignment horizontal="right" vertical="center"/>
    </xf>
    <xf numFmtId="198" fontId="48" fillId="0" borderId="0" xfId="127" applyNumberFormat="1" applyFont="1" applyAlignment="1">
      <alignment horizontal="center"/>
    </xf>
    <xf numFmtId="198" fontId="50" fillId="0" borderId="0" xfId="127" applyNumberFormat="1" applyFont="1" applyAlignment="1">
      <alignment horizontal="center"/>
    </xf>
    <xf numFmtId="198" fontId="70" fillId="0" borderId="0" xfId="127" applyNumberFormat="1" applyFont="1" applyAlignment="1">
      <alignment horizontal="center"/>
    </xf>
    <xf numFmtId="198" fontId="48" fillId="0" borderId="0" xfId="22" applyNumberFormat="1" applyFont="1" applyFill="1" applyBorder="1" applyAlignment="1">
      <alignment horizontal="center" vertical="center"/>
    </xf>
    <xf numFmtId="43" fontId="60" fillId="0" borderId="0" xfId="22" applyFont="1" applyFill="1" applyBorder="1" applyAlignment="1">
      <alignment horizontal="center" vertical="center"/>
    </xf>
    <xf numFmtId="164" fontId="57" fillId="0" borderId="35" xfId="0" applyNumberFormat="1" applyFont="1" applyBorder="1" applyAlignment="1">
      <alignment horizontal="center" vertical="center"/>
    </xf>
    <xf numFmtId="164" fontId="80" fillId="0" borderId="36" xfId="0" applyNumberFormat="1" applyFont="1" applyBorder="1" applyAlignment="1">
      <alignment horizontal="center" vertical="center"/>
    </xf>
    <xf numFmtId="164" fontId="80" fillId="0" borderId="0" xfId="0" applyNumberFormat="1" applyFont="1" applyAlignment="1">
      <alignment horizontal="center" vertical="center"/>
    </xf>
    <xf numFmtId="188" fontId="80" fillId="0" borderId="0" xfId="22" applyNumberFormat="1" applyFont="1" applyFill="1" applyBorder="1" applyAlignment="1">
      <alignment horizontal="center" vertical="center"/>
    </xf>
    <xf numFmtId="164" fontId="107" fillId="0" borderId="0" xfId="0" applyNumberFormat="1" applyFont="1" applyAlignment="1">
      <alignment horizontal="center" vertical="center"/>
    </xf>
    <xf numFmtId="164" fontId="54" fillId="0" borderId="5" xfId="0" applyNumberFormat="1" applyFont="1" applyBorder="1" applyAlignment="1">
      <alignment vertical="center"/>
    </xf>
    <xf numFmtId="164" fontId="106" fillId="0" borderId="5" xfId="0" applyNumberFormat="1" applyFont="1" applyBorder="1" applyAlignment="1">
      <alignment horizontal="center" vertical="center"/>
    </xf>
    <xf numFmtId="37" fontId="50" fillId="0" borderId="5" xfId="0" applyNumberFormat="1" applyFont="1" applyBorder="1" applyAlignment="1">
      <alignment horizontal="center" vertical="center"/>
    </xf>
    <xf numFmtId="164" fontId="108" fillId="0" borderId="5" xfId="0" applyNumberFormat="1" applyFont="1" applyBorder="1" applyAlignment="1">
      <alignment horizontal="center" vertical="center"/>
    </xf>
    <xf numFmtId="164" fontId="50" fillId="0" borderId="8" xfId="0" applyNumberFormat="1" applyFont="1" applyBorder="1" applyAlignment="1">
      <alignment horizontal="center" vertical="center"/>
    </xf>
    <xf numFmtId="164" fontId="50" fillId="0" borderId="33" xfId="0" applyNumberFormat="1" applyFont="1" applyBorder="1" applyAlignment="1">
      <alignment horizontal="center" vertical="center"/>
    </xf>
    <xf numFmtId="164" fontId="53" fillId="0" borderId="35" xfId="0" applyNumberFormat="1" applyFont="1" applyBorder="1" applyAlignment="1">
      <alignment horizontal="center" vertical="center"/>
    </xf>
    <xf numFmtId="164" fontId="54" fillId="0" borderId="8" xfId="0" applyNumberFormat="1" applyFont="1" applyBorder="1" applyAlignment="1">
      <alignment horizontal="center" vertical="center"/>
    </xf>
    <xf numFmtId="164" fontId="54" fillId="0" borderId="6" xfId="0" applyNumberFormat="1" applyFont="1" applyBorder="1" applyAlignment="1">
      <alignment horizontal="center" vertical="center"/>
    </xf>
    <xf numFmtId="164" fontId="66" fillId="0" borderId="0" xfId="0" applyNumberFormat="1" applyFont="1" applyAlignment="1">
      <alignment horizontal="center" vertical="center"/>
    </xf>
    <xf numFmtId="37" fontId="54" fillId="0" borderId="0" xfId="0" applyNumberFormat="1" applyFont="1" applyAlignment="1">
      <alignment vertical="center"/>
    </xf>
    <xf numFmtId="37" fontId="99" fillId="0" borderId="36" xfId="0" applyNumberFormat="1" applyFont="1" applyBorder="1" applyAlignment="1">
      <alignment horizontal="center" vertical="center"/>
    </xf>
    <xf numFmtId="37" fontId="99" fillId="0" borderId="0" xfId="0" applyNumberFormat="1" applyFont="1" applyAlignment="1">
      <alignment horizontal="center" vertical="center"/>
    </xf>
    <xf numFmtId="192" fontId="48" fillId="0" borderId="36" xfId="0" applyNumberFormat="1" applyFont="1" applyBorder="1" applyAlignment="1">
      <alignment horizontal="center" vertical="center"/>
    </xf>
    <xf numFmtId="192" fontId="55" fillId="0" borderId="0" xfId="0" applyNumberFormat="1" applyFont="1" applyAlignment="1">
      <alignment horizontal="center" vertical="center"/>
    </xf>
    <xf numFmtId="192" fontId="55" fillId="0" borderId="36" xfId="0" applyNumberFormat="1" applyFont="1" applyBorder="1" applyAlignment="1">
      <alignment horizontal="center" vertical="center"/>
    </xf>
    <xf numFmtId="192" fontId="99" fillId="0" borderId="36" xfId="0" applyNumberFormat="1" applyFont="1" applyBorder="1" applyAlignment="1">
      <alignment horizontal="center" vertical="center"/>
    </xf>
    <xf numFmtId="192" fontId="55" fillId="0" borderId="0" xfId="0" applyNumberFormat="1" applyFont="1" applyAlignment="1">
      <alignment vertical="center"/>
    </xf>
    <xf numFmtId="198" fontId="48" fillId="0" borderId="36" xfId="0" applyNumberFormat="1" applyFont="1" applyBorder="1" applyAlignment="1">
      <alignment horizontal="center" vertical="center"/>
    </xf>
    <xf numFmtId="198" fontId="55" fillId="0" borderId="36" xfId="0" applyNumberFormat="1" applyFont="1" applyBorder="1" applyAlignment="1">
      <alignment horizontal="center" vertical="center"/>
    </xf>
    <xf numFmtId="198" fontId="55" fillId="0" borderId="0" xfId="22" applyNumberFormat="1" applyFont="1" applyFill="1" applyBorder="1" applyAlignment="1">
      <alignment horizontal="center" vertical="center"/>
    </xf>
    <xf numFmtId="198" fontId="109" fillId="0" borderId="0" xfId="22" applyNumberFormat="1" applyFont="1" applyFill="1" applyBorder="1" applyAlignment="1">
      <alignment horizontal="center" vertical="center"/>
    </xf>
    <xf numFmtId="198" fontId="64" fillId="0" borderId="0" xfId="22" applyNumberFormat="1" applyFont="1" applyFill="1" applyBorder="1" applyAlignment="1">
      <alignment horizontal="center" vertical="center"/>
    </xf>
    <xf numFmtId="192" fontId="109" fillId="0" borderId="0" xfId="51" applyNumberFormat="1" applyFont="1" applyFill="1" applyBorder="1" applyAlignment="1">
      <alignment horizontal="center" vertical="center"/>
    </xf>
    <xf numFmtId="192" fontId="64" fillId="0" borderId="0" xfId="51" applyNumberFormat="1" applyFont="1" applyFill="1" applyBorder="1" applyAlignment="1">
      <alignment horizontal="center" vertical="center"/>
    </xf>
    <xf numFmtId="169" fontId="48" fillId="0" borderId="0" xfId="0" applyNumberFormat="1" applyFont="1" applyAlignment="1">
      <alignment horizontal="center" vertical="center"/>
    </xf>
    <xf numFmtId="192" fontId="109" fillId="0" borderId="0" xfId="0" applyNumberFormat="1" applyFont="1" applyAlignment="1">
      <alignment horizontal="center" vertical="center"/>
    </xf>
    <xf numFmtId="192" fontId="64" fillId="0" borderId="0" xfId="0" applyNumberFormat="1" applyFont="1" applyAlignment="1">
      <alignment horizontal="center" vertical="center"/>
    </xf>
    <xf numFmtId="192" fontId="48" fillId="0" borderId="21" xfId="0" applyNumberFormat="1" applyFont="1" applyBorder="1" applyAlignment="1">
      <alignment horizontal="center" vertical="center"/>
    </xf>
    <xf numFmtId="192" fontId="55" fillId="0" borderId="21" xfId="0" applyNumberFormat="1" applyFont="1" applyBorder="1" applyAlignment="1">
      <alignment horizontal="center" vertical="center"/>
    </xf>
    <xf numFmtId="198" fontId="58" fillId="0" borderId="0" xfId="0" applyNumberFormat="1" applyFont="1" applyAlignment="1">
      <alignment horizontal="center" vertical="center"/>
    </xf>
    <xf numFmtId="0" fontId="110" fillId="0" borderId="0" xfId="0" applyFont="1" applyAlignment="1">
      <alignment horizontal="center"/>
    </xf>
    <xf numFmtId="0" fontId="66" fillId="9" borderId="0" xfId="0" applyFont="1" applyFill="1" applyAlignment="1">
      <alignment vertical="center"/>
    </xf>
    <xf numFmtId="164" fontId="70" fillId="0" borderId="0" xfId="22" applyNumberFormat="1" applyFont="1" applyFill="1" applyBorder="1" applyAlignment="1">
      <alignment horizontal="center" vertical="center"/>
    </xf>
    <xf numFmtId="185" fontId="54" fillId="17" borderId="25" xfId="0" applyNumberFormat="1" applyFont="1" applyFill="1" applyBorder="1" applyAlignment="1">
      <alignment horizontal="center" vertical="center"/>
    </xf>
    <xf numFmtId="185" fontId="54" fillId="17" borderId="10" xfId="0" applyNumberFormat="1" applyFont="1" applyFill="1" applyBorder="1" applyAlignment="1">
      <alignment horizontal="center" vertical="center"/>
    </xf>
    <xf numFmtId="0" fontId="86" fillId="0" borderId="0" xfId="0" applyFont="1" applyAlignment="1">
      <alignment horizontal="left"/>
    </xf>
    <xf numFmtId="0" fontId="87" fillId="0" borderId="0" xfId="0" applyFont="1" applyAlignment="1">
      <alignment horizontal="center"/>
    </xf>
    <xf numFmtId="0" fontId="48" fillId="0" borderId="0" xfId="0" applyFont="1" applyAlignment="1">
      <alignment horizontal="left"/>
    </xf>
    <xf numFmtId="3" fontId="48" fillId="0" borderId="0" xfId="51" applyNumberFormat="1" applyFont="1" applyFill="1" applyAlignment="1">
      <alignment horizontal="center"/>
    </xf>
    <xf numFmtId="192" fontId="48" fillId="0" borderId="0" xfId="51" applyNumberFormat="1" applyFont="1" applyFill="1" applyAlignment="1">
      <alignment horizontal="center"/>
    </xf>
    <xf numFmtId="187" fontId="50" fillId="0" borderId="0" xfId="0" applyNumberFormat="1" applyFont="1" applyAlignment="1">
      <alignment horizontal="center"/>
    </xf>
    <xf numFmtId="0" fontId="88" fillId="0" borderId="0" xfId="0" applyFont="1" applyAlignment="1">
      <alignment horizontal="left"/>
    </xf>
    <xf numFmtId="193" fontId="66" fillId="0" borderId="0" xfId="22" applyNumberFormat="1" applyFont="1" applyFill="1" applyAlignment="1">
      <alignment horizontal="center"/>
    </xf>
    <xf numFmtId="192" fontId="57" fillId="0" borderId="0" xfId="0" applyNumberFormat="1" applyFont="1" applyAlignment="1">
      <alignment horizontal="center" vertical="center"/>
    </xf>
    <xf numFmtId="7" fontId="55" fillId="0" borderId="12" xfId="27" applyNumberFormat="1" applyFont="1" applyFill="1" applyBorder="1" applyAlignment="1" applyProtection="1">
      <alignment horizontal="center" vertical="center"/>
    </xf>
    <xf numFmtId="37" fontId="70" fillId="0" borderId="0" xfId="47" applyNumberFormat="1" applyFont="1" applyAlignment="1">
      <alignment horizontal="center" vertical="center"/>
    </xf>
    <xf numFmtId="7" fontId="76" fillId="0" borderId="12" xfId="27" applyNumberFormat="1" applyFont="1" applyFill="1" applyBorder="1" applyAlignment="1" applyProtection="1">
      <alignment horizontal="center" vertical="center"/>
    </xf>
    <xf numFmtId="192" fontId="57" fillId="0" borderId="0" xfId="0" applyNumberFormat="1" applyFont="1" applyAlignment="1">
      <alignment horizontal="center"/>
    </xf>
    <xf numFmtId="164" fontId="76" fillId="0" borderId="0" xfId="0" applyNumberFormat="1" applyFont="1" applyAlignment="1">
      <alignment horizontal="center"/>
    </xf>
    <xf numFmtId="183" fontId="55" fillId="0" borderId="0" xfId="0" applyNumberFormat="1" applyFont="1" applyAlignment="1">
      <alignment horizontal="center"/>
    </xf>
    <xf numFmtId="0" fontId="55" fillId="0" borderId="0" xfId="0" applyFont="1"/>
    <xf numFmtId="187" fontId="54" fillId="8" borderId="5" xfId="0" applyNumberFormat="1" applyFont="1" applyFill="1" applyBorder="1" applyAlignment="1">
      <alignment horizontal="center"/>
    </xf>
    <xf numFmtId="187" fontId="54" fillId="8" borderId="27" xfId="0" applyNumberFormat="1" applyFont="1" applyFill="1" applyBorder="1" applyAlignment="1">
      <alignment horizontal="center"/>
    </xf>
    <xf numFmtId="183" fontId="54" fillId="0" borderId="5" xfId="0" applyNumberFormat="1" applyFont="1" applyBorder="1" applyAlignment="1">
      <alignment horizontal="center"/>
    </xf>
    <xf numFmtId="183" fontId="54" fillId="0" borderId="27" xfId="0" applyNumberFormat="1" applyFont="1" applyBorder="1" applyAlignment="1">
      <alignment horizontal="center"/>
    </xf>
    <xf numFmtId="0" fontId="55" fillId="8" borderId="11" xfId="0" applyFont="1" applyFill="1" applyBorder="1" applyAlignment="1">
      <alignment horizontal="left"/>
    </xf>
    <xf numFmtId="0" fontId="55" fillId="8" borderId="11" xfId="0" applyFont="1" applyFill="1" applyBorder="1" applyAlignment="1">
      <alignment horizontal="left" vertical="center"/>
    </xf>
    <xf numFmtId="0" fontId="55" fillId="0" borderId="11" xfId="0" applyFont="1" applyBorder="1" applyAlignment="1">
      <alignment horizontal="left" vertical="center"/>
    </xf>
    <xf numFmtId="0" fontId="55" fillId="8" borderId="9" xfId="0" applyFont="1" applyFill="1" applyBorder="1" applyAlignment="1">
      <alignment horizontal="left"/>
    </xf>
    <xf numFmtId="0" fontId="54" fillId="0" borderId="41" xfId="0" applyFont="1" applyBorder="1" applyAlignment="1">
      <alignment horizontal="left"/>
    </xf>
    <xf numFmtId="0" fontId="54" fillId="8" borderId="41" xfId="0" applyFont="1" applyFill="1" applyBorder="1" applyAlignment="1">
      <alignment horizontal="left"/>
    </xf>
    <xf numFmtId="0" fontId="57" fillId="0" borderId="11" xfId="0" applyFont="1" applyBorder="1" applyAlignment="1">
      <alignment horizontal="left"/>
    </xf>
    <xf numFmtId="0" fontId="55" fillId="0" borderId="11" xfId="0" applyFont="1" applyBorder="1" applyAlignment="1">
      <alignment horizontal="left"/>
    </xf>
    <xf numFmtId="37" fontId="76" fillId="0" borderId="11" xfId="0" applyNumberFormat="1" applyFont="1" applyBorder="1" applyAlignment="1">
      <alignment horizontal="left" vertical="center"/>
    </xf>
    <xf numFmtId="37" fontId="55" fillId="0" borderId="11" xfId="0" applyNumberFormat="1" applyFont="1" applyBorder="1" applyAlignment="1">
      <alignment horizontal="left" vertical="center"/>
    </xf>
    <xf numFmtId="0" fontId="54" fillId="0" borderId="11" xfId="0" applyFont="1" applyBorder="1" applyAlignment="1">
      <alignment horizontal="left"/>
    </xf>
    <xf numFmtId="0" fontId="54" fillId="0" borderId="14" xfId="0" applyFont="1" applyBorder="1" applyAlignment="1">
      <alignment horizontal="left"/>
    </xf>
    <xf numFmtId="0" fontId="50" fillId="0" borderId="0" xfId="0" applyFont="1" applyAlignment="1">
      <alignment horizontal="left"/>
    </xf>
    <xf numFmtId="0" fontId="48" fillId="0" borderId="11" xfId="0" applyFont="1" applyBorder="1" applyAlignment="1">
      <alignment horizontal="left"/>
    </xf>
    <xf numFmtId="37" fontId="70" fillId="0" borderId="36" xfId="0" applyNumberFormat="1" applyFont="1" applyBorder="1" applyAlignment="1">
      <alignment horizontal="center" vertical="center"/>
    </xf>
    <xf numFmtId="37" fontId="70" fillId="0" borderId="0" xfId="0" applyNumberFormat="1" applyFont="1" applyAlignment="1">
      <alignment horizontal="center" vertical="center"/>
    </xf>
    <xf numFmtId="192" fontId="95" fillId="0" borderId="0" xfId="51" applyNumberFormat="1" applyFont="1" applyFill="1" applyBorder="1" applyAlignment="1">
      <alignment horizontal="centerContinuous" vertical="center"/>
    </xf>
    <xf numFmtId="200" fontId="88" fillId="0" borderId="0" xfId="0" applyNumberFormat="1" applyFont="1" applyAlignment="1">
      <alignment vertical="center"/>
    </xf>
    <xf numFmtId="200" fontId="66" fillId="0" borderId="36" xfId="0" applyNumberFormat="1" applyFont="1" applyBorder="1" applyAlignment="1">
      <alignment horizontal="center" vertical="center"/>
    </xf>
    <xf numFmtId="200" fontId="66" fillId="0" borderId="0" xfId="0" applyNumberFormat="1" applyFont="1" applyAlignment="1">
      <alignment horizontal="center" vertical="center"/>
    </xf>
    <xf numFmtId="200" fontId="66" fillId="0" borderId="36" xfId="22" applyNumberFormat="1" applyFont="1" applyFill="1" applyBorder="1" applyAlignment="1">
      <alignment horizontal="center" vertical="center"/>
    </xf>
    <xf numFmtId="200" fontId="66" fillId="0" borderId="0" xfId="22" applyNumberFormat="1" applyFont="1" applyFill="1" applyBorder="1" applyAlignment="1">
      <alignment horizontal="center" vertical="center"/>
    </xf>
    <xf numFmtId="0" fontId="121" fillId="0" borderId="0" xfId="0" applyFont="1"/>
    <xf numFmtId="0" fontId="121" fillId="0" borderId="0" xfId="0" applyFont="1" applyAlignment="1">
      <alignment horizontal="center"/>
    </xf>
    <xf numFmtId="14" fontId="121" fillId="0" borderId="0" xfId="0" applyNumberFormat="1" applyFont="1" applyAlignment="1">
      <alignment horizontal="center"/>
    </xf>
    <xf numFmtId="0" fontId="121" fillId="0" borderId="0" xfId="0" applyFont="1" applyAlignment="1">
      <alignment vertical="center"/>
    </xf>
    <xf numFmtId="14" fontId="121" fillId="0" borderId="0" xfId="0" applyNumberFormat="1" applyFont="1"/>
    <xf numFmtId="0" fontId="66" fillId="0" borderId="0" xfId="0" applyFont="1" applyAlignment="1">
      <alignment horizontal="center"/>
    </xf>
    <xf numFmtId="14" fontId="121" fillId="0" borderId="0" xfId="0" quotePrefix="1" applyNumberFormat="1" applyFont="1"/>
    <xf numFmtId="0" fontId="126" fillId="0" borderId="0" xfId="0" applyFont="1"/>
    <xf numFmtId="0" fontId="127" fillId="12" borderId="30" xfId="0" applyFont="1" applyFill="1" applyBorder="1" applyAlignment="1">
      <alignment horizontal="centerContinuous"/>
    </xf>
    <xf numFmtId="0" fontId="50" fillId="12" borderId="30" xfId="0" applyFont="1" applyFill="1" applyBorder="1" applyAlignment="1">
      <alignment horizontal="centerContinuous"/>
    </xf>
    <xf numFmtId="0" fontId="48" fillId="14" borderId="0" xfId="0" applyFont="1" applyFill="1" applyAlignment="1">
      <alignment horizontal="center" vertical="center"/>
    </xf>
    <xf numFmtId="0" fontId="52" fillId="0" borderId="0" xfId="0" applyFont="1"/>
    <xf numFmtId="199" fontId="121" fillId="12" borderId="0" xfId="0" applyNumberFormat="1" applyFont="1" applyFill="1" applyAlignment="1">
      <alignment horizontal="center" vertical="center"/>
    </xf>
    <xf numFmtId="199" fontId="121" fillId="18" borderId="0" xfId="0" applyNumberFormat="1" applyFont="1" applyFill="1" applyAlignment="1">
      <alignment horizontal="center" vertical="center"/>
    </xf>
    <xf numFmtId="0" fontId="58" fillId="0" borderId="0" xfId="0" applyFont="1"/>
    <xf numFmtId="0" fontId="128" fillId="0" borderId="36" xfId="0" applyFont="1" applyBorder="1" applyAlignment="1">
      <alignment horizontal="left" vertical="center"/>
    </xf>
    <xf numFmtId="192" fontId="128" fillId="0" borderId="0" xfId="0" applyNumberFormat="1" applyFont="1" applyAlignment="1">
      <alignment horizontal="center" vertical="center"/>
    </xf>
    <xf numFmtId="0" fontId="89" fillId="0" borderId="0" xfId="0" applyFont="1"/>
    <xf numFmtId="0" fontId="121" fillId="14" borderId="36" xfId="0" applyFont="1" applyFill="1" applyBorder="1" applyAlignment="1">
      <alignment horizontal="left" vertical="center"/>
    </xf>
    <xf numFmtId="199" fontId="121" fillId="14" borderId="0" xfId="0" applyNumberFormat="1" applyFont="1" applyFill="1" applyAlignment="1">
      <alignment horizontal="center" vertical="center"/>
    </xf>
    <xf numFmtId="199" fontId="121" fillId="19" borderId="0" xfId="0" applyNumberFormat="1" applyFont="1" applyFill="1" applyAlignment="1">
      <alignment horizontal="center" vertical="center"/>
    </xf>
    <xf numFmtId="0" fontId="121" fillId="12" borderId="36" xfId="0" applyFont="1" applyFill="1" applyBorder="1" applyAlignment="1">
      <alignment horizontal="left" vertical="center"/>
    </xf>
    <xf numFmtId="0" fontId="128" fillId="0" borderId="21" xfId="0" applyFont="1" applyBorder="1" applyAlignment="1">
      <alignment horizontal="left" vertical="center"/>
    </xf>
    <xf numFmtId="14" fontId="52" fillId="0" borderId="0" xfId="0" applyNumberFormat="1" applyFont="1"/>
    <xf numFmtId="14" fontId="3" fillId="0" borderId="0" xfId="0" quotePrefix="1" applyNumberFormat="1" applyFont="1"/>
    <xf numFmtId="15" fontId="129" fillId="0" borderId="0" xfId="582" applyNumberFormat="1" applyFont="1" applyAlignment="1">
      <alignment horizontal="left"/>
    </xf>
    <xf numFmtId="15" fontId="39" fillId="0" borderId="0" xfId="582" applyNumberFormat="1">
      <alignment horizontal="center"/>
    </xf>
    <xf numFmtId="0" fontId="50" fillId="12" borderId="42" xfId="0" applyFont="1" applyFill="1" applyBorder="1" applyAlignment="1">
      <alignment horizontal="centerContinuous" vertical="center"/>
    </xf>
    <xf numFmtId="0" fontId="50" fillId="12" borderId="42" xfId="0" applyFont="1" applyFill="1" applyBorder="1" applyAlignment="1">
      <alignment horizontal="centerContinuous"/>
    </xf>
    <xf numFmtId="0" fontId="127" fillId="12" borderId="42" xfId="0" applyFont="1" applyFill="1" applyBorder="1" applyAlignment="1">
      <alignment horizontal="centerContinuous"/>
    </xf>
    <xf numFmtId="0" fontId="3" fillId="14" borderId="0" xfId="0" applyFont="1" applyFill="1" applyAlignment="1">
      <alignment horizontal="center" vertical="center"/>
    </xf>
    <xf numFmtId="0" fontId="3" fillId="14" borderId="4" xfId="0" applyFont="1" applyFill="1" applyBorder="1" applyAlignment="1">
      <alignment horizontal="center" vertical="center"/>
    </xf>
    <xf numFmtId="0" fontId="3" fillId="14" borderId="36" xfId="0" applyFont="1" applyFill="1" applyBorder="1" applyAlignment="1">
      <alignment vertical="center"/>
    </xf>
    <xf numFmtId="0" fontId="50" fillId="18" borderId="42" xfId="0" applyFont="1" applyFill="1" applyBorder="1" applyAlignment="1">
      <alignment horizontal="centerContinuous" vertical="center"/>
    </xf>
    <xf numFmtId="0" fontId="50" fillId="18" borderId="42" xfId="0" applyFont="1" applyFill="1" applyBorder="1" applyAlignment="1">
      <alignment horizontal="centerContinuous"/>
    </xf>
    <xf numFmtId="0" fontId="3" fillId="19" borderId="0" xfId="0" applyFont="1" applyFill="1" applyAlignment="1">
      <alignment horizontal="center" vertical="center"/>
    </xf>
    <xf numFmtId="0" fontId="3" fillId="19" borderId="4" xfId="0" applyFont="1" applyFill="1" applyBorder="1" applyAlignment="1">
      <alignment horizontal="center" vertical="center"/>
    </xf>
    <xf numFmtId="0" fontId="3" fillId="12" borderId="36" xfId="0" applyFont="1" applyFill="1" applyBorder="1" applyAlignment="1">
      <alignment horizontal="left" vertical="center"/>
    </xf>
    <xf numFmtId="192" fontId="39" fillId="0" borderId="0" xfId="582" applyNumberFormat="1">
      <alignment horizontal="center"/>
    </xf>
    <xf numFmtId="199" fontId="121" fillId="22" borderId="0" xfId="0" applyNumberFormat="1" applyFont="1" applyFill="1" applyAlignment="1">
      <alignment horizontal="center" vertical="center"/>
    </xf>
    <xf numFmtId="0" fontId="3" fillId="14" borderId="36" xfId="0" applyFont="1" applyFill="1" applyBorder="1" applyAlignment="1">
      <alignment horizontal="center" vertical="center"/>
    </xf>
    <xf numFmtId="199" fontId="121" fillId="12" borderId="36" xfId="0" applyNumberFormat="1" applyFont="1" applyFill="1" applyBorder="1" applyAlignment="1">
      <alignment horizontal="center" vertical="center"/>
    </xf>
    <xf numFmtId="192" fontId="39" fillId="0" borderId="36" xfId="582" applyNumberFormat="1" applyBorder="1">
      <alignment horizontal="center"/>
    </xf>
    <xf numFmtId="37" fontId="39" fillId="0" borderId="4" xfId="582" applyBorder="1">
      <alignment horizontal="center"/>
    </xf>
    <xf numFmtId="0" fontId="48" fillId="14" borderId="4" xfId="0" applyFont="1" applyFill="1" applyBorder="1" applyAlignment="1">
      <alignment horizontal="center" vertical="center"/>
    </xf>
    <xf numFmtId="0" fontId="130" fillId="0" borderId="0" xfId="0" applyFont="1"/>
    <xf numFmtId="37" fontId="41" fillId="0" borderId="0" xfId="582" applyFont="1">
      <alignment horizontal="center"/>
    </xf>
    <xf numFmtId="192" fontId="39" fillId="12" borderId="0" xfId="582" applyNumberFormat="1" applyFill="1">
      <alignment horizontal="center"/>
    </xf>
    <xf numFmtId="192" fontId="39" fillId="18" borderId="0" xfId="582" applyNumberFormat="1" applyFill="1">
      <alignment horizontal="center"/>
    </xf>
    <xf numFmtId="14" fontId="121" fillId="0" borderId="0" xfId="0" applyNumberFormat="1" applyFont="1" applyAlignment="1">
      <alignment horizontal="center" vertical="center"/>
    </xf>
    <xf numFmtId="0" fontId="121" fillId="0" borderId="0" xfId="0" applyFont="1" applyAlignment="1">
      <alignment horizontal="center" vertical="center"/>
    </xf>
    <xf numFmtId="1" fontId="121" fillId="0" borderId="0" xfId="0" applyNumberFormat="1" applyFont="1" applyAlignment="1">
      <alignment horizontal="center" vertical="center"/>
    </xf>
    <xf numFmtId="192" fontId="121" fillId="0" borderId="0" xfId="0" applyNumberFormat="1" applyFont="1" applyAlignment="1">
      <alignment horizontal="center" vertical="center"/>
    </xf>
    <xf numFmtId="193" fontId="121" fillId="0" borderId="0" xfId="0" applyNumberFormat="1" applyFont="1" applyAlignment="1">
      <alignment horizontal="center" vertical="center"/>
    </xf>
    <xf numFmtId="193" fontId="39" fillId="0" borderId="0" xfId="582" applyNumberFormat="1">
      <alignment horizontal="center"/>
    </xf>
    <xf numFmtId="39" fontId="121" fillId="0" borderId="0" xfId="0" applyNumberFormat="1" applyFont="1" applyAlignment="1">
      <alignment horizontal="center" vertical="center"/>
    </xf>
    <xf numFmtId="39" fontId="39" fillId="0" borderId="0" xfId="582" applyNumberFormat="1">
      <alignment horizontal="center"/>
    </xf>
    <xf numFmtId="164" fontId="121" fillId="0" borderId="0" xfId="0" applyNumberFormat="1" applyFont="1" applyAlignment="1">
      <alignment horizontal="center" vertical="center"/>
    </xf>
    <xf numFmtId="164" fontId="39" fillId="0" borderId="0" xfId="582" applyNumberFormat="1">
      <alignment horizontal="center"/>
    </xf>
    <xf numFmtId="14" fontId="121" fillId="11" borderId="0" xfId="0" applyNumberFormat="1" applyFont="1" applyFill="1" applyAlignment="1">
      <alignment horizontal="center" vertical="center"/>
    </xf>
    <xf numFmtId="193" fontId="121" fillId="11" borderId="0" xfId="0" applyNumberFormat="1" applyFont="1" applyFill="1" applyAlignment="1">
      <alignment horizontal="center" vertical="center"/>
    </xf>
    <xf numFmtId="192" fontId="121" fillId="11" borderId="0" xfId="0" applyNumberFormat="1" applyFont="1" applyFill="1" applyAlignment="1">
      <alignment horizontal="center" vertical="center"/>
    </xf>
    <xf numFmtId="37" fontId="39" fillId="11" borderId="0" xfId="582" applyFill="1">
      <alignment horizontal="center"/>
    </xf>
    <xf numFmtId="39" fontId="121" fillId="11" borderId="0" xfId="0" applyNumberFormat="1" applyFont="1" applyFill="1" applyAlignment="1">
      <alignment horizontal="center" vertical="center"/>
    </xf>
    <xf numFmtId="164" fontId="121" fillId="11" borderId="0" xfId="0" applyNumberFormat="1" applyFont="1" applyFill="1" applyAlignment="1">
      <alignment horizontal="center" vertical="center"/>
    </xf>
    <xf numFmtId="0" fontId="121" fillId="11" borderId="0" xfId="0" applyFont="1" applyFill="1" applyAlignment="1">
      <alignment horizontal="center" vertical="center"/>
    </xf>
    <xf numFmtId="1" fontId="121" fillId="11" borderId="0" xfId="0" applyNumberFormat="1" applyFont="1" applyFill="1" applyAlignment="1">
      <alignment horizontal="center" vertical="center"/>
    </xf>
    <xf numFmtId="192" fontId="39" fillId="11" borderId="0" xfId="582" applyNumberFormat="1" applyFill="1">
      <alignment horizontal="center"/>
    </xf>
    <xf numFmtId="37" fontId="39" fillId="12" borderId="0" xfId="582" applyFill="1">
      <alignment horizontal="center"/>
    </xf>
    <xf numFmtId="192" fontId="39" fillId="12" borderId="4" xfId="582" applyNumberFormat="1" applyFill="1" applyBorder="1">
      <alignment horizontal="center"/>
    </xf>
    <xf numFmtId="37" fontId="39" fillId="12" borderId="4" xfId="582" applyFill="1" applyBorder="1">
      <alignment horizontal="center"/>
    </xf>
    <xf numFmtId="37" fontId="39" fillId="18" borderId="4" xfId="582" applyFill="1" applyBorder="1">
      <alignment horizontal="center"/>
    </xf>
    <xf numFmtId="199" fontId="121" fillId="14" borderId="36" xfId="0" applyNumberFormat="1" applyFont="1" applyFill="1" applyBorder="1" applyAlignment="1">
      <alignment horizontal="center" vertical="center"/>
    </xf>
    <xf numFmtId="192" fontId="39" fillId="14" borderId="0" xfId="582" applyNumberFormat="1" applyFill="1">
      <alignment horizontal="center"/>
    </xf>
    <xf numFmtId="37" fontId="39" fillId="14" borderId="0" xfId="582" applyFill="1">
      <alignment horizontal="center"/>
    </xf>
    <xf numFmtId="192" fontId="39" fillId="14" borderId="4" xfId="582" applyNumberFormat="1" applyFill="1" applyBorder="1">
      <alignment horizontal="center"/>
    </xf>
    <xf numFmtId="37" fontId="39" fillId="14" borderId="4" xfId="582" applyFill="1" applyBorder="1">
      <alignment horizontal="center"/>
    </xf>
    <xf numFmtId="192" fontId="39" fillId="19" borderId="0" xfId="582" applyNumberFormat="1" applyFill="1">
      <alignment horizontal="center"/>
    </xf>
    <xf numFmtId="37" fontId="39" fillId="19" borderId="4" xfId="582" applyFill="1" applyBorder="1">
      <alignment horizontal="center"/>
    </xf>
    <xf numFmtId="194" fontId="121" fillId="22" borderId="0" xfId="0" applyNumberFormat="1" applyFont="1" applyFill="1" applyAlignment="1">
      <alignment horizontal="center" vertical="center"/>
    </xf>
    <xf numFmtId="192" fontId="128" fillId="0" borderId="36" xfId="0" applyNumberFormat="1" applyFont="1" applyBorder="1" applyAlignment="1">
      <alignment horizontal="left" vertical="center"/>
    </xf>
    <xf numFmtId="192" fontId="39" fillId="0" borderId="4" xfId="582" applyNumberFormat="1" applyBorder="1">
      <alignment horizontal="center"/>
    </xf>
    <xf numFmtId="0" fontId="55" fillId="21" borderId="36" xfId="0" applyFont="1" applyFill="1" applyBorder="1" applyAlignment="1">
      <alignment horizontal="left" vertical="center"/>
    </xf>
    <xf numFmtId="199" fontId="55" fillId="21" borderId="36" xfId="0" applyNumberFormat="1" applyFont="1" applyFill="1" applyBorder="1" applyAlignment="1">
      <alignment horizontal="center" vertical="center"/>
    </xf>
    <xf numFmtId="199" fontId="55" fillId="21" borderId="0" xfId="0" applyNumberFormat="1" applyFont="1" applyFill="1" applyAlignment="1">
      <alignment horizontal="center" vertical="center"/>
    </xf>
    <xf numFmtId="192" fontId="47" fillId="21" borderId="0" xfId="582" applyNumberFormat="1" applyFont="1" applyFill="1">
      <alignment horizontal="center"/>
    </xf>
    <xf numFmtId="37" fontId="47" fillId="21" borderId="0" xfId="582" applyFont="1" applyFill="1">
      <alignment horizontal="center"/>
    </xf>
    <xf numFmtId="192" fontId="47" fillId="21" borderId="4" xfId="582" applyNumberFormat="1" applyFont="1" applyFill="1" applyBorder="1">
      <alignment horizontal="center"/>
    </xf>
    <xf numFmtId="37" fontId="47" fillId="21" borderId="4" xfId="582" applyFont="1" applyFill="1" applyBorder="1">
      <alignment horizontal="center"/>
    </xf>
    <xf numFmtId="199" fontId="55" fillId="20" borderId="0" xfId="0" applyNumberFormat="1" applyFont="1" applyFill="1" applyAlignment="1">
      <alignment horizontal="center" vertical="center"/>
    </xf>
    <xf numFmtId="192" fontId="47" fillId="20" borderId="0" xfId="582" applyNumberFormat="1" applyFont="1" applyFill="1">
      <alignment horizontal="center"/>
    </xf>
    <xf numFmtId="37" fontId="47" fillId="20" borderId="4" xfId="582" applyFont="1" applyFill="1" applyBorder="1">
      <alignment horizontal="center"/>
    </xf>
    <xf numFmtId="195" fontId="55" fillId="23" borderId="0" xfId="0" applyNumberFormat="1" applyFont="1" applyFill="1" applyAlignment="1">
      <alignment horizontal="center" vertical="center"/>
    </xf>
    <xf numFmtId="196" fontId="55" fillId="23" borderId="0" xfId="0" applyNumberFormat="1" applyFont="1" applyFill="1" applyAlignment="1">
      <alignment horizontal="center" vertical="center"/>
    </xf>
    <xf numFmtId="195" fontId="121" fillId="12" borderId="36" xfId="0" applyNumberFormat="1" applyFont="1" applyFill="1" applyBorder="1" applyAlignment="1">
      <alignment horizontal="center" vertical="center"/>
    </xf>
    <xf numFmtId="195" fontId="121" fillId="12" borderId="0" xfId="0" applyNumberFormat="1" applyFont="1" applyFill="1" applyAlignment="1">
      <alignment horizontal="center" vertical="center"/>
    </xf>
    <xf numFmtId="195" fontId="39" fillId="12" borderId="0" xfId="582" applyNumberFormat="1" applyFill="1">
      <alignment horizontal="center"/>
    </xf>
    <xf numFmtId="195" fontId="39" fillId="12" borderId="4" xfId="582" applyNumberFormat="1" applyFill="1" applyBorder="1">
      <alignment horizontal="center"/>
    </xf>
    <xf numFmtId="195" fontId="121" fillId="18" borderId="0" xfId="0" applyNumberFormat="1" applyFont="1" applyFill="1" applyAlignment="1">
      <alignment horizontal="center" vertical="center"/>
    </xf>
    <xf numFmtId="195" fontId="39" fillId="18" borderId="4" xfId="582" applyNumberFormat="1" applyFill="1" applyBorder="1">
      <alignment horizontal="center"/>
    </xf>
    <xf numFmtId="8" fontId="121" fillId="12" borderId="0" xfId="0" applyNumberFormat="1" applyFont="1" applyFill="1" applyAlignment="1">
      <alignment horizontal="center" vertical="center"/>
    </xf>
    <xf numFmtId="0" fontId="64" fillId="0" borderId="0" xfId="0" applyFont="1"/>
    <xf numFmtId="0" fontId="131" fillId="0" borderId="0" xfId="0" applyFont="1"/>
    <xf numFmtId="0" fontId="50" fillId="24" borderId="0" xfId="0" applyFont="1" applyFill="1" applyAlignment="1">
      <alignment horizontal="centerContinuous"/>
    </xf>
    <xf numFmtId="0" fontId="121" fillId="25" borderId="0" xfId="0" applyFont="1" applyFill="1" applyAlignment="1">
      <alignment horizontal="center" vertical="center"/>
    </xf>
    <xf numFmtId="199" fontId="121" fillId="24" borderId="0" xfId="0" applyNumberFormat="1" applyFont="1" applyFill="1" applyAlignment="1">
      <alignment horizontal="center" vertical="center"/>
    </xf>
    <xf numFmtId="0" fontId="128" fillId="0" borderId="0" xfId="0" applyFont="1"/>
    <xf numFmtId="199" fontId="121" fillId="25" borderId="0" xfId="0" applyNumberFormat="1" applyFont="1" applyFill="1" applyAlignment="1">
      <alignment horizontal="center" vertical="center"/>
    </xf>
    <xf numFmtId="196" fontId="121" fillId="25" borderId="0" xfId="0" applyNumberFormat="1" applyFont="1" applyFill="1" applyAlignment="1">
      <alignment horizontal="center" vertical="center"/>
    </xf>
    <xf numFmtId="184" fontId="121" fillId="24" borderId="0" xfId="0" applyNumberFormat="1" applyFont="1" applyFill="1" applyAlignment="1">
      <alignment horizontal="center" vertical="center"/>
    </xf>
    <xf numFmtId="184" fontId="121" fillId="0" borderId="0" xfId="0" applyNumberFormat="1" applyFont="1"/>
    <xf numFmtId="164" fontId="48" fillId="0" borderId="0" xfId="0" applyNumberFormat="1" applyFont="1" applyAlignment="1">
      <alignment horizontal="center"/>
    </xf>
    <xf numFmtId="195" fontId="54" fillId="14" borderId="0" xfId="0" applyNumberFormat="1" applyFont="1" applyFill="1" applyAlignment="1">
      <alignment horizontal="center"/>
    </xf>
    <xf numFmtId="195" fontId="54" fillId="14" borderId="36" xfId="27" applyNumberFormat="1" applyFont="1" applyFill="1" applyBorder="1" applyAlignment="1">
      <alignment horizontal="center" vertical="center"/>
    </xf>
    <xf numFmtId="0" fontId="80" fillId="0" borderId="12" xfId="47" applyFont="1" applyBorder="1" applyAlignment="1">
      <alignment vertical="center"/>
    </xf>
    <xf numFmtId="0" fontId="54" fillId="12" borderId="42" xfId="47" applyFont="1" applyFill="1" applyBorder="1" applyAlignment="1">
      <alignment vertical="center"/>
    </xf>
    <xf numFmtId="0" fontId="121" fillId="10" borderId="0" xfId="0" applyFont="1" applyFill="1" applyAlignment="1">
      <alignment horizontal="left"/>
    </xf>
    <xf numFmtId="3" fontId="52" fillId="10" borderId="0" xfId="0" applyNumberFormat="1" applyFont="1" applyFill="1" applyAlignment="1">
      <alignment horizontal="left"/>
    </xf>
    <xf numFmtId="0" fontId="128" fillId="10" borderId="0" xfId="0" applyFont="1" applyFill="1"/>
    <xf numFmtId="3" fontId="48" fillId="10" borderId="0" xfId="0" applyNumberFormat="1" applyFont="1" applyFill="1" applyAlignment="1">
      <alignment horizontal="left"/>
    </xf>
    <xf numFmtId="0" fontId="48" fillId="10" borderId="0" xfId="0" applyFont="1" applyFill="1" applyAlignment="1">
      <alignment horizontal="left"/>
    </xf>
    <xf numFmtId="0" fontId="132" fillId="10" borderId="0" xfId="0" applyFont="1" applyFill="1" applyAlignment="1">
      <alignment horizontal="centerContinuous"/>
    </xf>
    <xf numFmtId="0" fontId="135" fillId="0" borderId="0" xfId="585" applyFont="1"/>
    <xf numFmtId="0" fontId="136" fillId="0" borderId="0" xfId="585" applyFont="1"/>
    <xf numFmtId="0" fontId="39" fillId="0" borderId="0" xfId="585" applyFont="1"/>
    <xf numFmtId="0" fontId="134" fillId="12" borderId="0" xfId="585" applyFont="1" applyFill="1" applyAlignment="1">
      <alignment horizontal="center" vertical="center"/>
    </xf>
    <xf numFmtId="0" fontId="39" fillId="12" borderId="0" xfId="585" applyFont="1" applyFill="1"/>
    <xf numFmtId="0" fontId="136" fillId="12" borderId="0" xfId="585" applyFont="1" applyFill="1"/>
    <xf numFmtId="0" fontId="137" fillId="0" borderId="0" xfId="585" applyFont="1" applyAlignment="1">
      <alignment horizontal="center" vertical="center"/>
    </xf>
    <xf numFmtId="164" fontId="134" fillId="0" borderId="0" xfId="587" applyNumberFormat="1" applyFont="1" applyFill="1" applyAlignment="1">
      <alignment horizontal="center" vertical="center"/>
    </xf>
    <xf numFmtId="0" fontId="134" fillId="0" borderId="0" xfId="585" applyFont="1" applyAlignment="1">
      <alignment horizontal="center" vertical="center"/>
    </xf>
    <xf numFmtId="0" fontId="138" fillId="12" borderId="0" xfId="588" applyFont="1" applyFill="1" applyAlignment="1">
      <alignment horizontal="center" vertical="center"/>
    </xf>
    <xf numFmtId="0" fontId="40" fillId="12" borderId="0" xfId="588" applyFont="1" applyFill="1" applyAlignment="1">
      <alignment horizontal="center"/>
    </xf>
    <xf numFmtId="0" fontId="40" fillId="12" borderId="0" xfId="588" applyFont="1" applyFill="1"/>
    <xf numFmtId="0" fontId="40" fillId="12" borderId="0" xfId="588" applyFont="1" applyFill="1" applyAlignment="1">
      <alignment horizontal="center" vertical="center"/>
    </xf>
    <xf numFmtId="5" fontId="41" fillId="26" borderId="4" xfId="0" applyNumberFormat="1" applyFont="1" applyFill="1" applyBorder="1" applyAlignment="1">
      <alignment vertical="center"/>
    </xf>
    <xf numFmtId="164" fontId="44" fillId="26" borderId="4" xfId="0" applyNumberFormat="1" applyFont="1" applyFill="1" applyBorder="1" applyAlignment="1">
      <alignment vertical="center"/>
    </xf>
    <xf numFmtId="164" fontId="46" fillId="26" borderId="4" xfId="0" applyNumberFormat="1" applyFont="1" applyFill="1" applyBorder="1" applyAlignment="1">
      <alignment vertical="center"/>
    </xf>
    <xf numFmtId="192" fontId="121" fillId="0" borderId="0" xfId="0" applyNumberFormat="1" applyFont="1"/>
    <xf numFmtId="192" fontId="137" fillId="0" borderId="0" xfId="586" applyNumberFormat="1" applyFont="1" applyFill="1" applyAlignment="1">
      <alignment horizontal="center" vertical="center"/>
    </xf>
    <xf numFmtId="192" fontId="137" fillId="0" borderId="0" xfId="586" applyNumberFormat="1" applyFont="1" applyFill="1" applyBorder="1" applyAlignment="1">
      <alignment horizontal="center" vertical="center"/>
    </xf>
    <xf numFmtId="198" fontId="55" fillId="0" borderId="0" xfId="0" applyNumberFormat="1" applyFont="1" applyAlignment="1">
      <alignment horizontal="center" vertical="center"/>
    </xf>
    <xf numFmtId="198" fontId="49" fillId="0" borderId="0" xfId="0" applyNumberFormat="1" applyFont="1" applyAlignment="1">
      <alignment horizontal="center" vertical="center"/>
    </xf>
    <xf numFmtId="198" fontId="49" fillId="0" borderId="12" xfId="0" applyNumberFormat="1" applyFont="1" applyBorder="1" applyAlignment="1">
      <alignment horizontal="center" vertical="center"/>
    </xf>
    <xf numFmtId="198" fontId="49" fillId="0" borderId="16" xfId="0" applyNumberFormat="1" applyFont="1" applyBorder="1" applyAlignment="1">
      <alignment horizontal="center" vertical="center"/>
    </xf>
    <xf numFmtId="198" fontId="49" fillId="0" borderId="17" xfId="0" applyNumberFormat="1" applyFont="1" applyBorder="1" applyAlignment="1">
      <alignment horizontal="center" vertical="center"/>
    </xf>
    <xf numFmtId="193" fontId="55" fillId="0" borderId="0" xfId="0" applyNumberFormat="1" applyFont="1" applyAlignment="1">
      <alignment horizontal="center"/>
    </xf>
    <xf numFmtId="197" fontId="55" fillId="8" borderId="21" xfId="51" applyNumberFormat="1" applyFont="1" applyFill="1" applyBorder="1" applyAlignment="1">
      <alignment horizontal="center" vertical="center" wrapText="1"/>
    </xf>
    <xf numFmtId="197" fontId="48" fillId="0" borderId="0" xfId="51" applyNumberFormat="1" applyFont="1" applyFill="1" applyAlignment="1">
      <alignment horizontal="center"/>
    </xf>
    <xf numFmtId="197" fontId="48" fillId="0" borderId="0" xfId="0" applyNumberFormat="1" applyFont="1"/>
    <xf numFmtId="195" fontId="66" fillId="0" borderId="16" xfId="0" applyNumberFormat="1" applyFont="1" applyBorder="1" applyAlignment="1">
      <alignment horizontal="center"/>
    </xf>
    <xf numFmtId="196" fontId="54" fillId="0" borderId="5" xfId="0" applyNumberFormat="1" applyFont="1" applyBorder="1" applyAlignment="1">
      <alignment horizontal="center"/>
    </xf>
    <xf numFmtId="196" fontId="54" fillId="0" borderId="27" xfId="0" applyNumberFormat="1" applyFont="1" applyBorder="1" applyAlignment="1">
      <alignment horizontal="center"/>
    </xf>
    <xf numFmtId="196" fontId="55" fillId="8" borderId="0" xfId="0" applyNumberFormat="1" applyFont="1" applyFill="1" applyAlignment="1">
      <alignment horizontal="center"/>
    </xf>
    <xf numFmtId="196" fontId="55" fillId="8" borderId="12" xfId="0" applyNumberFormat="1" applyFont="1" applyFill="1" applyBorder="1" applyAlignment="1">
      <alignment horizontal="center"/>
    </xf>
    <xf numFmtId="193" fontId="48" fillId="0" borderId="0" xfId="0" applyNumberFormat="1" applyFont="1" applyAlignment="1">
      <alignment vertical="center"/>
    </xf>
    <xf numFmtId="193" fontId="57" fillId="8" borderId="0" xfId="51" quotePrefix="1" applyNumberFormat="1" applyFont="1" applyFill="1" applyBorder="1" applyAlignment="1">
      <alignment vertical="center"/>
    </xf>
    <xf numFmtId="193" fontId="50" fillId="0" borderId="36" xfId="51" applyNumberFormat="1" applyFont="1" applyFill="1" applyBorder="1" applyAlignment="1">
      <alignment horizontal="center" vertical="center"/>
    </xf>
    <xf numFmtId="193" fontId="59" fillId="0" borderId="36" xfId="51" applyNumberFormat="1" applyFont="1" applyFill="1" applyBorder="1" applyAlignment="1">
      <alignment horizontal="center" vertical="center"/>
    </xf>
    <xf numFmtId="193" fontId="59" fillId="0" borderId="0" xfId="51" applyNumberFormat="1" applyFont="1" applyFill="1" applyBorder="1" applyAlignment="1">
      <alignment horizontal="center" vertical="center"/>
    </xf>
    <xf numFmtId="193" fontId="59" fillId="0" borderId="0" xfId="51" applyNumberFormat="1" applyFont="1" applyFill="1" applyBorder="1" applyAlignment="1">
      <alignment horizontal="center"/>
    </xf>
    <xf numFmtId="193" fontId="59" fillId="0" borderId="0" xfId="0" applyNumberFormat="1" applyFont="1" applyAlignment="1">
      <alignment vertical="center"/>
    </xf>
    <xf numFmtId="193" fontId="95" fillId="0" borderId="0" xfId="51" applyNumberFormat="1" applyFont="1" applyFill="1" applyBorder="1" applyAlignment="1">
      <alignment horizontal="center" vertical="center"/>
    </xf>
    <xf numFmtId="202" fontId="59" fillId="0" borderId="0" xfId="0" applyNumberFormat="1" applyFont="1" applyAlignment="1">
      <alignment vertical="center"/>
    </xf>
    <xf numFmtId="202" fontId="59" fillId="0" borderId="36" xfId="51" applyNumberFormat="1" applyFont="1" applyFill="1" applyBorder="1" applyAlignment="1">
      <alignment horizontal="center" vertical="center"/>
    </xf>
    <xf numFmtId="202" fontId="59" fillId="0" borderId="0" xfId="51" applyNumberFormat="1" applyFont="1" applyFill="1" applyBorder="1" applyAlignment="1">
      <alignment horizontal="center" vertical="center"/>
    </xf>
    <xf numFmtId="202" fontId="59" fillId="0" borderId="0" xfId="51" applyNumberFormat="1" applyFont="1" applyFill="1" applyBorder="1" applyAlignment="1">
      <alignment horizontal="center"/>
    </xf>
    <xf numFmtId="202" fontId="57" fillId="0" borderId="36" xfId="51" applyNumberFormat="1" applyFont="1" applyFill="1" applyBorder="1" applyAlignment="1">
      <alignment horizontal="center" vertical="center"/>
    </xf>
    <xf numFmtId="202" fontId="58" fillId="0" borderId="0" xfId="51" applyNumberFormat="1" applyFont="1" applyFill="1" applyBorder="1" applyAlignment="1">
      <alignment horizontal="center" vertical="center"/>
    </xf>
    <xf numFmtId="202" fontId="95" fillId="0" borderId="36" xfId="51" applyNumberFormat="1" applyFont="1" applyFill="1" applyBorder="1" applyAlignment="1">
      <alignment horizontal="center" vertical="center"/>
    </xf>
    <xf numFmtId="202" fontId="95" fillId="0" borderId="0" xfId="51" applyNumberFormat="1" applyFont="1" applyFill="1" applyBorder="1" applyAlignment="1">
      <alignment horizontal="center" vertical="center"/>
    </xf>
    <xf numFmtId="193" fontId="139" fillId="0" borderId="0" xfId="22" applyNumberFormat="1" applyFont="1" applyFill="1" applyBorder="1" applyAlignment="1">
      <alignment horizontal="center" vertical="center"/>
    </xf>
    <xf numFmtId="193" fontId="139" fillId="0" borderId="36" xfId="22" applyNumberFormat="1" applyFont="1" applyFill="1" applyBorder="1" applyAlignment="1">
      <alignment horizontal="center" vertical="center"/>
    </xf>
    <xf numFmtId="192" fontId="139" fillId="0" borderId="0" xfId="22" applyNumberFormat="1" applyFont="1" applyFill="1" applyBorder="1" applyAlignment="1">
      <alignment horizontal="center" vertical="center"/>
    </xf>
    <xf numFmtId="192" fontId="139" fillId="0" borderId="36" xfId="22" applyNumberFormat="1" applyFont="1" applyFill="1" applyBorder="1" applyAlignment="1">
      <alignment horizontal="center" vertical="center"/>
    </xf>
    <xf numFmtId="14" fontId="139" fillId="0" borderId="0" xfId="0" applyNumberFormat="1" applyFont="1" applyAlignment="1">
      <alignment vertical="center"/>
    </xf>
    <xf numFmtId="0" fontId="84" fillId="0" borderId="0" xfId="0" applyFont="1"/>
    <xf numFmtId="164" fontId="57" fillId="0" borderId="0" xfId="0" applyNumberFormat="1" applyFont="1" applyAlignment="1">
      <alignment horizontal="left" indent="1"/>
    </xf>
    <xf numFmtId="164" fontId="51" fillId="0" borderId="36" xfId="0" applyNumberFormat="1" applyFont="1" applyBorder="1" applyAlignment="1">
      <alignment horizontal="center"/>
    </xf>
    <xf numFmtId="164" fontId="51" fillId="0" borderId="0" xfId="0" applyNumberFormat="1" applyFont="1" applyAlignment="1">
      <alignment horizontal="center"/>
    </xf>
    <xf numFmtId="164" fontId="53" fillId="0" borderId="0" xfId="0" applyNumberFormat="1" applyFont="1" applyAlignment="1">
      <alignment horizontal="center"/>
    </xf>
    <xf numFmtId="164" fontId="53" fillId="0" borderId="36" xfId="0" applyNumberFormat="1" applyFont="1" applyBorder="1" applyAlignment="1">
      <alignment horizontal="center"/>
    </xf>
    <xf numFmtId="192" fontId="57" fillId="0" borderId="36" xfId="0" applyNumberFormat="1" applyFont="1" applyBorder="1" applyAlignment="1">
      <alignment horizontal="center"/>
    </xf>
    <xf numFmtId="37" fontId="59" fillId="0" borderId="0" xfId="0" applyNumberFormat="1" applyFont="1"/>
    <xf numFmtId="0" fontId="41" fillId="0" borderId="0" xfId="0" applyFont="1"/>
    <xf numFmtId="0" fontId="39" fillId="8" borderId="2" xfId="88" applyFont="1" applyFill="1" applyBorder="1" applyAlignment="1">
      <alignment horizontal="center"/>
    </xf>
    <xf numFmtId="194" fontId="55" fillId="21" borderId="36" xfId="0" applyNumberFormat="1" applyFont="1" applyFill="1" applyBorder="1" applyAlignment="1">
      <alignment horizontal="center" vertical="center"/>
    </xf>
    <xf numFmtId="194" fontId="55" fillId="21" borderId="0" xfId="0" applyNumberFormat="1" applyFont="1" applyFill="1" applyAlignment="1">
      <alignment horizontal="center" vertical="center"/>
    </xf>
    <xf numFmtId="194" fontId="47" fillId="21" borderId="0" xfId="582" applyNumberFormat="1" applyFont="1" applyFill="1">
      <alignment horizontal="center"/>
    </xf>
    <xf numFmtId="194" fontId="47" fillId="21" borderId="4" xfId="582" applyNumberFormat="1" applyFont="1" applyFill="1" applyBorder="1">
      <alignment horizontal="center"/>
    </xf>
    <xf numFmtId="194" fontId="55" fillId="20" borderId="0" xfId="0" applyNumberFormat="1" applyFont="1" applyFill="1" applyAlignment="1">
      <alignment horizontal="center" vertical="center"/>
    </xf>
    <xf numFmtId="194" fontId="47" fillId="20" borderId="4" xfId="582" applyNumberFormat="1" applyFont="1" applyFill="1" applyBorder="1">
      <alignment horizontal="center"/>
    </xf>
    <xf numFmtId="194" fontId="39" fillId="18" borderId="4" xfId="582" applyNumberFormat="1" applyFill="1" applyBorder="1">
      <alignment horizontal="center"/>
    </xf>
    <xf numFmtId="194" fontId="39" fillId="12" borderId="0" xfId="582" applyNumberFormat="1" applyFill="1">
      <alignment horizontal="center"/>
    </xf>
    <xf numFmtId="194" fontId="39" fillId="12" borderId="4" xfId="582" applyNumberFormat="1" applyFill="1" applyBorder="1">
      <alignment horizontal="center"/>
    </xf>
    <xf numFmtId="196" fontId="121" fillId="12" borderId="0" xfId="0" applyNumberFormat="1" applyFont="1" applyFill="1" applyAlignment="1">
      <alignment horizontal="center" vertical="center"/>
    </xf>
    <xf numFmtId="196" fontId="39" fillId="12" borderId="4" xfId="582" applyNumberFormat="1" applyFill="1" applyBorder="1">
      <alignment horizontal="center"/>
    </xf>
    <xf numFmtId="194" fontId="121" fillId="18" borderId="0" xfId="0" applyNumberFormat="1" applyFont="1" applyFill="1" applyAlignment="1">
      <alignment horizontal="center" vertical="center"/>
    </xf>
    <xf numFmtId="193" fontId="56" fillId="0" borderId="0" xfId="22" quotePrefix="1" applyNumberFormat="1" applyFont="1" applyBorder="1" applyAlignment="1">
      <alignment horizontal="center" vertical="center"/>
    </xf>
    <xf numFmtId="15" fontId="54" fillId="12" borderId="0" xfId="0" applyNumberFormat="1" applyFont="1" applyFill="1" applyAlignment="1">
      <alignment horizontal="center" vertical="center"/>
    </xf>
    <xf numFmtId="37" fontId="57" fillId="0" borderId="14" xfId="0" applyNumberFormat="1" applyFont="1" applyBorder="1" applyAlignment="1">
      <alignment vertical="center"/>
    </xf>
    <xf numFmtId="192" fontId="57" fillId="0" borderId="14" xfId="0" applyNumberFormat="1" applyFont="1" applyBorder="1" applyAlignment="1">
      <alignment horizontal="center" vertical="center"/>
    </xf>
    <xf numFmtId="192" fontId="57" fillId="0" borderId="16" xfId="0" applyNumberFormat="1" applyFont="1" applyBorder="1" applyAlignment="1">
      <alignment horizontal="center" vertical="center"/>
    </xf>
    <xf numFmtId="37" fontId="48" fillId="0" borderId="11" xfId="0" applyNumberFormat="1" applyFont="1" applyBorder="1" applyAlignment="1">
      <alignment horizontal="center" vertical="center"/>
    </xf>
    <xf numFmtId="37" fontId="48" fillId="0" borderId="12" xfId="0" applyNumberFormat="1" applyFont="1" applyBorder="1" applyAlignment="1">
      <alignment vertical="center"/>
    </xf>
    <xf numFmtId="37" fontId="70" fillId="0" borderId="12" xfId="51" applyNumberFormat="1" applyFont="1" applyFill="1" applyBorder="1" applyAlignment="1">
      <alignment horizontal="center" vertical="center"/>
    </xf>
    <xf numFmtId="37" fontId="54" fillId="0" borderId="0" xfId="0" applyNumberFormat="1" applyFont="1" applyAlignment="1">
      <alignment horizontal="left" vertical="center"/>
    </xf>
    <xf numFmtId="37" fontId="136" fillId="0" borderId="0" xfId="583" applyNumberFormat="1" applyFont="1">
      <alignment horizontal="left"/>
    </xf>
    <xf numFmtId="0" fontId="140" fillId="24" borderId="0" xfId="0" applyFont="1" applyFill="1" applyAlignment="1">
      <alignment horizontal="left" vertical="center"/>
    </xf>
    <xf numFmtId="0" fontId="141" fillId="24" borderId="0" xfId="0" applyFont="1" applyFill="1" applyAlignment="1">
      <alignment horizontal="center" vertical="center"/>
    </xf>
    <xf numFmtId="0" fontId="140" fillId="24" borderId="0" xfId="0" applyFont="1" applyFill="1" applyAlignment="1">
      <alignment horizontal="centerContinuous" vertical="center"/>
    </xf>
    <xf numFmtId="0" fontId="140" fillId="24" borderId="0" xfId="0" applyFont="1" applyFill="1" applyAlignment="1">
      <alignment horizontal="centerContinuous"/>
    </xf>
    <xf numFmtId="0" fontId="140" fillId="24" borderId="0" xfId="0" applyFont="1" applyFill="1" applyAlignment="1">
      <alignment horizontal="centerContinuous" vertical="center" wrapText="1"/>
    </xf>
    <xf numFmtId="0" fontId="142" fillId="25" borderId="0" xfId="0" applyFont="1" applyFill="1" applyAlignment="1">
      <alignment vertical="center"/>
    </xf>
    <xf numFmtId="0" fontId="142" fillId="25" borderId="0" xfId="0" applyFont="1" applyFill="1" applyAlignment="1">
      <alignment horizontal="center" vertical="center"/>
    </xf>
    <xf numFmtId="0" fontId="142" fillId="25" borderId="0" xfId="0" applyFont="1" applyFill="1" applyAlignment="1">
      <alignment horizontal="left" vertical="center"/>
    </xf>
    <xf numFmtId="199" fontId="142" fillId="25" borderId="0" xfId="0" applyNumberFormat="1" applyFont="1" applyFill="1" applyAlignment="1">
      <alignment horizontal="center" vertical="center"/>
    </xf>
    <xf numFmtId="199" fontId="141" fillId="25" borderId="0" xfId="0" applyNumberFormat="1" applyFont="1" applyFill="1" applyAlignment="1">
      <alignment horizontal="center" vertical="center"/>
    </xf>
    <xf numFmtId="0" fontId="143" fillId="0" borderId="0" xfId="0" applyFont="1" applyAlignment="1">
      <alignment horizontal="left" vertical="center"/>
    </xf>
    <xf numFmtId="192" fontId="143" fillId="0" borderId="0" xfId="0" applyNumberFormat="1" applyFont="1" applyAlignment="1">
      <alignment horizontal="center" vertical="center"/>
    </xf>
    <xf numFmtId="192" fontId="144" fillId="0" borderId="0" xfId="0" applyNumberFormat="1" applyFont="1" applyAlignment="1">
      <alignment horizontal="center" vertical="center"/>
    </xf>
    <xf numFmtId="192" fontId="142" fillId="25" borderId="0" xfId="0" applyNumberFormat="1" applyFont="1" applyFill="1" applyAlignment="1">
      <alignment horizontal="center" vertical="center"/>
    </xf>
    <xf numFmtId="0" fontId="142" fillId="24" borderId="0" xfId="0" applyFont="1" applyFill="1" applyAlignment="1">
      <alignment horizontal="left" vertical="center"/>
    </xf>
    <xf numFmtId="199" fontId="142" fillId="24" borderId="0" xfId="0" applyNumberFormat="1" applyFont="1" applyFill="1" applyAlignment="1">
      <alignment horizontal="center" vertical="center"/>
    </xf>
    <xf numFmtId="199" fontId="141" fillId="24" borderId="0" xfId="0" applyNumberFormat="1" applyFont="1" applyFill="1" applyAlignment="1">
      <alignment horizontal="center" vertical="center"/>
    </xf>
    <xf numFmtId="192" fontId="142" fillId="24" borderId="0" xfId="0" applyNumberFormat="1" applyFont="1" applyFill="1" applyAlignment="1">
      <alignment horizontal="center" vertical="center"/>
    </xf>
    <xf numFmtId="201" fontId="143" fillId="0" borderId="0" xfId="0" applyNumberFormat="1" applyFont="1" applyAlignment="1">
      <alignment horizontal="center" vertical="center"/>
    </xf>
    <xf numFmtId="184" fontId="142" fillId="24" borderId="0" xfId="0" applyNumberFormat="1" applyFont="1" applyFill="1" applyAlignment="1">
      <alignment horizontal="center" vertical="center"/>
    </xf>
    <xf numFmtId="184" fontId="141" fillId="24" borderId="0" xfId="0" applyNumberFormat="1" applyFont="1" applyFill="1" applyAlignment="1">
      <alignment horizontal="center" vertical="center"/>
    </xf>
    <xf numFmtId="196" fontId="142" fillId="25" borderId="0" xfId="0" applyNumberFormat="1" applyFont="1" applyFill="1" applyAlignment="1">
      <alignment horizontal="center" vertical="center"/>
    </xf>
    <xf numFmtId="196" fontId="141" fillId="25" borderId="0" xfId="0" applyNumberFormat="1" applyFont="1" applyFill="1" applyAlignment="1">
      <alignment horizontal="center" vertical="center"/>
    </xf>
    <xf numFmtId="14" fontId="39" fillId="0" borderId="0" xfId="88" applyNumberFormat="1" applyFont="1"/>
    <xf numFmtId="0" fontId="40" fillId="0" borderId="0" xfId="42" applyFont="1" applyAlignment="1">
      <alignment horizontal="center" vertical="center"/>
    </xf>
    <xf numFmtId="192" fontId="41" fillId="0" borderId="0" xfId="0" applyNumberFormat="1" applyFont="1"/>
    <xf numFmtId="192" fontId="43" fillId="0" borderId="0" xfId="51" applyNumberFormat="1" applyFont="1" applyFill="1" applyBorder="1"/>
    <xf numFmtId="1" fontId="41" fillId="0" borderId="0" xfId="0" applyNumberFormat="1" applyFont="1"/>
    <xf numFmtId="183" fontId="41" fillId="0" borderId="0" xfId="0" applyNumberFormat="1" applyFont="1"/>
    <xf numFmtId="0" fontId="40" fillId="0" borderId="0" xfId="0" applyFont="1"/>
    <xf numFmtId="43" fontId="59" fillId="0" borderId="0" xfId="22" applyFont="1" applyFill="1" applyBorder="1" applyAlignment="1">
      <alignment vertical="center"/>
    </xf>
    <xf numFmtId="0" fontId="59" fillId="14" borderId="36" xfId="0" applyFont="1" applyFill="1" applyBorder="1" applyAlignment="1">
      <alignment horizontal="center" vertical="center"/>
    </xf>
    <xf numFmtId="37" fontId="145" fillId="0" borderId="0" xfId="0" applyNumberFormat="1" applyFont="1" applyAlignment="1">
      <alignment horizontal="center" vertical="center"/>
    </xf>
    <xf numFmtId="192" fontId="57" fillId="0" borderId="0" xfId="22" applyNumberFormat="1" applyFont="1" applyFill="1" applyBorder="1" applyAlignment="1">
      <alignment horizontal="center" vertical="center"/>
    </xf>
    <xf numFmtId="164" fontId="53" fillId="0" borderId="0" xfId="0" applyNumberFormat="1" applyFont="1" applyAlignment="1">
      <alignment horizontal="center" vertical="center"/>
    </xf>
    <xf numFmtId="192" fontId="88" fillId="0" borderId="0" xfId="51" applyNumberFormat="1" applyFont="1" applyFill="1" applyBorder="1" applyAlignment="1">
      <alignment horizontal="center" vertical="center"/>
    </xf>
    <xf numFmtId="193" fontId="59" fillId="0" borderId="0" xfId="22" applyNumberFormat="1" applyFont="1" applyFill="1" applyBorder="1" applyAlignment="1">
      <alignment horizontal="center" vertical="center"/>
    </xf>
    <xf numFmtId="193" fontId="57" fillId="0" borderId="0" xfId="0" applyNumberFormat="1" applyFont="1" applyAlignment="1">
      <alignment horizontal="center" vertical="center"/>
    </xf>
    <xf numFmtId="193" fontId="57" fillId="0" borderId="0" xfId="22" applyNumberFormat="1" applyFont="1" applyFill="1" applyBorder="1" applyAlignment="1">
      <alignment horizontal="center" vertical="center"/>
    </xf>
    <xf numFmtId="43" fontId="57" fillId="0" borderId="0" xfId="22" applyFont="1" applyFill="1" applyBorder="1" applyAlignment="1">
      <alignment horizontal="center" vertical="center"/>
    </xf>
    <xf numFmtId="7" fontId="53" fillId="0" borderId="0" xfId="27" applyNumberFormat="1" applyFont="1" applyFill="1" applyBorder="1" applyAlignment="1">
      <alignment horizontal="center" vertical="center"/>
    </xf>
    <xf numFmtId="164" fontId="93" fillId="0" borderId="0" xfId="0" applyNumberFormat="1" applyFont="1" applyAlignment="1">
      <alignment horizontal="center" vertical="center"/>
    </xf>
    <xf numFmtId="7" fontId="57" fillId="0" borderId="0" xfId="27" applyNumberFormat="1" applyFont="1" applyFill="1" applyBorder="1" applyAlignment="1">
      <alignment horizontal="center" vertical="center"/>
    </xf>
    <xf numFmtId="37" fontId="53" fillId="14" borderId="0" xfId="0" applyNumberFormat="1" applyFont="1" applyFill="1" applyAlignment="1">
      <alignment vertical="center"/>
    </xf>
    <xf numFmtId="164" fontId="55" fillId="14" borderId="0" xfId="0" applyNumberFormat="1" applyFont="1" applyFill="1" applyAlignment="1">
      <alignment horizontal="center" vertical="center"/>
    </xf>
    <xf numFmtId="164" fontId="55" fillId="14" borderId="36" xfId="0" applyNumberFormat="1" applyFont="1" applyFill="1" applyBorder="1" applyAlignment="1">
      <alignment horizontal="center" vertical="center"/>
    </xf>
    <xf numFmtId="192" fontId="48" fillId="14" borderId="0" xfId="51" applyNumberFormat="1" applyFont="1" applyFill="1" applyBorder="1" applyAlignment="1">
      <alignment horizontal="center" vertical="center"/>
    </xf>
    <xf numFmtId="37" fontId="59" fillId="14" borderId="0" xfId="0" applyNumberFormat="1" applyFont="1" applyFill="1" applyAlignment="1">
      <alignment horizontal="center" vertical="center"/>
    </xf>
    <xf numFmtId="37" fontId="55" fillId="14" borderId="36" xfId="0" applyNumberFormat="1" applyFont="1" applyFill="1" applyBorder="1" applyAlignment="1">
      <alignment horizontal="center" vertical="center"/>
    </xf>
    <xf numFmtId="37" fontId="88" fillId="14" borderId="0" xfId="0" applyNumberFormat="1" applyFont="1" applyFill="1" applyAlignment="1">
      <alignment horizontal="center" vertical="center"/>
    </xf>
    <xf numFmtId="37" fontId="55" fillId="14" borderId="0" xfId="0" applyNumberFormat="1" applyFont="1" applyFill="1" applyAlignment="1">
      <alignment horizontal="center" vertical="center"/>
    </xf>
    <xf numFmtId="192" fontId="52" fillId="0" borderId="0" xfId="51" applyNumberFormat="1" applyFont="1" applyBorder="1" applyAlignment="1">
      <alignment horizontal="center" vertical="center"/>
    </xf>
    <xf numFmtId="192" fontId="52" fillId="0" borderId="0" xfId="51" applyNumberFormat="1" applyFont="1" applyFill="1" applyBorder="1" applyAlignment="1">
      <alignment horizontal="center" vertical="center"/>
    </xf>
    <xf numFmtId="37" fontId="52" fillId="0" borderId="0" xfId="0" applyNumberFormat="1" applyFont="1" applyAlignment="1">
      <alignment vertical="center"/>
    </xf>
    <xf numFmtId="0" fontId="146" fillId="0" borderId="0" xfId="0" applyFont="1" applyAlignment="1">
      <alignment horizontal="right" vertical="center"/>
    </xf>
    <xf numFmtId="14" fontId="52" fillId="0" borderId="0" xfId="0" applyNumberFormat="1" applyFont="1" applyAlignment="1">
      <alignment vertical="center"/>
    </xf>
    <xf numFmtId="14" fontId="89" fillId="0" borderId="0" xfId="0" applyNumberFormat="1" applyFont="1" applyAlignment="1">
      <alignment vertical="center"/>
    </xf>
    <xf numFmtId="14" fontId="58" fillId="0" borderId="0" xfId="0" applyNumberFormat="1" applyFont="1" applyAlignment="1">
      <alignment vertical="center"/>
    </xf>
    <xf numFmtId="193" fontId="52" fillId="0" borderId="0" xfId="0" applyNumberFormat="1" applyFont="1" applyAlignment="1">
      <alignment vertical="center"/>
    </xf>
    <xf numFmtId="192" fontId="52" fillId="0" borderId="0" xfId="0" applyNumberFormat="1" applyFont="1" applyAlignment="1">
      <alignment vertical="center"/>
    </xf>
    <xf numFmtId="202" fontId="58" fillId="0" borderId="0" xfId="0" applyNumberFormat="1" applyFont="1" applyAlignment="1">
      <alignment vertical="center"/>
    </xf>
    <xf numFmtId="14" fontId="84" fillId="0" borderId="0" xfId="0" applyNumberFormat="1" applyFont="1" applyAlignment="1">
      <alignment vertical="center"/>
    </xf>
    <xf numFmtId="192" fontId="52" fillId="0" borderId="0" xfId="51" applyNumberFormat="1" applyFont="1" applyFill="1" applyBorder="1" applyAlignment="1">
      <alignment vertical="center"/>
    </xf>
    <xf numFmtId="192" fontId="57" fillId="0" borderId="0" xfId="51" applyNumberFormat="1" applyFont="1" applyFill="1" applyBorder="1" applyAlignment="1">
      <alignment horizontal="left" vertical="center" indent="2"/>
    </xf>
    <xf numFmtId="202" fontId="57" fillId="8" borderId="0" xfId="51" quotePrefix="1" applyNumberFormat="1" applyFont="1" applyFill="1" applyBorder="1" applyAlignment="1">
      <alignment horizontal="left" vertical="center" indent="2"/>
    </xf>
    <xf numFmtId="192" fontId="57" fillId="14" borderId="0" xfId="51" applyNumberFormat="1" applyFont="1" applyFill="1" applyBorder="1" applyAlignment="1">
      <alignment horizontal="left" vertical="center" indent="1"/>
    </xf>
    <xf numFmtId="14" fontId="86" fillId="8" borderId="0" xfId="0" applyNumberFormat="1" applyFont="1" applyFill="1" applyAlignment="1">
      <alignment vertical="center"/>
    </xf>
    <xf numFmtId="192" fontId="39" fillId="18" borderId="4" xfId="582" applyNumberFormat="1" applyFill="1" applyBorder="1">
      <alignment horizontal="center"/>
    </xf>
    <xf numFmtId="192" fontId="39" fillId="19" borderId="4" xfId="582" applyNumberFormat="1" applyFill="1" applyBorder="1">
      <alignment horizontal="center"/>
    </xf>
    <xf numFmtId="192" fontId="47" fillId="20" borderId="4" xfId="582" applyNumberFormat="1" applyFont="1" applyFill="1" applyBorder="1">
      <alignment horizontal="center"/>
    </xf>
    <xf numFmtId="0" fontId="127" fillId="18" borderId="30" xfId="0" applyFont="1" applyFill="1" applyBorder="1" applyAlignment="1">
      <alignment horizontal="centerContinuous"/>
    </xf>
    <xf numFmtId="37" fontId="57" fillId="0" borderId="0" xfId="0" applyNumberFormat="1" applyFont="1" applyAlignment="1">
      <alignment horizontal="left" vertical="center" indent="2"/>
    </xf>
    <xf numFmtId="197" fontId="57" fillId="0" borderId="0" xfId="51" applyNumberFormat="1" applyFont="1" applyFill="1" applyBorder="1" applyAlignment="1">
      <alignment horizontal="center" vertical="center"/>
    </xf>
    <xf numFmtId="197" fontId="57" fillId="0" borderId="36" xfId="51" applyNumberFormat="1" applyFont="1" applyFill="1" applyBorder="1" applyAlignment="1">
      <alignment horizontal="center" vertical="center"/>
    </xf>
    <xf numFmtId="197" fontId="95" fillId="0" borderId="0" xfId="51" applyNumberFormat="1" applyFont="1" applyFill="1" applyBorder="1" applyAlignment="1">
      <alignment horizontal="center" vertical="center"/>
    </xf>
    <xf numFmtId="195" fontId="52" fillId="10" borderId="0" xfId="0" applyNumberFormat="1" applyFont="1" applyFill="1" applyAlignment="1">
      <alignment horizontal="left"/>
    </xf>
    <xf numFmtId="37" fontId="129" fillId="0" borderId="4" xfId="582" applyFont="1" applyBorder="1">
      <alignment horizontal="center"/>
    </xf>
    <xf numFmtId="195" fontId="129" fillId="0" borderId="4" xfId="582" applyNumberFormat="1" applyFont="1" applyBorder="1">
      <alignment horizontal="center"/>
    </xf>
    <xf numFmtId="194" fontId="129" fillId="0" borderId="4" xfId="582" applyNumberFormat="1" applyFont="1" applyBorder="1">
      <alignment horizontal="center"/>
    </xf>
    <xf numFmtId="196" fontId="121" fillId="14" borderId="0" xfId="0" applyNumberFormat="1" applyFont="1" applyFill="1" applyAlignment="1">
      <alignment horizontal="center" vertical="center"/>
    </xf>
    <xf numFmtId="196" fontId="121" fillId="19" borderId="0" xfId="0" applyNumberFormat="1" applyFont="1" applyFill="1" applyAlignment="1">
      <alignment horizontal="center" vertical="center"/>
    </xf>
    <xf numFmtId="164" fontId="123" fillId="0" borderId="0" xfId="0" applyNumberFormat="1" applyFont="1" applyAlignment="1">
      <alignment horizontal="centerContinuous" vertical="center"/>
    </xf>
    <xf numFmtId="39" fontId="124" fillId="0" borderId="0" xfId="0" applyNumberFormat="1" applyFont="1" applyAlignment="1">
      <alignment horizontal="centerContinuous" vertical="center"/>
    </xf>
    <xf numFmtId="0" fontId="124" fillId="0" borderId="0" xfId="0" applyFont="1" applyAlignment="1">
      <alignment horizontal="centerContinuous" vertical="center"/>
    </xf>
    <xf numFmtId="196" fontId="70" fillId="0" borderId="0" xfId="0" applyNumberFormat="1" applyFont="1" applyAlignment="1">
      <alignment horizontal="center" vertical="center"/>
    </xf>
    <xf numFmtId="196" fontId="72" fillId="0" borderId="0" xfId="0" applyNumberFormat="1" applyFont="1" applyAlignment="1">
      <alignment horizontal="center"/>
    </xf>
    <xf numFmtId="196" fontId="55" fillId="0" borderId="0" xfId="0" applyNumberFormat="1" applyFont="1" applyAlignment="1">
      <alignment horizontal="center" vertical="center"/>
    </xf>
    <xf numFmtId="198" fontId="77" fillId="0" borderId="12" xfId="0" applyNumberFormat="1" applyFont="1" applyBorder="1" applyAlignment="1">
      <alignment horizontal="center" vertical="center"/>
    </xf>
    <xf numFmtId="192" fontId="111" fillId="0" borderId="36" xfId="51" quotePrefix="1" applyNumberFormat="1" applyFont="1" applyFill="1" applyBorder="1" applyAlignment="1">
      <alignment horizontal="center" vertical="center"/>
    </xf>
    <xf numFmtId="3" fontId="54" fillId="0" borderId="36" xfId="51" applyNumberFormat="1" applyFont="1" applyFill="1" applyBorder="1" applyAlignment="1">
      <alignment horizontal="center" vertical="center"/>
    </xf>
    <xf numFmtId="192" fontId="57" fillId="0" borderId="0" xfId="51" applyNumberFormat="1" applyFont="1" applyFill="1" applyBorder="1" applyAlignment="1">
      <alignment horizontal="left" vertical="center" indent="1"/>
    </xf>
    <xf numFmtId="192" fontId="54" fillId="14" borderId="0" xfId="51" applyNumberFormat="1" applyFont="1" applyFill="1" applyAlignment="1">
      <alignment vertical="center"/>
    </xf>
    <xf numFmtId="0" fontId="1" fillId="12" borderId="36" xfId="0" applyFont="1" applyFill="1" applyBorder="1" applyAlignment="1">
      <alignment horizontal="left" vertical="center"/>
    </xf>
    <xf numFmtId="192" fontId="54" fillId="0" borderId="0" xfId="51" quotePrefix="1" applyNumberFormat="1" applyFont="1" applyFill="1" applyBorder="1" applyAlignment="1">
      <alignment vertical="center"/>
    </xf>
    <xf numFmtId="192" fontId="58" fillId="0" borderId="0" xfId="51" applyNumberFormat="1" applyFont="1" applyAlignment="1">
      <alignment horizontal="center" vertical="center"/>
    </xf>
    <xf numFmtId="197" fontId="50" fillId="0" borderId="0" xfId="22" applyNumberFormat="1" applyFont="1" applyAlignment="1">
      <alignment horizontal="center" vertical="center"/>
    </xf>
    <xf numFmtId="197" fontId="50" fillId="0" borderId="36" xfId="22" applyNumberFormat="1" applyFont="1" applyBorder="1" applyAlignment="1">
      <alignment horizontal="center" vertical="center"/>
    </xf>
    <xf numFmtId="192" fontId="59" fillId="0" borderId="36" xfId="51" applyNumberFormat="1" applyFont="1" applyBorder="1" applyAlignment="1">
      <alignment horizontal="center" vertical="center"/>
    </xf>
    <xf numFmtId="192" fontId="59" fillId="0" borderId="0" xfId="51" applyNumberFormat="1" applyFont="1" applyAlignment="1">
      <alignment horizontal="center" vertical="center"/>
    </xf>
    <xf numFmtId="202" fontId="59" fillId="0" borderId="36" xfId="51" applyNumberFormat="1" applyFont="1" applyBorder="1" applyAlignment="1">
      <alignment horizontal="center" vertical="center"/>
    </xf>
    <xf numFmtId="202" fontId="59" fillId="0" borderId="0" xfId="51" applyNumberFormat="1" applyFont="1" applyAlignment="1">
      <alignment horizontal="center" vertical="center"/>
    </xf>
    <xf numFmtId="202" fontId="59" fillId="0" borderId="0" xfId="51" applyNumberFormat="1" applyFont="1" applyAlignment="1">
      <alignment horizontal="center"/>
    </xf>
    <xf numFmtId="202" fontId="57" fillId="0" borderId="36" xfId="51" applyNumberFormat="1" applyFont="1" applyBorder="1" applyAlignment="1">
      <alignment horizontal="center" vertical="center"/>
    </xf>
    <xf numFmtId="202" fontId="58" fillId="0" borderId="0" xfId="51" applyNumberFormat="1" applyFont="1" applyAlignment="1">
      <alignment horizontal="center" vertical="center"/>
    </xf>
    <xf numFmtId="202" fontId="57" fillId="0" borderId="0" xfId="51" quotePrefix="1" applyNumberFormat="1" applyFont="1" applyAlignment="1">
      <alignment horizontal="left" vertical="center" indent="2"/>
    </xf>
    <xf numFmtId="192" fontId="57" fillId="8" borderId="0" xfId="51" applyNumberFormat="1" applyFont="1" applyFill="1" applyAlignment="1">
      <alignment horizontal="left" vertical="center" indent="1"/>
    </xf>
    <xf numFmtId="192" fontId="50" fillId="0" borderId="36" xfId="51" applyNumberFormat="1" applyFont="1" applyBorder="1" applyAlignment="1">
      <alignment horizontal="center" vertical="center"/>
    </xf>
    <xf numFmtId="192" fontId="50" fillId="0" borderId="0" xfId="51" applyNumberFormat="1" applyFont="1" applyAlignment="1">
      <alignment horizontal="center" vertical="center"/>
    </xf>
    <xf numFmtId="192" fontId="59" fillId="0" borderId="0" xfId="51" applyNumberFormat="1" applyFont="1" applyAlignment="1">
      <alignment horizontal="center"/>
    </xf>
    <xf numFmtId="183" fontId="59" fillId="0" borderId="0" xfId="51" applyNumberFormat="1" applyFont="1" applyAlignment="1">
      <alignment horizontal="center" vertical="center"/>
    </xf>
    <xf numFmtId="183" fontId="59" fillId="0" borderId="36" xfId="51" applyNumberFormat="1" applyFont="1" applyBorder="1" applyAlignment="1">
      <alignment horizontal="center" vertical="center"/>
    </xf>
    <xf numFmtId="183" fontId="57" fillId="0" borderId="36" xfId="51" applyNumberFormat="1" applyFont="1" applyBorder="1" applyAlignment="1">
      <alignment horizontal="center" vertical="center"/>
    </xf>
    <xf numFmtId="192" fontId="57" fillId="0" borderId="36" xfId="51" applyNumberFormat="1" applyFont="1" applyBorder="1" applyAlignment="1">
      <alignment horizontal="center" vertical="center"/>
    </xf>
    <xf numFmtId="197" fontId="59" fillId="0" borderId="0" xfId="51" applyNumberFormat="1" applyFont="1" applyAlignment="1">
      <alignment horizontal="center" vertical="center"/>
    </xf>
    <xf numFmtId="197" fontId="59" fillId="0" borderId="36" xfId="51" applyNumberFormat="1" applyFont="1" applyBorder="1" applyAlignment="1">
      <alignment horizontal="center" vertical="center"/>
    </xf>
    <xf numFmtId="192" fontId="57" fillId="14" borderId="0" xfId="51" applyNumberFormat="1" applyFont="1" applyFill="1" applyAlignment="1">
      <alignment horizontal="left" vertical="center" indent="1"/>
    </xf>
    <xf numFmtId="192" fontId="50" fillId="14" borderId="0" xfId="51" applyNumberFormat="1" applyFont="1" applyFill="1" applyAlignment="1">
      <alignment horizontal="center" vertical="center"/>
    </xf>
    <xf numFmtId="192" fontId="59" fillId="14" borderId="0" xfId="51" applyNumberFormat="1" applyFont="1" applyFill="1" applyAlignment="1">
      <alignment horizontal="center" vertical="center"/>
    </xf>
    <xf numFmtId="192" fontId="59" fillId="14" borderId="0" xfId="51" applyNumberFormat="1" applyFont="1" applyFill="1" applyAlignment="1">
      <alignment horizontal="center"/>
    </xf>
    <xf numFmtId="183" fontId="59" fillId="14" borderId="0" xfId="51" applyNumberFormat="1" applyFont="1" applyFill="1" applyAlignment="1">
      <alignment horizontal="center" vertical="center"/>
    </xf>
    <xf numFmtId="183" fontId="54" fillId="0" borderId="36" xfId="51" applyNumberFormat="1" applyFont="1" applyFill="1" applyBorder="1" applyAlignment="1">
      <alignment horizontal="center" vertical="center"/>
    </xf>
    <xf numFmtId="183" fontId="89" fillId="0" borderId="0" xfId="51" applyNumberFormat="1" applyFont="1" applyFill="1" applyBorder="1" applyAlignment="1">
      <alignment horizontal="center" vertical="center"/>
    </xf>
    <xf numFmtId="7" fontId="54" fillId="27" borderId="29" xfId="27" applyNumberFormat="1" applyFont="1" applyFill="1" applyBorder="1" applyAlignment="1" applyProtection="1">
      <alignment horizontal="center" vertical="center"/>
    </xf>
    <xf numFmtId="37" fontId="55" fillId="0" borderId="0" xfId="47" applyNumberFormat="1" applyFont="1" applyAlignment="1">
      <alignment vertical="center"/>
    </xf>
    <xf numFmtId="43" fontId="55" fillId="0" borderId="35" xfId="22" applyFont="1" applyFill="1" applyBorder="1" applyAlignment="1">
      <alignment horizontal="center" vertical="center"/>
    </xf>
    <xf numFmtId="164" fontId="62" fillId="8" borderId="0" xfId="0" applyNumberFormat="1" applyFont="1" applyFill="1" applyAlignment="1">
      <alignment horizontal="center" vertical="center"/>
    </xf>
    <xf numFmtId="196" fontId="70" fillId="0" borderId="0" xfId="47" applyNumberFormat="1" applyFont="1" applyAlignment="1">
      <alignment horizontal="center" vertical="center"/>
    </xf>
    <xf numFmtId="5" fontId="80" fillId="0" borderId="0" xfId="47" applyNumberFormat="1" applyFont="1" applyAlignment="1">
      <alignment vertical="center"/>
    </xf>
    <xf numFmtId="192" fontId="80" fillId="0" borderId="0" xfId="51" applyNumberFormat="1" applyFont="1" applyFill="1" applyBorder="1" applyAlignment="1">
      <alignment vertical="center"/>
    </xf>
    <xf numFmtId="168" fontId="80" fillId="0" borderId="0" xfId="22" applyNumberFormat="1" applyFont="1" applyFill="1" applyBorder="1" applyAlignment="1">
      <alignment vertical="center"/>
    </xf>
    <xf numFmtId="37" fontId="75" fillId="0" borderId="0" xfId="0" quotePrefix="1" applyNumberFormat="1" applyFont="1" applyAlignment="1">
      <alignment horizontal="left" vertical="center"/>
    </xf>
    <xf numFmtId="164" fontId="64" fillId="0" borderId="0" xfId="0" applyNumberFormat="1" applyFont="1" applyAlignment="1">
      <alignment horizontal="left" vertical="center"/>
    </xf>
    <xf numFmtId="192" fontId="48" fillId="0" borderId="0" xfId="0" applyNumberFormat="1" applyFont="1" applyAlignment="1">
      <alignment horizontal="left" vertical="center"/>
    </xf>
    <xf numFmtId="0" fontId="48" fillId="0" borderId="0" xfId="0" applyFont="1" applyAlignment="1">
      <alignment horizontal="left" vertical="center"/>
    </xf>
    <xf numFmtId="0" fontId="50" fillId="0" borderId="0" xfId="0" applyFont="1" applyAlignment="1">
      <alignment horizontal="center" vertical="center"/>
    </xf>
    <xf numFmtId="7" fontId="48" fillId="0" borderId="0" xfId="0" applyNumberFormat="1" applyFont="1" applyAlignment="1">
      <alignment horizontal="center" vertical="center"/>
    </xf>
    <xf numFmtId="0" fontId="93" fillId="0" borderId="0" xfId="0" applyFont="1" applyAlignment="1">
      <alignment vertical="center"/>
    </xf>
    <xf numFmtId="5" fontId="55" fillId="0" borderId="0" xfId="0" applyNumberFormat="1" applyFont="1" applyAlignment="1">
      <alignment horizontal="left" vertical="center"/>
    </xf>
    <xf numFmtId="0" fontId="55" fillId="0" borderId="0" xfId="0" applyFont="1" applyAlignment="1">
      <alignment horizontal="left" vertical="center"/>
    </xf>
    <xf numFmtId="164" fontId="93" fillId="0" borderId="0" xfId="0" applyNumberFormat="1" applyFont="1" applyAlignment="1">
      <alignment vertical="center"/>
    </xf>
    <xf numFmtId="4" fontId="90" fillId="0" borderId="0" xfId="0" applyNumberFormat="1" applyFont="1" applyAlignment="1">
      <alignment vertical="center"/>
    </xf>
    <xf numFmtId="4" fontId="70" fillId="0" borderId="36" xfId="0" applyNumberFormat="1" applyFont="1" applyBorder="1" applyAlignment="1">
      <alignment horizontal="center" vertical="center"/>
    </xf>
    <xf numFmtId="4" fontId="70" fillId="0" borderId="0" xfId="0" applyNumberFormat="1" applyFont="1" applyAlignment="1">
      <alignment horizontal="center" vertical="center"/>
    </xf>
    <xf numFmtId="4" fontId="70" fillId="0" borderId="0" xfId="51" applyNumberFormat="1" applyFont="1" applyFill="1" applyBorder="1" applyAlignment="1">
      <alignment horizontal="center" vertical="center"/>
    </xf>
    <xf numFmtId="193" fontId="70" fillId="0" borderId="36" xfId="0" applyNumberFormat="1" applyFont="1" applyBorder="1" applyAlignment="1">
      <alignment horizontal="center" vertical="center"/>
    </xf>
    <xf numFmtId="193" fontId="70" fillId="0" borderId="0" xfId="51" applyNumberFormat="1" applyFont="1" applyFill="1" applyBorder="1" applyAlignment="1">
      <alignment horizontal="center" vertical="center"/>
    </xf>
    <xf numFmtId="37" fontId="56" fillId="0" borderId="0" xfId="0" applyNumberFormat="1" applyFont="1" applyAlignment="1">
      <alignment horizontal="center" vertical="center"/>
    </xf>
    <xf numFmtId="0" fontId="41" fillId="8" borderId="42" xfId="0" applyFont="1" applyFill="1" applyBorder="1"/>
    <xf numFmtId="0" fontId="41" fillId="8" borderId="0" xfId="0" applyFont="1" applyFill="1" applyAlignment="1">
      <alignment horizontal="center"/>
    </xf>
    <xf numFmtId="192" fontId="41" fillId="8" borderId="0" xfId="0" applyNumberFormat="1" applyFont="1" applyFill="1" applyAlignment="1">
      <alignment horizontal="center"/>
    </xf>
    <xf numFmtId="192" fontId="43" fillId="8" borderId="0" xfId="51" applyNumberFormat="1" applyFont="1" applyFill="1" applyAlignment="1">
      <alignment horizontal="center"/>
    </xf>
    <xf numFmtId="1" fontId="41" fillId="8" borderId="0" xfId="0" applyNumberFormat="1" applyFont="1" applyFill="1" applyAlignment="1">
      <alignment horizontal="center"/>
    </xf>
    <xf numFmtId="183" fontId="41" fillId="8" borderId="0" xfId="0" applyNumberFormat="1" applyFont="1" applyFill="1" applyAlignment="1">
      <alignment horizontal="center"/>
    </xf>
    <xf numFmtId="196" fontId="41" fillId="8" borderId="0" xfId="0" applyNumberFormat="1" applyFont="1" applyFill="1" applyAlignment="1">
      <alignment horizontal="center"/>
    </xf>
    <xf numFmtId="204" fontId="41" fillId="8" borderId="0" xfId="0" applyNumberFormat="1" applyFont="1" applyFill="1" applyAlignment="1">
      <alignment horizontal="center"/>
    </xf>
    <xf numFmtId="204" fontId="41" fillId="8" borderId="42" xfId="0" applyNumberFormat="1" applyFont="1" applyFill="1" applyBorder="1" applyAlignment="1">
      <alignment horizontal="center"/>
    </xf>
    <xf numFmtId="14" fontId="39" fillId="8" borderId="2" xfId="88" applyNumberFormat="1" applyFont="1" applyFill="1" applyBorder="1" applyAlignment="1">
      <alignment horizontal="center"/>
    </xf>
    <xf numFmtId="183" fontId="40" fillId="8" borderId="0" xfId="0" applyNumberFormat="1" applyFont="1" applyFill="1" applyAlignment="1">
      <alignment horizontal="center"/>
    </xf>
    <xf numFmtId="37" fontId="134" fillId="0" borderId="0" xfId="584" applyFont="1">
      <alignment horizontal="center"/>
    </xf>
    <xf numFmtId="197" fontId="41" fillId="8" borderId="0" xfId="0" applyNumberFormat="1" applyFont="1" applyFill="1" applyAlignment="1">
      <alignment horizontal="center"/>
    </xf>
    <xf numFmtId="197" fontId="41" fillId="8" borderId="42" xfId="0" applyNumberFormat="1" applyFont="1" applyFill="1" applyBorder="1" applyAlignment="1">
      <alignment horizontal="center"/>
    </xf>
    <xf numFmtId="183" fontId="41" fillId="8" borderId="3" xfId="0" applyNumberFormat="1" applyFont="1" applyFill="1" applyBorder="1" applyAlignment="1">
      <alignment horizontal="center"/>
    </xf>
    <xf numFmtId="192" fontId="43" fillId="8" borderId="3" xfId="51" applyNumberFormat="1" applyFont="1" applyFill="1" applyBorder="1" applyAlignment="1">
      <alignment horizontal="center"/>
    </xf>
    <xf numFmtId="1" fontId="134" fillId="8" borderId="0" xfId="0" applyNumberFormat="1" applyFont="1" applyFill="1" applyAlignment="1">
      <alignment horizontal="center"/>
    </xf>
    <xf numFmtId="192" fontId="137" fillId="8" borderId="4" xfId="51" applyNumberFormat="1" applyFont="1" applyFill="1" applyBorder="1" applyAlignment="1">
      <alignment horizontal="left" vertical="center" indent="1"/>
    </xf>
    <xf numFmtId="193" fontId="137" fillId="8" borderId="0" xfId="51" applyNumberFormat="1" applyFont="1" applyFill="1" applyAlignment="1">
      <alignment horizontal="center"/>
    </xf>
    <xf numFmtId="3" fontId="43" fillId="8" borderId="42" xfId="0" applyNumberFormat="1" applyFont="1" applyFill="1" applyBorder="1" applyAlignment="1">
      <alignment vertical="center"/>
    </xf>
    <xf numFmtId="183" fontId="41" fillId="8" borderId="42" xfId="0" applyNumberFormat="1" applyFont="1" applyFill="1" applyBorder="1" applyAlignment="1">
      <alignment horizontal="center"/>
    </xf>
    <xf numFmtId="164" fontId="44" fillId="8" borderId="30" xfId="0" applyNumberFormat="1" applyFont="1" applyFill="1" applyBorder="1" applyAlignment="1">
      <alignment vertical="center"/>
    </xf>
    <xf numFmtId="192" fontId="43" fillId="8" borderId="0" xfId="0" applyNumberFormat="1" applyFont="1" applyFill="1" applyAlignment="1">
      <alignment horizontal="center"/>
    </xf>
    <xf numFmtId="164" fontId="41" fillId="0" borderId="0" xfId="0" applyNumberFormat="1" applyFont="1"/>
    <xf numFmtId="3" fontId="41" fillId="0" borderId="0" xfId="0" applyNumberFormat="1" applyFont="1"/>
    <xf numFmtId="204" fontId="41" fillId="8" borderId="3" xfId="0" applyNumberFormat="1" applyFont="1" applyFill="1" applyBorder="1" applyAlignment="1">
      <alignment horizontal="center"/>
    </xf>
    <xf numFmtId="0" fontId="136" fillId="0" borderId="0" xfId="0" applyFont="1"/>
    <xf numFmtId="0" fontId="39" fillId="0" borderId="0" xfId="0" applyFont="1"/>
    <xf numFmtId="164" fontId="41" fillId="0" borderId="0" xfId="587" applyNumberFormat="1" applyFont="1" applyFill="1" applyAlignment="1">
      <alignment horizontal="center" vertical="center"/>
    </xf>
    <xf numFmtId="0" fontId="135" fillId="0" borderId="0" xfId="0" applyFont="1"/>
    <xf numFmtId="169" fontId="43" fillId="0" borderId="0" xfId="586" applyNumberFormat="1" applyFont="1" applyFill="1" applyAlignment="1">
      <alignment horizontal="center" vertical="center"/>
    </xf>
    <xf numFmtId="0" fontId="39" fillId="0" borderId="0" xfId="0" applyFont="1" applyAlignment="1">
      <alignment horizontal="center" vertical="center"/>
    </xf>
    <xf numFmtId="0" fontId="39" fillId="12" borderId="0" xfId="0" applyFont="1" applyFill="1" applyAlignment="1">
      <alignment horizontal="center" vertical="center"/>
    </xf>
    <xf numFmtId="0" fontId="40" fillId="0" borderId="0" xfId="588" applyFont="1" applyAlignment="1">
      <alignment horizontal="center"/>
    </xf>
    <xf numFmtId="169" fontId="137" fillId="0" borderId="0" xfId="586" applyNumberFormat="1" applyFont="1" applyFill="1" applyAlignment="1">
      <alignment horizontal="center" vertical="center"/>
    </xf>
    <xf numFmtId="0" fontId="137" fillId="0" borderId="0" xfId="0" applyFont="1" applyAlignment="1">
      <alignment horizontal="center" vertical="center"/>
    </xf>
    <xf numFmtId="169" fontId="137" fillId="0" borderId="0" xfId="586" applyNumberFormat="1" applyFont="1" applyAlignment="1">
      <alignment horizontal="center" vertical="center"/>
    </xf>
    <xf numFmtId="0" fontId="41" fillId="0" borderId="0" xfId="0" applyFont="1" applyAlignment="1">
      <alignment horizontal="center" vertical="center"/>
    </xf>
    <xf numFmtId="0" fontId="43" fillId="0" borderId="0" xfId="0" applyFont="1" applyAlignment="1">
      <alignment horizontal="center" vertical="center"/>
    </xf>
    <xf numFmtId="37" fontId="80" fillId="0" borderId="0" xfId="0" applyNumberFormat="1" applyFont="1" applyAlignment="1">
      <alignment horizontal="left" vertical="center" indent="1"/>
    </xf>
    <xf numFmtId="37" fontId="80" fillId="0" borderId="0" xfId="0" applyNumberFormat="1" applyFont="1" applyAlignment="1">
      <alignment horizontal="left" vertical="center"/>
    </xf>
    <xf numFmtId="37" fontId="48" fillId="0" borderId="42" xfId="0" applyNumberFormat="1" applyFont="1" applyBorder="1" applyAlignment="1">
      <alignment vertical="center"/>
    </xf>
    <xf numFmtId="192" fontId="48" fillId="0" borderId="42" xfId="0" applyNumberFormat="1" applyFont="1" applyBorder="1" applyAlignment="1">
      <alignment horizontal="center" vertical="center"/>
    </xf>
    <xf numFmtId="164" fontId="48" fillId="0" borderId="42" xfId="0" applyNumberFormat="1" applyFont="1" applyBorder="1" applyAlignment="1">
      <alignment horizontal="center" vertical="center"/>
    </xf>
    <xf numFmtId="37" fontId="99" fillId="0" borderId="0" xfId="0" applyNumberFormat="1" applyFont="1" applyAlignment="1">
      <alignment vertical="center"/>
    </xf>
    <xf numFmtId="37" fontId="80" fillId="0" borderId="42" xfId="0" applyNumberFormat="1" applyFont="1" applyBorder="1" applyAlignment="1">
      <alignment vertical="center"/>
    </xf>
    <xf numFmtId="193" fontId="48" fillId="0" borderId="42" xfId="0" applyNumberFormat="1" applyFont="1" applyBorder="1" applyAlignment="1">
      <alignment horizontal="center" vertical="center"/>
    </xf>
    <xf numFmtId="37" fontId="148" fillId="0" borderId="0" xfId="0" applyNumberFormat="1" applyFont="1" applyAlignment="1">
      <alignment vertical="center"/>
    </xf>
    <xf numFmtId="197" fontId="54" fillId="0" borderId="36" xfId="51" applyNumberFormat="1" applyFont="1" applyFill="1" applyBorder="1" applyAlignment="1">
      <alignment horizontal="center" vertical="center"/>
    </xf>
    <xf numFmtId="197" fontId="89" fillId="0" borderId="0" xfId="51" applyNumberFormat="1" applyFont="1" applyFill="1" applyBorder="1" applyAlignment="1">
      <alignment horizontal="center" vertical="center"/>
    </xf>
    <xf numFmtId="197" fontId="50" fillId="0" borderId="0" xfId="51" applyNumberFormat="1" applyFont="1" applyFill="1" applyBorder="1" applyAlignment="1">
      <alignment horizontal="center" vertical="center"/>
    </xf>
    <xf numFmtId="197" fontId="95" fillId="0" borderId="0" xfId="51" applyNumberFormat="1" applyFont="1" applyAlignment="1">
      <alignment horizontal="center" vertical="center"/>
    </xf>
    <xf numFmtId="202" fontId="95" fillId="0" borderId="0" xfId="51" applyNumberFormat="1" applyFont="1" applyAlignment="1">
      <alignment horizontal="center" vertical="center"/>
    </xf>
    <xf numFmtId="192" fontId="54" fillId="8" borderId="0" xfId="51" quotePrefix="1" applyNumberFormat="1" applyFont="1" applyFill="1" applyBorder="1" applyAlignment="1">
      <alignment vertical="center"/>
    </xf>
    <xf numFmtId="183" fontId="50" fillId="0" borderId="0" xfId="22" applyNumberFormat="1" applyFont="1" applyFill="1" applyBorder="1" applyAlignment="1">
      <alignment horizontal="center" vertical="center"/>
    </xf>
    <xf numFmtId="3" fontId="50" fillId="0" borderId="0" xfId="22" applyNumberFormat="1" applyFont="1" applyFill="1" applyBorder="1" applyAlignment="1">
      <alignment horizontal="center" vertical="center"/>
    </xf>
    <xf numFmtId="197" fontId="50" fillId="0" borderId="0" xfId="51" applyNumberFormat="1" applyFont="1" applyAlignment="1">
      <alignment horizontal="center" vertical="center"/>
    </xf>
    <xf numFmtId="197" fontId="54" fillId="0" borderId="36" xfId="51" applyNumberFormat="1" applyFont="1" applyBorder="1" applyAlignment="1">
      <alignment horizontal="center" vertical="center"/>
    </xf>
    <xf numFmtId="193" fontId="50" fillId="14" borderId="0" xfId="51" applyNumberFormat="1" applyFont="1" applyFill="1" applyBorder="1" applyAlignment="1">
      <alignment horizontal="center" vertical="center"/>
    </xf>
    <xf numFmtId="193" fontId="50" fillId="14" borderId="36" xfId="51" applyNumberFormat="1" applyFont="1" applyFill="1" applyBorder="1" applyAlignment="1">
      <alignment horizontal="center" vertical="center"/>
    </xf>
    <xf numFmtId="193" fontId="50" fillId="14" borderId="0" xfId="51" applyNumberFormat="1" applyFont="1" applyFill="1" applyAlignment="1">
      <alignment horizontal="center" vertical="center"/>
    </xf>
    <xf numFmtId="205" fontId="52" fillId="0" borderId="0" xfId="0" applyNumberFormat="1" applyFont="1" applyAlignment="1">
      <alignment vertical="center"/>
    </xf>
    <xf numFmtId="205" fontId="48" fillId="0" borderId="0" xfId="0" applyNumberFormat="1" applyFont="1" applyAlignment="1">
      <alignment vertical="center"/>
    </xf>
    <xf numFmtId="205" fontId="57" fillId="0" borderId="0" xfId="51" applyNumberFormat="1" applyFont="1" applyFill="1" applyBorder="1" applyAlignment="1">
      <alignment horizontal="left" vertical="center" indent="1"/>
    </xf>
    <xf numFmtId="205" fontId="50" fillId="0" borderId="36" xfId="51" applyNumberFormat="1" applyFont="1" applyFill="1" applyBorder="1" applyAlignment="1">
      <alignment horizontal="center" vertical="center"/>
    </xf>
    <xf numFmtId="205" fontId="59" fillId="0" borderId="36" xfId="51" applyNumberFormat="1" applyFont="1" applyFill="1" applyBorder="1" applyAlignment="1">
      <alignment horizontal="center" vertical="center"/>
    </xf>
    <xf numFmtId="205" fontId="50" fillId="0" borderId="0" xfId="51" applyNumberFormat="1" applyFont="1" applyFill="1" applyBorder="1" applyAlignment="1">
      <alignment horizontal="center" vertical="center"/>
    </xf>
    <xf numFmtId="205" fontId="59" fillId="0" borderId="0" xfId="51" applyNumberFormat="1" applyFont="1" applyFill="1" applyBorder="1" applyAlignment="1">
      <alignment horizontal="center" vertical="center"/>
    </xf>
    <xf numFmtId="205" fontId="59" fillId="0" borderId="0" xfId="51" applyNumberFormat="1" applyFont="1" applyFill="1" applyBorder="1" applyAlignment="1">
      <alignment horizontal="center"/>
    </xf>
    <xf numFmtId="205" fontId="57" fillId="0" borderId="36" xfId="51" applyNumberFormat="1" applyFont="1" applyFill="1" applyBorder="1" applyAlignment="1">
      <alignment horizontal="center" vertical="center"/>
    </xf>
    <xf numFmtId="205" fontId="59" fillId="0" borderId="0" xfId="51" applyNumberFormat="1" applyFont="1" applyAlignment="1">
      <alignment horizontal="center" vertical="center"/>
    </xf>
    <xf numFmtId="205" fontId="57" fillId="0" borderId="36" xfId="51" applyNumberFormat="1" applyFont="1" applyBorder="1" applyAlignment="1">
      <alignment horizontal="center" vertical="center"/>
    </xf>
    <xf numFmtId="205" fontId="95" fillId="0" borderId="0" xfId="51" applyNumberFormat="1" applyFont="1" applyAlignment="1">
      <alignment horizontal="center" vertical="center"/>
    </xf>
    <xf numFmtId="205" fontId="59" fillId="0" borderId="0" xfId="51" applyNumberFormat="1" applyFont="1" applyFill="1" applyAlignment="1">
      <alignment horizontal="center" vertical="center"/>
    </xf>
    <xf numFmtId="205" fontId="59" fillId="0" borderId="0" xfId="0" applyNumberFormat="1" applyFont="1" applyAlignment="1">
      <alignment vertical="center"/>
    </xf>
    <xf numFmtId="37" fontId="95" fillId="0" borderId="0" xfId="0" applyNumberFormat="1" applyFont="1" applyAlignment="1">
      <alignment vertical="center"/>
    </xf>
    <xf numFmtId="37" fontId="49" fillId="0" borderId="42" xfId="0" applyNumberFormat="1" applyFont="1" applyBorder="1" applyAlignment="1">
      <alignment vertical="center"/>
    </xf>
    <xf numFmtId="37" fontId="59" fillId="0" borderId="42" xfId="0" applyNumberFormat="1" applyFont="1" applyBorder="1" applyAlignment="1">
      <alignment vertical="center"/>
    </xf>
    <xf numFmtId="192" fontId="48" fillId="0" borderId="35" xfId="0" applyNumberFormat="1" applyFont="1" applyBorder="1" applyAlignment="1">
      <alignment horizontal="center" vertical="center"/>
    </xf>
    <xf numFmtId="193" fontId="48" fillId="0" borderId="6" xfId="0" applyNumberFormat="1" applyFont="1" applyBorder="1" applyAlignment="1">
      <alignment horizontal="center" vertical="center"/>
    </xf>
    <xf numFmtId="37" fontId="56" fillId="0" borderId="36" xfId="0" applyNumberFormat="1" applyFont="1" applyBorder="1" applyAlignment="1">
      <alignment horizontal="center" vertical="center"/>
    </xf>
    <xf numFmtId="37" fontId="56" fillId="0" borderId="35" xfId="0" applyNumberFormat="1" applyFont="1" applyBorder="1" applyAlignment="1">
      <alignment horizontal="center" vertical="center"/>
    </xf>
    <xf numFmtId="194" fontId="57" fillId="0" borderId="36" xfId="51" applyNumberFormat="1" applyFont="1" applyFill="1" applyBorder="1" applyAlignment="1">
      <alignment horizontal="center" vertical="center"/>
    </xf>
    <xf numFmtId="193" fontId="57" fillId="14" borderId="36" xfId="51" applyNumberFormat="1" applyFont="1" applyFill="1" applyBorder="1" applyAlignment="1">
      <alignment horizontal="center" vertical="center"/>
    </xf>
    <xf numFmtId="192" fontId="56" fillId="0" borderId="36" xfId="0" applyNumberFormat="1" applyFont="1" applyBorder="1" applyAlignment="1">
      <alignment horizontal="center" vertical="center"/>
    </xf>
    <xf numFmtId="192" fontId="52" fillId="0" borderId="36" xfId="0" applyNumberFormat="1" applyFont="1" applyBorder="1" applyAlignment="1">
      <alignment horizontal="center" vertical="center"/>
    </xf>
    <xf numFmtId="0" fontId="50" fillId="0" borderId="0" xfId="0" applyFont="1"/>
    <xf numFmtId="193" fontId="48" fillId="0" borderId="0" xfId="0" applyNumberFormat="1" applyFont="1"/>
    <xf numFmtId="202" fontId="48" fillId="0" borderId="0" xfId="0" applyNumberFormat="1" applyFont="1"/>
    <xf numFmtId="205" fontId="48" fillId="0" borderId="0" xfId="0" applyNumberFormat="1" applyFont="1"/>
    <xf numFmtId="0" fontId="48" fillId="0" borderId="42" xfId="0" applyFont="1" applyBorder="1"/>
    <xf numFmtId="0" fontId="48" fillId="0" borderId="36" xfId="0" applyFont="1" applyBorder="1"/>
    <xf numFmtId="0" fontId="68" fillId="0" borderId="0" xfId="0" applyFont="1"/>
    <xf numFmtId="193" fontId="50" fillId="0" borderId="0" xfId="0" applyNumberFormat="1" applyFont="1" applyAlignment="1">
      <alignment horizontal="center"/>
    </xf>
    <xf numFmtId="193" fontId="50" fillId="0" borderId="36" xfId="0" applyNumberFormat="1" applyFont="1" applyBorder="1" applyAlignment="1">
      <alignment horizontal="center"/>
    </xf>
    <xf numFmtId="0" fontId="59" fillId="0" borderId="0" xfId="0" applyFont="1" applyAlignment="1">
      <alignment horizontal="left" indent="1"/>
    </xf>
    <xf numFmtId="0" fontId="59" fillId="0" borderId="0" xfId="0" applyFont="1"/>
    <xf numFmtId="192" fontId="58" fillId="0" borderId="0" xfId="0" applyNumberFormat="1" applyFont="1" applyAlignment="1">
      <alignment horizontal="center"/>
    </xf>
    <xf numFmtId="192" fontId="59" fillId="0" borderId="36" xfId="0" applyNumberFormat="1" applyFont="1" applyBorder="1" applyAlignment="1">
      <alignment horizontal="center"/>
    </xf>
    <xf numFmtId="192" fontId="95" fillId="0" borderId="0" xfId="0" applyNumberFormat="1" applyFont="1" applyAlignment="1">
      <alignment horizontal="center"/>
    </xf>
    <xf numFmtId="0" fontId="48" fillId="0" borderId="0" xfId="0" quotePrefix="1" applyFont="1"/>
    <xf numFmtId="192" fontId="52" fillId="0" borderId="0" xfId="0" applyNumberFormat="1" applyFont="1" applyAlignment="1">
      <alignment horizontal="center"/>
    </xf>
    <xf numFmtId="192" fontId="48" fillId="0" borderId="36" xfId="0" applyNumberFormat="1" applyFont="1" applyBorder="1" applyAlignment="1">
      <alignment horizontal="center"/>
    </xf>
    <xf numFmtId="192" fontId="99" fillId="0" borderId="0" xfId="0" applyNumberFormat="1" applyFont="1" applyAlignment="1">
      <alignment horizontal="center"/>
    </xf>
    <xf numFmtId="0" fontId="48" fillId="0" borderId="42" xfId="0" quotePrefix="1" applyFont="1" applyBorder="1"/>
    <xf numFmtId="193" fontId="48" fillId="0" borderId="42" xfId="0" applyNumberFormat="1" applyFont="1" applyBorder="1" applyAlignment="1">
      <alignment horizontal="center"/>
    </xf>
    <xf numFmtId="193" fontId="48" fillId="0" borderId="35" xfId="0" applyNumberFormat="1" applyFont="1" applyBorder="1" applyAlignment="1">
      <alignment horizontal="center"/>
    </xf>
    <xf numFmtId="195" fontId="56" fillId="0" borderId="0" xfId="0" applyNumberFormat="1" applyFont="1" applyAlignment="1">
      <alignment horizontal="center"/>
    </xf>
    <xf numFmtId="194" fontId="48" fillId="0" borderId="36" xfId="0" applyNumberFormat="1" applyFont="1" applyBorder="1" applyAlignment="1">
      <alignment horizontal="center"/>
    </xf>
    <xf numFmtId="195" fontId="99" fillId="0" borderId="0" xfId="0" applyNumberFormat="1" applyFont="1" applyAlignment="1">
      <alignment horizontal="center"/>
    </xf>
    <xf numFmtId="195" fontId="48" fillId="0" borderId="42" xfId="0" applyNumberFormat="1" applyFont="1" applyBorder="1" applyAlignment="1">
      <alignment horizontal="center"/>
    </xf>
    <xf numFmtId="195" fontId="48" fillId="0" borderId="35" xfId="0" applyNumberFormat="1" applyFont="1" applyBorder="1" applyAlignment="1">
      <alignment horizontal="center"/>
    </xf>
    <xf numFmtId="193" fontId="48" fillId="0" borderId="0" xfId="0" applyNumberFormat="1" applyFont="1" applyAlignment="1">
      <alignment horizontal="center"/>
    </xf>
    <xf numFmtId="193" fontId="48" fillId="0" borderId="36" xfId="0" applyNumberFormat="1" applyFont="1" applyBorder="1" applyAlignment="1">
      <alignment horizontal="center"/>
    </xf>
    <xf numFmtId="0" fontId="48" fillId="0" borderId="8" xfId="0" applyFont="1" applyBorder="1"/>
    <xf numFmtId="195" fontId="48" fillId="0" borderId="8" xfId="0" applyNumberFormat="1" applyFont="1" applyBorder="1" applyAlignment="1">
      <alignment horizontal="center"/>
    </xf>
    <xf numFmtId="0" fontId="50" fillId="0" borderId="42" xfId="0" applyFont="1" applyBorder="1"/>
    <xf numFmtId="194" fontId="50" fillId="0" borderId="42" xfId="0" applyNumberFormat="1" applyFont="1" applyBorder="1" applyAlignment="1">
      <alignment horizontal="center"/>
    </xf>
    <xf numFmtId="194" fontId="50" fillId="0" borderId="35" xfId="0" applyNumberFormat="1" applyFont="1" applyBorder="1" applyAlignment="1">
      <alignment horizontal="center"/>
    </xf>
    <xf numFmtId="192" fontId="59" fillId="0" borderId="0" xfId="0" applyNumberFormat="1" applyFont="1" applyAlignment="1">
      <alignment horizontal="center"/>
    </xf>
    <xf numFmtId="192" fontId="70" fillId="0" borderId="0" xfId="47" applyNumberFormat="1" applyFont="1" applyAlignment="1">
      <alignment horizontal="center" vertical="center"/>
    </xf>
    <xf numFmtId="194" fontId="57" fillId="0" borderId="0" xfId="51" applyNumberFormat="1" applyFont="1" applyFill="1" applyBorder="1" applyAlignment="1">
      <alignment horizontal="center" vertical="center"/>
    </xf>
    <xf numFmtId="166" fontId="52" fillId="0" borderId="0" xfId="47" applyNumberFormat="1" applyFont="1" applyAlignment="1">
      <alignment horizontal="center" vertical="center"/>
    </xf>
    <xf numFmtId="0" fontId="41" fillId="8" borderId="0" xfId="0" applyFont="1" applyFill="1" applyAlignment="1">
      <alignment horizontal="left" indent="1"/>
    </xf>
    <xf numFmtId="37" fontId="50" fillId="28" borderId="0" xfId="0" applyNumberFormat="1" applyFont="1" applyFill="1" applyAlignment="1">
      <alignment horizontal="center" vertical="center" wrapText="1"/>
    </xf>
    <xf numFmtId="0" fontId="50" fillId="28" borderId="0" xfId="0" applyFont="1" applyFill="1" applyAlignment="1">
      <alignment horizontal="center" vertical="center" wrapText="1"/>
    </xf>
    <xf numFmtId="192" fontId="139" fillId="0" borderId="0" xfId="51" applyNumberFormat="1" applyFont="1" applyBorder="1" applyAlignment="1">
      <alignment horizontal="center"/>
    </xf>
    <xf numFmtId="3" fontId="70" fillId="8" borderId="21" xfId="51" applyNumberFormat="1" applyFont="1" applyFill="1" applyBorder="1" applyAlignment="1">
      <alignment horizontal="center" vertical="center" wrapText="1"/>
    </xf>
    <xf numFmtId="197" fontId="70" fillId="8" borderId="21" xfId="51" applyNumberFormat="1" applyFont="1" applyFill="1" applyBorder="1" applyAlignment="1">
      <alignment horizontal="center" vertical="center" wrapText="1"/>
    </xf>
    <xf numFmtId="37" fontId="149" fillId="0" borderId="0" xfId="582" applyFont="1">
      <alignment horizontal="center"/>
    </xf>
    <xf numFmtId="206" fontId="39" fillId="0" borderId="0" xfId="582" applyNumberFormat="1">
      <alignment horizontal="center"/>
    </xf>
    <xf numFmtId="192" fontId="56" fillId="0" borderId="0" xfId="0" quotePrefix="1" applyNumberFormat="1" applyFont="1" applyAlignment="1">
      <alignment horizontal="center"/>
    </xf>
    <xf numFmtId="9" fontId="56" fillId="0" borderId="0" xfId="0" applyNumberFormat="1" applyFont="1" applyAlignment="1">
      <alignment horizontal="center"/>
    </xf>
    <xf numFmtId="0" fontId="48" fillId="0" borderId="0" xfId="0" applyFont="1" applyAlignment="1">
      <alignment horizontal="left" indent="1"/>
    </xf>
    <xf numFmtId="196" fontId="48" fillId="0" borderId="0" xfId="0" applyNumberFormat="1" applyFont="1" applyAlignment="1">
      <alignment horizontal="center"/>
    </xf>
    <xf numFmtId="196" fontId="56" fillId="0" borderId="0" xfId="0" applyNumberFormat="1" applyFont="1" applyAlignment="1">
      <alignment horizontal="center"/>
    </xf>
    <xf numFmtId="1" fontId="41" fillId="8" borderId="0" xfId="0" applyNumberFormat="1" applyFont="1" applyFill="1"/>
    <xf numFmtId="192" fontId="53" fillId="12" borderId="16" xfId="51" applyNumberFormat="1" applyFont="1" applyFill="1" applyBorder="1" applyAlignment="1">
      <alignment horizontal="center"/>
    </xf>
    <xf numFmtId="164" fontId="54" fillId="12" borderId="42" xfId="47" applyNumberFormat="1" applyFont="1" applyFill="1" applyBorder="1" applyAlignment="1">
      <alignment horizontal="center"/>
    </xf>
    <xf numFmtId="164" fontId="54" fillId="12" borderId="27" xfId="47" applyNumberFormat="1" applyFont="1" applyFill="1" applyBorder="1" applyAlignment="1">
      <alignment horizontal="center"/>
    </xf>
    <xf numFmtId="192" fontId="84" fillId="12" borderId="16" xfId="51" applyNumberFormat="1" applyFont="1" applyFill="1" applyBorder="1" applyAlignment="1">
      <alignment horizontal="center"/>
    </xf>
    <xf numFmtId="192" fontId="53" fillId="12" borderId="17" xfId="51" applyNumberFormat="1" applyFont="1" applyFill="1" applyBorder="1" applyAlignment="1">
      <alignment horizontal="center"/>
    </xf>
    <xf numFmtId="7" fontId="54" fillId="27" borderId="13" xfId="0" applyNumberFormat="1" applyFont="1" applyFill="1" applyBorder="1" applyAlignment="1">
      <alignment horizontal="center" vertical="center"/>
    </xf>
    <xf numFmtId="192" fontId="57" fillId="27" borderId="15" xfId="0" applyNumberFormat="1" applyFont="1" applyFill="1" applyBorder="1" applyAlignment="1">
      <alignment horizontal="center" vertical="center"/>
    </xf>
    <xf numFmtId="7" fontId="54" fillId="29" borderId="13" xfId="0" applyNumberFormat="1" applyFont="1" applyFill="1" applyBorder="1" applyAlignment="1">
      <alignment horizontal="center" vertical="center"/>
    </xf>
    <xf numFmtId="192" fontId="57" fillId="29" borderId="15" xfId="0" applyNumberFormat="1" applyFont="1" applyFill="1" applyBorder="1" applyAlignment="1">
      <alignment horizontal="center" vertical="center"/>
    </xf>
    <xf numFmtId="7" fontId="90" fillId="29" borderId="13" xfId="0" applyNumberFormat="1" applyFont="1" applyFill="1" applyBorder="1" applyAlignment="1">
      <alignment horizontal="center" vertical="center"/>
    </xf>
    <xf numFmtId="169" fontId="48" fillId="0" borderId="0" xfId="51" applyNumberFormat="1" applyFont="1" applyAlignment="1">
      <alignment horizontal="center" vertical="center"/>
    </xf>
    <xf numFmtId="192" fontId="54" fillId="0" borderId="0" xfId="51" applyNumberFormat="1" applyFont="1" applyFill="1" applyBorder="1" applyAlignment="1">
      <alignment horizontal="left" vertical="center"/>
    </xf>
    <xf numFmtId="3" fontId="108" fillId="0" borderId="0" xfId="22" applyNumberFormat="1" applyFont="1" applyFill="1" applyBorder="1" applyAlignment="1">
      <alignment horizontal="center" vertical="center"/>
    </xf>
    <xf numFmtId="3" fontId="50" fillId="0" borderId="0" xfId="51" applyNumberFormat="1" applyFont="1" applyFill="1" applyBorder="1" applyAlignment="1">
      <alignment horizontal="center" vertical="center"/>
    </xf>
    <xf numFmtId="192" fontId="59" fillId="0" borderId="4" xfId="51" applyNumberFormat="1" applyFont="1" applyFill="1" applyBorder="1" applyAlignment="1">
      <alignment horizontal="center" vertical="center"/>
    </xf>
    <xf numFmtId="192" fontId="59" fillId="26" borderId="29" xfId="51" applyNumberFormat="1" applyFont="1" applyFill="1" applyBorder="1" applyAlignment="1">
      <alignment horizontal="center" vertical="center"/>
    </xf>
    <xf numFmtId="192" fontId="57" fillId="0" borderId="4" xfId="51" applyNumberFormat="1" applyFont="1" applyFill="1" applyBorder="1" applyAlignment="1">
      <alignment horizontal="center" vertical="center"/>
    </xf>
    <xf numFmtId="192" fontId="57" fillId="26" borderId="29" xfId="51" applyNumberFormat="1" applyFont="1" applyFill="1" applyBorder="1" applyAlignment="1">
      <alignment horizontal="center" vertical="center"/>
    </xf>
    <xf numFmtId="204" fontId="41" fillId="0" borderId="0" xfId="0" applyNumberFormat="1" applyFont="1" applyAlignment="1">
      <alignment horizontal="center"/>
    </xf>
    <xf numFmtId="192" fontId="41" fillId="0" borderId="0" xfId="0" applyNumberFormat="1" applyFont="1" applyAlignment="1">
      <alignment horizontal="center"/>
    </xf>
    <xf numFmtId="192" fontId="47" fillId="0" borderId="0" xfId="51" applyNumberFormat="1" applyFont="1" applyFill="1" applyBorder="1" applyAlignment="1">
      <alignment vertical="center"/>
    </xf>
    <xf numFmtId="192" fontId="150" fillId="0" borderId="0" xfId="51" applyNumberFormat="1" applyFont="1" applyFill="1" applyBorder="1" applyAlignment="1">
      <alignment horizontal="left" vertical="center"/>
    </xf>
    <xf numFmtId="37" fontId="39" fillId="0" borderId="0" xfId="584" applyAlignment="1">
      <alignment horizontal="left"/>
    </xf>
    <xf numFmtId="37" fontId="39" fillId="0" borderId="0" xfId="584">
      <alignment horizontal="center"/>
    </xf>
    <xf numFmtId="192" fontId="39" fillId="0" borderId="0" xfId="584" applyNumberFormat="1">
      <alignment horizontal="center"/>
    </xf>
    <xf numFmtId="3" fontId="134" fillId="0" borderId="0" xfId="585" applyNumberFormat="1" applyFont="1" applyAlignment="1">
      <alignment horizontal="center" vertical="center"/>
    </xf>
    <xf numFmtId="192" fontId="47" fillId="8" borderId="0" xfId="51" applyNumberFormat="1" applyFont="1" applyFill="1" applyBorder="1" applyAlignment="1">
      <alignment vertical="center"/>
    </xf>
    <xf numFmtId="164" fontId="47" fillId="0" borderId="0" xfId="0" applyNumberFormat="1" applyFont="1" applyAlignment="1">
      <alignment vertical="center"/>
    </xf>
    <xf numFmtId="192" fontId="47" fillId="8" borderId="42" xfId="51" applyNumberFormat="1" applyFont="1" applyFill="1" applyBorder="1" applyAlignment="1">
      <alignment vertical="center"/>
    </xf>
    <xf numFmtId="0" fontId="40" fillId="8" borderId="0" xfId="0" applyFont="1" applyFill="1"/>
    <xf numFmtId="0" fontId="41" fillId="8" borderId="2" xfId="88" applyFont="1" applyFill="1" applyBorder="1"/>
    <xf numFmtId="0" fontId="41" fillId="12" borderId="6" xfId="88" applyFont="1" applyFill="1" applyBorder="1"/>
    <xf numFmtId="193" fontId="41" fillId="0" borderId="0" xfId="0" applyNumberFormat="1" applyFont="1" applyAlignment="1">
      <alignment horizontal="center"/>
    </xf>
    <xf numFmtId="0" fontId="41" fillId="8" borderId="4" xfId="0" applyFont="1" applyFill="1" applyBorder="1"/>
    <xf numFmtId="0" fontId="41" fillId="8" borderId="2" xfId="0" applyFont="1" applyFill="1" applyBorder="1" applyAlignment="1">
      <alignment horizontal="center"/>
    </xf>
    <xf numFmtId="0" fontId="41" fillId="8" borderId="3" xfId="0" applyFont="1" applyFill="1" applyBorder="1"/>
    <xf numFmtId="0" fontId="151" fillId="0" borderId="0" xfId="0" applyFont="1"/>
    <xf numFmtId="15" fontId="134" fillId="8" borderId="0" xfId="0" applyNumberFormat="1" applyFont="1" applyFill="1"/>
    <xf numFmtId="15" fontId="134" fillId="8" borderId="0" xfId="0" applyNumberFormat="1" applyFont="1" applyFill="1" applyAlignment="1">
      <alignment horizontal="center"/>
    </xf>
    <xf numFmtId="0" fontId="134" fillId="8" borderId="0" xfId="0" applyFont="1" applyFill="1"/>
    <xf numFmtId="192" fontId="134" fillId="8" borderId="0" xfId="0" applyNumberFormat="1" applyFont="1" applyFill="1" applyAlignment="1">
      <alignment horizontal="center"/>
    </xf>
    <xf numFmtId="203" fontId="41" fillId="8" borderId="0" xfId="0" applyNumberFormat="1" applyFont="1" applyFill="1" applyAlignment="1">
      <alignment horizontal="center"/>
    </xf>
    <xf numFmtId="3" fontId="41" fillId="8" borderId="0" xfId="0" applyNumberFormat="1" applyFont="1" applyFill="1" applyAlignment="1">
      <alignment horizontal="center"/>
    </xf>
    <xf numFmtId="37" fontId="134" fillId="0" borderId="0" xfId="0" applyNumberFormat="1" applyFont="1" applyAlignment="1">
      <alignment vertical="center"/>
    </xf>
    <xf numFmtId="37" fontId="134" fillId="8" borderId="0" xfId="0" applyNumberFormat="1" applyFont="1" applyFill="1" applyAlignment="1">
      <alignment horizontal="center"/>
    </xf>
    <xf numFmtId="37" fontId="41" fillId="0" borderId="0" xfId="0" applyNumberFormat="1" applyFont="1" applyAlignment="1">
      <alignment horizontal="left" vertical="center" indent="2"/>
    </xf>
    <xf numFmtId="37" fontId="134" fillId="0" borderId="0" xfId="0" applyNumberFormat="1" applyFont="1" applyAlignment="1">
      <alignment horizontal="left" vertical="center" indent="1"/>
    </xf>
    <xf numFmtId="37" fontId="134" fillId="0" borderId="0" xfId="0" applyNumberFormat="1" applyFont="1" applyAlignment="1">
      <alignment horizontal="left" vertical="center"/>
    </xf>
    <xf numFmtId="37" fontId="134" fillId="0" borderId="42" xfId="0" applyNumberFormat="1" applyFont="1" applyBorder="1" applyAlignment="1">
      <alignment vertical="center"/>
    </xf>
    <xf numFmtId="37" fontId="134" fillId="8" borderId="42" xfId="0" applyNumberFormat="1" applyFont="1" applyFill="1" applyBorder="1" applyAlignment="1">
      <alignment horizontal="center"/>
    </xf>
    <xf numFmtId="192" fontId="134" fillId="8" borderId="42" xfId="0" applyNumberFormat="1" applyFont="1" applyFill="1" applyBorder="1" applyAlignment="1">
      <alignment horizontal="center"/>
    </xf>
    <xf numFmtId="197" fontId="134" fillId="0" borderId="0" xfId="0" applyNumberFormat="1" applyFont="1" applyAlignment="1">
      <alignment horizontal="center" vertical="center"/>
    </xf>
    <xf numFmtId="197" fontId="134" fillId="0" borderId="42" xfId="0" applyNumberFormat="1" applyFont="1" applyBorder="1" applyAlignment="1">
      <alignment horizontal="center" vertical="center"/>
    </xf>
    <xf numFmtId="169" fontId="41" fillId="8" borderId="0" xfId="0" applyNumberFormat="1" applyFont="1" applyFill="1" applyAlignment="1">
      <alignment horizontal="center"/>
    </xf>
    <xf numFmtId="192" fontId="41" fillId="8" borderId="0" xfId="0" applyNumberFormat="1" applyFont="1" applyFill="1"/>
    <xf numFmtId="7" fontId="41" fillId="8" borderId="0" xfId="0" applyNumberFormat="1" applyFont="1" applyFill="1" applyAlignment="1">
      <alignment horizontal="center"/>
    </xf>
    <xf numFmtId="204" fontId="40" fillId="8" borderId="0" xfId="0" applyNumberFormat="1" applyFont="1" applyFill="1" applyAlignment="1">
      <alignment horizontal="center"/>
    </xf>
    <xf numFmtId="164" fontId="54" fillId="0" borderId="0" xfId="0" applyNumberFormat="1" applyFont="1"/>
    <xf numFmtId="207" fontId="41" fillId="0" borderId="0" xfId="0" applyNumberFormat="1" applyFont="1" applyAlignment="1">
      <alignment horizontal="center"/>
    </xf>
    <xf numFmtId="0" fontId="152" fillId="8" borderId="0" xfId="0" applyFont="1" applyFill="1"/>
    <xf numFmtId="192" fontId="153" fillId="8" borderId="0" xfId="51" applyNumberFormat="1" applyFont="1" applyFill="1" applyAlignment="1">
      <alignment horizontal="center"/>
    </xf>
    <xf numFmtId="9" fontId="41" fillId="8" borderId="0" xfId="0" applyNumberFormat="1" applyFont="1" applyFill="1" applyAlignment="1">
      <alignment horizontal="center"/>
    </xf>
    <xf numFmtId="208" fontId="41" fillId="8" borderId="0" xfId="0" applyNumberFormat="1" applyFont="1" applyFill="1" applyAlignment="1">
      <alignment horizontal="center"/>
    </xf>
    <xf numFmtId="10" fontId="41" fillId="8" borderId="0" xfId="0" applyNumberFormat="1" applyFont="1" applyFill="1" applyAlignment="1">
      <alignment horizontal="center"/>
    </xf>
    <xf numFmtId="169" fontId="41" fillId="0" borderId="0" xfId="0" applyNumberFormat="1" applyFont="1" applyAlignment="1">
      <alignment horizontal="center"/>
    </xf>
    <xf numFmtId="6" fontId="57" fillId="0" borderId="36" xfId="51" applyNumberFormat="1" applyFont="1" applyFill="1" applyBorder="1" applyAlignment="1">
      <alignment horizontal="center" vertical="center"/>
    </xf>
    <xf numFmtId="6" fontId="57" fillId="0" borderId="36" xfId="51" applyNumberFormat="1" applyFont="1" applyBorder="1" applyAlignment="1">
      <alignment horizontal="center" vertical="center"/>
    </xf>
    <xf numFmtId="6" fontId="41" fillId="8" borderId="0" xfId="0" applyNumberFormat="1" applyFont="1" applyFill="1" applyAlignment="1">
      <alignment horizontal="center"/>
    </xf>
    <xf numFmtId="0" fontId="41" fillId="0" borderId="0" xfId="0" applyFont="1" applyAlignment="1">
      <alignment horizontal="center"/>
    </xf>
    <xf numFmtId="9" fontId="48" fillId="0" borderId="0" xfId="0" applyNumberFormat="1" applyFont="1"/>
    <xf numFmtId="203" fontId="56" fillId="0" borderId="0" xfId="0" applyNumberFormat="1" applyFont="1" applyAlignment="1">
      <alignment horizontal="center"/>
    </xf>
    <xf numFmtId="196" fontId="52" fillId="0" borderId="0" xfId="0" applyNumberFormat="1" applyFont="1" applyAlignment="1">
      <alignment horizontal="center"/>
    </xf>
    <xf numFmtId="192" fontId="48" fillId="0" borderId="0" xfId="0" applyNumberFormat="1" applyFont="1"/>
    <xf numFmtId="9" fontId="134" fillId="0" borderId="0" xfId="0" applyNumberFormat="1" applyFont="1" applyAlignment="1">
      <alignment horizontal="center"/>
    </xf>
    <xf numFmtId="9" fontId="134" fillId="8" borderId="0" xfId="0" applyNumberFormat="1" applyFont="1" applyFill="1" applyAlignment="1">
      <alignment horizontal="center"/>
    </xf>
    <xf numFmtId="9" fontId="41" fillId="0" borderId="0" xfId="0" applyNumberFormat="1" applyFont="1" applyAlignment="1">
      <alignment horizontal="center"/>
    </xf>
    <xf numFmtId="0" fontId="134" fillId="0" borderId="0" xfId="0" applyFont="1"/>
    <xf numFmtId="203" fontId="134" fillId="0" borderId="0" xfId="0" applyNumberFormat="1" applyFont="1" applyAlignment="1">
      <alignment horizontal="center"/>
    </xf>
    <xf numFmtId="203" fontId="129" fillId="9" borderId="0" xfId="0" applyNumberFormat="1" applyFont="1" applyFill="1" applyAlignment="1">
      <alignment horizontal="center"/>
    </xf>
    <xf numFmtId="193" fontId="48" fillId="0" borderId="0" xfId="22" applyNumberFormat="1" applyFont="1" applyAlignment="1">
      <alignment horizontal="center"/>
    </xf>
    <xf numFmtId="194" fontId="134" fillId="0" borderId="0" xfId="0" applyNumberFormat="1" applyFont="1" applyAlignment="1">
      <alignment horizontal="center"/>
    </xf>
    <xf numFmtId="194" fontId="134" fillId="8" borderId="0" xfId="0" applyNumberFormat="1" applyFont="1" applyFill="1" applyAlignment="1">
      <alignment horizontal="center"/>
    </xf>
    <xf numFmtId="196" fontId="41" fillId="0" borderId="0" xfId="0" applyNumberFormat="1" applyFont="1" applyAlignment="1">
      <alignment horizontal="center"/>
    </xf>
    <xf numFmtId="15" fontId="41" fillId="8" borderId="0" xfId="0" applyNumberFormat="1" applyFont="1" applyFill="1"/>
    <xf numFmtId="0" fontId="134" fillId="8" borderId="0" xfId="0" applyFont="1" applyFill="1" applyAlignment="1">
      <alignment horizontal="center"/>
    </xf>
    <xf numFmtId="192" fontId="134" fillId="8" borderId="0" xfId="0" applyNumberFormat="1" applyFont="1" applyFill="1"/>
    <xf numFmtId="193" fontId="134" fillId="8" borderId="0" xfId="0" applyNumberFormat="1" applyFont="1" applyFill="1" applyAlignment="1">
      <alignment horizontal="center"/>
    </xf>
    <xf numFmtId="197" fontId="56" fillId="0" borderId="0" xfId="22" applyNumberFormat="1" applyFont="1" applyAlignment="1">
      <alignment horizontal="center"/>
    </xf>
    <xf numFmtId="0" fontId="48" fillId="0" borderId="0" xfId="0" applyFont="1" applyAlignment="1">
      <alignment horizontal="left" indent="2"/>
    </xf>
    <xf numFmtId="193" fontId="59" fillId="0" borderId="0" xfId="22" applyNumberFormat="1" applyFont="1" applyAlignment="1">
      <alignment horizontal="center"/>
    </xf>
    <xf numFmtId="193" fontId="95" fillId="0" borderId="0" xfId="22" applyNumberFormat="1" applyFont="1" applyAlignment="1">
      <alignment horizontal="center"/>
    </xf>
    <xf numFmtId="196" fontId="134" fillId="8" borderId="0" xfId="0" applyNumberFormat="1" applyFont="1" applyFill="1" applyAlignment="1">
      <alignment horizontal="center"/>
    </xf>
    <xf numFmtId="14" fontId="3" fillId="0" borderId="0" xfId="0" quotePrefix="1" applyNumberFormat="1" applyFont="1" applyAlignment="1">
      <alignment horizontal="center"/>
    </xf>
    <xf numFmtId="0" fontId="50" fillId="12" borderId="35" xfId="0" applyFont="1" applyFill="1" applyBorder="1" applyAlignment="1">
      <alignment horizontal="center" vertical="center"/>
    </xf>
    <xf numFmtId="0" fontId="0" fillId="0" borderId="0" xfId="0" applyAlignment="1">
      <alignment horizontal="center"/>
    </xf>
    <xf numFmtId="0" fontId="125" fillId="12" borderId="35" xfId="0" applyFont="1" applyFill="1" applyBorder="1" applyAlignment="1">
      <alignment horizontal="center" vertical="center"/>
    </xf>
    <xf numFmtId="0" fontId="50" fillId="12" borderId="42" xfId="0" applyFont="1" applyFill="1" applyBorder="1" applyAlignment="1">
      <alignment horizontal="center" vertical="center"/>
    </xf>
    <xf numFmtId="0" fontId="127" fillId="12" borderId="42" xfId="0" applyFont="1" applyFill="1" applyBorder="1" applyAlignment="1">
      <alignment horizontal="center" vertical="center"/>
    </xf>
    <xf numFmtId="0" fontId="127" fillId="12" borderId="42" xfId="0" applyFont="1" applyFill="1" applyBorder="1" applyAlignment="1">
      <alignment horizontal="center"/>
    </xf>
    <xf numFmtId="0" fontId="127" fillId="12" borderId="30" xfId="0" applyFont="1" applyFill="1" applyBorder="1" applyAlignment="1">
      <alignment horizontal="center"/>
    </xf>
    <xf numFmtId="0" fontId="50" fillId="12" borderId="42" xfId="0" applyFont="1" applyFill="1" applyBorder="1" applyAlignment="1">
      <alignment horizontal="center"/>
    </xf>
    <xf numFmtId="0" fontId="50" fillId="12" borderId="30" xfId="0" applyFont="1" applyFill="1" applyBorder="1" applyAlignment="1">
      <alignment horizontal="center"/>
    </xf>
    <xf numFmtId="0" fontId="50" fillId="18" borderId="42" xfId="0" applyFont="1" applyFill="1" applyBorder="1" applyAlignment="1">
      <alignment horizontal="center" vertical="center"/>
    </xf>
    <xf numFmtId="0" fontId="50" fillId="18" borderId="30" xfId="0" applyFont="1" applyFill="1" applyBorder="1" applyAlignment="1">
      <alignment horizontal="center"/>
    </xf>
    <xf numFmtId="17" fontId="48" fillId="0" borderId="0" xfId="51" applyNumberFormat="1" applyFont="1" applyFill="1" applyBorder="1" applyAlignment="1">
      <alignment horizontal="center" vertical="center"/>
    </xf>
    <xf numFmtId="0" fontId="1" fillId="14" borderId="0" xfId="0" applyFont="1" applyFill="1" applyAlignment="1">
      <alignment horizontal="center" vertical="center"/>
    </xf>
    <xf numFmtId="166" fontId="48" fillId="0" borderId="0" xfId="127" applyNumberFormat="1" applyFont="1" applyAlignment="1">
      <alignment horizontal="center"/>
    </xf>
    <xf numFmtId="166" fontId="70" fillId="0" borderId="0" xfId="127" applyNumberFormat="1" applyFont="1" applyAlignment="1">
      <alignment horizontal="center"/>
    </xf>
    <xf numFmtId="198" fontId="70" fillId="0" borderId="0" xfId="0" applyNumberFormat="1" applyFont="1" applyAlignment="1">
      <alignment horizontal="center" vertical="center"/>
    </xf>
    <xf numFmtId="192" fontId="59" fillId="0" borderId="0" xfId="22" applyNumberFormat="1" applyFont="1" applyAlignment="1">
      <alignment horizontal="center"/>
    </xf>
    <xf numFmtId="0" fontId="99" fillId="0" borderId="0" xfId="0" applyFont="1" applyAlignment="1">
      <alignment horizontal="center"/>
    </xf>
    <xf numFmtId="203" fontId="48" fillId="0" borderId="0" xfId="0" applyNumberFormat="1" applyFont="1" applyAlignment="1">
      <alignment horizontal="center"/>
    </xf>
    <xf numFmtId="0" fontId="62" fillId="0" borderId="0" xfId="0" applyFont="1"/>
    <xf numFmtId="193" fontId="66" fillId="0" borderId="0" xfId="0" applyNumberFormat="1" applyFont="1" applyAlignment="1">
      <alignment horizontal="center"/>
    </xf>
    <xf numFmtId="196" fontId="16" fillId="0" borderId="36" xfId="0" applyNumberFormat="1" applyFont="1" applyBorder="1" applyAlignment="1">
      <alignment horizontal="center"/>
    </xf>
    <xf numFmtId="193" fontId="59" fillId="0" borderId="36" xfId="22" applyNumberFormat="1" applyFont="1" applyBorder="1" applyAlignment="1">
      <alignment horizontal="center"/>
    </xf>
    <xf numFmtId="193" fontId="48" fillId="0" borderId="36" xfId="22" applyNumberFormat="1" applyFont="1" applyBorder="1" applyAlignment="1">
      <alignment horizontal="center"/>
    </xf>
    <xf numFmtId="192" fontId="59" fillId="0" borderId="36" xfId="22" applyNumberFormat="1" applyFont="1" applyBorder="1" applyAlignment="1">
      <alignment horizontal="center"/>
    </xf>
    <xf numFmtId="9" fontId="56" fillId="0" borderId="36" xfId="0" applyNumberFormat="1" applyFont="1" applyBorder="1" applyAlignment="1">
      <alignment horizontal="center"/>
    </xf>
    <xf numFmtId="203" fontId="56" fillId="0" borderId="36" xfId="0" applyNumberFormat="1" applyFont="1" applyBorder="1" applyAlignment="1">
      <alignment horizontal="center"/>
    </xf>
    <xf numFmtId="203" fontId="111" fillId="0" borderId="36" xfId="0" applyNumberFormat="1" applyFont="1" applyBorder="1" applyAlignment="1">
      <alignment horizontal="center"/>
    </xf>
    <xf numFmtId="193" fontId="48" fillId="0" borderId="35" xfId="22" applyNumberFormat="1" applyFont="1" applyBorder="1" applyAlignment="1">
      <alignment horizontal="center"/>
    </xf>
    <xf numFmtId="197" fontId="56" fillId="0" borderId="21" xfId="22" applyNumberFormat="1" applyFont="1" applyBorder="1" applyAlignment="1">
      <alignment horizontal="center"/>
    </xf>
    <xf numFmtId="192" fontId="56" fillId="0" borderId="36" xfId="0" quotePrefix="1" applyNumberFormat="1" applyFont="1" applyBorder="1" applyAlignment="1">
      <alignment horizontal="center"/>
    </xf>
    <xf numFmtId="196" fontId="52" fillId="0" borderId="36" xfId="0" applyNumberFormat="1" applyFont="1" applyBorder="1" applyAlignment="1">
      <alignment horizontal="center"/>
    </xf>
    <xf numFmtId="0" fontId="41" fillId="8" borderId="30" xfId="0" applyFont="1" applyFill="1" applyBorder="1"/>
    <xf numFmtId="0" fontId="41" fillId="8" borderId="0" xfId="0" applyFont="1" applyFill="1" applyAlignment="1">
      <alignment horizontal="left"/>
    </xf>
    <xf numFmtId="37" fontId="41" fillId="8" borderId="0" xfId="0" applyNumberFormat="1" applyFont="1" applyFill="1" applyAlignment="1">
      <alignment horizontal="center"/>
    </xf>
    <xf numFmtId="1" fontId="41" fillId="0" borderId="42" xfId="0" applyNumberFormat="1" applyFont="1" applyBorder="1"/>
    <xf numFmtId="192" fontId="44" fillId="8" borderId="4" xfId="51" applyNumberFormat="1" applyFont="1" applyFill="1" applyBorder="1" applyAlignment="1">
      <alignment horizontal="left" vertical="center" indent="1"/>
    </xf>
    <xf numFmtId="192" fontId="41" fillId="8" borderId="0" xfId="51" applyNumberFormat="1" applyFont="1" applyFill="1" applyAlignment="1">
      <alignment horizontal="center"/>
    </xf>
    <xf numFmtId="196" fontId="90" fillId="0" borderId="5" xfId="0" applyNumberFormat="1" applyFont="1" applyBorder="1" applyAlignment="1">
      <alignment horizontal="center"/>
    </xf>
    <xf numFmtId="195" fontId="90" fillId="26" borderId="10" xfId="0" applyNumberFormat="1" applyFont="1" applyFill="1" applyBorder="1" applyAlignment="1">
      <alignment horizontal="center" vertical="center"/>
    </xf>
    <xf numFmtId="192" fontId="57" fillId="26" borderId="17" xfId="51" applyNumberFormat="1" applyFont="1" applyFill="1" applyBorder="1" applyAlignment="1">
      <alignment horizontal="center" vertical="center"/>
    </xf>
    <xf numFmtId="37" fontId="86" fillId="0" borderId="0" xfId="0" applyNumberFormat="1" applyFont="1" applyAlignment="1">
      <alignment vertical="center"/>
    </xf>
    <xf numFmtId="37" fontId="48" fillId="0" borderId="21" xfId="0" applyNumberFormat="1" applyFont="1" applyBorder="1" applyAlignment="1">
      <alignment vertical="center"/>
    </xf>
    <xf numFmtId="0" fontId="48" fillId="9" borderId="0" xfId="0" applyFont="1" applyFill="1"/>
    <xf numFmtId="193" fontId="66" fillId="0" borderId="36" xfId="0" applyNumberFormat="1" applyFont="1" applyBorder="1" applyAlignment="1">
      <alignment horizontal="center"/>
    </xf>
    <xf numFmtId="0" fontId="54" fillId="30" borderId="18" xfId="0" applyFont="1" applyFill="1" applyBorder="1" applyAlignment="1">
      <alignment horizontal="left"/>
    </xf>
    <xf numFmtId="0" fontId="54" fillId="30" borderId="19" xfId="0" applyFont="1" applyFill="1" applyBorder="1" applyAlignment="1">
      <alignment horizontal="center"/>
    </xf>
    <xf numFmtId="0" fontId="54" fillId="30" borderId="20" xfId="0" applyFont="1" applyFill="1" applyBorder="1" applyAlignment="1">
      <alignment horizontal="center"/>
    </xf>
    <xf numFmtId="0" fontId="54" fillId="30" borderId="9" xfId="0" applyFont="1" applyFill="1" applyBorder="1" applyAlignment="1">
      <alignment horizontal="left"/>
    </xf>
    <xf numFmtId="195" fontId="54" fillId="30" borderId="25" xfId="0" applyNumberFormat="1" applyFont="1" applyFill="1" applyBorder="1" applyAlignment="1">
      <alignment horizontal="center"/>
    </xf>
    <xf numFmtId="195" fontId="54" fillId="30" borderId="10" xfId="0" applyNumberFormat="1" applyFont="1" applyFill="1" applyBorder="1" applyAlignment="1">
      <alignment horizontal="center"/>
    </xf>
    <xf numFmtId="0" fontId="57" fillId="30" borderId="14" xfId="0" applyFont="1" applyFill="1" applyBorder="1" applyAlignment="1">
      <alignment horizontal="left"/>
    </xf>
    <xf numFmtId="192" fontId="57" fillId="30" borderId="16" xfId="51" applyNumberFormat="1" applyFont="1" applyFill="1" applyBorder="1" applyAlignment="1">
      <alignment horizontal="center"/>
    </xf>
    <xf numFmtId="192" fontId="57" fillId="30" borderId="17" xfId="51" applyNumberFormat="1" applyFont="1" applyFill="1" applyBorder="1" applyAlignment="1">
      <alignment horizontal="center"/>
    </xf>
    <xf numFmtId="0" fontId="54" fillId="30" borderId="9" xfId="0" applyFont="1" applyFill="1" applyBorder="1" applyAlignment="1">
      <alignment horizontal="center" vertical="center" wrapText="1"/>
    </xf>
    <xf numFmtId="0" fontId="57" fillId="30" borderId="14" xfId="0" applyFont="1" applyFill="1" applyBorder="1" applyAlignment="1">
      <alignment horizontal="center" vertical="center" wrapText="1"/>
    </xf>
    <xf numFmtId="183" fontId="90" fillId="0" borderId="5" xfId="0" applyNumberFormat="1" applyFont="1" applyBorder="1" applyAlignment="1">
      <alignment horizontal="center"/>
    </xf>
    <xf numFmtId="164" fontId="154" fillId="0" borderId="0" xfId="0" applyNumberFormat="1" applyFont="1" applyAlignment="1">
      <alignment horizontal="center"/>
    </xf>
    <xf numFmtId="183" fontId="70" fillId="0" borderId="0" xfId="0" applyNumberFormat="1" applyFont="1" applyAlignment="1">
      <alignment horizontal="center"/>
    </xf>
    <xf numFmtId="192" fontId="70" fillId="0" borderId="21" xfId="51" applyNumberFormat="1" applyFont="1" applyFill="1" applyBorder="1" applyAlignment="1">
      <alignment horizontal="center" vertical="center" wrapText="1"/>
    </xf>
    <xf numFmtId="198" fontId="70" fillId="0" borderId="0" xfId="0" applyNumberFormat="1" applyFont="1" applyAlignment="1">
      <alignment horizontal="centerContinuous" vertical="center"/>
    </xf>
    <xf numFmtId="198" fontId="48" fillId="0" borderId="0" xfId="0" applyNumberFormat="1" applyFont="1" applyAlignment="1">
      <alignment horizontal="centerContinuous" vertical="center"/>
    </xf>
    <xf numFmtId="0" fontId="155" fillId="0" borderId="0" xfId="0" applyFont="1"/>
    <xf numFmtId="37" fontId="135" fillId="0" borderId="0" xfId="582" applyFont="1">
      <alignment horizontal="center"/>
    </xf>
    <xf numFmtId="37" fontId="43" fillId="0" borderId="0" xfId="582" applyFont="1">
      <alignment horizontal="center"/>
    </xf>
    <xf numFmtId="192" fontId="135" fillId="0" borderId="0" xfId="582" applyNumberFormat="1" applyFont="1">
      <alignment horizontal="center"/>
    </xf>
    <xf numFmtId="192" fontId="135" fillId="0" borderId="21" xfId="582" applyNumberFormat="1" applyFont="1" applyBorder="1">
      <alignment horizontal="center"/>
    </xf>
    <xf numFmtId="192" fontId="135" fillId="0" borderId="2" xfId="582" applyNumberFormat="1" applyFont="1" applyBorder="1">
      <alignment horizontal="center"/>
    </xf>
    <xf numFmtId="192" fontId="135" fillId="0" borderId="32" xfId="582" applyNumberFormat="1" applyFont="1" applyBorder="1">
      <alignment horizontal="center"/>
    </xf>
    <xf numFmtId="192" fontId="156" fillId="0" borderId="32" xfId="582" applyNumberFormat="1" applyFont="1" applyBorder="1">
      <alignment horizontal="center"/>
    </xf>
    <xf numFmtId="192" fontId="135" fillId="0" borderId="36" xfId="582" applyNumberFormat="1" applyFont="1" applyBorder="1">
      <alignment horizontal="center"/>
    </xf>
    <xf numFmtId="37" fontId="135" fillId="0" borderId="4" xfId="582" applyFont="1" applyBorder="1">
      <alignment horizontal="center"/>
    </xf>
    <xf numFmtId="37" fontId="156" fillId="0" borderId="4" xfId="582" applyFont="1" applyBorder="1">
      <alignment horizontal="center"/>
    </xf>
    <xf numFmtId="192" fontId="135" fillId="0" borderId="4" xfId="582" applyNumberFormat="1" applyFont="1" applyBorder="1">
      <alignment horizontal="center"/>
    </xf>
    <xf numFmtId="192" fontId="156" fillId="0" borderId="4" xfId="582" applyNumberFormat="1" applyFont="1" applyBorder="1">
      <alignment horizontal="center"/>
    </xf>
    <xf numFmtId="197" fontId="90" fillId="0" borderId="36" xfId="51" applyNumberFormat="1" applyFont="1" applyFill="1" applyBorder="1" applyAlignment="1">
      <alignment horizontal="center" vertical="center"/>
    </xf>
    <xf numFmtId="0" fontId="12" fillId="0" borderId="0" xfId="0" applyFont="1"/>
    <xf numFmtId="194" fontId="55" fillId="23" borderId="0" xfId="0" applyNumberFormat="1" applyFont="1" applyFill="1" applyAlignment="1">
      <alignment horizontal="center" vertical="center"/>
    </xf>
    <xf numFmtId="37" fontId="134" fillId="14" borderId="0" xfId="0" applyNumberFormat="1" applyFont="1" applyFill="1" applyAlignment="1">
      <alignment vertical="center"/>
    </xf>
    <xf numFmtId="37" fontId="40" fillId="14" borderId="0" xfId="0" applyNumberFormat="1" applyFont="1" applyFill="1" applyAlignment="1">
      <alignment horizontal="center"/>
    </xf>
    <xf numFmtId="192" fontId="40" fillId="14" borderId="0" xfId="0" applyNumberFormat="1" applyFont="1" applyFill="1" applyAlignment="1">
      <alignment horizontal="center"/>
    </xf>
    <xf numFmtId="0" fontId="41" fillId="14" borderId="0" xfId="0" applyFont="1" applyFill="1"/>
    <xf numFmtId="192" fontId="39" fillId="0" borderId="0" xfId="582" applyNumberFormat="1" applyAlignment="1">
      <alignment horizontal="left"/>
    </xf>
    <xf numFmtId="0" fontId="54" fillId="12" borderId="38" xfId="47" applyFont="1" applyFill="1" applyBorder="1" applyAlignment="1">
      <alignment horizontal="center" vertical="center" textRotation="90"/>
    </xf>
    <xf numFmtId="0" fontId="54" fillId="4" borderId="38" xfId="47" applyFont="1" applyFill="1" applyBorder="1" applyAlignment="1">
      <alignment horizontal="center" vertical="center" textRotation="90"/>
    </xf>
    <xf numFmtId="0" fontId="54" fillId="4" borderId="37" xfId="47" applyFont="1" applyFill="1" applyBorder="1" applyAlignment="1">
      <alignment horizontal="center" vertical="center" textRotation="90"/>
    </xf>
    <xf numFmtId="0" fontId="41" fillId="8" borderId="9"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10" xfId="0" applyFont="1" applyFill="1" applyBorder="1" applyAlignment="1">
      <alignment horizontal="center" vertical="center"/>
    </xf>
    <xf numFmtId="0" fontId="41" fillId="8" borderId="11" xfId="0" applyFont="1" applyFill="1" applyBorder="1" applyAlignment="1">
      <alignment horizontal="center" vertical="center"/>
    </xf>
    <xf numFmtId="0" fontId="41" fillId="8" borderId="0" xfId="0" applyFont="1" applyFill="1" applyAlignment="1">
      <alignment horizontal="center" vertical="center"/>
    </xf>
    <xf numFmtId="0" fontId="41" fillId="8" borderId="12" xfId="0" applyFont="1" applyFill="1" applyBorder="1" applyAlignment="1">
      <alignment horizontal="center" vertical="center"/>
    </xf>
    <xf numFmtId="0" fontId="41" fillId="8" borderId="14" xfId="0" applyFont="1" applyFill="1" applyBorder="1" applyAlignment="1">
      <alignment horizontal="center" vertical="center"/>
    </xf>
    <xf numFmtId="0" fontId="41" fillId="8" borderId="16" xfId="0" applyFont="1" applyFill="1" applyBorder="1" applyAlignment="1">
      <alignment horizontal="center" vertical="center"/>
    </xf>
    <xf numFmtId="0" fontId="41" fillId="8" borderId="17" xfId="0" applyFont="1" applyFill="1" applyBorder="1" applyAlignment="1">
      <alignment horizontal="center" vertical="center"/>
    </xf>
  </cellXfs>
  <cellStyles count="591">
    <cellStyle name="_x000d__x000a_JournalTemplate=C:\COMFO\CTALK\JOURSTD.TPL_x000d__x000a_LbStateAddress=3 3 0 251 1 89 2 311_x000d__x000a_LbStateJou" xfId="1" xr:uid="{00000000-0005-0000-0000-000000000000}"/>
    <cellStyle name="&quot;A&quot;-style"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Ê‰Ý [0.00]_GE 3 MINIMUM" xfId="7" xr:uid="{00000000-0005-0000-0000-000006000000}"/>
    <cellStyle name="’Ê‰Ý_GE 3 MINIMUM" xfId="8" xr:uid="{00000000-0005-0000-0000-000007000000}"/>
    <cellStyle name="£ BP" xfId="9" xr:uid="{00000000-0005-0000-0000-000008000000}"/>
    <cellStyle name="¥ JY" xfId="10" xr:uid="{00000000-0005-0000-0000-000009000000}"/>
    <cellStyle name="•W_GE 3 MINIMUM" xfId="11" xr:uid="{00000000-0005-0000-0000-00000A000000}"/>
    <cellStyle name="B-CHeader" xfId="12" xr:uid="{00000000-0005-0000-0000-00000B000000}"/>
    <cellStyle name="Blue" xfId="13" xr:uid="{00000000-0005-0000-0000-00000C000000}"/>
    <cellStyle name="Bold/Border" xfId="14" xr:uid="{00000000-0005-0000-0000-00000D000000}"/>
    <cellStyle name="Border, Bottom" xfId="15" xr:uid="{00000000-0005-0000-0000-00000E000000}"/>
    <cellStyle name="Border, Left" xfId="16" xr:uid="{00000000-0005-0000-0000-00000F000000}"/>
    <cellStyle name="Border, Right" xfId="17" xr:uid="{00000000-0005-0000-0000-000010000000}"/>
    <cellStyle name="Border, Top" xfId="18" xr:uid="{00000000-0005-0000-0000-000011000000}"/>
    <cellStyle name="Bullet" xfId="19" xr:uid="{00000000-0005-0000-0000-000012000000}"/>
    <cellStyle name="Changeable" xfId="20" xr:uid="{00000000-0005-0000-0000-000013000000}"/>
    <cellStyle name="ColHeading" xfId="21" xr:uid="{00000000-0005-0000-0000-000014000000}"/>
    <cellStyle name="Comma" xfId="22" builtinId="3"/>
    <cellStyle name="comma (0)" xfId="23" xr:uid="{00000000-0005-0000-0000-000016000000}"/>
    <cellStyle name="Comma 10" xfId="156" xr:uid="{00000000-0005-0000-0000-0000C8000000}"/>
    <cellStyle name="Comma 100" xfId="426" xr:uid="{00000000-0005-0000-0000-0000D6010000}"/>
    <cellStyle name="Comma 101" xfId="429" xr:uid="{00000000-0005-0000-0000-0000D9010000}"/>
    <cellStyle name="Comma 102" xfId="432" xr:uid="{00000000-0005-0000-0000-0000DC010000}"/>
    <cellStyle name="Comma 103" xfId="435" xr:uid="{00000000-0005-0000-0000-0000DF010000}"/>
    <cellStyle name="Comma 104" xfId="438" xr:uid="{00000000-0005-0000-0000-0000E2010000}"/>
    <cellStyle name="Comma 105" xfId="441" xr:uid="{00000000-0005-0000-0000-0000E5010000}"/>
    <cellStyle name="Comma 106" xfId="444" xr:uid="{00000000-0005-0000-0000-0000E8010000}"/>
    <cellStyle name="Comma 107" xfId="447" xr:uid="{00000000-0005-0000-0000-0000EB010000}"/>
    <cellStyle name="Comma 108" xfId="450" xr:uid="{00000000-0005-0000-0000-0000EE010000}"/>
    <cellStyle name="Comma 109" xfId="453" xr:uid="{00000000-0005-0000-0000-0000F1010000}"/>
    <cellStyle name="Comma 11" xfId="159" xr:uid="{00000000-0005-0000-0000-0000CB000000}"/>
    <cellStyle name="Comma 110" xfId="456" xr:uid="{00000000-0005-0000-0000-0000F4010000}"/>
    <cellStyle name="Comma 111" xfId="459" xr:uid="{00000000-0005-0000-0000-0000F7010000}"/>
    <cellStyle name="Comma 112" xfId="462" xr:uid="{00000000-0005-0000-0000-0000FA010000}"/>
    <cellStyle name="Comma 113" xfId="465" xr:uid="{00000000-0005-0000-0000-0000FD010000}"/>
    <cellStyle name="Comma 114" xfId="468" xr:uid="{00000000-0005-0000-0000-000000020000}"/>
    <cellStyle name="Comma 115" xfId="471" xr:uid="{00000000-0005-0000-0000-000003020000}"/>
    <cellStyle name="Comma 116" xfId="474" xr:uid="{00000000-0005-0000-0000-000006020000}"/>
    <cellStyle name="Comma 117" xfId="477" xr:uid="{00000000-0005-0000-0000-000009020000}"/>
    <cellStyle name="Comma 118" xfId="480" xr:uid="{00000000-0005-0000-0000-00000C020000}"/>
    <cellStyle name="Comma 119" xfId="483" xr:uid="{00000000-0005-0000-0000-00000F020000}"/>
    <cellStyle name="Comma 12" xfId="162" xr:uid="{00000000-0005-0000-0000-0000CE000000}"/>
    <cellStyle name="Comma 120" xfId="486" xr:uid="{00000000-0005-0000-0000-000012020000}"/>
    <cellStyle name="Comma 121" xfId="489" xr:uid="{00000000-0005-0000-0000-000015020000}"/>
    <cellStyle name="Comma 122" xfId="492" xr:uid="{00000000-0005-0000-0000-000018020000}"/>
    <cellStyle name="Comma 123" xfId="495" xr:uid="{00000000-0005-0000-0000-00001B020000}"/>
    <cellStyle name="Comma 124" xfId="498" xr:uid="{00000000-0005-0000-0000-00001E020000}"/>
    <cellStyle name="Comma 125" xfId="501" xr:uid="{00000000-0005-0000-0000-000021020000}"/>
    <cellStyle name="Comma 126" xfId="504" xr:uid="{00000000-0005-0000-0000-000024020000}"/>
    <cellStyle name="Comma 127" xfId="507" xr:uid="{00000000-0005-0000-0000-000027020000}"/>
    <cellStyle name="Comma 128" xfId="510" xr:uid="{00000000-0005-0000-0000-00002A020000}"/>
    <cellStyle name="Comma 129" xfId="513" xr:uid="{00000000-0005-0000-0000-00002D020000}"/>
    <cellStyle name="Comma 13" xfId="165" xr:uid="{00000000-0005-0000-0000-0000D1000000}"/>
    <cellStyle name="Comma 130" xfId="516" xr:uid="{00000000-0005-0000-0000-000030020000}"/>
    <cellStyle name="Comma 131" xfId="519" xr:uid="{00000000-0005-0000-0000-000033020000}"/>
    <cellStyle name="Comma 132" xfId="522" xr:uid="{00000000-0005-0000-0000-000036020000}"/>
    <cellStyle name="Comma 133" xfId="525" xr:uid="{00000000-0005-0000-0000-000039020000}"/>
    <cellStyle name="Comma 134" xfId="528" xr:uid="{00000000-0005-0000-0000-00003C020000}"/>
    <cellStyle name="Comma 135" xfId="531" xr:uid="{00000000-0005-0000-0000-00003F020000}"/>
    <cellStyle name="Comma 136" xfId="534" xr:uid="{00000000-0005-0000-0000-000042020000}"/>
    <cellStyle name="Comma 137" xfId="537" xr:uid="{00000000-0005-0000-0000-000045020000}"/>
    <cellStyle name="Comma 138" xfId="540" xr:uid="{00000000-0005-0000-0000-000048020000}"/>
    <cellStyle name="Comma 139" xfId="543" xr:uid="{00000000-0005-0000-0000-00004B020000}"/>
    <cellStyle name="Comma 14" xfId="168" xr:uid="{00000000-0005-0000-0000-0000D4000000}"/>
    <cellStyle name="Comma 140" xfId="546" xr:uid="{00000000-0005-0000-0000-00004E020000}"/>
    <cellStyle name="Comma 141" xfId="549" xr:uid="{00000000-0005-0000-0000-000051020000}"/>
    <cellStyle name="Comma 142" xfId="552" xr:uid="{00000000-0005-0000-0000-000054020000}"/>
    <cellStyle name="Comma 143" xfId="555" xr:uid="{00000000-0005-0000-0000-000057020000}"/>
    <cellStyle name="Comma 144" xfId="558" xr:uid="{00000000-0005-0000-0000-00005A020000}"/>
    <cellStyle name="Comma 145" xfId="561" xr:uid="{00000000-0005-0000-0000-00005D020000}"/>
    <cellStyle name="Comma 146" xfId="564" xr:uid="{00000000-0005-0000-0000-000060020000}"/>
    <cellStyle name="Comma 147" xfId="567" xr:uid="{00000000-0005-0000-0000-000063020000}"/>
    <cellStyle name="Comma 148" xfId="570" xr:uid="{00000000-0005-0000-0000-000066020000}"/>
    <cellStyle name="Comma 149" xfId="573" xr:uid="{00000000-0005-0000-0000-000069020000}"/>
    <cellStyle name="Comma 15" xfId="171" xr:uid="{00000000-0005-0000-0000-0000D7000000}"/>
    <cellStyle name="Comma 150" xfId="576" xr:uid="{00000000-0005-0000-0000-00006C020000}"/>
    <cellStyle name="Comma 151" xfId="579" xr:uid="{00000000-0005-0000-0000-00006F020000}"/>
    <cellStyle name="Comma 152" xfId="587" xr:uid="{B68B9D85-BCE3-4B37-921F-C344E262293E}"/>
    <cellStyle name="Comma 16" xfId="174" xr:uid="{00000000-0005-0000-0000-0000DA000000}"/>
    <cellStyle name="Comma 17" xfId="177" xr:uid="{00000000-0005-0000-0000-0000DD000000}"/>
    <cellStyle name="Comma 18" xfId="180" xr:uid="{00000000-0005-0000-0000-0000E0000000}"/>
    <cellStyle name="Comma 19" xfId="183" xr:uid="{00000000-0005-0000-0000-0000E3000000}"/>
    <cellStyle name="Comma 2" xfId="130" xr:uid="{FA3B16A5-F4AB-43C2-93D6-2900F7317EDE}"/>
    <cellStyle name="Comma 2 2" xfId="136" xr:uid="{00000000-0005-0000-0000-000001000000}"/>
    <cellStyle name="Comma 20" xfId="186" xr:uid="{00000000-0005-0000-0000-0000E6000000}"/>
    <cellStyle name="Comma 21" xfId="189" xr:uid="{00000000-0005-0000-0000-0000E9000000}"/>
    <cellStyle name="Comma 22" xfId="192" xr:uid="{00000000-0005-0000-0000-0000EC000000}"/>
    <cellStyle name="Comma 23" xfId="195" xr:uid="{00000000-0005-0000-0000-0000EF000000}"/>
    <cellStyle name="Comma 24" xfId="198" xr:uid="{00000000-0005-0000-0000-0000F2000000}"/>
    <cellStyle name="Comma 25" xfId="201" xr:uid="{00000000-0005-0000-0000-0000F5000000}"/>
    <cellStyle name="Comma 26" xfId="204" xr:uid="{00000000-0005-0000-0000-0000F8000000}"/>
    <cellStyle name="Comma 27" xfId="207" xr:uid="{00000000-0005-0000-0000-0000FB000000}"/>
    <cellStyle name="Comma 28" xfId="210" xr:uid="{00000000-0005-0000-0000-0000FE000000}"/>
    <cellStyle name="Comma 29" xfId="213" xr:uid="{00000000-0005-0000-0000-000001010000}"/>
    <cellStyle name="Comma 3" xfId="133" xr:uid="{00000000-0005-0000-0000-0000B1000000}"/>
    <cellStyle name="Comma 30" xfId="216" xr:uid="{00000000-0005-0000-0000-000004010000}"/>
    <cellStyle name="Comma 31" xfId="219" xr:uid="{00000000-0005-0000-0000-000007010000}"/>
    <cellStyle name="Comma 32" xfId="222" xr:uid="{00000000-0005-0000-0000-00000A010000}"/>
    <cellStyle name="Comma 33" xfId="225" xr:uid="{00000000-0005-0000-0000-00000D010000}"/>
    <cellStyle name="Comma 34" xfId="228" xr:uid="{00000000-0005-0000-0000-000010010000}"/>
    <cellStyle name="Comma 35" xfId="231" xr:uid="{00000000-0005-0000-0000-000013010000}"/>
    <cellStyle name="Comma 36" xfId="234" xr:uid="{00000000-0005-0000-0000-000016010000}"/>
    <cellStyle name="Comma 37" xfId="237" xr:uid="{00000000-0005-0000-0000-000019010000}"/>
    <cellStyle name="Comma 38" xfId="240" xr:uid="{00000000-0005-0000-0000-00001C010000}"/>
    <cellStyle name="Comma 39" xfId="243" xr:uid="{00000000-0005-0000-0000-00001F010000}"/>
    <cellStyle name="Comma 4" xfId="138" xr:uid="{00000000-0005-0000-0000-0000B6000000}"/>
    <cellStyle name="Comma 40" xfId="246" xr:uid="{00000000-0005-0000-0000-000022010000}"/>
    <cellStyle name="Comma 41" xfId="249" xr:uid="{00000000-0005-0000-0000-000025010000}"/>
    <cellStyle name="Comma 42" xfId="252" xr:uid="{00000000-0005-0000-0000-000028010000}"/>
    <cellStyle name="Comma 43" xfId="255" xr:uid="{00000000-0005-0000-0000-00002B010000}"/>
    <cellStyle name="Comma 44" xfId="258" xr:uid="{00000000-0005-0000-0000-00002E010000}"/>
    <cellStyle name="Comma 45" xfId="261" xr:uid="{00000000-0005-0000-0000-000031010000}"/>
    <cellStyle name="Comma 46" xfId="264" xr:uid="{00000000-0005-0000-0000-000034010000}"/>
    <cellStyle name="Comma 47" xfId="267" xr:uid="{00000000-0005-0000-0000-000037010000}"/>
    <cellStyle name="Comma 48" xfId="270" xr:uid="{00000000-0005-0000-0000-00003A010000}"/>
    <cellStyle name="Comma 49" xfId="273" xr:uid="{00000000-0005-0000-0000-00003D010000}"/>
    <cellStyle name="Comma 5" xfId="141" xr:uid="{00000000-0005-0000-0000-0000B9000000}"/>
    <cellStyle name="Comma 50" xfId="276" xr:uid="{00000000-0005-0000-0000-000040010000}"/>
    <cellStyle name="Comma 51" xfId="279" xr:uid="{00000000-0005-0000-0000-000043010000}"/>
    <cellStyle name="Comma 52" xfId="282" xr:uid="{00000000-0005-0000-0000-000046010000}"/>
    <cellStyle name="Comma 53" xfId="285" xr:uid="{00000000-0005-0000-0000-000049010000}"/>
    <cellStyle name="Comma 54" xfId="288" xr:uid="{00000000-0005-0000-0000-00004C010000}"/>
    <cellStyle name="Comma 55" xfId="291" xr:uid="{00000000-0005-0000-0000-00004F010000}"/>
    <cellStyle name="Comma 56" xfId="294" xr:uid="{00000000-0005-0000-0000-000052010000}"/>
    <cellStyle name="Comma 57" xfId="297" xr:uid="{00000000-0005-0000-0000-000055010000}"/>
    <cellStyle name="Comma 58" xfId="300" xr:uid="{00000000-0005-0000-0000-000058010000}"/>
    <cellStyle name="Comma 59" xfId="303" xr:uid="{00000000-0005-0000-0000-00005B010000}"/>
    <cellStyle name="Comma 6" xfId="144" xr:uid="{00000000-0005-0000-0000-0000BC000000}"/>
    <cellStyle name="Comma 60" xfId="306" xr:uid="{00000000-0005-0000-0000-00005E010000}"/>
    <cellStyle name="Comma 61" xfId="309" xr:uid="{00000000-0005-0000-0000-000061010000}"/>
    <cellStyle name="Comma 62" xfId="312" xr:uid="{00000000-0005-0000-0000-000064010000}"/>
    <cellStyle name="Comma 63" xfId="315" xr:uid="{00000000-0005-0000-0000-000067010000}"/>
    <cellStyle name="Comma 64" xfId="318" xr:uid="{00000000-0005-0000-0000-00006A010000}"/>
    <cellStyle name="Comma 65" xfId="321" xr:uid="{00000000-0005-0000-0000-00006D010000}"/>
    <cellStyle name="Comma 66" xfId="324" xr:uid="{00000000-0005-0000-0000-000070010000}"/>
    <cellStyle name="Comma 67" xfId="327" xr:uid="{00000000-0005-0000-0000-000073010000}"/>
    <cellStyle name="Comma 68" xfId="330" xr:uid="{00000000-0005-0000-0000-000076010000}"/>
    <cellStyle name="Comma 69" xfId="333" xr:uid="{00000000-0005-0000-0000-000079010000}"/>
    <cellStyle name="Comma 7" xfId="147" xr:uid="{00000000-0005-0000-0000-0000BF000000}"/>
    <cellStyle name="Comma 70" xfId="336" xr:uid="{00000000-0005-0000-0000-00007C010000}"/>
    <cellStyle name="Comma 71" xfId="339" xr:uid="{00000000-0005-0000-0000-00007F010000}"/>
    <cellStyle name="Comma 72" xfId="342" xr:uid="{00000000-0005-0000-0000-000082010000}"/>
    <cellStyle name="Comma 73" xfId="345" xr:uid="{00000000-0005-0000-0000-000085010000}"/>
    <cellStyle name="Comma 74" xfId="348" xr:uid="{00000000-0005-0000-0000-000088010000}"/>
    <cellStyle name="Comma 75" xfId="351" xr:uid="{00000000-0005-0000-0000-00008B010000}"/>
    <cellStyle name="Comma 76" xfId="354" xr:uid="{00000000-0005-0000-0000-00008E010000}"/>
    <cellStyle name="Comma 77" xfId="357" xr:uid="{00000000-0005-0000-0000-000091010000}"/>
    <cellStyle name="Comma 78" xfId="360" xr:uid="{00000000-0005-0000-0000-000094010000}"/>
    <cellStyle name="Comma 79" xfId="363" xr:uid="{00000000-0005-0000-0000-000097010000}"/>
    <cellStyle name="Comma 8" xfId="150" xr:uid="{00000000-0005-0000-0000-0000C2000000}"/>
    <cellStyle name="Comma 80" xfId="366" xr:uid="{00000000-0005-0000-0000-00009A010000}"/>
    <cellStyle name="Comma 81" xfId="369" xr:uid="{00000000-0005-0000-0000-00009D010000}"/>
    <cellStyle name="Comma 82" xfId="372" xr:uid="{00000000-0005-0000-0000-0000A0010000}"/>
    <cellStyle name="Comma 83" xfId="375" xr:uid="{00000000-0005-0000-0000-0000A3010000}"/>
    <cellStyle name="Comma 84" xfId="378" xr:uid="{00000000-0005-0000-0000-0000A6010000}"/>
    <cellStyle name="Comma 85" xfId="381" xr:uid="{00000000-0005-0000-0000-0000A9010000}"/>
    <cellStyle name="Comma 86" xfId="384" xr:uid="{00000000-0005-0000-0000-0000AC010000}"/>
    <cellStyle name="Comma 87" xfId="387" xr:uid="{00000000-0005-0000-0000-0000AF010000}"/>
    <cellStyle name="Comma 88" xfId="390" xr:uid="{00000000-0005-0000-0000-0000B2010000}"/>
    <cellStyle name="Comma 89" xfId="393" xr:uid="{00000000-0005-0000-0000-0000B5010000}"/>
    <cellStyle name="Comma 9" xfId="153" xr:uid="{00000000-0005-0000-0000-0000C5000000}"/>
    <cellStyle name="Comma 90" xfId="396" xr:uid="{00000000-0005-0000-0000-0000B8010000}"/>
    <cellStyle name="Comma 91" xfId="399" xr:uid="{00000000-0005-0000-0000-0000BB010000}"/>
    <cellStyle name="Comma 92" xfId="402" xr:uid="{00000000-0005-0000-0000-0000BE010000}"/>
    <cellStyle name="Comma 93" xfId="405" xr:uid="{00000000-0005-0000-0000-0000C1010000}"/>
    <cellStyle name="Comma 94" xfId="408" xr:uid="{00000000-0005-0000-0000-0000C4010000}"/>
    <cellStyle name="Comma 95" xfId="411" xr:uid="{00000000-0005-0000-0000-0000C7010000}"/>
    <cellStyle name="Comma 96" xfId="414" xr:uid="{00000000-0005-0000-0000-0000CA010000}"/>
    <cellStyle name="Comma 97" xfId="417" xr:uid="{00000000-0005-0000-0000-0000CD010000}"/>
    <cellStyle name="Comma 98" xfId="420" xr:uid="{00000000-0005-0000-0000-0000D0010000}"/>
    <cellStyle name="Comma 99" xfId="423" xr:uid="{00000000-0005-0000-0000-0000D3010000}"/>
    <cellStyle name="Company" xfId="24" xr:uid="{00000000-0005-0000-0000-000018000000}"/>
    <cellStyle name="CompanyName" xfId="25" xr:uid="{00000000-0005-0000-0000-000019000000}"/>
    <cellStyle name="CompanyName 2" xfId="64" xr:uid="{00000000-0005-0000-0000-00001A000000}"/>
    <cellStyle name="CurRatio" xfId="26" xr:uid="{00000000-0005-0000-0000-00001B000000}"/>
    <cellStyle name="Currency" xfId="27" builtinId="4"/>
    <cellStyle name="Currency [2]" xfId="28" xr:uid="{00000000-0005-0000-0000-00001D000000}"/>
    <cellStyle name="Currency 2" xfId="131" xr:uid="{7C847322-DF44-4FE3-8EE9-BE5B4E37A689}"/>
    <cellStyle name="Currency(1)" xfId="29" xr:uid="{00000000-0005-0000-0000-00001E000000}"/>
    <cellStyle name="Dash" xfId="30" xr:uid="{00000000-0005-0000-0000-00001F000000}"/>
    <cellStyle name="D-No Decimal" xfId="31" xr:uid="{00000000-0005-0000-0000-000020000000}"/>
    <cellStyle name="Euro" xfId="32" xr:uid="{00000000-0005-0000-0000-000021000000}"/>
    <cellStyle name="Grey" xfId="33" xr:uid="{00000000-0005-0000-0000-000022000000}"/>
    <cellStyle name="Input" xfId="34" builtinId="20" customBuiltin="1"/>
    <cellStyle name="Input [yellow]" xfId="35" xr:uid="{00000000-0005-0000-0000-000024000000}"/>
    <cellStyle name="Input 10" xfId="78" xr:uid="{00000000-0005-0000-0000-000025000000}"/>
    <cellStyle name="Input 11" xfId="81" xr:uid="{00000000-0005-0000-0000-000026000000}"/>
    <cellStyle name="Input 12" xfId="77" xr:uid="{00000000-0005-0000-0000-000027000000}"/>
    <cellStyle name="Input 13" xfId="83" xr:uid="{00000000-0005-0000-0000-000028000000}"/>
    <cellStyle name="Input 14" xfId="96" xr:uid="{00000000-0005-0000-0000-000029000000}"/>
    <cellStyle name="Input 15" xfId="94" xr:uid="{00000000-0005-0000-0000-00002A000000}"/>
    <cellStyle name="Input 16" xfId="95" xr:uid="{00000000-0005-0000-0000-00002B000000}"/>
    <cellStyle name="Input 17" xfId="103" xr:uid="{00000000-0005-0000-0000-00002C000000}"/>
    <cellStyle name="Input 18" xfId="101" xr:uid="{00000000-0005-0000-0000-00002D000000}"/>
    <cellStyle name="Input 19" xfId="102" xr:uid="{00000000-0005-0000-0000-00002E000000}"/>
    <cellStyle name="Input 2" xfId="69" xr:uid="{00000000-0005-0000-0000-00002F000000}"/>
    <cellStyle name="Input 20" xfId="109" xr:uid="{00000000-0005-0000-0000-000030000000}"/>
    <cellStyle name="Input 21" xfId="107" xr:uid="{00000000-0005-0000-0000-000031000000}"/>
    <cellStyle name="Input 22" xfId="108" xr:uid="{00000000-0005-0000-0000-000032000000}"/>
    <cellStyle name="Input 23" xfId="115" xr:uid="{00000000-0005-0000-0000-000033000000}"/>
    <cellStyle name="Input 3" xfId="66" xr:uid="{00000000-0005-0000-0000-000034000000}"/>
    <cellStyle name="Input 4" xfId="67" xr:uid="{00000000-0005-0000-0000-000035000000}"/>
    <cellStyle name="Input 5" xfId="65" xr:uid="{00000000-0005-0000-0000-000036000000}"/>
    <cellStyle name="Input 6" xfId="68" xr:uid="{00000000-0005-0000-0000-000037000000}"/>
    <cellStyle name="Input 7" xfId="82" xr:uid="{00000000-0005-0000-0000-000038000000}"/>
    <cellStyle name="Input 8" xfId="79" xr:uid="{00000000-0005-0000-0000-000039000000}"/>
    <cellStyle name="Input 9" xfId="80" xr:uid="{00000000-0005-0000-0000-00003A000000}"/>
    <cellStyle name="Integer" xfId="36" xr:uid="{00000000-0005-0000-0000-00003B000000}"/>
    <cellStyle name="Italic" xfId="37" xr:uid="{00000000-0005-0000-0000-00003C000000}"/>
    <cellStyle name="Item" xfId="38" xr:uid="{00000000-0005-0000-0000-00003D000000}"/>
    <cellStyle name="ItemTypeClass" xfId="39" xr:uid="{00000000-0005-0000-0000-00003E000000}"/>
    <cellStyle name="mm/dd/yy" xfId="40" xr:uid="{00000000-0005-0000-0000-00003F000000}"/>
    <cellStyle name="Normal" xfId="0" builtinId="0"/>
    <cellStyle name="Normal - Style1" xfId="41" xr:uid="{00000000-0005-0000-0000-000041000000}"/>
    <cellStyle name="Normal 10" xfId="86" xr:uid="{00000000-0005-0000-0000-000042000000}"/>
    <cellStyle name="Normal 10 2 2" xfId="581" xr:uid="{9167A20D-757D-4995-965D-06E949ABF2E5}"/>
    <cellStyle name="Normal 100" xfId="353" xr:uid="{00000000-0005-0000-0000-00008F010000}"/>
    <cellStyle name="Normal 101" xfId="356" xr:uid="{00000000-0005-0000-0000-000092010000}"/>
    <cellStyle name="Normal 102" xfId="359" xr:uid="{00000000-0005-0000-0000-000095010000}"/>
    <cellStyle name="Normal 103" xfId="362" xr:uid="{00000000-0005-0000-0000-000098010000}"/>
    <cellStyle name="Normal 104" xfId="365" xr:uid="{00000000-0005-0000-0000-00009B010000}"/>
    <cellStyle name="Normal 105" xfId="368" xr:uid="{00000000-0005-0000-0000-00009E010000}"/>
    <cellStyle name="Normal 106" xfId="371" xr:uid="{00000000-0005-0000-0000-0000A1010000}"/>
    <cellStyle name="Normal 107" xfId="374" xr:uid="{00000000-0005-0000-0000-0000A4010000}"/>
    <cellStyle name="Normal 108" xfId="377" xr:uid="{00000000-0005-0000-0000-0000A7010000}"/>
    <cellStyle name="Normal 109" xfId="380" xr:uid="{00000000-0005-0000-0000-0000AA010000}"/>
    <cellStyle name="Normal 11" xfId="87" xr:uid="{00000000-0005-0000-0000-000043000000}"/>
    <cellStyle name="Normal 110" xfId="383" xr:uid="{00000000-0005-0000-0000-0000AD010000}"/>
    <cellStyle name="Normal 111" xfId="386" xr:uid="{00000000-0005-0000-0000-0000B0010000}"/>
    <cellStyle name="Normal 112" xfId="389" xr:uid="{00000000-0005-0000-0000-0000B3010000}"/>
    <cellStyle name="Normal 113" xfId="392" xr:uid="{00000000-0005-0000-0000-0000B6010000}"/>
    <cellStyle name="Normal 114" xfId="395" xr:uid="{00000000-0005-0000-0000-0000B9010000}"/>
    <cellStyle name="Normal 115" xfId="398" xr:uid="{00000000-0005-0000-0000-0000BC010000}"/>
    <cellStyle name="Normal 116" xfId="401" xr:uid="{00000000-0005-0000-0000-0000BF010000}"/>
    <cellStyle name="Normal 117" xfId="404" xr:uid="{00000000-0005-0000-0000-0000C2010000}"/>
    <cellStyle name="Normal 118" xfId="407" xr:uid="{00000000-0005-0000-0000-0000C5010000}"/>
    <cellStyle name="Normal 119" xfId="410" xr:uid="{00000000-0005-0000-0000-0000C8010000}"/>
    <cellStyle name="Normal 12" xfId="88" xr:uid="{00000000-0005-0000-0000-000044000000}"/>
    <cellStyle name="Normal 120" xfId="413" xr:uid="{00000000-0005-0000-0000-0000CB010000}"/>
    <cellStyle name="Normal 121" xfId="416" xr:uid="{00000000-0005-0000-0000-0000CE010000}"/>
    <cellStyle name="Normal 122" xfId="419" xr:uid="{00000000-0005-0000-0000-0000D1010000}"/>
    <cellStyle name="Normal 123" xfId="422" xr:uid="{00000000-0005-0000-0000-0000D4010000}"/>
    <cellStyle name="Normal 124" xfId="425" xr:uid="{00000000-0005-0000-0000-0000D7010000}"/>
    <cellStyle name="Normal 125" xfId="428" xr:uid="{00000000-0005-0000-0000-0000DA010000}"/>
    <cellStyle name="Normal 126" xfId="431" xr:uid="{00000000-0005-0000-0000-0000DD010000}"/>
    <cellStyle name="Normal 127" xfId="434" xr:uid="{00000000-0005-0000-0000-0000E0010000}"/>
    <cellStyle name="Normal 128" xfId="437" xr:uid="{00000000-0005-0000-0000-0000E3010000}"/>
    <cellStyle name="Normal 129" xfId="440" xr:uid="{00000000-0005-0000-0000-0000E6010000}"/>
    <cellStyle name="Normal 13" xfId="89" xr:uid="{00000000-0005-0000-0000-000045000000}"/>
    <cellStyle name="Normal 130" xfId="443" xr:uid="{00000000-0005-0000-0000-0000E9010000}"/>
    <cellStyle name="Normal 131" xfId="446" xr:uid="{00000000-0005-0000-0000-0000EC010000}"/>
    <cellStyle name="Normal 132" xfId="449" xr:uid="{00000000-0005-0000-0000-0000EF010000}"/>
    <cellStyle name="Normal 133" xfId="452" xr:uid="{00000000-0005-0000-0000-0000F2010000}"/>
    <cellStyle name="Normal 134" xfId="455" xr:uid="{00000000-0005-0000-0000-0000F5010000}"/>
    <cellStyle name="Normal 135" xfId="458" xr:uid="{00000000-0005-0000-0000-0000F8010000}"/>
    <cellStyle name="Normal 136" xfId="461" xr:uid="{00000000-0005-0000-0000-0000FB010000}"/>
    <cellStyle name="Normal 137" xfId="464" xr:uid="{00000000-0005-0000-0000-0000FE010000}"/>
    <cellStyle name="Normal 138" xfId="467" xr:uid="{00000000-0005-0000-0000-000001020000}"/>
    <cellStyle name="Normal 139" xfId="470" xr:uid="{00000000-0005-0000-0000-000004020000}"/>
    <cellStyle name="Normal 14" xfId="90" xr:uid="{00000000-0005-0000-0000-000046000000}"/>
    <cellStyle name="Normal 140" xfId="473" xr:uid="{00000000-0005-0000-0000-000007020000}"/>
    <cellStyle name="Normal 141" xfId="476" xr:uid="{00000000-0005-0000-0000-00000A020000}"/>
    <cellStyle name="Normal 142" xfId="479" xr:uid="{00000000-0005-0000-0000-00000D020000}"/>
    <cellStyle name="Normal 143" xfId="482" xr:uid="{00000000-0005-0000-0000-000010020000}"/>
    <cellStyle name="Normal 144" xfId="485" xr:uid="{00000000-0005-0000-0000-000013020000}"/>
    <cellStyle name="Normal 145" xfId="488" xr:uid="{00000000-0005-0000-0000-000016020000}"/>
    <cellStyle name="Normal 146" xfId="491" xr:uid="{00000000-0005-0000-0000-000019020000}"/>
    <cellStyle name="Normal 147" xfId="494" xr:uid="{00000000-0005-0000-0000-00001C020000}"/>
    <cellStyle name="Normal 148" xfId="497" xr:uid="{00000000-0005-0000-0000-00001F020000}"/>
    <cellStyle name="Normal 149" xfId="500" xr:uid="{00000000-0005-0000-0000-000022020000}"/>
    <cellStyle name="Normal 15" xfId="91" xr:uid="{00000000-0005-0000-0000-000047000000}"/>
    <cellStyle name="Normal 150" xfId="503" xr:uid="{00000000-0005-0000-0000-000025020000}"/>
    <cellStyle name="Normal 151" xfId="506" xr:uid="{00000000-0005-0000-0000-000028020000}"/>
    <cellStyle name="Normal 152" xfId="509" xr:uid="{00000000-0005-0000-0000-00002B020000}"/>
    <cellStyle name="Normal 153" xfId="512" xr:uid="{00000000-0005-0000-0000-00002E020000}"/>
    <cellStyle name="Normal 154" xfId="515" xr:uid="{00000000-0005-0000-0000-000031020000}"/>
    <cellStyle name="Normal 155" xfId="518" xr:uid="{00000000-0005-0000-0000-000034020000}"/>
    <cellStyle name="Normal 156" xfId="521" xr:uid="{00000000-0005-0000-0000-000037020000}"/>
    <cellStyle name="Normal 157" xfId="524" xr:uid="{00000000-0005-0000-0000-00003A020000}"/>
    <cellStyle name="Normal 158" xfId="527" xr:uid="{00000000-0005-0000-0000-00003D020000}"/>
    <cellStyle name="Normal 159" xfId="530" xr:uid="{00000000-0005-0000-0000-000040020000}"/>
    <cellStyle name="Normal 16" xfId="92" xr:uid="{00000000-0005-0000-0000-000048000000}"/>
    <cellStyle name="Normal 160" xfId="533" xr:uid="{00000000-0005-0000-0000-000043020000}"/>
    <cellStyle name="Normal 161" xfId="536" xr:uid="{00000000-0005-0000-0000-000046020000}"/>
    <cellStyle name="Normal 162" xfId="539" xr:uid="{00000000-0005-0000-0000-000049020000}"/>
    <cellStyle name="Normal 163" xfId="542" xr:uid="{00000000-0005-0000-0000-00004C020000}"/>
    <cellStyle name="Normal 164" xfId="545" xr:uid="{00000000-0005-0000-0000-00004F020000}"/>
    <cellStyle name="Normal 165" xfId="548" xr:uid="{00000000-0005-0000-0000-000052020000}"/>
    <cellStyle name="Normal 166" xfId="551" xr:uid="{00000000-0005-0000-0000-000055020000}"/>
    <cellStyle name="Normal 167" xfId="554" xr:uid="{00000000-0005-0000-0000-000058020000}"/>
    <cellStyle name="Normal 168" xfId="557" xr:uid="{00000000-0005-0000-0000-00005B020000}"/>
    <cellStyle name="Normal 169" xfId="560" xr:uid="{00000000-0005-0000-0000-00005E020000}"/>
    <cellStyle name="Normal 17" xfId="99" xr:uid="{00000000-0005-0000-0000-000049000000}"/>
    <cellStyle name="Normal 170" xfId="563" xr:uid="{00000000-0005-0000-0000-000061020000}"/>
    <cellStyle name="Normal 171" xfId="566" xr:uid="{00000000-0005-0000-0000-000064020000}"/>
    <cellStyle name="Normal 172" xfId="569" xr:uid="{00000000-0005-0000-0000-000067020000}"/>
    <cellStyle name="Normal 173" xfId="572" xr:uid="{00000000-0005-0000-0000-00006A020000}"/>
    <cellStyle name="Normal 174" xfId="575" xr:uid="{00000000-0005-0000-0000-00006D020000}"/>
    <cellStyle name="Normal 175" xfId="578" xr:uid="{00000000-0005-0000-0000-000070020000}"/>
    <cellStyle name="Normal 176" xfId="582" xr:uid="{35D46E45-F7F5-4002-B2DD-3A6B10001BD0}"/>
    <cellStyle name="Normal 177" xfId="585" xr:uid="{73EE3714-FBFE-4E07-886F-A5AA7137CCDD}"/>
    <cellStyle name="Normal 178" xfId="589" xr:uid="{97457A61-5C85-4CFC-AB68-98D2125AF32E}"/>
    <cellStyle name="Normal 179" xfId="590" xr:uid="{A58B6E40-1578-4FA3-89E0-C923C5D23A5B}"/>
    <cellStyle name="Normal 18" xfId="100" xr:uid="{00000000-0005-0000-0000-00004A000000}"/>
    <cellStyle name="Normal 19" xfId="93" xr:uid="{00000000-0005-0000-0000-00004B000000}"/>
    <cellStyle name="Normal 2" xfId="63" xr:uid="{00000000-0005-0000-0000-00004C000000}"/>
    <cellStyle name="Normal 2 2" xfId="135" xr:uid="{00000000-0005-0000-0000-000003000000}"/>
    <cellStyle name="Normal 2 2 3" xfId="42" xr:uid="{00000000-0005-0000-0000-00004D000000}"/>
    <cellStyle name="Normal 2 3" xfId="584" xr:uid="{01AF52A3-8A1D-44E8-A869-EA8D37D4C2A9}"/>
    <cellStyle name="Normal 20" xfId="104" xr:uid="{00000000-0005-0000-0000-00004E000000}"/>
    <cellStyle name="Normal 21" xfId="105" xr:uid="{00000000-0005-0000-0000-00004F000000}"/>
    <cellStyle name="Normal 22" xfId="106" xr:uid="{00000000-0005-0000-0000-000050000000}"/>
    <cellStyle name="Normal 23" xfId="112" xr:uid="{00000000-0005-0000-0000-000051000000}"/>
    <cellStyle name="Normal 24" xfId="113" xr:uid="{00000000-0005-0000-0000-000052000000}"/>
    <cellStyle name="Normal 25" xfId="114" xr:uid="{00000000-0005-0000-0000-000053000000}"/>
    <cellStyle name="Normal 26" xfId="128" xr:uid="{589CAB52-1B9D-4AF6-B646-20DB45134A29}"/>
    <cellStyle name="Normal 27" xfId="132" xr:uid="{00000000-0005-0000-0000-0000B3000000}"/>
    <cellStyle name="Normal 28" xfId="137" xr:uid="{00000000-0005-0000-0000-0000B7000000}"/>
    <cellStyle name="Normal 29" xfId="140" xr:uid="{00000000-0005-0000-0000-0000BA000000}"/>
    <cellStyle name="Normal 3" xfId="72" xr:uid="{00000000-0005-0000-0000-000054000000}"/>
    <cellStyle name="Normal 30" xfId="143" xr:uid="{00000000-0005-0000-0000-0000BD000000}"/>
    <cellStyle name="Normal 31" xfId="146" xr:uid="{00000000-0005-0000-0000-0000C0000000}"/>
    <cellStyle name="Normal 32" xfId="149" xr:uid="{00000000-0005-0000-0000-0000C3000000}"/>
    <cellStyle name="Normal 33" xfId="152" xr:uid="{00000000-0005-0000-0000-0000C6000000}"/>
    <cellStyle name="Normal 34" xfId="155" xr:uid="{00000000-0005-0000-0000-0000C9000000}"/>
    <cellStyle name="Normal 35" xfId="158" xr:uid="{00000000-0005-0000-0000-0000CC000000}"/>
    <cellStyle name="Normal 36" xfId="161" xr:uid="{00000000-0005-0000-0000-0000CF000000}"/>
    <cellStyle name="Normal 37" xfId="164" xr:uid="{00000000-0005-0000-0000-0000D2000000}"/>
    <cellStyle name="Normal 38" xfId="167" xr:uid="{00000000-0005-0000-0000-0000D5000000}"/>
    <cellStyle name="Normal 39" xfId="170" xr:uid="{00000000-0005-0000-0000-0000D8000000}"/>
    <cellStyle name="Normal 4" xfId="73" xr:uid="{00000000-0005-0000-0000-000055000000}"/>
    <cellStyle name="Normal 40" xfId="173" xr:uid="{00000000-0005-0000-0000-0000DB000000}"/>
    <cellStyle name="Normal 41" xfId="176" xr:uid="{00000000-0005-0000-0000-0000DE000000}"/>
    <cellStyle name="Normal 42" xfId="179" xr:uid="{00000000-0005-0000-0000-0000E1000000}"/>
    <cellStyle name="Normal 43" xfId="182" xr:uid="{00000000-0005-0000-0000-0000E4000000}"/>
    <cellStyle name="Normal 44" xfId="185" xr:uid="{00000000-0005-0000-0000-0000E7000000}"/>
    <cellStyle name="Normal 45" xfId="188" xr:uid="{00000000-0005-0000-0000-0000EA000000}"/>
    <cellStyle name="Normal 46" xfId="191" xr:uid="{00000000-0005-0000-0000-0000ED000000}"/>
    <cellStyle name="Normal 47" xfId="194" xr:uid="{00000000-0005-0000-0000-0000F0000000}"/>
    <cellStyle name="Normal 48" xfId="197" xr:uid="{00000000-0005-0000-0000-0000F3000000}"/>
    <cellStyle name="Normal 49" xfId="200" xr:uid="{00000000-0005-0000-0000-0000F6000000}"/>
    <cellStyle name="Normal 5" xfId="74" xr:uid="{00000000-0005-0000-0000-000056000000}"/>
    <cellStyle name="Normal 50" xfId="203" xr:uid="{00000000-0005-0000-0000-0000F9000000}"/>
    <cellStyle name="Normal 51" xfId="206" xr:uid="{00000000-0005-0000-0000-0000FC000000}"/>
    <cellStyle name="Normal 52" xfId="209" xr:uid="{00000000-0005-0000-0000-0000FF000000}"/>
    <cellStyle name="Normal 53" xfId="212" xr:uid="{00000000-0005-0000-0000-000002010000}"/>
    <cellStyle name="Normal 54" xfId="215" xr:uid="{00000000-0005-0000-0000-000005010000}"/>
    <cellStyle name="Normal 55" xfId="218" xr:uid="{00000000-0005-0000-0000-000008010000}"/>
    <cellStyle name="Normal 56" xfId="221" xr:uid="{00000000-0005-0000-0000-00000B010000}"/>
    <cellStyle name="Normal 57" xfId="224" xr:uid="{00000000-0005-0000-0000-00000E010000}"/>
    <cellStyle name="Normal 58" xfId="227" xr:uid="{00000000-0005-0000-0000-000011010000}"/>
    <cellStyle name="Normal 59" xfId="230" xr:uid="{00000000-0005-0000-0000-000014010000}"/>
    <cellStyle name="Normal 6" xfId="43" xr:uid="{00000000-0005-0000-0000-000057000000}"/>
    <cellStyle name="Normal 6 2" xfId="70" xr:uid="{00000000-0005-0000-0000-000058000000}"/>
    <cellStyle name="Normal 6 2 2" xfId="118" xr:uid="{00000000-0005-0000-0000-000059000000}"/>
    <cellStyle name="Normal 6 3" xfId="84" xr:uid="{00000000-0005-0000-0000-00005A000000}"/>
    <cellStyle name="Normal 6 3 2" xfId="120" xr:uid="{00000000-0005-0000-0000-00005B000000}"/>
    <cellStyle name="Normal 6 4" xfId="97" xr:uid="{00000000-0005-0000-0000-00005C000000}"/>
    <cellStyle name="Normal 6 4 2" xfId="122" xr:uid="{00000000-0005-0000-0000-00005D000000}"/>
    <cellStyle name="Normal 6 5" xfId="110" xr:uid="{00000000-0005-0000-0000-00005E000000}"/>
    <cellStyle name="Normal 6 5 2" xfId="124" xr:uid="{00000000-0005-0000-0000-00005F000000}"/>
    <cellStyle name="Normal 6 6" xfId="116" xr:uid="{00000000-0005-0000-0000-000060000000}"/>
    <cellStyle name="Normal 6 8 2" xfId="126" xr:uid="{00000000-0005-0000-0000-000061000000}"/>
    <cellStyle name="Normal 60" xfId="233" xr:uid="{00000000-0005-0000-0000-000017010000}"/>
    <cellStyle name="Normal 61" xfId="236" xr:uid="{00000000-0005-0000-0000-00001A010000}"/>
    <cellStyle name="Normal 62" xfId="239" xr:uid="{00000000-0005-0000-0000-00001D010000}"/>
    <cellStyle name="Normal 63" xfId="242" xr:uid="{00000000-0005-0000-0000-000020010000}"/>
    <cellStyle name="Normal 64" xfId="245" xr:uid="{00000000-0005-0000-0000-000023010000}"/>
    <cellStyle name="Normal 65" xfId="248" xr:uid="{00000000-0005-0000-0000-000026010000}"/>
    <cellStyle name="Normal 66" xfId="251" xr:uid="{00000000-0005-0000-0000-000029010000}"/>
    <cellStyle name="Normal 67" xfId="254" xr:uid="{00000000-0005-0000-0000-00002C010000}"/>
    <cellStyle name="Normal 68" xfId="257" xr:uid="{00000000-0005-0000-0000-00002F010000}"/>
    <cellStyle name="Normal 69" xfId="260" xr:uid="{00000000-0005-0000-0000-000032010000}"/>
    <cellStyle name="Normal 7" xfId="44" xr:uid="{00000000-0005-0000-0000-000062000000}"/>
    <cellStyle name="Normal 7 2" xfId="71" xr:uid="{00000000-0005-0000-0000-000063000000}"/>
    <cellStyle name="Normal 7 2 2" xfId="119" xr:uid="{00000000-0005-0000-0000-000064000000}"/>
    <cellStyle name="Normal 7 3" xfId="85" xr:uid="{00000000-0005-0000-0000-000065000000}"/>
    <cellStyle name="Normal 7 3 2" xfId="121" xr:uid="{00000000-0005-0000-0000-000066000000}"/>
    <cellStyle name="Normal 7 4" xfId="98" xr:uid="{00000000-0005-0000-0000-000067000000}"/>
    <cellStyle name="Normal 7 4 2" xfId="123" xr:uid="{00000000-0005-0000-0000-000068000000}"/>
    <cellStyle name="Normal 7 5" xfId="111" xr:uid="{00000000-0005-0000-0000-000069000000}"/>
    <cellStyle name="Normal 7 5 2" xfId="125" xr:uid="{00000000-0005-0000-0000-00006A000000}"/>
    <cellStyle name="Normal 7 6" xfId="117" xr:uid="{00000000-0005-0000-0000-00006B000000}"/>
    <cellStyle name="Normal 70" xfId="263" xr:uid="{00000000-0005-0000-0000-000035010000}"/>
    <cellStyle name="Normal 71" xfId="266" xr:uid="{00000000-0005-0000-0000-000038010000}"/>
    <cellStyle name="Normal 72" xfId="269" xr:uid="{00000000-0005-0000-0000-00003B010000}"/>
    <cellStyle name="Normal 73" xfId="272" xr:uid="{00000000-0005-0000-0000-00003E010000}"/>
    <cellStyle name="Normal 74" xfId="275" xr:uid="{00000000-0005-0000-0000-000041010000}"/>
    <cellStyle name="Normal 75" xfId="278" xr:uid="{00000000-0005-0000-0000-000044010000}"/>
    <cellStyle name="Normal 76" xfId="281" xr:uid="{00000000-0005-0000-0000-000047010000}"/>
    <cellStyle name="Normal 77" xfId="284" xr:uid="{00000000-0005-0000-0000-00004A010000}"/>
    <cellStyle name="Normal 78" xfId="287" xr:uid="{00000000-0005-0000-0000-00004D010000}"/>
    <cellStyle name="Normal 79" xfId="290" xr:uid="{00000000-0005-0000-0000-000050010000}"/>
    <cellStyle name="Normal 8" xfId="75" xr:uid="{00000000-0005-0000-0000-00006C000000}"/>
    <cellStyle name="Normal 80" xfId="293" xr:uid="{00000000-0005-0000-0000-000053010000}"/>
    <cellStyle name="Normal 81" xfId="296" xr:uid="{00000000-0005-0000-0000-000056010000}"/>
    <cellStyle name="Normal 82" xfId="299" xr:uid="{00000000-0005-0000-0000-000059010000}"/>
    <cellStyle name="Normal 83" xfId="302" xr:uid="{00000000-0005-0000-0000-00005C010000}"/>
    <cellStyle name="Normal 84" xfId="305" xr:uid="{00000000-0005-0000-0000-00005F010000}"/>
    <cellStyle name="Normal 85" xfId="308" xr:uid="{00000000-0005-0000-0000-000062010000}"/>
    <cellStyle name="Normal 86" xfId="311" xr:uid="{00000000-0005-0000-0000-000065010000}"/>
    <cellStyle name="Normal 87" xfId="314" xr:uid="{00000000-0005-0000-0000-000068010000}"/>
    <cellStyle name="Normal 88" xfId="317" xr:uid="{00000000-0005-0000-0000-00006B010000}"/>
    <cellStyle name="Normal 89" xfId="320" xr:uid="{00000000-0005-0000-0000-00006E010000}"/>
    <cellStyle name="Normal 9" xfId="76" xr:uid="{00000000-0005-0000-0000-00006D000000}"/>
    <cellStyle name="Normal 90" xfId="323" xr:uid="{00000000-0005-0000-0000-000071010000}"/>
    <cellStyle name="Normal 91" xfId="326" xr:uid="{00000000-0005-0000-0000-000074010000}"/>
    <cellStyle name="Normal 92" xfId="329" xr:uid="{00000000-0005-0000-0000-000077010000}"/>
    <cellStyle name="Normal 93" xfId="332" xr:uid="{00000000-0005-0000-0000-00007A010000}"/>
    <cellStyle name="Normal 94" xfId="335" xr:uid="{00000000-0005-0000-0000-00007D010000}"/>
    <cellStyle name="Normal 95" xfId="338" xr:uid="{00000000-0005-0000-0000-000080010000}"/>
    <cellStyle name="Normal 96" xfId="341" xr:uid="{00000000-0005-0000-0000-000083010000}"/>
    <cellStyle name="Normal 97" xfId="344" xr:uid="{00000000-0005-0000-0000-000086010000}"/>
    <cellStyle name="Normal 98" xfId="347" xr:uid="{00000000-0005-0000-0000-000089010000}"/>
    <cellStyle name="Normal 99" xfId="350" xr:uid="{00000000-0005-0000-0000-00008C010000}"/>
    <cellStyle name="Normal_Clarkson PartIII" xfId="45" xr:uid="{00000000-0005-0000-0000-00006E000000}"/>
    <cellStyle name="Normal_Comps" xfId="127" xr:uid="{00000000-0005-0000-0000-000070000000}"/>
    <cellStyle name="Normal_DMH 2.0 Exhibits" xfId="588" xr:uid="{D7F86400-108A-4D23-B863-EF445FF7AAEF}"/>
    <cellStyle name="Normal_MSFT_IS" xfId="46" xr:uid="{00000000-0005-0000-0000-000072000000}"/>
    <cellStyle name="Normal_Valuation+Summary" xfId="47" xr:uid="{00000000-0005-0000-0000-000074000000}"/>
    <cellStyle name="NormalItalic" xfId="48" xr:uid="{00000000-0005-0000-0000-000075000000}"/>
    <cellStyle name="Œ…‹æØ‚è [0.00]_GE 3 MINIMUM" xfId="49" xr:uid="{00000000-0005-0000-0000-000076000000}"/>
    <cellStyle name="Œ…‹æØ‚è_GE 3 MINIMUM" xfId="50" xr:uid="{00000000-0005-0000-0000-000077000000}"/>
    <cellStyle name="Percent" xfId="51" builtinId="5"/>
    <cellStyle name="Percent [2]" xfId="52" xr:uid="{00000000-0005-0000-0000-000079000000}"/>
    <cellStyle name="Percent 10" xfId="157" xr:uid="{00000000-0005-0000-0000-0000CA000000}"/>
    <cellStyle name="Percent 100" xfId="427" xr:uid="{00000000-0005-0000-0000-0000D8010000}"/>
    <cellStyle name="Percent 101" xfId="430" xr:uid="{00000000-0005-0000-0000-0000DB010000}"/>
    <cellStyle name="Percent 102" xfId="433" xr:uid="{00000000-0005-0000-0000-0000DE010000}"/>
    <cellStyle name="Percent 103" xfId="436" xr:uid="{00000000-0005-0000-0000-0000E1010000}"/>
    <cellStyle name="Percent 104" xfId="439" xr:uid="{00000000-0005-0000-0000-0000E4010000}"/>
    <cellStyle name="Percent 105" xfId="442" xr:uid="{00000000-0005-0000-0000-0000E7010000}"/>
    <cellStyle name="Percent 106" xfId="445" xr:uid="{00000000-0005-0000-0000-0000EA010000}"/>
    <cellStyle name="Percent 107" xfId="448" xr:uid="{00000000-0005-0000-0000-0000ED010000}"/>
    <cellStyle name="Percent 108" xfId="451" xr:uid="{00000000-0005-0000-0000-0000F0010000}"/>
    <cellStyle name="Percent 109" xfId="454" xr:uid="{00000000-0005-0000-0000-0000F3010000}"/>
    <cellStyle name="Percent 11" xfId="160" xr:uid="{00000000-0005-0000-0000-0000CD000000}"/>
    <cellStyle name="Percent 110" xfId="457" xr:uid="{00000000-0005-0000-0000-0000F6010000}"/>
    <cellStyle name="Percent 111" xfId="460" xr:uid="{00000000-0005-0000-0000-0000F9010000}"/>
    <cellStyle name="Percent 112" xfId="463" xr:uid="{00000000-0005-0000-0000-0000FC010000}"/>
    <cellStyle name="Percent 113" xfId="466" xr:uid="{00000000-0005-0000-0000-0000FF010000}"/>
    <cellStyle name="Percent 114" xfId="469" xr:uid="{00000000-0005-0000-0000-000002020000}"/>
    <cellStyle name="Percent 115" xfId="472" xr:uid="{00000000-0005-0000-0000-000005020000}"/>
    <cellStyle name="Percent 116" xfId="475" xr:uid="{00000000-0005-0000-0000-000008020000}"/>
    <cellStyle name="Percent 117" xfId="478" xr:uid="{00000000-0005-0000-0000-00000B020000}"/>
    <cellStyle name="Percent 118" xfId="481" xr:uid="{00000000-0005-0000-0000-00000E020000}"/>
    <cellStyle name="Percent 119" xfId="484" xr:uid="{00000000-0005-0000-0000-000011020000}"/>
    <cellStyle name="Percent 12" xfId="163" xr:uid="{00000000-0005-0000-0000-0000D0000000}"/>
    <cellStyle name="Percent 120" xfId="487" xr:uid="{00000000-0005-0000-0000-000014020000}"/>
    <cellStyle name="Percent 121" xfId="490" xr:uid="{00000000-0005-0000-0000-000017020000}"/>
    <cellStyle name="Percent 122" xfId="493" xr:uid="{00000000-0005-0000-0000-00001A020000}"/>
    <cellStyle name="Percent 123" xfId="496" xr:uid="{00000000-0005-0000-0000-00001D020000}"/>
    <cellStyle name="Percent 124" xfId="499" xr:uid="{00000000-0005-0000-0000-000020020000}"/>
    <cellStyle name="Percent 125" xfId="502" xr:uid="{00000000-0005-0000-0000-000023020000}"/>
    <cellStyle name="Percent 126" xfId="505" xr:uid="{00000000-0005-0000-0000-000026020000}"/>
    <cellStyle name="Percent 127" xfId="508" xr:uid="{00000000-0005-0000-0000-000029020000}"/>
    <cellStyle name="Percent 128" xfId="511" xr:uid="{00000000-0005-0000-0000-00002C020000}"/>
    <cellStyle name="Percent 129" xfId="514" xr:uid="{00000000-0005-0000-0000-00002F020000}"/>
    <cellStyle name="Percent 13" xfId="166" xr:uid="{00000000-0005-0000-0000-0000D3000000}"/>
    <cellStyle name="Percent 130" xfId="517" xr:uid="{00000000-0005-0000-0000-000032020000}"/>
    <cellStyle name="Percent 131" xfId="520" xr:uid="{00000000-0005-0000-0000-000035020000}"/>
    <cellStyle name="Percent 132" xfId="523" xr:uid="{00000000-0005-0000-0000-000038020000}"/>
    <cellStyle name="Percent 133" xfId="526" xr:uid="{00000000-0005-0000-0000-00003B020000}"/>
    <cellStyle name="Percent 134" xfId="529" xr:uid="{00000000-0005-0000-0000-00003E020000}"/>
    <cellStyle name="Percent 135" xfId="532" xr:uid="{00000000-0005-0000-0000-000041020000}"/>
    <cellStyle name="Percent 136" xfId="535" xr:uid="{00000000-0005-0000-0000-000044020000}"/>
    <cellStyle name="Percent 137" xfId="538" xr:uid="{00000000-0005-0000-0000-000047020000}"/>
    <cellStyle name="Percent 138" xfId="541" xr:uid="{00000000-0005-0000-0000-00004A020000}"/>
    <cellStyle name="Percent 139" xfId="544" xr:uid="{00000000-0005-0000-0000-00004D020000}"/>
    <cellStyle name="Percent 14" xfId="169" xr:uid="{00000000-0005-0000-0000-0000D6000000}"/>
    <cellStyle name="Percent 140" xfId="547" xr:uid="{00000000-0005-0000-0000-000050020000}"/>
    <cellStyle name="Percent 141" xfId="550" xr:uid="{00000000-0005-0000-0000-000053020000}"/>
    <cellStyle name="Percent 142" xfId="553" xr:uid="{00000000-0005-0000-0000-000056020000}"/>
    <cellStyle name="Percent 143" xfId="556" xr:uid="{00000000-0005-0000-0000-000059020000}"/>
    <cellStyle name="Percent 144" xfId="559" xr:uid="{00000000-0005-0000-0000-00005C020000}"/>
    <cellStyle name="Percent 145" xfId="562" xr:uid="{00000000-0005-0000-0000-00005F020000}"/>
    <cellStyle name="Percent 146" xfId="565" xr:uid="{00000000-0005-0000-0000-000062020000}"/>
    <cellStyle name="Percent 147" xfId="568" xr:uid="{00000000-0005-0000-0000-000065020000}"/>
    <cellStyle name="Percent 148" xfId="571" xr:uid="{00000000-0005-0000-0000-000068020000}"/>
    <cellStyle name="Percent 149" xfId="574" xr:uid="{00000000-0005-0000-0000-00006B020000}"/>
    <cellStyle name="Percent 15" xfId="172" xr:uid="{00000000-0005-0000-0000-0000D9000000}"/>
    <cellStyle name="Percent 150" xfId="577" xr:uid="{00000000-0005-0000-0000-00006E020000}"/>
    <cellStyle name="Percent 151" xfId="580" xr:uid="{00000000-0005-0000-0000-000071020000}"/>
    <cellStyle name="Percent 152" xfId="586" xr:uid="{B83DF48F-3FB7-435C-85BC-E337BA6A4CFE}"/>
    <cellStyle name="Percent 16" xfId="175" xr:uid="{00000000-0005-0000-0000-0000DC000000}"/>
    <cellStyle name="Percent 17" xfId="178" xr:uid="{00000000-0005-0000-0000-0000DF000000}"/>
    <cellStyle name="Percent 18" xfId="181" xr:uid="{00000000-0005-0000-0000-0000E2000000}"/>
    <cellStyle name="Percent 19" xfId="184" xr:uid="{00000000-0005-0000-0000-0000E5000000}"/>
    <cellStyle name="Percent 2" xfId="129" xr:uid="{58673944-EA83-416D-B26F-37F041E2BD10}"/>
    <cellStyle name="Percent 20" xfId="187" xr:uid="{00000000-0005-0000-0000-0000E8000000}"/>
    <cellStyle name="Percent 21" xfId="190" xr:uid="{00000000-0005-0000-0000-0000EB000000}"/>
    <cellStyle name="Percent 22" xfId="193" xr:uid="{00000000-0005-0000-0000-0000EE000000}"/>
    <cellStyle name="Percent 23" xfId="196" xr:uid="{00000000-0005-0000-0000-0000F1000000}"/>
    <cellStyle name="Percent 24" xfId="199" xr:uid="{00000000-0005-0000-0000-0000F4000000}"/>
    <cellStyle name="Percent 25" xfId="202" xr:uid="{00000000-0005-0000-0000-0000F7000000}"/>
    <cellStyle name="Percent 26" xfId="205" xr:uid="{00000000-0005-0000-0000-0000FA000000}"/>
    <cellStyle name="Percent 27" xfId="208" xr:uid="{00000000-0005-0000-0000-0000FD000000}"/>
    <cellStyle name="Percent 28" xfId="211" xr:uid="{00000000-0005-0000-0000-000000010000}"/>
    <cellStyle name="Percent 29" xfId="214" xr:uid="{00000000-0005-0000-0000-000003010000}"/>
    <cellStyle name="Percent 3" xfId="134" xr:uid="{00000000-0005-0000-0000-0000B5000000}"/>
    <cellStyle name="Percent 30" xfId="217" xr:uid="{00000000-0005-0000-0000-000006010000}"/>
    <cellStyle name="Percent 31" xfId="220" xr:uid="{00000000-0005-0000-0000-000009010000}"/>
    <cellStyle name="Percent 32" xfId="223" xr:uid="{00000000-0005-0000-0000-00000C010000}"/>
    <cellStyle name="Percent 33" xfId="226" xr:uid="{00000000-0005-0000-0000-00000F010000}"/>
    <cellStyle name="Percent 34" xfId="229" xr:uid="{00000000-0005-0000-0000-000012010000}"/>
    <cellStyle name="Percent 35" xfId="232" xr:uid="{00000000-0005-0000-0000-000015010000}"/>
    <cellStyle name="Percent 36" xfId="235" xr:uid="{00000000-0005-0000-0000-000018010000}"/>
    <cellStyle name="Percent 37" xfId="238" xr:uid="{00000000-0005-0000-0000-00001B010000}"/>
    <cellStyle name="Percent 38" xfId="241" xr:uid="{00000000-0005-0000-0000-00001E010000}"/>
    <cellStyle name="Percent 39" xfId="244" xr:uid="{00000000-0005-0000-0000-000021010000}"/>
    <cellStyle name="Percent 4" xfId="139" xr:uid="{00000000-0005-0000-0000-0000B8000000}"/>
    <cellStyle name="Percent 40" xfId="247" xr:uid="{00000000-0005-0000-0000-000024010000}"/>
    <cellStyle name="Percent 41" xfId="250" xr:uid="{00000000-0005-0000-0000-000027010000}"/>
    <cellStyle name="Percent 42" xfId="253" xr:uid="{00000000-0005-0000-0000-00002A010000}"/>
    <cellStyle name="Percent 43" xfId="256" xr:uid="{00000000-0005-0000-0000-00002D010000}"/>
    <cellStyle name="Percent 44" xfId="259" xr:uid="{00000000-0005-0000-0000-000030010000}"/>
    <cellStyle name="Percent 45" xfId="262" xr:uid="{00000000-0005-0000-0000-000033010000}"/>
    <cellStyle name="Percent 46" xfId="265" xr:uid="{00000000-0005-0000-0000-000036010000}"/>
    <cellStyle name="Percent 47" xfId="268" xr:uid="{00000000-0005-0000-0000-000039010000}"/>
    <cellStyle name="Percent 48" xfId="271" xr:uid="{00000000-0005-0000-0000-00003C010000}"/>
    <cellStyle name="Percent 49" xfId="274" xr:uid="{00000000-0005-0000-0000-00003F010000}"/>
    <cellStyle name="Percent 5" xfId="142" xr:uid="{00000000-0005-0000-0000-0000BB000000}"/>
    <cellStyle name="Percent 50" xfId="277" xr:uid="{00000000-0005-0000-0000-000042010000}"/>
    <cellStyle name="Percent 51" xfId="280" xr:uid="{00000000-0005-0000-0000-000045010000}"/>
    <cellStyle name="Percent 52" xfId="283" xr:uid="{00000000-0005-0000-0000-000048010000}"/>
    <cellStyle name="Percent 53" xfId="286" xr:uid="{00000000-0005-0000-0000-00004B010000}"/>
    <cellStyle name="Percent 54" xfId="289" xr:uid="{00000000-0005-0000-0000-00004E010000}"/>
    <cellStyle name="Percent 55" xfId="292" xr:uid="{00000000-0005-0000-0000-000051010000}"/>
    <cellStyle name="Percent 56" xfId="295" xr:uid="{00000000-0005-0000-0000-000054010000}"/>
    <cellStyle name="Percent 57" xfId="298" xr:uid="{00000000-0005-0000-0000-000057010000}"/>
    <cellStyle name="Percent 58" xfId="301" xr:uid="{00000000-0005-0000-0000-00005A010000}"/>
    <cellStyle name="Percent 59" xfId="304" xr:uid="{00000000-0005-0000-0000-00005D010000}"/>
    <cellStyle name="Percent 6" xfId="145" xr:uid="{00000000-0005-0000-0000-0000BE000000}"/>
    <cellStyle name="Percent 60" xfId="307" xr:uid="{00000000-0005-0000-0000-000060010000}"/>
    <cellStyle name="Percent 61" xfId="310" xr:uid="{00000000-0005-0000-0000-000063010000}"/>
    <cellStyle name="Percent 62" xfId="313" xr:uid="{00000000-0005-0000-0000-000066010000}"/>
    <cellStyle name="Percent 63" xfId="316" xr:uid="{00000000-0005-0000-0000-000069010000}"/>
    <cellStyle name="Percent 64" xfId="319" xr:uid="{00000000-0005-0000-0000-00006C010000}"/>
    <cellStyle name="Percent 65" xfId="322" xr:uid="{00000000-0005-0000-0000-00006F010000}"/>
    <cellStyle name="Percent 66" xfId="325" xr:uid="{00000000-0005-0000-0000-000072010000}"/>
    <cellStyle name="Percent 67" xfId="328" xr:uid="{00000000-0005-0000-0000-000075010000}"/>
    <cellStyle name="Percent 68" xfId="331" xr:uid="{00000000-0005-0000-0000-000078010000}"/>
    <cellStyle name="Percent 69" xfId="334" xr:uid="{00000000-0005-0000-0000-00007B010000}"/>
    <cellStyle name="Percent 7" xfId="148" xr:uid="{00000000-0005-0000-0000-0000C1000000}"/>
    <cellStyle name="Percent 70" xfId="337" xr:uid="{00000000-0005-0000-0000-00007E010000}"/>
    <cellStyle name="Percent 71" xfId="340" xr:uid="{00000000-0005-0000-0000-000081010000}"/>
    <cellStyle name="Percent 72" xfId="343" xr:uid="{00000000-0005-0000-0000-000084010000}"/>
    <cellStyle name="Percent 73" xfId="346" xr:uid="{00000000-0005-0000-0000-000087010000}"/>
    <cellStyle name="Percent 74" xfId="349" xr:uid="{00000000-0005-0000-0000-00008A010000}"/>
    <cellStyle name="Percent 75" xfId="352" xr:uid="{00000000-0005-0000-0000-00008D010000}"/>
    <cellStyle name="Percent 76" xfId="355" xr:uid="{00000000-0005-0000-0000-000090010000}"/>
    <cellStyle name="Percent 77" xfId="358" xr:uid="{00000000-0005-0000-0000-000093010000}"/>
    <cellStyle name="Percent 78" xfId="361" xr:uid="{00000000-0005-0000-0000-000096010000}"/>
    <cellStyle name="Percent 79" xfId="364" xr:uid="{00000000-0005-0000-0000-000099010000}"/>
    <cellStyle name="Percent 8" xfId="151" xr:uid="{00000000-0005-0000-0000-0000C4000000}"/>
    <cellStyle name="Percent 80" xfId="367" xr:uid="{00000000-0005-0000-0000-00009C010000}"/>
    <cellStyle name="Percent 81" xfId="370" xr:uid="{00000000-0005-0000-0000-00009F010000}"/>
    <cellStyle name="Percent 82" xfId="373" xr:uid="{00000000-0005-0000-0000-0000A2010000}"/>
    <cellStyle name="Percent 83" xfId="376" xr:uid="{00000000-0005-0000-0000-0000A5010000}"/>
    <cellStyle name="Percent 84" xfId="379" xr:uid="{00000000-0005-0000-0000-0000A8010000}"/>
    <cellStyle name="Percent 85" xfId="382" xr:uid="{00000000-0005-0000-0000-0000AB010000}"/>
    <cellStyle name="Percent 86" xfId="385" xr:uid="{00000000-0005-0000-0000-0000AE010000}"/>
    <cellStyle name="Percent 87" xfId="388" xr:uid="{00000000-0005-0000-0000-0000B1010000}"/>
    <cellStyle name="Percent 88" xfId="391" xr:uid="{00000000-0005-0000-0000-0000B4010000}"/>
    <cellStyle name="Percent 89" xfId="394" xr:uid="{00000000-0005-0000-0000-0000B7010000}"/>
    <cellStyle name="Percent 9" xfId="154" xr:uid="{00000000-0005-0000-0000-0000C7000000}"/>
    <cellStyle name="Percent 90" xfId="397" xr:uid="{00000000-0005-0000-0000-0000BA010000}"/>
    <cellStyle name="Percent 91" xfId="400" xr:uid="{00000000-0005-0000-0000-0000BD010000}"/>
    <cellStyle name="Percent 92" xfId="403" xr:uid="{00000000-0005-0000-0000-0000C0010000}"/>
    <cellStyle name="Percent 93" xfId="406" xr:uid="{00000000-0005-0000-0000-0000C3010000}"/>
    <cellStyle name="Percent 94" xfId="409" xr:uid="{00000000-0005-0000-0000-0000C6010000}"/>
    <cellStyle name="Percent 95" xfId="412" xr:uid="{00000000-0005-0000-0000-0000C9010000}"/>
    <cellStyle name="Percent 96" xfId="415" xr:uid="{00000000-0005-0000-0000-0000CC010000}"/>
    <cellStyle name="Percent 97" xfId="418" xr:uid="{00000000-0005-0000-0000-0000CF010000}"/>
    <cellStyle name="Percent 98" xfId="421" xr:uid="{00000000-0005-0000-0000-0000D2010000}"/>
    <cellStyle name="Percent 99" xfId="424" xr:uid="{00000000-0005-0000-0000-0000D5010000}"/>
    <cellStyle name="Percent1" xfId="53" xr:uid="{00000000-0005-0000-0000-00007A000000}"/>
    <cellStyle name="Percent2" xfId="54" xr:uid="{00000000-0005-0000-0000-00007B000000}"/>
    <cellStyle name="percentage" xfId="55" xr:uid="{00000000-0005-0000-0000-00007C000000}"/>
    <cellStyle name="PercentChange" xfId="56" xr:uid="{00000000-0005-0000-0000-00007D000000}"/>
    <cellStyle name="RatioX" xfId="57" xr:uid="{00000000-0005-0000-0000-00007E000000}"/>
    <cellStyle name="SectionHeading" xfId="58" xr:uid="{00000000-0005-0000-0000-00007F000000}"/>
    <cellStyle name="TableName" xfId="59" xr:uid="{00000000-0005-0000-0000-000080000000}"/>
    <cellStyle name="Text" xfId="583" xr:uid="{2F4C70AC-C5BC-416C-958F-E17DC794F31D}"/>
    <cellStyle name="Text Wrap" xfId="60" xr:uid="{00000000-0005-0000-0000-000081000000}"/>
    <cellStyle name="Titles" xfId="61" xr:uid="{00000000-0005-0000-0000-000082000000}"/>
    <cellStyle name="UnderlineNormal" xfId="62" xr:uid="{00000000-0005-0000-0000-000083000000}"/>
  </cellStyles>
  <dxfs count="5">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patternType="none">
          <bgColor auto="1"/>
        </patternFill>
      </fill>
    </dxf>
    <dxf>
      <font>
        <color rgb="FF9C0006"/>
      </font>
      <fill>
        <patternFill patternType="none">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000"/>
      <rgbColor rgb="00339966"/>
      <rgbColor rgb="0099CC00"/>
      <rgbColor rgb="00CCFFCC"/>
      <rgbColor rgb="00808080"/>
      <rgbColor rgb="00D9D9D9"/>
      <rgbColor rgb="00262626"/>
      <rgbColor rgb="004C4C4C"/>
      <rgbColor rgb="00000080"/>
      <rgbColor rgb="007979FF"/>
      <rgbColor rgb="00D9D9FF"/>
      <rgbColor rgb="001A1AFF"/>
      <rgbColor rgb="00808080"/>
      <rgbColor rgb="00D9D9D9"/>
      <rgbColor rgb="00262626"/>
      <rgbColor rgb="004C4C4C"/>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00000"/>
      <color rgb="FF008000"/>
      <color rgb="FF0000FF"/>
      <color rgb="FF993300"/>
      <color rgb="FF99CCFF"/>
      <color rgb="FFC0C0C0"/>
      <color rgb="FF00659C"/>
      <color rgb="FFE8E8E8"/>
      <color rgb="FF71878D"/>
      <color rgb="FF007A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Summary!$H$85</c:f>
              <c:strCache>
                <c:ptCount val="1"/>
                <c:pt idx="0">
                  <c:v>SHOP EV/revenue</c:v>
                </c:pt>
              </c:strCache>
            </c:strRef>
          </c:tx>
          <c:spPr>
            <a:ln w="28575" cap="rnd">
              <a:solidFill>
                <a:schemeClr val="accent3"/>
              </a:solidFill>
              <a:round/>
            </a:ln>
            <a:effectLst/>
          </c:spPr>
          <c:marker>
            <c:symbol val="none"/>
          </c:marker>
          <c:cat>
            <c:numRef>
              <c:f>Summary!$B$86:$B$498</c:f>
              <c:numCache>
                <c:formatCode>m/d/yyyy</c:formatCode>
                <c:ptCount val="413"/>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45002</c:v>
                </c:pt>
                <c:pt idx="324">
                  <c:v>45009</c:v>
                </c:pt>
                <c:pt idx="325">
                  <c:v>45016</c:v>
                </c:pt>
                <c:pt idx="326">
                  <c:v>45023</c:v>
                </c:pt>
                <c:pt idx="327">
                  <c:v>45030</c:v>
                </c:pt>
                <c:pt idx="328">
                  <c:v>45037</c:v>
                </c:pt>
                <c:pt idx="329">
                  <c:v>45044</c:v>
                </c:pt>
                <c:pt idx="330">
                  <c:v>45051</c:v>
                </c:pt>
                <c:pt idx="331">
                  <c:v>45058</c:v>
                </c:pt>
                <c:pt idx="332">
                  <c:v>45065</c:v>
                </c:pt>
                <c:pt idx="333">
                  <c:v>45072</c:v>
                </c:pt>
                <c:pt idx="334">
                  <c:v>45079</c:v>
                </c:pt>
                <c:pt idx="335">
                  <c:v>45086</c:v>
                </c:pt>
                <c:pt idx="336">
                  <c:v>45093</c:v>
                </c:pt>
                <c:pt idx="337">
                  <c:v>45100</c:v>
                </c:pt>
                <c:pt idx="338">
                  <c:v>45107</c:v>
                </c:pt>
                <c:pt idx="339">
                  <c:v>45114</c:v>
                </c:pt>
                <c:pt idx="340">
                  <c:v>45121</c:v>
                </c:pt>
                <c:pt idx="341">
                  <c:v>45128</c:v>
                </c:pt>
                <c:pt idx="342">
                  <c:v>45135</c:v>
                </c:pt>
                <c:pt idx="343">
                  <c:v>45142</c:v>
                </c:pt>
                <c:pt idx="344">
                  <c:v>45149</c:v>
                </c:pt>
                <c:pt idx="345">
                  <c:v>45156</c:v>
                </c:pt>
                <c:pt idx="346">
                  <c:v>45163</c:v>
                </c:pt>
                <c:pt idx="347">
                  <c:v>45170</c:v>
                </c:pt>
                <c:pt idx="348">
                  <c:v>45177</c:v>
                </c:pt>
                <c:pt idx="349">
                  <c:v>45184</c:v>
                </c:pt>
                <c:pt idx="350">
                  <c:v>45191</c:v>
                </c:pt>
                <c:pt idx="351">
                  <c:v>45198</c:v>
                </c:pt>
                <c:pt idx="352">
                  <c:v>45205</c:v>
                </c:pt>
                <c:pt idx="353">
                  <c:v>45212</c:v>
                </c:pt>
                <c:pt idx="354">
                  <c:v>45219</c:v>
                </c:pt>
                <c:pt idx="355">
                  <c:v>45226</c:v>
                </c:pt>
                <c:pt idx="356">
                  <c:v>45233</c:v>
                </c:pt>
                <c:pt idx="357">
                  <c:v>45240</c:v>
                </c:pt>
                <c:pt idx="358">
                  <c:v>45247</c:v>
                </c:pt>
                <c:pt idx="359">
                  <c:v>45254</c:v>
                </c:pt>
                <c:pt idx="360">
                  <c:v>45261</c:v>
                </c:pt>
                <c:pt idx="361">
                  <c:v>45268</c:v>
                </c:pt>
                <c:pt idx="362">
                  <c:v>45275</c:v>
                </c:pt>
                <c:pt idx="363">
                  <c:v>45282</c:v>
                </c:pt>
                <c:pt idx="364">
                  <c:v>45289</c:v>
                </c:pt>
                <c:pt idx="365">
                  <c:v>45296</c:v>
                </c:pt>
                <c:pt idx="366">
                  <c:v>45303</c:v>
                </c:pt>
                <c:pt idx="367">
                  <c:v>45310</c:v>
                </c:pt>
                <c:pt idx="368">
                  <c:v>45317</c:v>
                </c:pt>
                <c:pt idx="369">
                  <c:v>45324</c:v>
                </c:pt>
                <c:pt idx="370">
                  <c:v>45331</c:v>
                </c:pt>
                <c:pt idx="371">
                  <c:v>45338</c:v>
                </c:pt>
                <c:pt idx="372">
                  <c:v>45345</c:v>
                </c:pt>
                <c:pt idx="373">
                  <c:v>45352</c:v>
                </c:pt>
                <c:pt idx="374">
                  <c:v>45359</c:v>
                </c:pt>
                <c:pt idx="375">
                  <c:v>45366</c:v>
                </c:pt>
                <c:pt idx="376">
                  <c:v>45373</c:v>
                </c:pt>
                <c:pt idx="377">
                  <c:v>45380</c:v>
                </c:pt>
                <c:pt idx="378">
                  <c:v>45387</c:v>
                </c:pt>
                <c:pt idx="379">
                  <c:v>45394</c:v>
                </c:pt>
                <c:pt idx="380">
                  <c:v>45401</c:v>
                </c:pt>
                <c:pt idx="381">
                  <c:v>45408</c:v>
                </c:pt>
                <c:pt idx="382">
                  <c:v>45415</c:v>
                </c:pt>
                <c:pt idx="383">
                  <c:v>45422</c:v>
                </c:pt>
                <c:pt idx="384">
                  <c:v>45429</c:v>
                </c:pt>
                <c:pt idx="385">
                  <c:v>45436</c:v>
                </c:pt>
                <c:pt idx="386">
                  <c:v>45443</c:v>
                </c:pt>
                <c:pt idx="387">
                  <c:v>45450</c:v>
                </c:pt>
                <c:pt idx="388">
                  <c:v>45457</c:v>
                </c:pt>
                <c:pt idx="389">
                  <c:v>45464</c:v>
                </c:pt>
                <c:pt idx="390">
                  <c:v>45471</c:v>
                </c:pt>
                <c:pt idx="391">
                  <c:v>45478</c:v>
                </c:pt>
                <c:pt idx="392">
                  <c:v>45485</c:v>
                </c:pt>
                <c:pt idx="393">
                  <c:v>45492</c:v>
                </c:pt>
                <c:pt idx="394">
                  <c:v>45499</c:v>
                </c:pt>
                <c:pt idx="395">
                  <c:v>45506</c:v>
                </c:pt>
                <c:pt idx="396">
                  <c:v>45513</c:v>
                </c:pt>
                <c:pt idx="397">
                  <c:v>45520</c:v>
                </c:pt>
                <c:pt idx="398">
                  <c:v>45527</c:v>
                </c:pt>
                <c:pt idx="399">
                  <c:v>45534</c:v>
                </c:pt>
                <c:pt idx="400">
                  <c:v>45541</c:v>
                </c:pt>
                <c:pt idx="401">
                  <c:v>45548</c:v>
                </c:pt>
                <c:pt idx="402">
                  <c:v>45555</c:v>
                </c:pt>
                <c:pt idx="403">
                  <c:v>45562</c:v>
                </c:pt>
                <c:pt idx="404">
                  <c:v>45569</c:v>
                </c:pt>
                <c:pt idx="405">
                  <c:v>45576</c:v>
                </c:pt>
                <c:pt idx="406">
                  <c:v>45583</c:v>
                </c:pt>
                <c:pt idx="407">
                  <c:v>45590</c:v>
                </c:pt>
                <c:pt idx="408">
                  <c:v>45597</c:v>
                </c:pt>
                <c:pt idx="409">
                  <c:v>45604</c:v>
                </c:pt>
                <c:pt idx="410">
                  <c:v>45611</c:v>
                </c:pt>
                <c:pt idx="411">
                  <c:v>45618</c:v>
                </c:pt>
                <c:pt idx="412">
                  <c:v>45625</c:v>
                </c:pt>
              </c:numCache>
            </c:numRef>
          </c:cat>
          <c:val>
            <c:numRef>
              <c:f>Summary!$H$86:$H$498</c:f>
              <c:numCache>
                <c:formatCode>0.0\x_);\(0.0\x\)</c:formatCode>
                <c:ptCount val="413"/>
                <c:pt idx="0">
                  <c:v>6.2716608862213787</c:v>
                </c:pt>
                <c:pt idx="1">
                  <c:v>6.4099472059093081</c:v>
                </c:pt>
                <c:pt idx="2">
                  <c:v>6.6624179790675297</c:v>
                </c:pt>
                <c:pt idx="3">
                  <c:v>6.8330981047791912</c:v>
                </c:pt>
                <c:pt idx="4">
                  <c:v>6.8756048191515529</c:v>
                </c:pt>
                <c:pt idx="5">
                  <c:v>7.2553197699963308</c:v>
                </c:pt>
                <c:pt idx="6">
                  <c:v>7.6130230244236898</c:v>
                </c:pt>
                <c:pt idx="7">
                  <c:v>7.5919971358587954</c:v>
                </c:pt>
                <c:pt idx="8">
                  <c:v>7.3427156940333491</c:v>
                </c:pt>
                <c:pt idx="9">
                  <c:v>7.7994450072161952</c:v>
                </c:pt>
                <c:pt idx="10">
                  <c:v>8.1009519394447906</c:v>
                </c:pt>
                <c:pt idx="11">
                  <c:v>8.3046108543937507</c:v>
                </c:pt>
                <c:pt idx="12">
                  <c:v>8.7816155704016694</c:v>
                </c:pt>
                <c:pt idx="13">
                  <c:v>8.8094699326113144</c:v>
                </c:pt>
                <c:pt idx="14">
                  <c:v>9.0256043188564252</c:v>
                </c:pt>
                <c:pt idx="15">
                  <c:v>9.7316181890105806</c:v>
                </c:pt>
                <c:pt idx="16">
                  <c:v>9.5669284548041382</c:v>
                </c:pt>
                <c:pt idx="17">
                  <c:v>10.23506011254565</c:v>
                </c:pt>
                <c:pt idx="18">
                  <c:v>11.174965458530428</c:v>
                </c:pt>
                <c:pt idx="19">
                  <c:v>10.508015250882078</c:v>
                </c:pt>
                <c:pt idx="20">
                  <c:v>10.673563810011037</c:v>
                </c:pt>
                <c:pt idx="21">
                  <c:v>11.437009007776723</c:v>
                </c:pt>
                <c:pt idx="22">
                  <c:v>10.627751198331509</c:v>
                </c:pt>
                <c:pt idx="23">
                  <c:v>10.001901713614444</c:v>
                </c:pt>
                <c:pt idx="24">
                  <c:v>10.830688274888516</c:v>
                </c:pt>
                <c:pt idx="25">
                  <c:v>9.6101238642409896</c:v>
                </c:pt>
                <c:pt idx="26">
                  <c:v>9.8043235739460606</c:v>
                </c:pt>
                <c:pt idx="27">
                  <c:v>10.169455315373199</c:v>
                </c:pt>
                <c:pt idx="28">
                  <c:v>9.7385450132870197</c:v>
                </c:pt>
                <c:pt idx="29">
                  <c:v>10.108649418714261</c:v>
                </c:pt>
                <c:pt idx="30">
                  <c:v>10.002136504891373</c:v>
                </c:pt>
                <c:pt idx="31">
                  <c:v>9.4112212555650743</c:v>
                </c:pt>
                <c:pt idx="32">
                  <c:v>9.6781767339192548</c:v>
                </c:pt>
                <c:pt idx="33">
                  <c:v>10.662316505494006</c:v>
                </c:pt>
                <c:pt idx="34">
                  <c:v>11.397963753289925</c:v>
                </c:pt>
                <c:pt idx="35">
                  <c:v>11.620702608533435</c:v>
                </c:pt>
                <c:pt idx="36">
                  <c:v>12.287546249522258</c:v>
                </c:pt>
                <c:pt idx="37">
                  <c:v>12.211427952685918</c:v>
                </c:pt>
                <c:pt idx="38">
                  <c:v>12.33591912245234</c:v>
                </c:pt>
                <c:pt idx="39">
                  <c:v>10.133826780207929</c:v>
                </c:pt>
                <c:pt idx="40">
                  <c:v>9.650442363570777</c:v>
                </c:pt>
                <c:pt idx="41">
                  <c:v>10.454743685806301</c:v>
                </c:pt>
                <c:pt idx="42">
                  <c:v>10.970182118600466</c:v>
                </c:pt>
                <c:pt idx="43">
                  <c:v>9.7373801003370666</c:v>
                </c:pt>
                <c:pt idx="44">
                  <c:v>9.8183032255085632</c:v>
                </c:pt>
                <c:pt idx="45">
                  <c:v>10.283701251637863</c:v>
                </c:pt>
                <c:pt idx="46">
                  <c:v>10.961758056900088</c:v>
                </c:pt>
                <c:pt idx="47">
                  <c:v>9.9778473462083728</c:v>
                </c:pt>
                <c:pt idx="48">
                  <c:v>9.6537450845000485</c:v>
                </c:pt>
                <c:pt idx="49">
                  <c:v>10.063284220723295</c:v>
                </c:pt>
                <c:pt idx="50">
                  <c:v>9.8615127521809658</c:v>
                </c:pt>
                <c:pt idx="51">
                  <c:v>9.1710860503359566</c:v>
                </c:pt>
                <c:pt idx="52">
                  <c:v>10.071035166938133</c:v>
                </c:pt>
                <c:pt idx="53">
                  <c:v>10.226787948208644</c:v>
                </c:pt>
                <c:pt idx="54">
                  <c:v>10.425948608180692</c:v>
                </c:pt>
                <c:pt idx="55">
                  <c:v>11.692502042160845</c:v>
                </c:pt>
                <c:pt idx="56">
                  <c:v>11.192187447872476</c:v>
                </c:pt>
                <c:pt idx="57">
                  <c:v>10.58266898231372</c:v>
                </c:pt>
                <c:pt idx="58">
                  <c:v>11.693606594888056</c:v>
                </c:pt>
                <c:pt idx="59">
                  <c:v>11.566161710998358</c:v>
                </c:pt>
                <c:pt idx="60">
                  <c:v>11.465729301895298</c:v>
                </c:pt>
                <c:pt idx="61">
                  <c:v>12.502775088416435</c:v>
                </c:pt>
                <c:pt idx="62">
                  <c:v>12.246799399361834</c:v>
                </c:pt>
                <c:pt idx="63">
                  <c:v>11.662787279389649</c:v>
                </c:pt>
                <c:pt idx="64">
                  <c:v>10.26152277854718</c:v>
                </c:pt>
                <c:pt idx="65">
                  <c:v>9.5158551512894309</c:v>
                </c:pt>
                <c:pt idx="66">
                  <c:v>9.4624874502650549</c:v>
                </c:pt>
                <c:pt idx="67">
                  <c:v>10.256420161706972</c:v>
                </c:pt>
                <c:pt idx="68">
                  <c:v>10.175197584461259</c:v>
                </c:pt>
                <c:pt idx="69">
                  <c:v>10.782395615561182</c:v>
                </c:pt>
                <c:pt idx="70">
                  <c:v>11.453352360027207</c:v>
                </c:pt>
                <c:pt idx="71">
                  <c:v>11.610615044849569</c:v>
                </c:pt>
                <c:pt idx="72">
                  <c:v>11.238999429017721</c:v>
                </c:pt>
                <c:pt idx="73">
                  <c:v>11.793864598309487</c:v>
                </c:pt>
                <c:pt idx="74">
                  <c:v>12.761987770068659</c:v>
                </c:pt>
                <c:pt idx="75">
                  <c:v>13.141778905816981</c:v>
                </c:pt>
                <c:pt idx="76">
                  <c:v>12.557309874792098</c:v>
                </c:pt>
                <c:pt idx="77">
                  <c:v>11.524850517864049</c:v>
                </c:pt>
                <c:pt idx="78">
                  <c:v>12.410392726167627</c:v>
                </c:pt>
                <c:pt idx="79">
                  <c:v>13.150675640562966</c:v>
                </c:pt>
                <c:pt idx="80">
                  <c:v>13.49419085685617</c:v>
                </c:pt>
                <c:pt idx="81">
                  <c:v>12.413040931653155</c:v>
                </c:pt>
                <c:pt idx="82">
                  <c:v>10.639751017455245</c:v>
                </c:pt>
                <c:pt idx="83">
                  <c:v>11.192376560545961</c:v>
                </c:pt>
                <c:pt idx="84">
                  <c:v>10.12967844042444</c:v>
                </c:pt>
                <c:pt idx="85">
                  <c:v>10.3488023269806</c:v>
                </c:pt>
                <c:pt idx="86">
                  <c:v>10.686929111028938</c:v>
                </c:pt>
                <c:pt idx="87">
                  <c:v>10.215714960142845</c:v>
                </c:pt>
                <c:pt idx="88">
                  <c:v>11.292128616834725</c:v>
                </c:pt>
                <c:pt idx="89">
                  <c:v>11.753337839696362</c:v>
                </c:pt>
                <c:pt idx="90">
                  <c:v>11.977594413524216</c:v>
                </c:pt>
                <c:pt idx="91">
                  <c:v>10.399019291576664</c:v>
                </c:pt>
                <c:pt idx="92">
                  <c:v>9.5143046244938123</c:v>
                </c:pt>
                <c:pt idx="93">
                  <c:v>8.8185279831210135</c:v>
                </c:pt>
                <c:pt idx="94">
                  <c:v>9.0148263876622199</c:v>
                </c:pt>
                <c:pt idx="95">
                  <c:v>9.9194199517924666</c:v>
                </c:pt>
                <c:pt idx="96">
                  <c:v>9.5126159058982687</c:v>
                </c:pt>
                <c:pt idx="97">
                  <c:v>10.218222626794256</c:v>
                </c:pt>
                <c:pt idx="98">
                  <c:v>8.9519007501925518</c:v>
                </c:pt>
                <c:pt idx="99">
                  <c:v>10.226168608717867</c:v>
                </c:pt>
                <c:pt idx="100">
                  <c:v>9.745202440799023</c:v>
                </c:pt>
                <c:pt idx="101">
                  <c:v>9.1992193334256669</c:v>
                </c:pt>
                <c:pt idx="102">
                  <c:v>7.8530145611726336</c:v>
                </c:pt>
                <c:pt idx="103">
                  <c:v>8.6122401037968768</c:v>
                </c:pt>
                <c:pt idx="104">
                  <c:v>8.5378889630153338</c:v>
                </c:pt>
                <c:pt idx="105">
                  <c:v>9.2935017187319815</c:v>
                </c:pt>
                <c:pt idx="106">
                  <c:v>9.8699648309078327</c:v>
                </c:pt>
                <c:pt idx="107">
                  <c:v>10.118067799890198</c:v>
                </c:pt>
                <c:pt idx="108">
                  <c:v>10.592780231843435</c:v>
                </c:pt>
                <c:pt idx="109">
                  <c:v>10.898837872305718</c:v>
                </c:pt>
                <c:pt idx="110">
                  <c:v>10.892058563767304</c:v>
                </c:pt>
                <c:pt idx="111">
                  <c:v>11.197689637298344</c:v>
                </c:pt>
                <c:pt idx="112">
                  <c:v>11.65359259573391</c:v>
                </c:pt>
                <c:pt idx="113">
                  <c:v>11.468540898227126</c:v>
                </c:pt>
                <c:pt idx="114">
                  <c:v>12.483734725995397</c:v>
                </c:pt>
                <c:pt idx="115">
                  <c:v>11.933637751708508</c:v>
                </c:pt>
                <c:pt idx="116">
                  <c:v>13.032971643362911</c:v>
                </c:pt>
                <c:pt idx="117">
                  <c:v>12.271247750074361</c:v>
                </c:pt>
                <c:pt idx="118">
                  <c:v>13.444304705918434</c:v>
                </c:pt>
                <c:pt idx="119">
                  <c:v>13.780465257449919</c:v>
                </c:pt>
                <c:pt idx="120">
                  <c:v>13.781686489553296</c:v>
                </c:pt>
                <c:pt idx="121">
                  <c:v>16.232476922469285</c:v>
                </c:pt>
                <c:pt idx="122">
                  <c:v>15.800201286741459</c:v>
                </c:pt>
                <c:pt idx="123">
                  <c:v>16.667455727073918</c:v>
                </c:pt>
                <c:pt idx="124">
                  <c:v>16.727387574401803</c:v>
                </c:pt>
                <c:pt idx="125">
                  <c:v>16.583169436576309</c:v>
                </c:pt>
                <c:pt idx="126">
                  <c:v>18.422487833424416</c:v>
                </c:pt>
                <c:pt idx="127">
                  <c:v>18.325718195658155</c:v>
                </c:pt>
                <c:pt idx="128">
                  <c:v>19.59562412770925</c:v>
                </c:pt>
                <c:pt idx="129">
                  <c:v>17.968814733566894</c:v>
                </c:pt>
                <c:pt idx="130">
                  <c:v>18.721673106986987</c:v>
                </c:pt>
                <c:pt idx="131">
                  <c:v>18.387715873422021</c:v>
                </c:pt>
                <c:pt idx="132">
                  <c:v>19.540278308588306</c:v>
                </c:pt>
                <c:pt idx="133">
                  <c:v>19.843366406808457</c:v>
                </c:pt>
                <c:pt idx="134">
                  <c:v>19.086408029013651</c:v>
                </c:pt>
                <c:pt idx="135">
                  <c:v>21.243416677340974</c:v>
                </c:pt>
                <c:pt idx="136">
                  <c:v>20.447531199285432</c:v>
                </c:pt>
                <c:pt idx="137">
                  <c:v>21.771437001088792</c:v>
                </c:pt>
                <c:pt idx="138">
                  <c:v>21.80830388874455</c:v>
                </c:pt>
                <c:pt idx="139">
                  <c:v>21.384790151835599</c:v>
                </c:pt>
                <c:pt idx="140">
                  <c:v>18.782715740102411</c:v>
                </c:pt>
                <c:pt idx="141">
                  <c:v>17.547144834896873</c:v>
                </c:pt>
                <c:pt idx="142">
                  <c:v>16.685887749315878</c:v>
                </c:pt>
                <c:pt idx="143">
                  <c:v>17.683978337658157</c:v>
                </c:pt>
                <c:pt idx="144">
                  <c:v>17.61531284687813</c:v>
                </c:pt>
                <c:pt idx="145">
                  <c:v>16.60790930393085</c:v>
                </c:pt>
                <c:pt idx="146">
                  <c:v>16.794871946593453</c:v>
                </c:pt>
                <c:pt idx="147">
                  <c:v>16.37979527721679</c:v>
                </c:pt>
                <c:pt idx="148">
                  <c:v>15.231126412519263</c:v>
                </c:pt>
                <c:pt idx="149">
                  <c:v>15.961813035156673</c:v>
                </c:pt>
                <c:pt idx="150">
                  <c:v>15.909333268298742</c:v>
                </c:pt>
                <c:pt idx="151">
                  <c:v>17.035206680804123</c:v>
                </c:pt>
                <c:pt idx="152">
                  <c:v>18.453333250460542</c:v>
                </c:pt>
                <c:pt idx="153">
                  <c:v>19.486365978824644</c:v>
                </c:pt>
                <c:pt idx="154">
                  <c:v>19.612548536561668</c:v>
                </c:pt>
                <c:pt idx="155">
                  <c:v>20.466246273006234</c:v>
                </c:pt>
                <c:pt idx="156">
                  <c:v>20.24140632880011</c:v>
                </c:pt>
                <c:pt idx="157">
                  <c:v>21.416196468827895</c:v>
                </c:pt>
                <c:pt idx="158">
                  <c:v>22.593129064680472</c:v>
                </c:pt>
                <c:pt idx="159">
                  <c:v>23.222379672603559</c:v>
                </c:pt>
                <c:pt idx="160">
                  <c:v>23.076125607818696</c:v>
                </c:pt>
                <c:pt idx="161">
                  <c:v>23.592273517275334</c:v>
                </c:pt>
                <c:pt idx="162">
                  <c:v>25.243676673910336</c:v>
                </c:pt>
                <c:pt idx="163">
                  <c:v>24.559258664097577</c:v>
                </c:pt>
                <c:pt idx="164">
                  <c:v>21.595482943675474</c:v>
                </c:pt>
                <c:pt idx="165">
                  <c:v>21.902181969004875</c:v>
                </c:pt>
                <c:pt idx="166">
                  <c:v>17.804450887776859</c:v>
                </c:pt>
                <c:pt idx="167">
                  <c:v>15.585499069743909</c:v>
                </c:pt>
                <c:pt idx="168">
                  <c:v>19.15686775739735</c:v>
                </c:pt>
                <c:pt idx="169">
                  <c:v>17.274075145793173</c:v>
                </c:pt>
                <c:pt idx="170">
                  <c:v>20.401816541922052</c:v>
                </c:pt>
                <c:pt idx="171">
                  <c:v>29.17864365285601</c:v>
                </c:pt>
                <c:pt idx="172">
                  <c:v>31.741905323644218</c:v>
                </c:pt>
                <c:pt idx="173">
                  <c:v>29.976537868983563</c:v>
                </c:pt>
                <c:pt idx="174">
                  <c:v>33.073328961857733</c:v>
                </c:pt>
                <c:pt idx="175">
                  <c:v>35.647216173407884</c:v>
                </c:pt>
                <c:pt idx="176">
                  <c:v>38.160562663009358</c:v>
                </c:pt>
                <c:pt idx="177">
                  <c:v>34.812798484140629</c:v>
                </c:pt>
                <c:pt idx="178">
                  <c:v>33.200036846718106</c:v>
                </c:pt>
                <c:pt idx="179">
                  <c:v>33.633785161871209</c:v>
                </c:pt>
                <c:pt idx="180">
                  <c:v>39.845169366147303</c:v>
                </c:pt>
                <c:pt idx="181">
                  <c:v>40.914441055423538</c:v>
                </c:pt>
                <c:pt idx="182">
                  <c:v>47.95682121739928</c:v>
                </c:pt>
                <c:pt idx="183">
                  <c:v>47.733267801300308</c:v>
                </c:pt>
                <c:pt idx="184">
                  <c:v>42.348382980652893</c:v>
                </c:pt>
                <c:pt idx="185">
                  <c:v>41.964106892688861</c:v>
                </c:pt>
                <c:pt idx="186">
                  <c:v>40.217172529272489</c:v>
                </c:pt>
                <c:pt idx="187">
                  <c:v>41.180429915117095</c:v>
                </c:pt>
                <c:pt idx="188">
                  <c:v>38.228175279477945</c:v>
                </c:pt>
                <c:pt idx="189">
                  <c:v>39.357383241189197</c:v>
                </c:pt>
                <c:pt idx="190">
                  <c:v>39.968455832291696</c:v>
                </c:pt>
                <c:pt idx="191">
                  <c:v>37.048918210657362</c:v>
                </c:pt>
                <c:pt idx="192">
                  <c:v>34.570615828937989</c:v>
                </c:pt>
                <c:pt idx="193">
                  <c:v>33.869810360781081</c:v>
                </c:pt>
                <c:pt idx="194">
                  <c:v>36.014740089163318</c:v>
                </c:pt>
                <c:pt idx="195">
                  <c:v>38.624427615640116</c:v>
                </c:pt>
                <c:pt idx="196">
                  <c:v>40.98912993592073</c:v>
                </c:pt>
                <c:pt idx="197">
                  <c:v>39.529709555698744</c:v>
                </c:pt>
                <c:pt idx="198">
                  <c:v>37.740025107859125</c:v>
                </c:pt>
                <c:pt idx="199">
                  <c:v>30.839430619752942</c:v>
                </c:pt>
                <c:pt idx="200">
                  <c:v>34.571301837019639</c:v>
                </c:pt>
                <c:pt idx="201">
                  <c:v>30.054442155901679</c:v>
                </c:pt>
                <c:pt idx="202">
                  <c:v>32.274212513830904</c:v>
                </c:pt>
                <c:pt idx="203">
                  <c:v>33.678256911184739</c:v>
                </c:pt>
                <c:pt idx="204">
                  <c:v>34.057427735699278</c:v>
                </c:pt>
                <c:pt idx="205">
                  <c:v>34.0281533659914</c:v>
                </c:pt>
                <c:pt idx="206">
                  <c:v>37.640167437013879</c:v>
                </c:pt>
                <c:pt idx="207">
                  <c:v>39.300651583497654</c:v>
                </c:pt>
                <c:pt idx="208">
                  <c:v>35.518496781060527</c:v>
                </c:pt>
                <c:pt idx="209">
                  <c:v>37.027995021630566</c:v>
                </c:pt>
                <c:pt idx="210">
                  <c:v>36.013008891166784</c:v>
                </c:pt>
                <c:pt idx="211">
                  <c:v>36.654462657212235</c:v>
                </c:pt>
                <c:pt idx="212">
                  <c:v>33.237271291629504</c:v>
                </c:pt>
                <c:pt idx="213">
                  <c:v>38.766734709000787</c:v>
                </c:pt>
                <c:pt idx="214">
                  <c:v>43.625292310242074</c:v>
                </c:pt>
                <c:pt idx="215">
                  <c:v>40.367484846989626</c:v>
                </c:pt>
                <c:pt idx="216">
                  <c:v>35.665926359483088</c:v>
                </c:pt>
                <c:pt idx="217">
                  <c:v>31.140295813337033</c:v>
                </c:pt>
                <c:pt idx="218">
                  <c:v>31.232684971435791</c:v>
                </c:pt>
                <c:pt idx="219">
                  <c:v>30.386945309931484</c:v>
                </c:pt>
                <c:pt idx="220">
                  <c:v>28.634718455245583</c:v>
                </c:pt>
                <c:pt idx="221">
                  <c:v>31.499461925454145</c:v>
                </c:pt>
                <c:pt idx="222">
                  <c:v>33.322198589481246</c:v>
                </c:pt>
                <c:pt idx="223">
                  <c:v>32.567910148594535</c:v>
                </c:pt>
                <c:pt idx="224">
                  <c:v>29.093081362091013</c:v>
                </c:pt>
                <c:pt idx="225">
                  <c:v>29.247522073711242</c:v>
                </c:pt>
                <c:pt idx="226">
                  <c:v>27.175232594206193</c:v>
                </c:pt>
                <c:pt idx="227">
                  <c:v>26.350801355162591</c:v>
                </c:pt>
                <c:pt idx="228">
                  <c:v>29.74025395215499</c:v>
                </c:pt>
                <c:pt idx="229">
                  <c:v>29.914245775879756</c:v>
                </c:pt>
                <c:pt idx="230">
                  <c:v>28.81823548911256</c:v>
                </c:pt>
                <c:pt idx="231">
                  <c:v>29.688608755677155</c:v>
                </c:pt>
                <c:pt idx="232">
                  <c:v>34.970953747261717</c:v>
                </c:pt>
                <c:pt idx="233">
                  <c:v>34.947626110662611</c:v>
                </c:pt>
                <c:pt idx="234">
                  <c:v>34.787830188187527</c:v>
                </c:pt>
                <c:pt idx="235">
                  <c:v>35.290096899652156</c:v>
                </c:pt>
                <c:pt idx="236">
                  <c:v>33.641420676369172</c:v>
                </c:pt>
                <c:pt idx="237">
                  <c:v>38.133737489453495</c:v>
                </c:pt>
                <c:pt idx="238">
                  <c:v>33.307983157414192</c:v>
                </c:pt>
                <c:pt idx="239">
                  <c:v>33.626561080730824</c:v>
                </c:pt>
                <c:pt idx="240">
                  <c:v>32.843185190530185</c:v>
                </c:pt>
                <c:pt idx="241">
                  <c:v>31.596263457628762</c:v>
                </c:pt>
                <c:pt idx="242">
                  <c:v>33.242654542541551</c:v>
                </c:pt>
                <c:pt idx="243">
                  <c:v>33.57612641570622</c:v>
                </c:pt>
                <c:pt idx="244">
                  <c:v>31.832729630704844</c:v>
                </c:pt>
                <c:pt idx="245">
                  <c:v>31.713421612193891</c:v>
                </c:pt>
                <c:pt idx="246">
                  <c:v>30.727805033074514</c:v>
                </c:pt>
                <c:pt idx="247">
                  <c:v>28.570432285899805</c:v>
                </c:pt>
                <c:pt idx="248">
                  <c:v>29.000335332371236</c:v>
                </c:pt>
                <c:pt idx="249">
                  <c:v>29.810701160903598</c:v>
                </c:pt>
                <c:pt idx="250">
                  <c:v>29.796098094686027</c:v>
                </c:pt>
                <c:pt idx="251">
                  <c:v>30.938250535373061</c:v>
                </c:pt>
                <c:pt idx="252">
                  <c:v>32.138118710267541</c:v>
                </c:pt>
                <c:pt idx="253">
                  <c:v>35.08078371126058</c:v>
                </c:pt>
                <c:pt idx="254">
                  <c:v>35.3640665961791</c:v>
                </c:pt>
                <c:pt idx="255">
                  <c:v>32.746040756364792</c:v>
                </c:pt>
                <c:pt idx="256">
                  <c:v>28.939380904838067</c:v>
                </c:pt>
                <c:pt idx="257">
                  <c:v>29.881057578080163</c:v>
                </c:pt>
                <c:pt idx="258">
                  <c:v>26.821580729322772</c:v>
                </c:pt>
                <c:pt idx="259">
                  <c:v>29.145667954877904</c:v>
                </c:pt>
                <c:pt idx="260">
                  <c:v>27.590948260914786</c:v>
                </c:pt>
                <c:pt idx="261">
                  <c:v>22.578536153896355</c:v>
                </c:pt>
                <c:pt idx="262">
                  <c:v>21.574528491115696</c:v>
                </c:pt>
                <c:pt idx="263">
                  <c:v>16.922269326510563</c:v>
                </c:pt>
                <c:pt idx="264">
                  <c:v>16.609753030149523</c:v>
                </c:pt>
                <c:pt idx="265">
                  <c:v>16.57838128556164</c:v>
                </c:pt>
                <c:pt idx="266">
                  <c:v>16.082693480426112</c:v>
                </c:pt>
                <c:pt idx="267">
                  <c:v>12.119941529613531</c:v>
                </c:pt>
                <c:pt idx="268">
                  <c:v>12.447732588948963</c:v>
                </c:pt>
                <c:pt idx="269">
                  <c:v>10.86163090613042</c:v>
                </c:pt>
                <c:pt idx="270">
                  <c:v>9.7231265918215772</c:v>
                </c:pt>
                <c:pt idx="271">
                  <c:v>14.295985463401605</c:v>
                </c:pt>
                <c:pt idx="272">
                  <c:v>12.237620844109451</c:v>
                </c:pt>
                <c:pt idx="273">
                  <c:v>12.359277294335971</c:v>
                </c:pt>
                <c:pt idx="274">
                  <c:v>10.577959109758208</c:v>
                </c:pt>
                <c:pt idx="275">
                  <c:v>10.079907472828024</c:v>
                </c:pt>
                <c:pt idx="276">
                  <c:v>7.7602310493724174</c:v>
                </c:pt>
                <c:pt idx="277">
                  <c:v>7.1173461494980259</c:v>
                </c:pt>
                <c:pt idx="278">
                  <c:v>6.3549920158421331</c:v>
                </c:pt>
                <c:pt idx="279">
                  <c:v>6.8122560944757655</c:v>
                </c:pt>
                <c:pt idx="280">
                  <c:v>6.0367920157578441</c:v>
                </c:pt>
                <c:pt idx="281">
                  <c:v>6.148813771978765</c:v>
                </c:pt>
                <c:pt idx="282">
                  <c:v>5.8310580444062952</c:v>
                </c:pt>
                <c:pt idx="283">
                  <c:v>5.7040501574399931</c:v>
                </c:pt>
                <c:pt idx="284">
                  <c:v>5.0732303462782999</c:v>
                </c:pt>
                <c:pt idx="285">
                  <c:v>6.3565909325540355</c:v>
                </c:pt>
                <c:pt idx="286">
                  <c:v>5.0424026310215817</c:v>
                </c:pt>
                <c:pt idx="287">
                  <c:v>5.8046773686980373</c:v>
                </c:pt>
                <c:pt idx="288">
                  <c:v>4.9889505289305962</c:v>
                </c:pt>
                <c:pt idx="289">
                  <c:v>6.15816792923889</c:v>
                </c:pt>
                <c:pt idx="290">
                  <c:v>6.0209908310429521</c:v>
                </c:pt>
                <c:pt idx="291">
                  <c:v>7.1899611357575388</c:v>
                </c:pt>
                <c:pt idx="292">
                  <c:v>7.1754576658595104</c:v>
                </c:pt>
                <c:pt idx="293">
                  <c:v>5.844452720423245</c:v>
                </c:pt>
                <c:pt idx="294">
                  <c:v>5.4836129220061176</c:v>
                </c:pt>
                <c:pt idx="295">
                  <c:v>5.0052642030100172</c:v>
                </c:pt>
                <c:pt idx="296">
                  <c:v>5.9420084543905265</c:v>
                </c:pt>
                <c:pt idx="297">
                  <c:v>5.3119100979480285</c:v>
                </c:pt>
                <c:pt idx="298">
                  <c:v>4.7080803697453932</c:v>
                </c:pt>
                <c:pt idx="299">
                  <c:v>4.6799233004483138</c:v>
                </c:pt>
                <c:pt idx="300">
                  <c:v>4.7151314208652328</c:v>
                </c:pt>
                <c:pt idx="301">
                  <c:v>4.4761979375680028</c:v>
                </c:pt>
                <c:pt idx="302">
                  <c:v>5.1937788061102994</c:v>
                </c:pt>
                <c:pt idx="303">
                  <c:v>6.0853478359572089</c:v>
                </c:pt>
                <c:pt idx="304">
                  <c:v>5.6667093427733013</c:v>
                </c:pt>
                <c:pt idx="305">
                  <c:v>7.0704134983530809</c:v>
                </c:pt>
                <c:pt idx="306">
                  <c:v>6.4939886229622523</c:v>
                </c:pt>
                <c:pt idx="307">
                  <c:v>6.5099591226101445</c:v>
                </c:pt>
                <c:pt idx="308">
                  <c:v>7.6960017813326056</c:v>
                </c:pt>
                <c:pt idx="309">
                  <c:v>6.7859849985438592</c:v>
                </c:pt>
                <c:pt idx="310">
                  <c:v>6.3235916082055805</c:v>
                </c:pt>
                <c:pt idx="311">
                  <c:v>5.8397195593899749</c:v>
                </c:pt>
                <c:pt idx="312">
                  <c:v>5.9750990460173039</c:v>
                </c:pt>
                <c:pt idx="313">
                  <c:v>6.4167549189526474</c:v>
                </c:pt>
                <c:pt idx="314">
                  <c:v>6.7779813623522713</c:v>
                </c:pt>
                <c:pt idx="315">
                  <c:v>7.0600415908108953</c:v>
                </c:pt>
                <c:pt idx="316">
                  <c:v>8.8171020016180357</c:v>
                </c:pt>
                <c:pt idx="317">
                  <c:v>9.2994194000407404</c:v>
                </c:pt>
                <c:pt idx="318">
                  <c:v>8.3407189193054929</c:v>
                </c:pt>
                <c:pt idx="319">
                  <c:v>7.4699228944641627</c:v>
                </c:pt>
                <c:pt idx="320">
                  <c:v>6.9128090672305378</c:v>
                </c:pt>
                <c:pt idx="321">
                  <c:v>7.3680342153585974</c:v>
                </c:pt>
                <c:pt idx="322">
                  <c:v>6.9842205637884875</c:v>
                </c:pt>
                <c:pt idx="323">
                  <c:v>7.5466485242095596</c:v>
                </c:pt>
                <c:pt idx="324">
                  <c:v>7.5716274974588069</c:v>
                </c:pt>
                <c:pt idx="325">
                  <c:v>8.0826707998816971</c:v>
                </c:pt>
                <c:pt idx="326">
                  <c:v>7.7901205925269288</c:v>
                </c:pt>
                <c:pt idx="327">
                  <c:v>7.7411913150839604</c:v>
                </c:pt>
                <c:pt idx="328">
                  <c:v>8.3735008568286613</c:v>
                </c:pt>
                <c:pt idx="329">
                  <c:v>8.0490111041033536</c:v>
                </c:pt>
                <c:pt idx="330">
                  <c:v>10.653581328744318</c:v>
                </c:pt>
                <c:pt idx="331">
                  <c:v>10.491648187582877</c:v>
                </c:pt>
                <c:pt idx="332">
                  <c:v>10.255371107757506</c:v>
                </c:pt>
                <c:pt idx="333">
                  <c:v>10.049125901303366</c:v>
                </c:pt>
                <c:pt idx="334">
                  <c:v>9.8618654327488446</c:v>
                </c:pt>
                <c:pt idx="335">
                  <c:v>10.3722082288291</c:v>
                </c:pt>
                <c:pt idx="336">
                  <c:v>10.962530509250097</c:v>
                </c:pt>
                <c:pt idx="337">
                  <c:v>10.744255877286239</c:v>
                </c:pt>
                <c:pt idx="338">
                  <c:v>10.786980256570384</c:v>
                </c:pt>
                <c:pt idx="339">
                  <c:v>10.307912078576676</c:v>
                </c:pt>
                <c:pt idx="340">
                  <c:v>11.396780286732499</c:v>
                </c:pt>
                <c:pt idx="341">
                  <c:v>10.897007607251492</c:v>
                </c:pt>
                <c:pt idx="342">
                  <c:v>10.865265094858646</c:v>
                </c:pt>
                <c:pt idx="343">
                  <c:v>9.1484951206292617</c:v>
                </c:pt>
                <c:pt idx="344">
                  <c:v>8.665860958103087</c:v>
                </c:pt>
                <c:pt idx="345">
                  <c:v>8.2610876517540426</c:v>
                </c:pt>
                <c:pt idx="346">
                  <c:v>8.6213333150845024</c:v>
                </c:pt>
                <c:pt idx="347">
                  <c:v>10.444262297469185</c:v>
                </c:pt>
                <c:pt idx="348">
                  <c:v>9.8056864242339721</c:v>
                </c:pt>
                <c:pt idx="349">
                  <c:v>9.7318234821225715</c:v>
                </c:pt>
                <c:pt idx="350">
                  <c:v>8.1403373189467221</c:v>
                </c:pt>
                <c:pt idx="351">
                  <c:v>8.4725858841480655</c:v>
                </c:pt>
                <c:pt idx="352">
                  <c:v>8.2165129641122761</c:v>
                </c:pt>
                <c:pt idx="353">
                  <c:v>7.8894963614578844</c:v>
                </c:pt>
                <c:pt idx="354">
                  <c:v>7.7124409564025358</c:v>
                </c:pt>
                <c:pt idx="355">
                  <c:v>6.9188404367826024</c:v>
                </c:pt>
                <c:pt idx="356">
                  <c:v>9.3381701436686129</c:v>
                </c:pt>
                <c:pt idx="357">
                  <c:v>9.2585096036806931</c:v>
                </c:pt>
                <c:pt idx="358">
                  <c:v>10.374425442110146</c:v>
                </c:pt>
                <c:pt idx="359">
                  <c:v>10.731286762594038</c:v>
                </c:pt>
                <c:pt idx="360">
                  <c:v>11.171931148072625</c:v>
                </c:pt>
                <c:pt idx="361">
                  <c:v>10.92763022610997</c:v>
                </c:pt>
                <c:pt idx="362">
                  <c:v>11.55056282841354</c:v>
                </c:pt>
                <c:pt idx="363">
                  <c:v>11.505017161275783</c:v>
                </c:pt>
                <c:pt idx="364">
                  <c:v>11.674121732582423</c:v>
                </c:pt>
                <c:pt idx="365">
                  <c:v>11.088020321351701</c:v>
                </c:pt>
                <c:pt idx="366">
                  <c:v>12.077489310333664</c:v>
                </c:pt>
                <c:pt idx="367">
                  <c:v>11.791381365578376</c:v>
                </c:pt>
                <c:pt idx="368">
                  <c:v>12.010296207030912</c:v>
                </c:pt>
                <c:pt idx="369">
                  <c:v>12.182973418936552</c:v>
                </c:pt>
                <c:pt idx="370">
                  <c:v>13.283877897512927</c:v>
                </c:pt>
                <c:pt idx="371">
                  <c:v>11.579545623600753</c:v>
                </c:pt>
                <c:pt idx="372">
                  <c:v>10.759339213518508</c:v>
                </c:pt>
                <c:pt idx="373">
                  <c:v>10.7797299680243</c:v>
                </c:pt>
                <c:pt idx="374">
                  <c:v>10.699737035503594</c:v>
                </c:pt>
                <c:pt idx="375">
                  <c:v>10.777106033667623</c:v>
                </c:pt>
                <c:pt idx="376">
                  <c:v>10.931743323166703</c:v>
                </c:pt>
                <c:pt idx="377">
                  <c:v>10.581071964738028</c:v>
                </c:pt>
                <c:pt idx="378">
                  <c:v>10.241772838584804</c:v>
                </c:pt>
                <c:pt idx="379">
                  <c:v>9.4764356018297153</c:v>
                </c:pt>
                <c:pt idx="380">
                  <c:v>9.3909973058023137</c:v>
                </c:pt>
                <c:pt idx="381">
                  <c:v>9.5574807540222508</c:v>
                </c:pt>
                <c:pt idx="382">
                  <c:v>9.9557522675126222</c:v>
                </c:pt>
                <c:pt idx="383">
                  <c:v>7.8024348869388955</c:v>
                </c:pt>
                <c:pt idx="384">
                  <c:v>7.7061428174451114</c:v>
                </c:pt>
                <c:pt idx="385">
                  <c:v>7.4864782985847702</c:v>
                </c:pt>
                <c:pt idx="386">
                  <c:v>7.7663114664989896</c:v>
                </c:pt>
                <c:pt idx="387">
                  <c:v>8.0785826554604494</c:v>
                </c:pt>
                <c:pt idx="388">
                  <c:v>8.8591764914367541</c:v>
                </c:pt>
                <c:pt idx="389">
                  <c:v>8.4760033843315163</c:v>
                </c:pt>
                <c:pt idx="390">
                  <c:v>8.5925478274947089</c:v>
                </c:pt>
                <c:pt idx="391">
                  <c:v>8.7730763722258889</c:v>
                </c:pt>
                <c:pt idx="392">
                  <c:v>8.3800693406357745</c:v>
                </c:pt>
                <c:pt idx="393">
                  <c:v>8.212681081545929</c:v>
                </c:pt>
                <c:pt idx="394">
                  <c:v>7.730764687697417</c:v>
                </c:pt>
                <c:pt idx="395">
                  <c:v>6.9559028894843156</c:v>
                </c:pt>
                <c:pt idx="396">
                  <c:v>8.8467015699941225</c:v>
                </c:pt>
                <c:pt idx="397">
                  <c:v>9.4811784175415852</c:v>
                </c:pt>
                <c:pt idx="398">
                  <c:v>9.6760731944477492</c:v>
                </c:pt>
                <c:pt idx="399">
                  <c:v>9.3705909433122745</c:v>
                </c:pt>
                <c:pt idx="400">
                  <c:v>8.4274792487429693</c:v>
                </c:pt>
                <c:pt idx="401">
                  <c:v>9.0937310346167095</c:v>
                </c:pt>
                <c:pt idx="402">
                  <c:v>9.8657536300652549</c:v>
                </c:pt>
                <c:pt idx="403">
                  <c:v>9.9345660848643149</c:v>
                </c:pt>
                <c:pt idx="404">
                  <c:v>10.316801439211275</c:v>
                </c:pt>
                <c:pt idx="405">
                  <c:v>10.36692980812372</c:v>
                </c:pt>
                <c:pt idx="406">
                  <c:v>10.269653606433442</c:v>
                </c:pt>
                <c:pt idx="407">
                  <c:v>9.7839203008245015</c:v>
                </c:pt>
                <c:pt idx="408">
                  <c:v>9.7448339505667843</c:v>
                </c:pt>
                <c:pt idx="409">
                  <c:v>10.739521818136966</c:v>
                </c:pt>
                <c:pt idx="410">
                  <c:v>13.016785279640747</c:v>
                </c:pt>
                <c:pt idx="411">
                  <c:v>12.766625690224409</c:v>
                </c:pt>
                <c:pt idx="412">
                  <c:v>13.779833089360157</c:v>
                </c:pt>
              </c:numCache>
            </c:numRef>
          </c:val>
          <c:smooth val="0"/>
          <c:extLst>
            <c:ext xmlns:c16="http://schemas.microsoft.com/office/drawing/2014/chart" uri="{C3380CC4-5D6E-409C-BE32-E72D297353CC}">
              <c16:uniqueId val="{00000000-7DC3-42CC-826D-387680A8B18A}"/>
            </c:ext>
          </c:extLst>
        </c:ser>
        <c:ser>
          <c:idx val="1"/>
          <c:order val="1"/>
          <c:tx>
            <c:strRef>
              <c:f>Summary!$I$85</c:f>
              <c:strCache>
                <c:ptCount val="1"/>
                <c:pt idx="0">
                  <c:v>SHOP Mean</c:v>
                </c:pt>
              </c:strCache>
            </c:strRef>
          </c:tx>
          <c:spPr>
            <a:ln w="28575" cap="rnd">
              <a:solidFill>
                <a:schemeClr val="accent3"/>
              </a:solidFill>
              <a:prstDash val="sysDash"/>
              <a:round/>
            </a:ln>
            <a:effectLst/>
          </c:spPr>
          <c:marker>
            <c:symbol val="none"/>
          </c:marker>
          <c:cat>
            <c:numRef>
              <c:f>Summary!$B$86:$B$498</c:f>
              <c:numCache>
                <c:formatCode>m/d/yyyy</c:formatCode>
                <c:ptCount val="413"/>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45002</c:v>
                </c:pt>
                <c:pt idx="324">
                  <c:v>45009</c:v>
                </c:pt>
                <c:pt idx="325">
                  <c:v>45016</c:v>
                </c:pt>
                <c:pt idx="326">
                  <c:v>45023</c:v>
                </c:pt>
                <c:pt idx="327">
                  <c:v>45030</c:v>
                </c:pt>
                <c:pt idx="328">
                  <c:v>45037</c:v>
                </c:pt>
                <c:pt idx="329">
                  <c:v>45044</c:v>
                </c:pt>
                <c:pt idx="330">
                  <c:v>45051</c:v>
                </c:pt>
                <c:pt idx="331">
                  <c:v>45058</c:v>
                </c:pt>
                <c:pt idx="332">
                  <c:v>45065</c:v>
                </c:pt>
                <c:pt idx="333">
                  <c:v>45072</c:v>
                </c:pt>
                <c:pt idx="334">
                  <c:v>45079</c:v>
                </c:pt>
                <c:pt idx="335">
                  <c:v>45086</c:v>
                </c:pt>
                <c:pt idx="336">
                  <c:v>45093</c:v>
                </c:pt>
                <c:pt idx="337">
                  <c:v>45100</c:v>
                </c:pt>
                <c:pt idx="338">
                  <c:v>45107</c:v>
                </c:pt>
                <c:pt idx="339">
                  <c:v>45114</c:v>
                </c:pt>
                <c:pt idx="340">
                  <c:v>45121</c:v>
                </c:pt>
                <c:pt idx="341">
                  <c:v>45128</c:v>
                </c:pt>
                <c:pt idx="342">
                  <c:v>45135</c:v>
                </c:pt>
                <c:pt idx="343">
                  <c:v>45142</c:v>
                </c:pt>
                <c:pt idx="344">
                  <c:v>45149</c:v>
                </c:pt>
                <c:pt idx="345">
                  <c:v>45156</c:v>
                </c:pt>
                <c:pt idx="346">
                  <c:v>45163</c:v>
                </c:pt>
                <c:pt idx="347">
                  <c:v>45170</c:v>
                </c:pt>
                <c:pt idx="348">
                  <c:v>45177</c:v>
                </c:pt>
                <c:pt idx="349">
                  <c:v>45184</c:v>
                </c:pt>
                <c:pt idx="350">
                  <c:v>45191</c:v>
                </c:pt>
                <c:pt idx="351">
                  <c:v>45198</c:v>
                </c:pt>
                <c:pt idx="352">
                  <c:v>45205</c:v>
                </c:pt>
                <c:pt idx="353">
                  <c:v>45212</c:v>
                </c:pt>
                <c:pt idx="354">
                  <c:v>45219</c:v>
                </c:pt>
                <c:pt idx="355">
                  <c:v>45226</c:v>
                </c:pt>
                <c:pt idx="356">
                  <c:v>45233</c:v>
                </c:pt>
                <c:pt idx="357">
                  <c:v>45240</c:v>
                </c:pt>
                <c:pt idx="358">
                  <c:v>45247</c:v>
                </c:pt>
                <c:pt idx="359">
                  <c:v>45254</c:v>
                </c:pt>
                <c:pt idx="360">
                  <c:v>45261</c:v>
                </c:pt>
                <c:pt idx="361">
                  <c:v>45268</c:v>
                </c:pt>
                <c:pt idx="362">
                  <c:v>45275</c:v>
                </c:pt>
                <c:pt idx="363">
                  <c:v>45282</c:v>
                </c:pt>
                <c:pt idx="364">
                  <c:v>45289</c:v>
                </c:pt>
                <c:pt idx="365">
                  <c:v>45296</c:v>
                </c:pt>
                <c:pt idx="366">
                  <c:v>45303</c:v>
                </c:pt>
                <c:pt idx="367">
                  <c:v>45310</c:v>
                </c:pt>
                <c:pt idx="368">
                  <c:v>45317</c:v>
                </c:pt>
                <c:pt idx="369">
                  <c:v>45324</c:v>
                </c:pt>
                <c:pt idx="370">
                  <c:v>45331</c:v>
                </c:pt>
                <c:pt idx="371">
                  <c:v>45338</c:v>
                </c:pt>
                <c:pt idx="372">
                  <c:v>45345</c:v>
                </c:pt>
                <c:pt idx="373">
                  <c:v>45352</c:v>
                </c:pt>
                <c:pt idx="374">
                  <c:v>45359</c:v>
                </c:pt>
                <c:pt idx="375">
                  <c:v>45366</c:v>
                </c:pt>
                <c:pt idx="376">
                  <c:v>45373</c:v>
                </c:pt>
                <c:pt idx="377">
                  <c:v>45380</c:v>
                </c:pt>
                <c:pt idx="378">
                  <c:v>45387</c:v>
                </c:pt>
                <c:pt idx="379">
                  <c:v>45394</c:v>
                </c:pt>
                <c:pt idx="380">
                  <c:v>45401</c:v>
                </c:pt>
                <c:pt idx="381">
                  <c:v>45408</c:v>
                </c:pt>
                <c:pt idx="382">
                  <c:v>45415</c:v>
                </c:pt>
                <c:pt idx="383">
                  <c:v>45422</c:v>
                </c:pt>
                <c:pt idx="384">
                  <c:v>45429</c:v>
                </c:pt>
                <c:pt idx="385">
                  <c:v>45436</c:v>
                </c:pt>
                <c:pt idx="386">
                  <c:v>45443</c:v>
                </c:pt>
                <c:pt idx="387">
                  <c:v>45450</c:v>
                </c:pt>
                <c:pt idx="388">
                  <c:v>45457</c:v>
                </c:pt>
                <c:pt idx="389">
                  <c:v>45464</c:v>
                </c:pt>
                <c:pt idx="390">
                  <c:v>45471</c:v>
                </c:pt>
                <c:pt idx="391">
                  <c:v>45478</c:v>
                </c:pt>
                <c:pt idx="392">
                  <c:v>45485</c:v>
                </c:pt>
                <c:pt idx="393">
                  <c:v>45492</c:v>
                </c:pt>
                <c:pt idx="394">
                  <c:v>45499</c:v>
                </c:pt>
                <c:pt idx="395">
                  <c:v>45506</c:v>
                </c:pt>
                <c:pt idx="396">
                  <c:v>45513</c:v>
                </c:pt>
                <c:pt idx="397">
                  <c:v>45520</c:v>
                </c:pt>
                <c:pt idx="398">
                  <c:v>45527</c:v>
                </c:pt>
                <c:pt idx="399">
                  <c:v>45534</c:v>
                </c:pt>
                <c:pt idx="400">
                  <c:v>45541</c:v>
                </c:pt>
                <c:pt idx="401">
                  <c:v>45548</c:v>
                </c:pt>
                <c:pt idx="402">
                  <c:v>45555</c:v>
                </c:pt>
                <c:pt idx="403">
                  <c:v>45562</c:v>
                </c:pt>
                <c:pt idx="404">
                  <c:v>45569</c:v>
                </c:pt>
                <c:pt idx="405">
                  <c:v>45576</c:v>
                </c:pt>
                <c:pt idx="406">
                  <c:v>45583</c:v>
                </c:pt>
                <c:pt idx="407">
                  <c:v>45590</c:v>
                </c:pt>
                <c:pt idx="408">
                  <c:v>45597</c:v>
                </c:pt>
                <c:pt idx="409">
                  <c:v>45604</c:v>
                </c:pt>
                <c:pt idx="410">
                  <c:v>45611</c:v>
                </c:pt>
                <c:pt idx="411">
                  <c:v>45618</c:v>
                </c:pt>
                <c:pt idx="412">
                  <c:v>45625</c:v>
                </c:pt>
              </c:numCache>
            </c:numRef>
          </c:cat>
          <c:val>
            <c:numRef>
              <c:f>Summary!$I$86:$I$498</c:f>
              <c:numCache>
                <c:formatCode>0.0\x_);\(0.0\x\)</c:formatCode>
                <c:ptCount val="413"/>
                <c:pt idx="0">
                  <c:v>16.147668169398553</c:v>
                </c:pt>
                <c:pt idx="1">
                  <c:v>16.147668169398553</c:v>
                </c:pt>
                <c:pt idx="2">
                  <c:v>16.147668169398553</c:v>
                </c:pt>
                <c:pt idx="3">
                  <c:v>16.147668169398553</c:v>
                </c:pt>
                <c:pt idx="4">
                  <c:v>16.147668169398553</c:v>
                </c:pt>
                <c:pt idx="5">
                  <c:v>16.147668169398553</c:v>
                </c:pt>
                <c:pt idx="6">
                  <c:v>16.147668169398553</c:v>
                </c:pt>
                <c:pt idx="7">
                  <c:v>16.147668169398553</c:v>
                </c:pt>
                <c:pt idx="8">
                  <c:v>16.147668169398553</c:v>
                </c:pt>
                <c:pt idx="9">
                  <c:v>16.147668169398553</c:v>
                </c:pt>
                <c:pt idx="10">
                  <c:v>16.147668169398553</c:v>
                </c:pt>
                <c:pt idx="11">
                  <c:v>16.147668169398553</c:v>
                </c:pt>
                <c:pt idx="12">
                  <c:v>16.147668169398553</c:v>
                </c:pt>
                <c:pt idx="13">
                  <c:v>16.147668169398553</c:v>
                </c:pt>
                <c:pt idx="14">
                  <c:v>16.147668169398553</c:v>
                </c:pt>
                <c:pt idx="15">
                  <c:v>16.147668169398553</c:v>
                </c:pt>
                <c:pt idx="16">
                  <c:v>16.147668169398553</c:v>
                </c:pt>
                <c:pt idx="17">
                  <c:v>16.147668169398553</c:v>
                </c:pt>
                <c:pt idx="18">
                  <c:v>16.147668169398553</c:v>
                </c:pt>
                <c:pt idx="19">
                  <c:v>16.147668169398553</c:v>
                </c:pt>
                <c:pt idx="20">
                  <c:v>16.147668169398553</c:v>
                </c:pt>
                <c:pt idx="21">
                  <c:v>16.147668169398553</c:v>
                </c:pt>
                <c:pt idx="22">
                  <c:v>16.147668169398553</c:v>
                </c:pt>
                <c:pt idx="23">
                  <c:v>16.147668169398553</c:v>
                </c:pt>
                <c:pt idx="24">
                  <c:v>16.147668169398553</c:v>
                </c:pt>
                <c:pt idx="25">
                  <c:v>16.147668169398553</c:v>
                </c:pt>
                <c:pt idx="26">
                  <c:v>16.147668169398553</c:v>
                </c:pt>
                <c:pt idx="27">
                  <c:v>16.147668169398553</c:v>
                </c:pt>
                <c:pt idx="28">
                  <c:v>16.147668169398553</c:v>
                </c:pt>
                <c:pt idx="29">
                  <c:v>16.147668169398553</c:v>
                </c:pt>
                <c:pt idx="30">
                  <c:v>16.147668169398553</c:v>
                </c:pt>
                <c:pt idx="31">
                  <c:v>16.147668169398553</c:v>
                </c:pt>
                <c:pt idx="32">
                  <c:v>16.147668169398553</c:v>
                </c:pt>
                <c:pt idx="33">
                  <c:v>16.147668169398553</c:v>
                </c:pt>
                <c:pt idx="34">
                  <c:v>16.147668169398553</c:v>
                </c:pt>
                <c:pt idx="35">
                  <c:v>16.147668169398553</c:v>
                </c:pt>
                <c:pt idx="36">
                  <c:v>16.147668169398553</c:v>
                </c:pt>
                <c:pt idx="37">
                  <c:v>16.147668169398553</c:v>
                </c:pt>
                <c:pt idx="38">
                  <c:v>16.147668169398553</c:v>
                </c:pt>
                <c:pt idx="39">
                  <c:v>16.147668169398553</c:v>
                </c:pt>
                <c:pt idx="40">
                  <c:v>16.147668169398553</c:v>
                </c:pt>
                <c:pt idx="41">
                  <c:v>16.147668169398553</c:v>
                </c:pt>
                <c:pt idx="42">
                  <c:v>16.147668169398553</c:v>
                </c:pt>
                <c:pt idx="43">
                  <c:v>16.147668169398553</c:v>
                </c:pt>
                <c:pt idx="44">
                  <c:v>16.147668169398553</c:v>
                </c:pt>
                <c:pt idx="45">
                  <c:v>16.147668169398553</c:v>
                </c:pt>
                <c:pt idx="46">
                  <c:v>16.147668169398553</c:v>
                </c:pt>
                <c:pt idx="47">
                  <c:v>16.147668169398553</c:v>
                </c:pt>
                <c:pt idx="48">
                  <c:v>16.147668169398553</c:v>
                </c:pt>
                <c:pt idx="49">
                  <c:v>16.147668169398553</c:v>
                </c:pt>
                <c:pt idx="50">
                  <c:v>16.147668169398553</c:v>
                </c:pt>
                <c:pt idx="51">
                  <c:v>16.147668169398553</c:v>
                </c:pt>
                <c:pt idx="52">
                  <c:v>16.147668169398553</c:v>
                </c:pt>
                <c:pt idx="53">
                  <c:v>16.147668169398553</c:v>
                </c:pt>
                <c:pt idx="54">
                  <c:v>16.147668169398553</c:v>
                </c:pt>
                <c:pt idx="55">
                  <c:v>16.147668169398553</c:v>
                </c:pt>
                <c:pt idx="56">
                  <c:v>16.147668169398553</c:v>
                </c:pt>
                <c:pt idx="57">
                  <c:v>16.147668169398553</c:v>
                </c:pt>
                <c:pt idx="58">
                  <c:v>16.147668169398553</c:v>
                </c:pt>
                <c:pt idx="59">
                  <c:v>16.147668169398553</c:v>
                </c:pt>
                <c:pt idx="60">
                  <c:v>16.147668169398553</c:v>
                </c:pt>
                <c:pt idx="61">
                  <c:v>16.147668169398553</c:v>
                </c:pt>
                <c:pt idx="62">
                  <c:v>16.147668169398553</c:v>
                </c:pt>
                <c:pt idx="63">
                  <c:v>16.147668169398553</c:v>
                </c:pt>
                <c:pt idx="64">
                  <c:v>16.147668169398553</c:v>
                </c:pt>
                <c:pt idx="65">
                  <c:v>16.147668169398553</c:v>
                </c:pt>
                <c:pt idx="66">
                  <c:v>16.147668169398553</c:v>
                </c:pt>
                <c:pt idx="67">
                  <c:v>16.147668169398553</c:v>
                </c:pt>
                <c:pt idx="68">
                  <c:v>16.147668169398553</c:v>
                </c:pt>
                <c:pt idx="69">
                  <c:v>16.147668169398553</c:v>
                </c:pt>
                <c:pt idx="70">
                  <c:v>16.147668169398553</c:v>
                </c:pt>
                <c:pt idx="71">
                  <c:v>16.147668169398553</c:v>
                </c:pt>
                <c:pt idx="72">
                  <c:v>16.147668169398553</c:v>
                </c:pt>
                <c:pt idx="73">
                  <c:v>16.147668169398553</c:v>
                </c:pt>
                <c:pt idx="74">
                  <c:v>16.147668169398553</c:v>
                </c:pt>
                <c:pt idx="75">
                  <c:v>16.147668169398553</c:v>
                </c:pt>
                <c:pt idx="76">
                  <c:v>16.147668169398553</c:v>
                </c:pt>
                <c:pt idx="77">
                  <c:v>16.147668169398553</c:v>
                </c:pt>
                <c:pt idx="78">
                  <c:v>16.147668169398553</c:v>
                </c:pt>
                <c:pt idx="79">
                  <c:v>16.147668169398553</c:v>
                </c:pt>
                <c:pt idx="80">
                  <c:v>16.147668169398553</c:v>
                </c:pt>
                <c:pt idx="81">
                  <c:v>16.147668169398553</c:v>
                </c:pt>
                <c:pt idx="82">
                  <c:v>16.147668169398553</c:v>
                </c:pt>
                <c:pt idx="83">
                  <c:v>16.147668169398553</c:v>
                </c:pt>
                <c:pt idx="84">
                  <c:v>16.147668169398553</c:v>
                </c:pt>
                <c:pt idx="85">
                  <c:v>16.147668169398553</c:v>
                </c:pt>
                <c:pt idx="86">
                  <c:v>16.147668169398553</c:v>
                </c:pt>
                <c:pt idx="87">
                  <c:v>16.147668169398553</c:v>
                </c:pt>
                <c:pt idx="88">
                  <c:v>16.147668169398553</c:v>
                </c:pt>
                <c:pt idx="89">
                  <c:v>16.147668169398553</c:v>
                </c:pt>
                <c:pt idx="90">
                  <c:v>16.147668169398553</c:v>
                </c:pt>
                <c:pt idx="91">
                  <c:v>16.147668169398553</c:v>
                </c:pt>
                <c:pt idx="92">
                  <c:v>16.147668169398553</c:v>
                </c:pt>
                <c:pt idx="93">
                  <c:v>16.147668169398553</c:v>
                </c:pt>
                <c:pt idx="94">
                  <c:v>16.147668169398553</c:v>
                </c:pt>
                <c:pt idx="95">
                  <c:v>16.147668169398553</c:v>
                </c:pt>
                <c:pt idx="96">
                  <c:v>16.147668169398553</c:v>
                </c:pt>
                <c:pt idx="97">
                  <c:v>16.147668169398553</c:v>
                </c:pt>
                <c:pt idx="98">
                  <c:v>16.147668169398553</c:v>
                </c:pt>
                <c:pt idx="99">
                  <c:v>16.147668169398553</c:v>
                </c:pt>
                <c:pt idx="100">
                  <c:v>16.147668169398553</c:v>
                </c:pt>
                <c:pt idx="101">
                  <c:v>16.147668169398553</c:v>
                </c:pt>
                <c:pt idx="102">
                  <c:v>16.147668169398553</c:v>
                </c:pt>
                <c:pt idx="103">
                  <c:v>16.147668169398553</c:v>
                </c:pt>
                <c:pt idx="104">
                  <c:v>16.147668169398553</c:v>
                </c:pt>
                <c:pt idx="105">
                  <c:v>16.147668169398553</c:v>
                </c:pt>
                <c:pt idx="106">
                  <c:v>16.147668169398553</c:v>
                </c:pt>
                <c:pt idx="107">
                  <c:v>16.147668169398553</c:v>
                </c:pt>
                <c:pt idx="108">
                  <c:v>16.147668169398553</c:v>
                </c:pt>
                <c:pt idx="109">
                  <c:v>16.147668169398553</c:v>
                </c:pt>
                <c:pt idx="110">
                  <c:v>16.147668169398553</c:v>
                </c:pt>
                <c:pt idx="111">
                  <c:v>16.147668169398553</c:v>
                </c:pt>
                <c:pt idx="112">
                  <c:v>16.147668169398553</c:v>
                </c:pt>
                <c:pt idx="113">
                  <c:v>16.147668169398553</c:v>
                </c:pt>
                <c:pt idx="114">
                  <c:v>16.147668169398553</c:v>
                </c:pt>
                <c:pt idx="115">
                  <c:v>16.147668169398553</c:v>
                </c:pt>
                <c:pt idx="116">
                  <c:v>16.147668169398553</c:v>
                </c:pt>
                <c:pt idx="117">
                  <c:v>16.147668169398553</c:v>
                </c:pt>
                <c:pt idx="118">
                  <c:v>16.147668169398553</c:v>
                </c:pt>
                <c:pt idx="119">
                  <c:v>16.147668169398553</c:v>
                </c:pt>
                <c:pt idx="120">
                  <c:v>16.147668169398553</c:v>
                </c:pt>
                <c:pt idx="121">
                  <c:v>16.147668169398553</c:v>
                </c:pt>
                <c:pt idx="122">
                  <c:v>16.147668169398553</c:v>
                </c:pt>
                <c:pt idx="123">
                  <c:v>16.147668169398553</c:v>
                </c:pt>
                <c:pt idx="124">
                  <c:v>16.147668169398553</c:v>
                </c:pt>
                <c:pt idx="125">
                  <c:v>16.147668169398553</c:v>
                </c:pt>
                <c:pt idx="126">
                  <c:v>16.147668169398553</c:v>
                </c:pt>
                <c:pt idx="127">
                  <c:v>16.147668169398553</c:v>
                </c:pt>
                <c:pt idx="128">
                  <c:v>16.147668169398553</c:v>
                </c:pt>
                <c:pt idx="129">
                  <c:v>16.147668169398553</c:v>
                </c:pt>
                <c:pt idx="130">
                  <c:v>16.147668169398553</c:v>
                </c:pt>
                <c:pt idx="131">
                  <c:v>16.147668169398553</c:v>
                </c:pt>
                <c:pt idx="132">
                  <c:v>16.147668169398553</c:v>
                </c:pt>
                <c:pt idx="133">
                  <c:v>16.147668169398553</c:v>
                </c:pt>
                <c:pt idx="134">
                  <c:v>16.147668169398553</c:v>
                </c:pt>
                <c:pt idx="135">
                  <c:v>16.147668169398553</c:v>
                </c:pt>
                <c:pt idx="136">
                  <c:v>16.147668169398553</c:v>
                </c:pt>
                <c:pt idx="137">
                  <c:v>16.147668169398553</c:v>
                </c:pt>
                <c:pt idx="138">
                  <c:v>16.147668169398553</c:v>
                </c:pt>
                <c:pt idx="139">
                  <c:v>16.147668169398553</c:v>
                </c:pt>
                <c:pt idx="140">
                  <c:v>16.147668169398553</c:v>
                </c:pt>
                <c:pt idx="141">
                  <c:v>16.147668169398553</c:v>
                </c:pt>
                <c:pt idx="142">
                  <c:v>16.147668169398553</c:v>
                </c:pt>
                <c:pt idx="143">
                  <c:v>16.147668169398553</c:v>
                </c:pt>
                <c:pt idx="144">
                  <c:v>16.147668169398553</c:v>
                </c:pt>
                <c:pt idx="145">
                  <c:v>16.147668169398553</c:v>
                </c:pt>
                <c:pt idx="146">
                  <c:v>16.147668169398553</c:v>
                </c:pt>
                <c:pt idx="147">
                  <c:v>16.147668169398553</c:v>
                </c:pt>
                <c:pt idx="148">
                  <c:v>16.147668169398553</c:v>
                </c:pt>
                <c:pt idx="149">
                  <c:v>16.147668169398553</c:v>
                </c:pt>
                <c:pt idx="150">
                  <c:v>16.147668169398553</c:v>
                </c:pt>
                <c:pt idx="151">
                  <c:v>16.147668169398553</c:v>
                </c:pt>
                <c:pt idx="152">
                  <c:v>16.147668169398553</c:v>
                </c:pt>
                <c:pt idx="153">
                  <c:v>16.147668169398553</c:v>
                </c:pt>
                <c:pt idx="154">
                  <c:v>16.147668169398553</c:v>
                </c:pt>
                <c:pt idx="155">
                  <c:v>16.147668169398553</c:v>
                </c:pt>
                <c:pt idx="156">
                  <c:v>16.147668169398553</c:v>
                </c:pt>
                <c:pt idx="157">
                  <c:v>16.147668169398553</c:v>
                </c:pt>
                <c:pt idx="158">
                  <c:v>16.147668169398553</c:v>
                </c:pt>
                <c:pt idx="159">
                  <c:v>16.147668169398553</c:v>
                </c:pt>
                <c:pt idx="160">
                  <c:v>16.147668169398553</c:v>
                </c:pt>
                <c:pt idx="161">
                  <c:v>16.147668169398553</c:v>
                </c:pt>
                <c:pt idx="162">
                  <c:v>16.147668169398553</c:v>
                </c:pt>
                <c:pt idx="163">
                  <c:v>16.147668169398553</c:v>
                </c:pt>
                <c:pt idx="164">
                  <c:v>16.147668169398553</c:v>
                </c:pt>
                <c:pt idx="165">
                  <c:v>16.147668169398553</c:v>
                </c:pt>
                <c:pt idx="166">
                  <c:v>16.147668169398553</c:v>
                </c:pt>
                <c:pt idx="167">
                  <c:v>16.147668169398553</c:v>
                </c:pt>
                <c:pt idx="168">
                  <c:v>16.147668169398553</c:v>
                </c:pt>
                <c:pt idx="169">
                  <c:v>16.147668169398553</c:v>
                </c:pt>
                <c:pt idx="170">
                  <c:v>16.147668169398553</c:v>
                </c:pt>
                <c:pt idx="171">
                  <c:v>16.147668169398553</c:v>
                </c:pt>
                <c:pt idx="172">
                  <c:v>16.147668169398553</c:v>
                </c:pt>
                <c:pt idx="173">
                  <c:v>16.147668169398553</c:v>
                </c:pt>
                <c:pt idx="174">
                  <c:v>16.147668169398553</c:v>
                </c:pt>
                <c:pt idx="175">
                  <c:v>16.147668169398553</c:v>
                </c:pt>
                <c:pt idx="176">
                  <c:v>16.147668169398553</c:v>
                </c:pt>
                <c:pt idx="177">
                  <c:v>16.147668169398553</c:v>
                </c:pt>
                <c:pt idx="178">
                  <c:v>16.147668169398553</c:v>
                </c:pt>
                <c:pt idx="179">
                  <c:v>16.147668169398553</c:v>
                </c:pt>
                <c:pt idx="180">
                  <c:v>16.147668169398553</c:v>
                </c:pt>
                <c:pt idx="181">
                  <c:v>16.147668169398553</c:v>
                </c:pt>
                <c:pt idx="182">
                  <c:v>16.147668169398553</c:v>
                </c:pt>
                <c:pt idx="183">
                  <c:v>16.147668169398553</c:v>
                </c:pt>
                <c:pt idx="184">
                  <c:v>16.147668169398553</c:v>
                </c:pt>
                <c:pt idx="185">
                  <c:v>16.147668169398553</c:v>
                </c:pt>
                <c:pt idx="186">
                  <c:v>16.147668169398553</c:v>
                </c:pt>
                <c:pt idx="187">
                  <c:v>16.147668169398553</c:v>
                </c:pt>
                <c:pt idx="188">
                  <c:v>16.147668169398553</c:v>
                </c:pt>
                <c:pt idx="189">
                  <c:v>16.147668169398553</c:v>
                </c:pt>
                <c:pt idx="190">
                  <c:v>16.147668169398553</c:v>
                </c:pt>
                <c:pt idx="191">
                  <c:v>16.147668169398553</c:v>
                </c:pt>
                <c:pt idx="192">
                  <c:v>16.147668169398553</c:v>
                </c:pt>
                <c:pt idx="193">
                  <c:v>16.147668169398553</c:v>
                </c:pt>
                <c:pt idx="194">
                  <c:v>16.147668169398553</c:v>
                </c:pt>
                <c:pt idx="195">
                  <c:v>16.147668169398553</c:v>
                </c:pt>
                <c:pt idx="196">
                  <c:v>16.147668169398553</c:v>
                </c:pt>
                <c:pt idx="197">
                  <c:v>16.147668169398553</c:v>
                </c:pt>
                <c:pt idx="198">
                  <c:v>16.147668169398553</c:v>
                </c:pt>
                <c:pt idx="199">
                  <c:v>16.147668169398553</c:v>
                </c:pt>
                <c:pt idx="200">
                  <c:v>16.147668169398553</c:v>
                </c:pt>
                <c:pt idx="201">
                  <c:v>16.147668169398553</c:v>
                </c:pt>
                <c:pt idx="202">
                  <c:v>16.147668169398553</c:v>
                </c:pt>
                <c:pt idx="203">
                  <c:v>16.147668169398553</c:v>
                </c:pt>
                <c:pt idx="204">
                  <c:v>16.147668169398553</c:v>
                </c:pt>
                <c:pt idx="205">
                  <c:v>16.147668169398553</c:v>
                </c:pt>
                <c:pt idx="206">
                  <c:v>16.147668169398553</c:v>
                </c:pt>
                <c:pt idx="207">
                  <c:v>16.147668169398553</c:v>
                </c:pt>
                <c:pt idx="208">
                  <c:v>16.147668169398553</c:v>
                </c:pt>
                <c:pt idx="209">
                  <c:v>16.147668169398553</c:v>
                </c:pt>
                <c:pt idx="210">
                  <c:v>16.147668169398553</c:v>
                </c:pt>
                <c:pt idx="211">
                  <c:v>16.147668169398553</c:v>
                </c:pt>
                <c:pt idx="212">
                  <c:v>16.147668169398553</c:v>
                </c:pt>
                <c:pt idx="213">
                  <c:v>16.147668169398553</c:v>
                </c:pt>
                <c:pt idx="214">
                  <c:v>16.147668169398553</c:v>
                </c:pt>
                <c:pt idx="215">
                  <c:v>16.147668169398553</c:v>
                </c:pt>
                <c:pt idx="216">
                  <c:v>16.147668169398553</c:v>
                </c:pt>
                <c:pt idx="217">
                  <c:v>16.147668169398553</c:v>
                </c:pt>
                <c:pt idx="218">
                  <c:v>16.147668169398553</c:v>
                </c:pt>
                <c:pt idx="219">
                  <c:v>16.147668169398553</c:v>
                </c:pt>
                <c:pt idx="220">
                  <c:v>16.147668169398553</c:v>
                </c:pt>
                <c:pt idx="221">
                  <c:v>16.147668169398553</c:v>
                </c:pt>
                <c:pt idx="222">
                  <c:v>16.147668169398553</c:v>
                </c:pt>
                <c:pt idx="223">
                  <c:v>16.147668169398553</c:v>
                </c:pt>
                <c:pt idx="224">
                  <c:v>16.147668169398553</c:v>
                </c:pt>
                <c:pt idx="225">
                  <c:v>16.147668169398553</c:v>
                </c:pt>
                <c:pt idx="226">
                  <c:v>16.147668169398553</c:v>
                </c:pt>
                <c:pt idx="227">
                  <c:v>16.147668169398553</c:v>
                </c:pt>
                <c:pt idx="228">
                  <c:v>16.147668169398553</c:v>
                </c:pt>
                <c:pt idx="229">
                  <c:v>16.147668169398553</c:v>
                </c:pt>
                <c:pt idx="230">
                  <c:v>16.147668169398553</c:v>
                </c:pt>
                <c:pt idx="231">
                  <c:v>16.147668169398553</c:v>
                </c:pt>
                <c:pt idx="232">
                  <c:v>16.147668169398553</c:v>
                </c:pt>
                <c:pt idx="233">
                  <c:v>16.147668169398553</c:v>
                </c:pt>
                <c:pt idx="234">
                  <c:v>16.147668169398553</c:v>
                </c:pt>
                <c:pt idx="235">
                  <c:v>16.147668169398553</c:v>
                </c:pt>
                <c:pt idx="236">
                  <c:v>16.147668169398553</c:v>
                </c:pt>
                <c:pt idx="237">
                  <c:v>16.147668169398553</c:v>
                </c:pt>
                <c:pt idx="238">
                  <c:v>16.147668169398553</c:v>
                </c:pt>
                <c:pt idx="239">
                  <c:v>16.147668169398553</c:v>
                </c:pt>
                <c:pt idx="240">
                  <c:v>16.147668169398553</c:v>
                </c:pt>
                <c:pt idx="241">
                  <c:v>16.147668169398553</c:v>
                </c:pt>
                <c:pt idx="242">
                  <c:v>16.147668169398553</c:v>
                </c:pt>
                <c:pt idx="243">
                  <c:v>16.147668169398553</c:v>
                </c:pt>
                <c:pt idx="244">
                  <c:v>16.147668169398553</c:v>
                </c:pt>
                <c:pt idx="245">
                  <c:v>16.147668169398553</c:v>
                </c:pt>
                <c:pt idx="246">
                  <c:v>16.147668169398553</c:v>
                </c:pt>
                <c:pt idx="247">
                  <c:v>16.147668169398553</c:v>
                </c:pt>
                <c:pt idx="248">
                  <c:v>16.147668169398553</c:v>
                </c:pt>
                <c:pt idx="249">
                  <c:v>16.147668169398553</c:v>
                </c:pt>
                <c:pt idx="250">
                  <c:v>16.147668169398553</c:v>
                </c:pt>
                <c:pt idx="251">
                  <c:v>16.147668169398553</c:v>
                </c:pt>
                <c:pt idx="252">
                  <c:v>16.147668169398553</c:v>
                </c:pt>
                <c:pt idx="253">
                  <c:v>16.147668169398553</c:v>
                </c:pt>
                <c:pt idx="254">
                  <c:v>16.147668169398553</c:v>
                </c:pt>
                <c:pt idx="255">
                  <c:v>16.147668169398553</c:v>
                </c:pt>
                <c:pt idx="256">
                  <c:v>16.147668169398553</c:v>
                </c:pt>
                <c:pt idx="257">
                  <c:v>16.147668169398553</c:v>
                </c:pt>
                <c:pt idx="258">
                  <c:v>16.147668169398553</c:v>
                </c:pt>
                <c:pt idx="259">
                  <c:v>16.147668169398553</c:v>
                </c:pt>
                <c:pt idx="260">
                  <c:v>16.147668169398553</c:v>
                </c:pt>
                <c:pt idx="261">
                  <c:v>16.147668169398553</c:v>
                </c:pt>
                <c:pt idx="262">
                  <c:v>16.147668169398553</c:v>
                </c:pt>
                <c:pt idx="263">
                  <c:v>16.147668169398553</c:v>
                </c:pt>
                <c:pt idx="264">
                  <c:v>16.147668169398553</c:v>
                </c:pt>
                <c:pt idx="265">
                  <c:v>16.147668169398553</c:v>
                </c:pt>
                <c:pt idx="266">
                  <c:v>16.147668169398553</c:v>
                </c:pt>
                <c:pt idx="267">
                  <c:v>16.147668169398553</c:v>
                </c:pt>
                <c:pt idx="268">
                  <c:v>16.147668169398553</c:v>
                </c:pt>
                <c:pt idx="269">
                  <c:v>16.147668169398553</c:v>
                </c:pt>
                <c:pt idx="270">
                  <c:v>16.147668169398553</c:v>
                </c:pt>
                <c:pt idx="271">
                  <c:v>16.147668169398553</c:v>
                </c:pt>
                <c:pt idx="272">
                  <c:v>16.147668169398553</c:v>
                </c:pt>
                <c:pt idx="273">
                  <c:v>16.147668169398553</c:v>
                </c:pt>
                <c:pt idx="274">
                  <c:v>16.147668169398553</c:v>
                </c:pt>
                <c:pt idx="275">
                  <c:v>16.147668169398553</c:v>
                </c:pt>
                <c:pt idx="276">
                  <c:v>16.147668169398553</c:v>
                </c:pt>
                <c:pt idx="277">
                  <c:v>16.147668169398553</c:v>
                </c:pt>
                <c:pt idx="278">
                  <c:v>16.147668169398553</c:v>
                </c:pt>
                <c:pt idx="279">
                  <c:v>16.147668169398553</c:v>
                </c:pt>
                <c:pt idx="280">
                  <c:v>16.147668169398553</c:v>
                </c:pt>
                <c:pt idx="281">
                  <c:v>16.147668169398553</c:v>
                </c:pt>
                <c:pt idx="282">
                  <c:v>16.147668169398553</c:v>
                </c:pt>
                <c:pt idx="283">
                  <c:v>16.147668169398553</c:v>
                </c:pt>
                <c:pt idx="284">
                  <c:v>16.147668169398553</c:v>
                </c:pt>
                <c:pt idx="285">
                  <c:v>16.147668169398553</c:v>
                </c:pt>
                <c:pt idx="286">
                  <c:v>16.147668169398553</c:v>
                </c:pt>
                <c:pt idx="287">
                  <c:v>16.147668169398553</c:v>
                </c:pt>
                <c:pt idx="288">
                  <c:v>16.147668169398553</c:v>
                </c:pt>
                <c:pt idx="289">
                  <c:v>16.147668169398553</c:v>
                </c:pt>
                <c:pt idx="290">
                  <c:v>16.147668169398553</c:v>
                </c:pt>
                <c:pt idx="291">
                  <c:v>16.147668169398553</c:v>
                </c:pt>
                <c:pt idx="292">
                  <c:v>16.147668169398553</c:v>
                </c:pt>
                <c:pt idx="293">
                  <c:v>16.147668169398553</c:v>
                </c:pt>
                <c:pt idx="294">
                  <c:v>16.147668169398553</c:v>
                </c:pt>
                <c:pt idx="295">
                  <c:v>16.147668169398553</c:v>
                </c:pt>
                <c:pt idx="296">
                  <c:v>16.147668169398553</c:v>
                </c:pt>
                <c:pt idx="297">
                  <c:v>16.147668169398553</c:v>
                </c:pt>
                <c:pt idx="298">
                  <c:v>16.147668169398553</c:v>
                </c:pt>
                <c:pt idx="299">
                  <c:v>16.147668169398553</c:v>
                </c:pt>
                <c:pt idx="300">
                  <c:v>16.147668169398553</c:v>
                </c:pt>
                <c:pt idx="301">
                  <c:v>16.147668169398553</c:v>
                </c:pt>
                <c:pt idx="302">
                  <c:v>16.147668169398553</c:v>
                </c:pt>
                <c:pt idx="303">
                  <c:v>16.147668169398553</c:v>
                </c:pt>
                <c:pt idx="304">
                  <c:v>16.147668169398553</c:v>
                </c:pt>
                <c:pt idx="305">
                  <c:v>16.147668169398553</c:v>
                </c:pt>
                <c:pt idx="306">
                  <c:v>16.147668169398553</c:v>
                </c:pt>
                <c:pt idx="307">
                  <c:v>16.147668169398553</c:v>
                </c:pt>
                <c:pt idx="308">
                  <c:v>16.147668169398553</c:v>
                </c:pt>
                <c:pt idx="309">
                  <c:v>16.147668169398553</c:v>
                </c:pt>
                <c:pt idx="310">
                  <c:v>16.147668169398553</c:v>
                </c:pt>
                <c:pt idx="311">
                  <c:v>16.147668169398553</c:v>
                </c:pt>
                <c:pt idx="312">
                  <c:v>16.147668169398553</c:v>
                </c:pt>
                <c:pt idx="313">
                  <c:v>16.147668169398553</c:v>
                </c:pt>
                <c:pt idx="314">
                  <c:v>16.147668169398553</c:v>
                </c:pt>
                <c:pt idx="315">
                  <c:v>16.147668169398553</c:v>
                </c:pt>
                <c:pt idx="316">
                  <c:v>16.147668169398553</c:v>
                </c:pt>
                <c:pt idx="317">
                  <c:v>16.147668169398553</c:v>
                </c:pt>
                <c:pt idx="318">
                  <c:v>16.147668169398553</c:v>
                </c:pt>
                <c:pt idx="319">
                  <c:v>16.147668169398553</c:v>
                </c:pt>
                <c:pt idx="320">
                  <c:v>16.147668169398553</c:v>
                </c:pt>
                <c:pt idx="321">
                  <c:v>16.147668169398553</c:v>
                </c:pt>
                <c:pt idx="322">
                  <c:v>16.147668169398553</c:v>
                </c:pt>
                <c:pt idx="323">
                  <c:v>16.147668169398553</c:v>
                </c:pt>
                <c:pt idx="324">
                  <c:v>16.147668169398553</c:v>
                </c:pt>
                <c:pt idx="325">
                  <c:v>16.147668169398553</c:v>
                </c:pt>
                <c:pt idx="326">
                  <c:v>16.147668169398553</c:v>
                </c:pt>
                <c:pt idx="327">
                  <c:v>16.147668169398553</c:v>
                </c:pt>
                <c:pt idx="328">
                  <c:v>16.147668169398553</c:v>
                </c:pt>
                <c:pt idx="329">
                  <c:v>16.147668169398553</c:v>
                </c:pt>
                <c:pt idx="330">
                  <c:v>16.147668169398553</c:v>
                </c:pt>
                <c:pt idx="331">
                  <c:v>16.147668169398553</c:v>
                </c:pt>
                <c:pt idx="332">
                  <c:v>16.147668169398553</c:v>
                </c:pt>
                <c:pt idx="333">
                  <c:v>16.147668169398553</c:v>
                </c:pt>
                <c:pt idx="334">
                  <c:v>16.147668169398553</c:v>
                </c:pt>
                <c:pt idx="335">
                  <c:v>16.147668169398553</c:v>
                </c:pt>
                <c:pt idx="336">
                  <c:v>16.147668169398553</c:v>
                </c:pt>
                <c:pt idx="337">
                  <c:v>16.147668169398553</c:v>
                </c:pt>
                <c:pt idx="338">
                  <c:v>16.147668169398553</c:v>
                </c:pt>
                <c:pt idx="339">
                  <c:v>16.147668169398553</c:v>
                </c:pt>
                <c:pt idx="340">
                  <c:v>16.147668169398553</c:v>
                </c:pt>
                <c:pt idx="341">
                  <c:v>16.147668169398553</c:v>
                </c:pt>
                <c:pt idx="342">
                  <c:v>16.147668169398553</c:v>
                </c:pt>
                <c:pt idx="343">
                  <c:v>16.147668169398553</c:v>
                </c:pt>
                <c:pt idx="344">
                  <c:v>16.147668169398553</c:v>
                </c:pt>
                <c:pt idx="345">
                  <c:v>16.147668169398553</c:v>
                </c:pt>
                <c:pt idx="346">
                  <c:v>16.147668169398553</c:v>
                </c:pt>
                <c:pt idx="347">
                  <c:v>16.147668169398553</c:v>
                </c:pt>
                <c:pt idx="348">
                  <c:v>16.147668169398553</c:v>
                </c:pt>
                <c:pt idx="349">
                  <c:v>16.147668169398553</c:v>
                </c:pt>
                <c:pt idx="350">
                  <c:v>16.147668169398553</c:v>
                </c:pt>
                <c:pt idx="351">
                  <c:v>16.147668169398553</c:v>
                </c:pt>
                <c:pt idx="352">
                  <c:v>16.147668169398553</c:v>
                </c:pt>
                <c:pt idx="353">
                  <c:v>16.147668169398553</c:v>
                </c:pt>
                <c:pt idx="354">
                  <c:v>16.147668169398553</c:v>
                </c:pt>
                <c:pt idx="355">
                  <c:v>16.147668169398553</c:v>
                </c:pt>
                <c:pt idx="356">
                  <c:v>16.147668169398553</c:v>
                </c:pt>
                <c:pt idx="357">
                  <c:v>16.147668169398553</c:v>
                </c:pt>
                <c:pt idx="358">
                  <c:v>16.147668169398553</c:v>
                </c:pt>
                <c:pt idx="359">
                  <c:v>16.147668169398553</c:v>
                </c:pt>
                <c:pt idx="360">
                  <c:v>16.147668169398553</c:v>
                </c:pt>
                <c:pt idx="361">
                  <c:v>16.147668169398553</c:v>
                </c:pt>
                <c:pt idx="362">
                  <c:v>16.147668169398553</c:v>
                </c:pt>
                <c:pt idx="363">
                  <c:v>16.147668169398553</c:v>
                </c:pt>
                <c:pt idx="364">
                  <c:v>16.147668169398553</c:v>
                </c:pt>
                <c:pt idx="365">
                  <c:v>16.147668169398553</c:v>
                </c:pt>
                <c:pt idx="366">
                  <c:v>16.147668169398553</c:v>
                </c:pt>
                <c:pt idx="367">
                  <c:v>16.147668169398553</c:v>
                </c:pt>
                <c:pt idx="368">
                  <c:v>16.147668169398553</c:v>
                </c:pt>
                <c:pt idx="369">
                  <c:v>16.147668169398553</c:v>
                </c:pt>
                <c:pt idx="370">
                  <c:v>16.147668169398553</c:v>
                </c:pt>
                <c:pt idx="371">
                  <c:v>16.147668169398553</c:v>
                </c:pt>
                <c:pt idx="372">
                  <c:v>16.147668169398553</c:v>
                </c:pt>
                <c:pt idx="373">
                  <c:v>16.147668169398553</c:v>
                </c:pt>
                <c:pt idx="374">
                  <c:v>16.147668169398553</c:v>
                </c:pt>
                <c:pt idx="375">
                  <c:v>16.147668169398553</c:v>
                </c:pt>
                <c:pt idx="376">
                  <c:v>16.147668169398553</c:v>
                </c:pt>
                <c:pt idx="377">
                  <c:v>16.147668169398553</c:v>
                </c:pt>
                <c:pt idx="378">
                  <c:v>16.147668169398553</c:v>
                </c:pt>
                <c:pt idx="379">
                  <c:v>16.147668169398553</c:v>
                </c:pt>
                <c:pt idx="380">
                  <c:v>16.147668169398553</c:v>
                </c:pt>
                <c:pt idx="381">
                  <c:v>16.147668169398553</c:v>
                </c:pt>
                <c:pt idx="382">
                  <c:v>16.147668169398553</c:v>
                </c:pt>
                <c:pt idx="383">
                  <c:v>16.147668169398553</c:v>
                </c:pt>
                <c:pt idx="384">
                  <c:v>16.147668169398553</c:v>
                </c:pt>
                <c:pt idx="385">
                  <c:v>16.147668169398553</c:v>
                </c:pt>
                <c:pt idx="386">
                  <c:v>16.147668169398553</c:v>
                </c:pt>
                <c:pt idx="387">
                  <c:v>16.147668169398553</c:v>
                </c:pt>
                <c:pt idx="388">
                  <c:v>16.147668169398553</c:v>
                </c:pt>
                <c:pt idx="389">
                  <c:v>16.147668169398553</c:v>
                </c:pt>
                <c:pt idx="390">
                  <c:v>16.147668169398553</c:v>
                </c:pt>
                <c:pt idx="391">
                  <c:v>16.147668169398553</c:v>
                </c:pt>
                <c:pt idx="392">
                  <c:v>16.147668169398553</c:v>
                </c:pt>
                <c:pt idx="393">
                  <c:v>16.147668169398553</c:v>
                </c:pt>
                <c:pt idx="394">
                  <c:v>16.147668169398553</c:v>
                </c:pt>
                <c:pt idx="395">
                  <c:v>16.147668169398553</c:v>
                </c:pt>
                <c:pt idx="396">
                  <c:v>16.147668169398553</c:v>
                </c:pt>
                <c:pt idx="397">
                  <c:v>16.147668169398553</c:v>
                </c:pt>
                <c:pt idx="398">
                  <c:v>16.147668169398553</c:v>
                </c:pt>
                <c:pt idx="399">
                  <c:v>16.147668169398553</c:v>
                </c:pt>
                <c:pt idx="400">
                  <c:v>16.147668169398553</c:v>
                </c:pt>
                <c:pt idx="401">
                  <c:v>16.147668169398553</c:v>
                </c:pt>
                <c:pt idx="402">
                  <c:v>16.147668169398553</c:v>
                </c:pt>
                <c:pt idx="403">
                  <c:v>16.147668169398553</c:v>
                </c:pt>
                <c:pt idx="404">
                  <c:v>16.147668169398553</c:v>
                </c:pt>
                <c:pt idx="405">
                  <c:v>16.147668169398553</c:v>
                </c:pt>
                <c:pt idx="406">
                  <c:v>16.147668169398553</c:v>
                </c:pt>
                <c:pt idx="407">
                  <c:v>16.147668169398553</c:v>
                </c:pt>
                <c:pt idx="408">
                  <c:v>16.147668169398553</c:v>
                </c:pt>
                <c:pt idx="409">
                  <c:v>16.147668169398553</c:v>
                </c:pt>
                <c:pt idx="410">
                  <c:v>16.147668169398553</c:v>
                </c:pt>
                <c:pt idx="411">
                  <c:v>16.147668169398553</c:v>
                </c:pt>
                <c:pt idx="412">
                  <c:v>16.147668169398553</c:v>
                </c:pt>
              </c:numCache>
            </c:numRef>
          </c:val>
          <c:smooth val="0"/>
          <c:extLst>
            <c:ext xmlns:c16="http://schemas.microsoft.com/office/drawing/2014/chart" uri="{C3380CC4-5D6E-409C-BE32-E72D297353CC}">
              <c16:uniqueId val="{00000001-7DC3-42CC-826D-387680A8B18A}"/>
            </c:ext>
          </c:extLst>
        </c:ser>
        <c:ser>
          <c:idx val="2"/>
          <c:order val="2"/>
          <c:tx>
            <c:strRef>
              <c:f>Summary!$L$85</c:f>
              <c:strCache>
                <c:ptCount val="1"/>
                <c:pt idx="0">
                  <c:v>Large Cap EV/revenue</c:v>
                </c:pt>
              </c:strCache>
            </c:strRef>
          </c:tx>
          <c:spPr>
            <a:ln w="28575" cap="rnd">
              <a:solidFill>
                <a:schemeClr val="accent1"/>
              </a:solidFill>
              <a:round/>
            </a:ln>
            <a:effectLst/>
          </c:spPr>
          <c:marker>
            <c:symbol val="none"/>
          </c:marker>
          <c:cat>
            <c:numRef>
              <c:f>Summary!$B$86:$B$498</c:f>
              <c:numCache>
                <c:formatCode>m/d/yyyy</c:formatCode>
                <c:ptCount val="413"/>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45002</c:v>
                </c:pt>
                <c:pt idx="324">
                  <c:v>45009</c:v>
                </c:pt>
                <c:pt idx="325">
                  <c:v>45016</c:v>
                </c:pt>
                <c:pt idx="326">
                  <c:v>45023</c:v>
                </c:pt>
                <c:pt idx="327">
                  <c:v>45030</c:v>
                </c:pt>
                <c:pt idx="328">
                  <c:v>45037</c:v>
                </c:pt>
                <c:pt idx="329">
                  <c:v>45044</c:v>
                </c:pt>
                <c:pt idx="330">
                  <c:v>45051</c:v>
                </c:pt>
                <c:pt idx="331">
                  <c:v>45058</c:v>
                </c:pt>
                <c:pt idx="332">
                  <c:v>45065</c:v>
                </c:pt>
                <c:pt idx="333">
                  <c:v>45072</c:v>
                </c:pt>
                <c:pt idx="334">
                  <c:v>45079</c:v>
                </c:pt>
                <c:pt idx="335">
                  <c:v>45086</c:v>
                </c:pt>
                <c:pt idx="336">
                  <c:v>45093</c:v>
                </c:pt>
                <c:pt idx="337">
                  <c:v>45100</c:v>
                </c:pt>
                <c:pt idx="338">
                  <c:v>45107</c:v>
                </c:pt>
                <c:pt idx="339">
                  <c:v>45114</c:v>
                </c:pt>
                <c:pt idx="340">
                  <c:v>45121</c:v>
                </c:pt>
                <c:pt idx="341">
                  <c:v>45128</c:v>
                </c:pt>
                <c:pt idx="342">
                  <c:v>45135</c:v>
                </c:pt>
                <c:pt idx="343">
                  <c:v>45142</c:v>
                </c:pt>
                <c:pt idx="344">
                  <c:v>45149</c:v>
                </c:pt>
                <c:pt idx="345">
                  <c:v>45156</c:v>
                </c:pt>
                <c:pt idx="346">
                  <c:v>45163</c:v>
                </c:pt>
                <c:pt idx="347">
                  <c:v>45170</c:v>
                </c:pt>
                <c:pt idx="348">
                  <c:v>45177</c:v>
                </c:pt>
                <c:pt idx="349">
                  <c:v>45184</c:v>
                </c:pt>
                <c:pt idx="350">
                  <c:v>45191</c:v>
                </c:pt>
                <c:pt idx="351">
                  <c:v>45198</c:v>
                </c:pt>
                <c:pt idx="352">
                  <c:v>45205</c:v>
                </c:pt>
                <c:pt idx="353">
                  <c:v>45212</c:v>
                </c:pt>
                <c:pt idx="354">
                  <c:v>45219</c:v>
                </c:pt>
                <c:pt idx="355">
                  <c:v>45226</c:v>
                </c:pt>
                <c:pt idx="356">
                  <c:v>45233</c:v>
                </c:pt>
                <c:pt idx="357">
                  <c:v>45240</c:v>
                </c:pt>
                <c:pt idx="358">
                  <c:v>45247</c:v>
                </c:pt>
                <c:pt idx="359">
                  <c:v>45254</c:v>
                </c:pt>
                <c:pt idx="360">
                  <c:v>45261</c:v>
                </c:pt>
                <c:pt idx="361">
                  <c:v>45268</c:v>
                </c:pt>
                <c:pt idx="362">
                  <c:v>45275</c:v>
                </c:pt>
                <c:pt idx="363">
                  <c:v>45282</c:v>
                </c:pt>
                <c:pt idx="364">
                  <c:v>45289</c:v>
                </c:pt>
                <c:pt idx="365">
                  <c:v>45296</c:v>
                </c:pt>
                <c:pt idx="366">
                  <c:v>45303</c:v>
                </c:pt>
                <c:pt idx="367">
                  <c:v>45310</c:v>
                </c:pt>
                <c:pt idx="368">
                  <c:v>45317</c:v>
                </c:pt>
                <c:pt idx="369">
                  <c:v>45324</c:v>
                </c:pt>
                <c:pt idx="370">
                  <c:v>45331</c:v>
                </c:pt>
                <c:pt idx="371">
                  <c:v>45338</c:v>
                </c:pt>
                <c:pt idx="372">
                  <c:v>45345</c:v>
                </c:pt>
                <c:pt idx="373">
                  <c:v>45352</c:v>
                </c:pt>
                <c:pt idx="374">
                  <c:v>45359</c:v>
                </c:pt>
                <c:pt idx="375">
                  <c:v>45366</c:v>
                </c:pt>
                <c:pt idx="376">
                  <c:v>45373</c:v>
                </c:pt>
                <c:pt idx="377">
                  <c:v>45380</c:v>
                </c:pt>
                <c:pt idx="378">
                  <c:v>45387</c:v>
                </c:pt>
                <c:pt idx="379">
                  <c:v>45394</c:v>
                </c:pt>
                <c:pt idx="380">
                  <c:v>45401</c:v>
                </c:pt>
                <c:pt idx="381">
                  <c:v>45408</c:v>
                </c:pt>
                <c:pt idx="382">
                  <c:v>45415</c:v>
                </c:pt>
                <c:pt idx="383">
                  <c:v>45422</c:v>
                </c:pt>
                <c:pt idx="384">
                  <c:v>45429</c:v>
                </c:pt>
                <c:pt idx="385">
                  <c:v>45436</c:v>
                </c:pt>
                <c:pt idx="386">
                  <c:v>45443</c:v>
                </c:pt>
                <c:pt idx="387">
                  <c:v>45450</c:v>
                </c:pt>
                <c:pt idx="388">
                  <c:v>45457</c:v>
                </c:pt>
                <c:pt idx="389">
                  <c:v>45464</c:v>
                </c:pt>
                <c:pt idx="390">
                  <c:v>45471</c:v>
                </c:pt>
                <c:pt idx="391">
                  <c:v>45478</c:v>
                </c:pt>
                <c:pt idx="392">
                  <c:v>45485</c:v>
                </c:pt>
                <c:pt idx="393">
                  <c:v>45492</c:v>
                </c:pt>
                <c:pt idx="394">
                  <c:v>45499</c:v>
                </c:pt>
                <c:pt idx="395">
                  <c:v>45506</c:v>
                </c:pt>
                <c:pt idx="396">
                  <c:v>45513</c:v>
                </c:pt>
                <c:pt idx="397">
                  <c:v>45520</c:v>
                </c:pt>
                <c:pt idx="398">
                  <c:v>45527</c:v>
                </c:pt>
                <c:pt idx="399">
                  <c:v>45534</c:v>
                </c:pt>
                <c:pt idx="400">
                  <c:v>45541</c:v>
                </c:pt>
                <c:pt idx="401">
                  <c:v>45548</c:v>
                </c:pt>
                <c:pt idx="402">
                  <c:v>45555</c:v>
                </c:pt>
                <c:pt idx="403">
                  <c:v>45562</c:v>
                </c:pt>
                <c:pt idx="404">
                  <c:v>45569</c:v>
                </c:pt>
                <c:pt idx="405">
                  <c:v>45576</c:v>
                </c:pt>
                <c:pt idx="406">
                  <c:v>45583</c:v>
                </c:pt>
                <c:pt idx="407">
                  <c:v>45590</c:v>
                </c:pt>
                <c:pt idx="408">
                  <c:v>45597</c:v>
                </c:pt>
                <c:pt idx="409">
                  <c:v>45604</c:v>
                </c:pt>
                <c:pt idx="410">
                  <c:v>45611</c:v>
                </c:pt>
                <c:pt idx="411">
                  <c:v>45618</c:v>
                </c:pt>
                <c:pt idx="412">
                  <c:v>45625</c:v>
                </c:pt>
              </c:numCache>
            </c:numRef>
          </c:cat>
          <c:val>
            <c:numRef>
              <c:f>Summary!$L$86:$L$498</c:f>
              <c:numCache>
                <c:formatCode>0.0\x_);\(0.0\x\)</c:formatCode>
                <c:ptCount val="413"/>
                <c:pt idx="0">
                  <c:v>4.8660453449736876</c:v>
                </c:pt>
                <c:pt idx="1">
                  <c:v>4.9573668089740153</c:v>
                </c:pt>
                <c:pt idx="2">
                  <c:v>4.9545266101461198</c:v>
                </c:pt>
                <c:pt idx="3">
                  <c:v>5.0694265020108942</c:v>
                </c:pt>
                <c:pt idx="4">
                  <c:v>4.957456600940529</c:v>
                </c:pt>
                <c:pt idx="5">
                  <c:v>5.0557867458033785</c:v>
                </c:pt>
                <c:pt idx="6">
                  <c:v>5.100238213309491</c:v>
                </c:pt>
                <c:pt idx="7">
                  <c:v>5.1305183818606519</c:v>
                </c:pt>
                <c:pt idx="8">
                  <c:v>7.0047704758256648</c:v>
                </c:pt>
                <c:pt idx="9">
                  <c:v>6.6075678560916717</c:v>
                </c:pt>
                <c:pt idx="10">
                  <c:v>6.3950224093417312</c:v>
                </c:pt>
                <c:pt idx="11">
                  <c:v>6.5219656113656335</c:v>
                </c:pt>
                <c:pt idx="12">
                  <c:v>6.3944821693721758</c:v>
                </c:pt>
                <c:pt idx="13">
                  <c:v>6.220116818564227</c:v>
                </c:pt>
                <c:pt idx="14">
                  <c:v>6.1571215241987867</c:v>
                </c:pt>
                <c:pt idx="15">
                  <c:v>6.2823945832220316</c:v>
                </c:pt>
                <c:pt idx="16">
                  <c:v>6.5639204586742599</c:v>
                </c:pt>
                <c:pt idx="17">
                  <c:v>6.7723181239908197</c:v>
                </c:pt>
                <c:pt idx="18">
                  <c:v>6.7031109633614419</c:v>
                </c:pt>
                <c:pt idx="19">
                  <c:v>6.5968018192337947</c:v>
                </c:pt>
                <c:pt idx="20">
                  <c:v>6.8299667720481807</c:v>
                </c:pt>
                <c:pt idx="21">
                  <c:v>6.9906903306839459</c:v>
                </c:pt>
                <c:pt idx="22">
                  <c:v>6.5274923719124054</c:v>
                </c:pt>
                <c:pt idx="23">
                  <c:v>6.3718736066794284</c:v>
                </c:pt>
                <c:pt idx="24">
                  <c:v>6.6692923389751693</c:v>
                </c:pt>
                <c:pt idx="25">
                  <c:v>6.6894989920811527</c:v>
                </c:pt>
                <c:pt idx="26">
                  <c:v>6.6224482047333737</c:v>
                </c:pt>
                <c:pt idx="27">
                  <c:v>6.6822468139350555</c:v>
                </c:pt>
                <c:pt idx="28">
                  <c:v>6.6606589188141161</c:v>
                </c:pt>
                <c:pt idx="29">
                  <c:v>6.6347835590358892</c:v>
                </c:pt>
                <c:pt idx="30">
                  <c:v>6.5179225532920837</c:v>
                </c:pt>
                <c:pt idx="31">
                  <c:v>6.1990236371440659</c:v>
                </c:pt>
                <c:pt idx="32">
                  <c:v>6.2379210783557815</c:v>
                </c:pt>
                <c:pt idx="33">
                  <c:v>6.3647264287475531</c:v>
                </c:pt>
                <c:pt idx="34">
                  <c:v>6.5440005887849217</c:v>
                </c:pt>
                <c:pt idx="35">
                  <c:v>6.6226107031353454</c:v>
                </c:pt>
                <c:pt idx="36">
                  <c:v>6.7593669065750568</c:v>
                </c:pt>
                <c:pt idx="37">
                  <c:v>6.6072752542590569</c:v>
                </c:pt>
                <c:pt idx="38">
                  <c:v>6.767176738041484</c:v>
                </c:pt>
                <c:pt idx="39">
                  <c:v>6.7250125954978719</c:v>
                </c:pt>
                <c:pt idx="40">
                  <c:v>6.8198148926842217</c:v>
                </c:pt>
                <c:pt idx="41">
                  <c:v>6.719992001097836</c:v>
                </c:pt>
                <c:pt idx="42">
                  <c:v>6.7240283657335063</c:v>
                </c:pt>
                <c:pt idx="43">
                  <c:v>6.5788521335504955</c:v>
                </c:pt>
                <c:pt idx="44">
                  <c:v>6.2438150541806241</c:v>
                </c:pt>
                <c:pt idx="45">
                  <c:v>6.3167262708136427</c:v>
                </c:pt>
                <c:pt idx="46">
                  <c:v>6.4416912249935399</c:v>
                </c:pt>
                <c:pt idx="47">
                  <c:v>6.2437714075432496</c:v>
                </c:pt>
                <c:pt idx="48">
                  <c:v>6.3169838099382787</c:v>
                </c:pt>
                <c:pt idx="49">
                  <c:v>6.4965580903338642</c:v>
                </c:pt>
                <c:pt idx="50">
                  <c:v>6.3627329756260842</c:v>
                </c:pt>
                <c:pt idx="51">
                  <c:v>6.0837273323920584</c:v>
                </c:pt>
                <c:pt idx="52">
                  <c:v>6.3896713817577782</c:v>
                </c:pt>
                <c:pt idx="53">
                  <c:v>6.4208745006806138</c:v>
                </c:pt>
                <c:pt idx="54">
                  <c:v>6.3693052790583105</c:v>
                </c:pt>
                <c:pt idx="55">
                  <c:v>6.7467215332214918</c:v>
                </c:pt>
                <c:pt idx="56">
                  <c:v>6.499242281788721</c:v>
                </c:pt>
                <c:pt idx="57">
                  <c:v>6.4843288055585511</c:v>
                </c:pt>
                <c:pt idx="58">
                  <c:v>6.938525353810177</c:v>
                </c:pt>
                <c:pt idx="59">
                  <c:v>6.8554742932032902</c:v>
                </c:pt>
                <c:pt idx="60">
                  <c:v>6.8644880106941537</c:v>
                </c:pt>
                <c:pt idx="61">
                  <c:v>7.2453965411789021</c:v>
                </c:pt>
                <c:pt idx="62">
                  <c:v>7.1045291248521831</c:v>
                </c:pt>
                <c:pt idx="63">
                  <c:v>6.5863082102705697</c:v>
                </c:pt>
                <c:pt idx="64">
                  <c:v>6.4640839979721383</c:v>
                </c:pt>
                <c:pt idx="65">
                  <c:v>5.9144625993869147</c:v>
                </c:pt>
                <c:pt idx="66">
                  <c:v>6.0170069129485428</c:v>
                </c:pt>
                <c:pt idx="67">
                  <c:v>6.1800770634633997</c:v>
                </c:pt>
                <c:pt idx="68">
                  <c:v>5.8962924623525756</c:v>
                </c:pt>
                <c:pt idx="69">
                  <c:v>5.8414572054972034</c:v>
                </c:pt>
                <c:pt idx="70">
                  <c:v>6.1256705550708936</c:v>
                </c:pt>
                <c:pt idx="71">
                  <c:v>6.0802093483417368</c:v>
                </c:pt>
                <c:pt idx="72">
                  <c:v>6.1597973043498948</c:v>
                </c:pt>
                <c:pt idx="73">
                  <c:v>6.4057249585811364</c:v>
                </c:pt>
                <c:pt idx="74">
                  <c:v>6.6451992151581472</c:v>
                </c:pt>
                <c:pt idx="75">
                  <c:v>6.87535534607657</c:v>
                </c:pt>
                <c:pt idx="76">
                  <c:v>6.7839124758880232</c:v>
                </c:pt>
                <c:pt idx="77">
                  <c:v>6.5510621545116505</c:v>
                </c:pt>
                <c:pt idx="78">
                  <c:v>6.791086396396083</c:v>
                </c:pt>
                <c:pt idx="79">
                  <c:v>6.8589035171964845</c:v>
                </c:pt>
                <c:pt idx="80">
                  <c:v>6.7753324457072219</c:v>
                </c:pt>
                <c:pt idx="81">
                  <c:v>6.4640093899967006</c:v>
                </c:pt>
                <c:pt idx="82">
                  <c:v>6.2072758798373995</c:v>
                </c:pt>
                <c:pt idx="83">
                  <c:v>6.4752238717401118</c:v>
                </c:pt>
                <c:pt idx="84">
                  <c:v>6.179659297351269</c:v>
                </c:pt>
                <c:pt idx="85">
                  <c:v>6.3730415112681982</c:v>
                </c:pt>
                <c:pt idx="86">
                  <c:v>6.4065405515870504</c:v>
                </c:pt>
                <c:pt idx="87">
                  <c:v>6.0782054222138138</c:v>
                </c:pt>
                <c:pt idx="88">
                  <c:v>6.1876682147403885</c:v>
                </c:pt>
                <c:pt idx="89">
                  <c:v>6.1181275191534974</c:v>
                </c:pt>
                <c:pt idx="90">
                  <c:v>6.2551068812945525</c:v>
                </c:pt>
                <c:pt idx="91">
                  <c:v>5.7364275922349028</c:v>
                </c:pt>
                <c:pt idx="92">
                  <c:v>5.385947434570892</c:v>
                </c:pt>
                <c:pt idx="93">
                  <c:v>5.208714231271026</c:v>
                </c:pt>
                <c:pt idx="94">
                  <c:v>4.9575589532575055</c:v>
                </c:pt>
                <c:pt idx="95">
                  <c:v>5.2827192155567735</c:v>
                </c:pt>
                <c:pt idx="96">
                  <c:v>5.0695935650941415</c:v>
                </c:pt>
                <c:pt idx="97">
                  <c:v>4.9753261333644909</c:v>
                </c:pt>
                <c:pt idx="98">
                  <c:v>4.6573307989218753</c:v>
                </c:pt>
                <c:pt idx="99">
                  <c:v>5.1921960206652429</c:v>
                </c:pt>
                <c:pt idx="100">
                  <c:v>4.9141364418184033</c:v>
                </c:pt>
                <c:pt idx="101">
                  <c:v>4.8451768272779407</c:v>
                </c:pt>
                <c:pt idx="102">
                  <c:v>4.1535995093347919</c:v>
                </c:pt>
                <c:pt idx="103">
                  <c:v>4.4637799955436614</c:v>
                </c:pt>
                <c:pt idx="104">
                  <c:v>4.60549850454544</c:v>
                </c:pt>
                <c:pt idx="105">
                  <c:v>4.8682279768969643</c:v>
                </c:pt>
                <c:pt idx="106">
                  <c:v>5.0566236745072111</c:v>
                </c:pt>
                <c:pt idx="107">
                  <c:v>5.07983948495552</c:v>
                </c:pt>
                <c:pt idx="108">
                  <c:v>5.2880878703498633</c:v>
                </c:pt>
                <c:pt idx="109">
                  <c:v>5.485590522714511</c:v>
                </c:pt>
                <c:pt idx="110">
                  <c:v>5.6106620507991094</c:v>
                </c:pt>
                <c:pt idx="111">
                  <c:v>5.8962297666002108</c:v>
                </c:pt>
                <c:pt idx="112">
                  <c:v>5.8166484805453385</c:v>
                </c:pt>
                <c:pt idx="113">
                  <c:v>5.734436026447395</c:v>
                </c:pt>
                <c:pt idx="114">
                  <c:v>6.0221467564714866</c:v>
                </c:pt>
                <c:pt idx="115">
                  <c:v>5.8878227845822089</c:v>
                </c:pt>
                <c:pt idx="116">
                  <c:v>6.0721132804363087</c:v>
                </c:pt>
                <c:pt idx="117">
                  <c:v>6.1069404307287183</c:v>
                </c:pt>
                <c:pt idx="118">
                  <c:v>6.1173778488051589</c:v>
                </c:pt>
                <c:pt idx="119">
                  <c:v>6.5634029139122632</c:v>
                </c:pt>
                <c:pt idx="120">
                  <c:v>6.8408737796594847</c:v>
                </c:pt>
                <c:pt idx="121">
                  <c:v>7.0943830927971163</c:v>
                </c:pt>
                <c:pt idx="122">
                  <c:v>6.4788370868555738</c:v>
                </c:pt>
                <c:pt idx="123">
                  <c:v>6.5693122957324759</c:v>
                </c:pt>
                <c:pt idx="124">
                  <c:v>6.4752160516280552</c:v>
                </c:pt>
                <c:pt idx="125">
                  <c:v>6.3822268501806798</c:v>
                </c:pt>
                <c:pt idx="126">
                  <c:v>6.9698840981980998</c:v>
                </c:pt>
                <c:pt idx="127">
                  <c:v>6.950509517335723</c:v>
                </c:pt>
                <c:pt idx="128">
                  <c:v>7.1751228045824442</c:v>
                </c:pt>
                <c:pt idx="129">
                  <c:v>6.424963222596217</c:v>
                </c:pt>
                <c:pt idx="130">
                  <c:v>6.5595764487384205</c:v>
                </c:pt>
                <c:pt idx="131">
                  <c:v>6.5917416672670823</c:v>
                </c:pt>
                <c:pt idx="132">
                  <c:v>6.3974171254066654</c:v>
                </c:pt>
                <c:pt idx="133">
                  <c:v>6.85543336552188</c:v>
                </c:pt>
                <c:pt idx="134">
                  <c:v>6.5971793064733664</c:v>
                </c:pt>
                <c:pt idx="135">
                  <c:v>6.6803932923571772</c:v>
                </c:pt>
                <c:pt idx="136">
                  <c:v>6.3270877876953628</c:v>
                </c:pt>
                <c:pt idx="137">
                  <c:v>6.3163966649169341</c:v>
                </c:pt>
                <c:pt idx="138">
                  <c:v>6.3495940704678633</c:v>
                </c:pt>
                <c:pt idx="139">
                  <c:v>6.1735285023711892</c:v>
                </c:pt>
                <c:pt idx="140">
                  <c:v>5.8637492674345726</c:v>
                </c:pt>
                <c:pt idx="141">
                  <c:v>5.7743519078294021</c:v>
                </c:pt>
                <c:pt idx="142">
                  <c:v>5.3586722067806027</c:v>
                </c:pt>
                <c:pt idx="143">
                  <c:v>5.5434588527667596</c:v>
                </c:pt>
                <c:pt idx="144">
                  <c:v>5.5637808882969999</c:v>
                </c:pt>
                <c:pt idx="145">
                  <c:v>5.4338540149220362</c:v>
                </c:pt>
                <c:pt idx="146">
                  <c:v>5.5312511819853878</c:v>
                </c:pt>
                <c:pt idx="147">
                  <c:v>5.4576888014346316</c:v>
                </c:pt>
                <c:pt idx="148">
                  <c:v>5.2158086806408797</c:v>
                </c:pt>
                <c:pt idx="149">
                  <c:v>5.3656273851458423</c:v>
                </c:pt>
                <c:pt idx="150">
                  <c:v>5.4828811789749636</c:v>
                </c:pt>
                <c:pt idx="151">
                  <c:v>5.6719050147740804</c:v>
                </c:pt>
                <c:pt idx="152">
                  <c:v>5.6332640024243199</c:v>
                </c:pt>
                <c:pt idx="153">
                  <c:v>5.6885568687277246</c:v>
                </c:pt>
                <c:pt idx="154">
                  <c:v>5.8951390789754914</c:v>
                </c:pt>
                <c:pt idx="155">
                  <c:v>5.9825700323757154</c:v>
                </c:pt>
                <c:pt idx="156">
                  <c:v>5.7747755845385047</c:v>
                </c:pt>
                <c:pt idx="157">
                  <c:v>5.9759970614935458</c:v>
                </c:pt>
                <c:pt idx="158">
                  <c:v>6.2053657253326291</c:v>
                </c:pt>
                <c:pt idx="159">
                  <c:v>6.2135435967055042</c:v>
                </c:pt>
                <c:pt idx="160">
                  <c:v>6.0191408659278247</c:v>
                </c:pt>
                <c:pt idx="161">
                  <c:v>6.2729770061379755</c:v>
                </c:pt>
                <c:pt idx="162">
                  <c:v>6.4565758282183028</c:v>
                </c:pt>
                <c:pt idx="163">
                  <c:v>6.336732923036954</c:v>
                </c:pt>
                <c:pt idx="164">
                  <c:v>5.6602368745414662</c:v>
                </c:pt>
                <c:pt idx="165">
                  <c:v>5.4215092347426177</c:v>
                </c:pt>
                <c:pt idx="166">
                  <c:v>4.5539749473038444</c:v>
                </c:pt>
                <c:pt idx="167">
                  <c:v>4.0315869842477543</c:v>
                </c:pt>
                <c:pt idx="168">
                  <c:v>4.7676951044166938</c:v>
                </c:pt>
                <c:pt idx="169">
                  <c:v>4.551200526746368</c:v>
                </c:pt>
                <c:pt idx="170">
                  <c:v>5.4668102758725121</c:v>
                </c:pt>
                <c:pt idx="171">
                  <c:v>6.3034308725387458</c:v>
                </c:pt>
                <c:pt idx="172">
                  <c:v>6.8428368970423588</c:v>
                </c:pt>
                <c:pt idx="173">
                  <c:v>6.853204313474027</c:v>
                </c:pt>
                <c:pt idx="174">
                  <c:v>7.642820097496811</c:v>
                </c:pt>
                <c:pt idx="175">
                  <c:v>7.6100409801146194</c:v>
                </c:pt>
                <c:pt idx="176">
                  <c:v>8.0957428713119715</c:v>
                </c:pt>
                <c:pt idx="177">
                  <c:v>7.9376693865686798</c:v>
                </c:pt>
                <c:pt idx="178">
                  <c:v>8.2284395758664512</c:v>
                </c:pt>
                <c:pt idx="179">
                  <c:v>8.0636419746238754</c:v>
                </c:pt>
                <c:pt idx="180">
                  <c:v>8.9166181090676808</c:v>
                </c:pt>
                <c:pt idx="181">
                  <c:v>8.8681742545901958</c:v>
                </c:pt>
                <c:pt idx="182">
                  <c:v>9.7739060967242697</c:v>
                </c:pt>
                <c:pt idx="183">
                  <c:v>10.128374232679388</c:v>
                </c:pt>
                <c:pt idx="184">
                  <c:v>9.412045960468193</c:v>
                </c:pt>
                <c:pt idx="185">
                  <c:v>9.1572503654860142</c:v>
                </c:pt>
                <c:pt idx="186">
                  <c:v>9.3307901998916485</c:v>
                </c:pt>
                <c:pt idx="187">
                  <c:v>9.551782086210979</c:v>
                </c:pt>
                <c:pt idx="188">
                  <c:v>9.2035069771516973</c:v>
                </c:pt>
                <c:pt idx="189">
                  <c:v>9.2963732219726243</c:v>
                </c:pt>
                <c:pt idx="190">
                  <c:v>9.6202636937153496</c:v>
                </c:pt>
                <c:pt idx="191">
                  <c:v>9.0897843181187348</c:v>
                </c:pt>
                <c:pt idx="192">
                  <c:v>8.7643836686883425</c:v>
                </c:pt>
                <c:pt idx="193">
                  <c:v>8.7389197009607074</c:v>
                </c:pt>
                <c:pt idx="194">
                  <c:v>9.0500483714033368</c:v>
                </c:pt>
                <c:pt idx="195">
                  <c:v>10.090849159594006</c:v>
                </c:pt>
                <c:pt idx="196">
                  <c:v>10.500977505094284</c:v>
                </c:pt>
                <c:pt idx="197">
                  <c:v>10.281578121921427</c:v>
                </c:pt>
                <c:pt idx="198">
                  <c:v>10.847260763938623</c:v>
                </c:pt>
                <c:pt idx="199">
                  <c:v>9.7727508614523959</c:v>
                </c:pt>
                <c:pt idx="200">
                  <c:v>11.470412594985021</c:v>
                </c:pt>
                <c:pt idx="201">
                  <c:v>10.719099532098957</c:v>
                </c:pt>
                <c:pt idx="202">
                  <c:v>11.193945260805096</c:v>
                </c:pt>
                <c:pt idx="203">
                  <c:v>11.607679850037899</c:v>
                </c:pt>
                <c:pt idx="204">
                  <c:v>11.875500366974219</c:v>
                </c:pt>
                <c:pt idx="205">
                  <c:v>12.6160329451428</c:v>
                </c:pt>
                <c:pt idx="206">
                  <c:v>13.046957780510944</c:v>
                </c:pt>
                <c:pt idx="207">
                  <c:v>12.8776803754568</c:v>
                </c:pt>
                <c:pt idx="208">
                  <c:v>11.815431034144682</c:v>
                </c:pt>
                <c:pt idx="209">
                  <c:v>12.120627593948797</c:v>
                </c:pt>
                <c:pt idx="210">
                  <c:v>12.03272745127601</c:v>
                </c:pt>
                <c:pt idx="211">
                  <c:v>12.401136191334523</c:v>
                </c:pt>
                <c:pt idx="212">
                  <c:v>11.755040040900198</c:v>
                </c:pt>
                <c:pt idx="213">
                  <c:v>12.923474949036111</c:v>
                </c:pt>
                <c:pt idx="214">
                  <c:v>13.563881292239337</c:v>
                </c:pt>
                <c:pt idx="215">
                  <c:v>13.332264206935671</c:v>
                </c:pt>
                <c:pt idx="216">
                  <c:v>12.308655293366293</c:v>
                </c:pt>
                <c:pt idx="217">
                  <c:v>11.0081826836226</c:v>
                </c:pt>
                <c:pt idx="218">
                  <c:v>11.599562636830104</c:v>
                </c:pt>
                <c:pt idx="219">
                  <c:v>11.227505027392777</c:v>
                </c:pt>
                <c:pt idx="220">
                  <c:v>10.496144053955721</c:v>
                </c:pt>
                <c:pt idx="221">
                  <c:v>11.311013589216667</c:v>
                </c:pt>
                <c:pt idx="222">
                  <c:v>11.763213809661471</c:v>
                </c:pt>
                <c:pt idx="223">
                  <c:v>11.616871211473526</c:v>
                </c:pt>
                <c:pt idx="224">
                  <c:v>11.264010019109547</c:v>
                </c:pt>
                <c:pt idx="225">
                  <c:v>11.006998329693054</c:v>
                </c:pt>
                <c:pt idx="226">
                  <c:v>10.019153708919408</c:v>
                </c:pt>
                <c:pt idx="227">
                  <c:v>9.3563182924177326</c:v>
                </c:pt>
                <c:pt idx="228">
                  <c:v>9.6251694432355972</c:v>
                </c:pt>
                <c:pt idx="229">
                  <c:v>10.044446864548235</c:v>
                </c:pt>
                <c:pt idx="230">
                  <c:v>9.8326033593673987</c:v>
                </c:pt>
                <c:pt idx="231">
                  <c:v>10.07805547646573</c:v>
                </c:pt>
                <c:pt idx="232">
                  <c:v>10.549222932824449</c:v>
                </c:pt>
                <c:pt idx="233">
                  <c:v>11.10238596336621</c:v>
                </c:pt>
                <c:pt idx="234">
                  <c:v>11.317057633253434</c:v>
                </c:pt>
                <c:pt idx="235">
                  <c:v>11.2033259012342</c:v>
                </c:pt>
                <c:pt idx="236">
                  <c:v>10.421208601569923</c:v>
                </c:pt>
                <c:pt idx="237">
                  <c:v>11.437173258667782</c:v>
                </c:pt>
                <c:pt idx="238">
                  <c:v>10.667392113312598</c:v>
                </c:pt>
                <c:pt idx="239">
                  <c:v>10.556556920562933</c:v>
                </c:pt>
                <c:pt idx="240">
                  <c:v>10.29144623133087</c:v>
                </c:pt>
                <c:pt idx="241">
                  <c:v>9.8813712512005907</c:v>
                </c:pt>
                <c:pt idx="242">
                  <c:v>10.283062685612572</c:v>
                </c:pt>
                <c:pt idx="243">
                  <c:v>10.354874103724139</c:v>
                </c:pt>
                <c:pt idx="244">
                  <c:v>10.231395681045033</c:v>
                </c:pt>
                <c:pt idx="245">
                  <c:v>10.213087546214409</c:v>
                </c:pt>
                <c:pt idx="246">
                  <c:v>10.428381965519884</c:v>
                </c:pt>
                <c:pt idx="247">
                  <c:v>10.0582846724555</c:v>
                </c:pt>
                <c:pt idx="248">
                  <c:v>10.053496144692192</c:v>
                </c:pt>
                <c:pt idx="249">
                  <c:v>10.308365424134619</c:v>
                </c:pt>
                <c:pt idx="250">
                  <c:v>9.9843008353640919</c:v>
                </c:pt>
                <c:pt idx="251">
                  <c:v>9.7815727563396653</c:v>
                </c:pt>
                <c:pt idx="252">
                  <c:v>9.980400703246147</c:v>
                </c:pt>
                <c:pt idx="253">
                  <c:v>10.74255699697375</c:v>
                </c:pt>
                <c:pt idx="254">
                  <c:v>10.558351176014506</c:v>
                </c:pt>
                <c:pt idx="255">
                  <c:v>9.88244530818565</c:v>
                </c:pt>
                <c:pt idx="256">
                  <c:v>8.9285485850178041</c:v>
                </c:pt>
                <c:pt idx="257">
                  <c:v>9.2949985165714253</c:v>
                </c:pt>
                <c:pt idx="258">
                  <c:v>8.7262695732052595</c:v>
                </c:pt>
                <c:pt idx="259">
                  <c:v>9.2534819215887456</c:v>
                </c:pt>
                <c:pt idx="260">
                  <c:v>8.8425338120795658</c:v>
                </c:pt>
                <c:pt idx="261">
                  <c:v>7.9915191952756537</c:v>
                </c:pt>
                <c:pt idx="262">
                  <c:v>7.7451224090512607</c:v>
                </c:pt>
                <c:pt idx="263">
                  <c:v>6.6795079136111823</c:v>
                </c:pt>
                <c:pt idx="264">
                  <c:v>6.4936580470930831</c:v>
                </c:pt>
                <c:pt idx="265">
                  <c:v>6.8745078137441737</c:v>
                </c:pt>
                <c:pt idx="266">
                  <c:v>6.8530759242334458</c:v>
                </c:pt>
                <c:pt idx="267">
                  <c:v>6.5359075412519827</c:v>
                </c:pt>
                <c:pt idx="268">
                  <c:v>6.5753130215151021</c:v>
                </c:pt>
                <c:pt idx="269">
                  <c:v>5.8949935691855631</c:v>
                </c:pt>
                <c:pt idx="270">
                  <c:v>5.3497753678739475</c:v>
                </c:pt>
                <c:pt idx="271">
                  <c:v>6.3281036190888749</c:v>
                </c:pt>
                <c:pt idx="272">
                  <c:v>6.1595135811186603</c:v>
                </c:pt>
                <c:pt idx="273">
                  <c:v>6.2941876598545168</c:v>
                </c:pt>
                <c:pt idx="274">
                  <c:v>5.805504940879846</c:v>
                </c:pt>
                <c:pt idx="275">
                  <c:v>5.63393719556748</c:v>
                </c:pt>
                <c:pt idx="276">
                  <c:v>4.9621565866710871</c:v>
                </c:pt>
                <c:pt idx="277">
                  <c:v>4.8267194194557375</c:v>
                </c:pt>
                <c:pt idx="278">
                  <c:v>4.3163943686559989</c:v>
                </c:pt>
                <c:pt idx="279">
                  <c:v>4.2966465384721078</c:v>
                </c:pt>
                <c:pt idx="280">
                  <c:v>4.14365541248638</c:v>
                </c:pt>
                <c:pt idx="281">
                  <c:v>4.1554874685153598</c:v>
                </c:pt>
                <c:pt idx="282">
                  <c:v>4.062480953674493</c:v>
                </c:pt>
                <c:pt idx="283">
                  <c:v>3.7882474194598879</c:v>
                </c:pt>
                <c:pt idx="284">
                  <c:v>3.5049416659133836</c:v>
                </c:pt>
                <c:pt idx="285">
                  <c:v>3.8927047151206358</c:v>
                </c:pt>
                <c:pt idx="286">
                  <c:v>3.440914093342363</c:v>
                </c:pt>
                <c:pt idx="287">
                  <c:v>3.7027336310896817</c:v>
                </c:pt>
                <c:pt idx="288">
                  <c:v>3.4934377084293322</c:v>
                </c:pt>
                <c:pt idx="289">
                  <c:v>3.723830931227381</c:v>
                </c:pt>
                <c:pt idx="290">
                  <c:v>3.7813038890964807</c:v>
                </c:pt>
                <c:pt idx="291">
                  <c:v>4.1646046443862899</c:v>
                </c:pt>
                <c:pt idx="292">
                  <c:v>4.6234310695008203</c:v>
                </c:pt>
                <c:pt idx="293">
                  <c:v>4.1861985901162582</c:v>
                </c:pt>
                <c:pt idx="294">
                  <c:v>4.0051306631494148</c:v>
                </c:pt>
                <c:pt idx="295">
                  <c:v>3.8931645421969296</c:v>
                </c:pt>
                <c:pt idx="296">
                  <c:v>4.2719965203432428</c:v>
                </c:pt>
                <c:pt idx="297">
                  <c:v>3.9520493185684487</c:v>
                </c:pt>
                <c:pt idx="298">
                  <c:v>3.551073938763543</c:v>
                </c:pt>
                <c:pt idx="299">
                  <c:v>3.6332374013759385</c:v>
                </c:pt>
                <c:pt idx="300">
                  <c:v>3.6516561496904583</c:v>
                </c:pt>
                <c:pt idx="301">
                  <c:v>3.3897398764854847</c:v>
                </c:pt>
                <c:pt idx="302">
                  <c:v>3.6849385893514981</c:v>
                </c:pt>
                <c:pt idx="303">
                  <c:v>3.7291103818514366</c:v>
                </c:pt>
                <c:pt idx="304">
                  <c:v>3.4108218389797913</c:v>
                </c:pt>
                <c:pt idx="305">
                  <c:v>3.8980389555594694</c:v>
                </c:pt>
                <c:pt idx="306">
                  <c:v>3.7325387434702657</c:v>
                </c:pt>
                <c:pt idx="307">
                  <c:v>3.7259440119479894</c:v>
                </c:pt>
                <c:pt idx="308">
                  <c:v>3.9791733244523604</c:v>
                </c:pt>
                <c:pt idx="309">
                  <c:v>3.657608055111726</c:v>
                </c:pt>
                <c:pt idx="310">
                  <c:v>3.5300547074646635</c:v>
                </c:pt>
                <c:pt idx="311">
                  <c:v>3.429539588713709</c:v>
                </c:pt>
                <c:pt idx="312">
                  <c:v>3.4507563217235226</c:v>
                </c:pt>
                <c:pt idx="313">
                  <c:v>3.5524331642844058</c:v>
                </c:pt>
                <c:pt idx="314">
                  <c:v>3.8974819279359108</c:v>
                </c:pt>
                <c:pt idx="315">
                  <c:v>3.9663646820280665</c:v>
                </c:pt>
                <c:pt idx="316">
                  <c:v>4.3218834879830137</c:v>
                </c:pt>
                <c:pt idx="317">
                  <c:v>4.4727801255291686</c:v>
                </c:pt>
                <c:pt idx="318">
                  <c:v>4.1317350237989032</c:v>
                </c:pt>
                <c:pt idx="319">
                  <c:v>4.3407436356349027</c:v>
                </c:pt>
                <c:pt idx="320">
                  <c:v>4.0342435660715559</c:v>
                </c:pt>
                <c:pt idx="321">
                  <c:v>4.2047990348083122</c:v>
                </c:pt>
                <c:pt idx="322">
                  <c:v>3.9008240947295167</c:v>
                </c:pt>
                <c:pt idx="323">
                  <c:v>4.1276774110655632</c:v>
                </c:pt>
                <c:pt idx="324">
                  <c:v>4.2496946304022742</c:v>
                </c:pt>
                <c:pt idx="325">
                  <c:v>4.3504228806337402</c:v>
                </c:pt>
                <c:pt idx="326">
                  <c:v>4.2358142963280487</c:v>
                </c:pt>
                <c:pt idx="327">
                  <c:v>4.2812917895193214</c:v>
                </c:pt>
                <c:pt idx="328">
                  <c:v>4.2661026190062632</c:v>
                </c:pt>
                <c:pt idx="329">
                  <c:v>4.2419114794106569</c:v>
                </c:pt>
                <c:pt idx="330">
                  <c:v>4.283709497243307</c:v>
                </c:pt>
                <c:pt idx="331">
                  <c:v>4.2216854838961329</c:v>
                </c:pt>
                <c:pt idx="332">
                  <c:v>4.3854646421440338</c:v>
                </c:pt>
                <c:pt idx="333">
                  <c:v>4.4303176431540585</c:v>
                </c:pt>
                <c:pt idx="334">
                  <c:v>4.615636474014801</c:v>
                </c:pt>
                <c:pt idx="335">
                  <c:v>4.6552324805474061</c:v>
                </c:pt>
                <c:pt idx="336">
                  <c:v>4.8278441166154566</c:v>
                </c:pt>
                <c:pt idx="337">
                  <c:v>4.7791556058981435</c:v>
                </c:pt>
                <c:pt idx="338">
                  <c:v>4.8734365751930913</c:v>
                </c:pt>
                <c:pt idx="339">
                  <c:v>4.8029016180801909</c:v>
                </c:pt>
                <c:pt idx="340">
                  <c:v>5.2662719898093071</c:v>
                </c:pt>
                <c:pt idx="341">
                  <c:v>5.1348848297488248</c:v>
                </c:pt>
                <c:pt idx="342">
                  <c:v>5.2514617947610978</c:v>
                </c:pt>
                <c:pt idx="343">
                  <c:v>4.9184410913245484</c:v>
                </c:pt>
                <c:pt idx="344">
                  <c:v>4.691157606856617</c:v>
                </c:pt>
                <c:pt idx="345">
                  <c:v>4.4852821154494569</c:v>
                </c:pt>
                <c:pt idx="346">
                  <c:v>4.5565556074130464</c:v>
                </c:pt>
                <c:pt idx="347">
                  <c:v>4.8799579722136315</c:v>
                </c:pt>
                <c:pt idx="348">
                  <c:v>4.8782992251883863</c:v>
                </c:pt>
                <c:pt idx="349">
                  <c:v>4.7735158041766326</c:v>
                </c:pt>
                <c:pt idx="350">
                  <c:v>4.4477107632139967</c:v>
                </c:pt>
                <c:pt idx="351">
                  <c:v>4.5106809940943187</c:v>
                </c:pt>
                <c:pt idx="352">
                  <c:v>4.5085845251656274</c:v>
                </c:pt>
                <c:pt idx="353">
                  <c:v>4.3739864303322822</c:v>
                </c:pt>
                <c:pt idx="354">
                  <c:v>4.2237742664425495</c:v>
                </c:pt>
                <c:pt idx="355">
                  <c:v>3.9912795199741384</c:v>
                </c:pt>
                <c:pt idx="356">
                  <c:v>4.5352236426164607</c:v>
                </c:pt>
                <c:pt idx="357">
                  <c:v>4.4175169622919874</c:v>
                </c:pt>
                <c:pt idx="358">
                  <c:v>4.6375389487013798</c:v>
                </c:pt>
                <c:pt idx="359">
                  <c:v>4.6976560152384383</c:v>
                </c:pt>
                <c:pt idx="360">
                  <c:v>4.8749819814097268</c:v>
                </c:pt>
                <c:pt idx="361">
                  <c:v>4.9400977191072677</c:v>
                </c:pt>
                <c:pt idx="362">
                  <c:v>5.1987384974210853</c:v>
                </c:pt>
                <c:pt idx="363">
                  <c:v>5.2302204027010752</c:v>
                </c:pt>
                <c:pt idx="364">
                  <c:v>5.173550919851964</c:v>
                </c:pt>
                <c:pt idx="365">
                  <c:v>4.9648540501127307</c:v>
                </c:pt>
                <c:pt idx="366">
                  <c:v>5.1187259105550407</c:v>
                </c:pt>
                <c:pt idx="367">
                  <c:v>5.1471440165619988</c:v>
                </c:pt>
                <c:pt idx="368">
                  <c:v>5.3068106803349719</c:v>
                </c:pt>
                <c:pt idx="369">
                  <c:v>5.398815035115863</c:v>
                </c:pt>
                <c:pt idx="370">
                  <c:v>5.3733636850595472</c:v>
                </c:pt>
                <c:pt idx="371">
                  <c:v>5.4875222504397625</c:v>
                </c:pt>
                <c:pt idx="372">
                  <c:v>5.3552783517203668</c:v>
                </c:pt>
                <c:pt idx="373">
                  <c:v>5.4851468994303936</c:v>
                </c:pt>
                <c:pt idx="374">
                  <c:v>5.4595426267380862</c:v>
                </c:pt>
                <c:pt idx="375">
                  <c:v>5.2689376165118977</c:v>
                </c:pt>
                <c:pt idx="376">
                  <c:v>5.5318250377926228</c:v>
                </c:pt>
                <c:pt idx="377">
                  <c:v>5.4377506968739819</c:v>
                </c:pt>
                <c:pt idx="378">
                  <c:v>5.4272188436296283</c:v>
                </c:pt>
                <c:pt idx="379">
                  <c:v>5.3131936429745066</c:v>
                </c:pt>
                <c:pt idx="380">
                  <c:v>4.9932932719310319</c:v>
                </c:pt>
                <c:pt idx="381">
                  <c:v>5.2177665836841376</c:v>
                </c:pt>
                <c:pt idx="382">
                  <c:v>5.2941039619980153</c:v>
                </c:pt>
                <c:pt idx="383">
                  <c:v>5.1699542826397966</c:v>
                </c:pt>
                <c:pt idx="384">
                  <c:v>5.2623733357836198</c:v>
                </c:pt>
                <c:pt idx="385">
                  <c:v>5.1887775508313529</c:v>
                </c:pt>
                <c:pt idx="386">
                  <c:v>5.1478861694609011</c:v>
                </c:pt>
                <c:pt idx="387">
                  <c:v>5.2864325568383537</c:v>
                </c:pt>
                <c:pt idx="388">
                  <c:v>5.3844866721864539</c:v>
                </c:pt>
                <c:pt idx="389">
                  <c:v>5.4195078027610739</c:v>
                </c:pt>
                <c:pt idx="390">
                  <c:v>5.424403758165858</c:v>
                </c:pt>
                <c:pt idx="391">
                  <c:v>5.4869529585915782</c:v>
                </c:pt>
                <c:pt idx="392">
                  <c:v>5.3594279953285886</c:v>
                </c:pt>
                <c:pt idx="393">
                  <c:v>5.2372423944119255</c:v>
                </c:pt>
                <c:pt idx="394">
                  <c:v>5.0272462726182514</c:v>
                </c:pt>
                <c:pt idx="395">
                  <c:v>4.6581507897633729</c:v>
                </c:pt>
                <c:pt idx="396">
                  <c:v>4.9877783085967762</c:v>
                </c:pt>
                <c:pt idx="397">
                  <c:v>5.1440823723973494</c:v>
                </c:pt>
                <c:pt idx="398">
                  <c:v>5.269791484552603</c:v>
                </c:pt>
                <c:pt idx="399">
                  <c:v>5.2333837588218968</c:v>
                </c:pt>
                <c:pt idx="400">
                  <c:v>4.9443711983077403</c:v>
                </c:pt>
                <c:pt idx="401">
                  <c:v>5.2041101885141385</c:v>
                </c:pt>
                <c:pt idx="402">
                  <c:v>5.478045014280454</c:v>
                </c:pt>
                <c:pt idx="403">
                  <c:v>5.5290566514321142</c:v>
                </c:pt>
                <c:pt idx="404">
                  <c:v>5.5967487661162583</c:v>
                </c:pt>
                <c:pt idx="405">
                  <c:v>5.7043084882175261</c:v>
                </c:pt>
                <c:pt idx="406">
                  <c:v>5.7006435760267902</c:v>
                </c:pt>
                <c:pt idx="407">
                  <c:v>5.6128940042527073</c:v>
                </c:pt>
                <c:pt idx="408">
                  <c:v>5.6345769738028268</c:v>
                </c:pt>
                <c:pt idx="409">
                  <c:v>5.8902328224671621</c:v>
                </c:pt>
                <c:pt idx="410">
                  <c:v>5.9150772359168506</c:v>
                </c:pt>
                <c:pt idx="411">
                  <c:v>6.1696800204002731</c:v>
                </c:pt>
                <c:pt idx="412">
                  <c:v>6.2467746223524259</c:v>
                </c:pt>
              </c:numCache>
            </c:numRef>
          </c:val>
          <c:smooth val="0"/>
          <c:extLst>
            <c:ext xmlns:c16="http://schemas.microsoft.com/office/drawing/2014/chart" uri="{C3380CC4-5D6E-409C-BE32-E72D297353CC}">
              <c16:uniqueId val="{00000002-7DC3-42CC-826D-387680A8B18A}"/>
            </c:ext>
          </c:extLst>
        </c:ser>
        <c:ser>
          <c:idx val="3"/>
          <c:order val="3"/>
          <c:tx>
            <c:strRef>
              <c:f>Summary!$M$85</c:f>
              <c:strCache>
                <c:ptCount val="1"/>
                <c:pt idx="0">
                  <c:v>Large Cap Mean</c:v>
                </c:pt>
              </c:strCache>
            </c:strRef>
          </c:tx>
          <c:spPr>
            <a:ln w="28575" cap="rnd">
              <a:solidFill>
                <a:schemeClr val="accent1">
                  <a:lumMod val="75000"/>
                </a:schemeClr>
              </a:solidFill>
              <a:prstDash val="dash"/>
              <a:round/>
            </a:ln>
            <a:effectLst/>
          </c:spPr>
          <c:marker>
            <c:symbol val="none"/>
          </c:marker>
          <c:cat>
            <c:numRef>
              <c:f>Summary!$B$86:$B$498</c:f>
              <c:numCache>
                <c:formatCode>m/d/yyyy</c:formatCode>
                <c:ptCount val="413"/>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45002</c:v>
                </c:pt>
                <c:pt idx="324">
                  <c:v>45009</c:v>
                </c:pt>
                <c:pt idx="325">
                  <c:v>45016</c:v>
                </c:pt>
                <c:pt idx="326">
                  <c:v>45023</c:v>
                </c:pt>
                <c:pt idx="327">
                  <c:v>45030</c:v>
                </c:pt>
                <c:pt idx="328">
                  <c:v>45037</c:v>
                </c:pt>
                <c:pt idx="329">
                  <c:v>45044</c:v>
                </c:pt>
                <c:pt idx="330">
                  <c:v>45051</c:v>
                </c:pt>
                <c:pt idx="331">
                  <c:v>45058</c:v>
                </c:pt>
                <c:pt idx="332">
                  <c:v>45065</c:v>
                </c:pt>
                <c:pt idx="333">
                  <c:v>45072</c:v>
                </c:pt>
                <c:pt idx="334">
                  <c:v>45079</c:v>
                </c:pt>
                <c:pt idx="335">
                  <c:v>45086</c:v>
                </c:pt>
                <c:pt idx="336">
                  <c:v>45093</c:v>
                </c:pt>
                <c:pt idx="337">
                  <c:v>45100</c:v>
                </c:pt>
                <c:pt idx="338">
                  <c:v>45107</c:v>
                </c:pt>
                <c:pt idx="339">
                  <c:v>45114</c:v>
                </c:pt>
                <c:pt idx="340">
                  <c:v>45121</c:v>
                </c:pt>
                <c:pt idx="341">
                  <c:v>45128</c:v>
                </c:pt>
                <c:pt idx="342">
                  <c:v>45135</c:v>
                </c:pt>
                <c:pt idx="343">
                  <c:v>45142</c:v>
                </c:pt>
                <c:pt idx="344">
                  <c:v>45149</c:v>
                </c:pt>
                <c:pt idx="345">
                  <c:v>45156</c:v>
                </c:pt>
                <c:pt idx="346">
                  <c:v>45163</c:v>
                </c:pt>
                <c:pt idx="347">
                  <c:v>45170</c:v>
                </c:pt>
                <c:pt idx="348">
                  <c:v>45177</c:v>
                </c:pt>
                <c:pt idx="349">
                  <c:v>45184</c:v>
                </c:pt>
                <c:pt idx="350">
                  <c:v>45191</c:v>
                </c:pt>
                <c:pt idx="351">
                  <c:v>45198</c:v>
                </c:pt>
                <c:pt idx="352">
                  <c:v>45205</c:v>
                </c:pt>
                <c:pt idx="353">
                  <c:v>45212</c:v>
                </c:pt>
                <c:pt idx="354">
                  <c:v>45219</c:v>
                </c:pt>
                <c:pt idx="355">
                  <c:v>45226</c:v>
                </c:pt>
                <c:pt idx="356">
                  <c:v>45233</c:v>
                </c:pt>
                <c:pt idx="357">
                  <c:v>45240</c:v>
                </c:pt>
                <c:pt idx="358">
                  <c:v>45247</c:v>
                </c:pt>
                <c:pt idx="359">
                  <c:v>45254</c:v>
                </c:pt>
                <c:pt idx="360">
                  <c:v>45261</c:v>
                </c:pt>
                <c:pt idx="361">
                  <c:v>45268</c:v>
                </c:pt>
                <c:pt idx="362">
                  <c:v>45275</c:v>
                </c:pt>
                <c:pt idx="363">
                  <c:v>45282</c:v>
                </c:pt>
                <c:pt idx="364">
                  <c:v>45289</c:v>
                </c:pt>
                <c:pt idx="365">
                  <c:v>45296</c:v>
                </c:pt>
                <c:pt idx="366">
                  <c:v>45303</c:v>
                </c:pt>
                <c:pt idx="367">
                  <c:v>45310</c:v>
                </c:pt>
                <c:pt idx="368">
                  <c:v>45317</c:v>
                </c:pt>
                <c:pt idx="369">
                  <c:v>45324</c:v>
                </c:pt>
                <c:pt idx="370">
                  <c:v>45331</c:v>
                </c:pt>
                <c:pt idx="371">
                  <c:v>45338</c:v>
                </c:pt>
                <c:pt idx="372">
                  <c:v>45345</c:v>
                </c:pt>
                <c:pt idx="373">
                  <c:v>45352</c:v>
                </c:pt>
                <c:pt idx="374">
                  <c:v>45359</c:v>
                </c:pt>
                <c:pt idx="375">
                  <c:v>45366</c:v>
                </c:pt>
                <c:pt idx="376">
                  <c:v>45373</c:v>
                </c:pt>
                <c:pt idx="377">
                  <c:v>45380</c:v>
                </c:pt>
                <c:pt idx="378">
                  <c:v>45387</c:v>
                </c:pt>
                <c:pt idx="379">
                  <c:v>45394</c:v>
                </c:pt>
                <c:pt idx="380">
                  <c:v>45401</c:v>
                </c:pt>
                <c:pt idx="381">
                  <c:v>45408</c:v>
                </c:pt>
                <c:pt idx="382">
                  <c:v>45415</c:v>
                </c:pt>
                <c:pt idx="383">
                  <c:v>45422</c:v>
                </c:pt>
                <c:pt idx="384">
                  <c:v>45429</c:v>
                </c:pt>
                <c:pt idx="385">
                  <c:v>45436</c:v>
                </c:pt>
                <c:pt idx="386">
                  <c:v>45443</c:v>
                </c:pt>
                <c:pt idx="387">
                  <c:v>45450</c:v>
                </c:pt>
                <c:pt idx="388">
                  <c:v>45457</c:v>
                </c:pt>
                <c:pt idx="389">
                  <c:v>45464</c:v>
                </c:pt>
                <c:pt idx="390">
                  <c:v>45471</c:v>
                </c:pt>
                <c:pt idx="391">
                  <c:v>45478</c:v>
                </c:pt>
                <c:pt idx="392">
                  <c:v>45485</c:v>
                </c:pt>
                <c:pt idx="393">
                  <c:v>45492</c:v>
                </c:pt>
                <c:pt idx="394">
                  <c:v>45499</c:v>
                </c:pt>
                <c:pt idx="395">
                  <c:v>45506</c:v>
                </c:pt>
                <c:pt idx="396">
                  <c:v>45513</c:v>
                </c:pt>
                <c:pt idx="397">
                  <c:v>45520</c:v>
                </c:pt>
                <c:pt idx="398">
                  <c:v>45527</c:v>
                </c:pt>
                <c:pt idx="399">
                  <c:v>45534</c:v>
                </c:pt>
                <c:pt idx="400">
                  <c:v>45541</c:v>
                </c:pt>
                <c:pt idx="401">
                  <c:v>45548</c:v>
                </c:pt>
                <c:pt idx="402">
                  <c:v>45555</c:v>
                </c:pt>
                <c:pt idx="403">
                  <c:v>45562</c:v>
                </c:pt>
                <c:pt idx="404">
                  <c:v>45569</c:v>
                </c:pt>
                <c:pt idx="405">
                  <c:v>45576</c:v>
                </c:pt>
                <c:pt idx="406">
                  <c:v>45583</c:v>
                </c:pt>
                <c:pt idx="407">
                  <c:v>45590</c:v>
                </c:pt>
                <c:pt idx="408">
                  <c:v>45597</c:v>
                </c:pt>
                <c:pt idx="409">
                  <c:v>45604</c:v>
                </c:pt>
                <c:pt idx="410">
                  <c:v>45611</c:v>
                </c:pt>
                <c:pt idx="411">
                  <c:v>45618</c:v>
                </c:pt>
                <c:pt idx="412">
                  <c:v>45625</c:v>
                </c:pt>
              </c:numCache>
            </c:numRef>
          </c:cat>
          <c:val>
            <c:numRef>
              <c:f>Summary!$M$86:$M$498</c:f>
              <c:numCache>
                <c:formatCode>0.0\x_);\(0.0\x\)</c:formatCode>
                <c:ptCount val="413"/>
                <c:pt idx="0">
                  <c:v>6.5206059298673456</c:v>
                </c:pt>
                <c:pt idx="1">
                  <c:v>6.5206059298673456</c:v>
                </c:pt>
                <c:pt idx="2">
                  <c:v>6.5206059298673456</c:v>
                </c:pt>
                <c:pt idx="3">
                  <c:v>6.5206059298673456</c:v>
                </c:pt>
                <c:pt idx="4">
                  <c:v>6.5206059298673456</c:v>
                </c:pt>
                <c:pt idx="5">
                  <c:v>6.5206059298673456</c:v>
                </c:pt>
                <c:pt idx="6">
                  <c:v>6.5206059298673456</c:v>
                </c:pt>
                <c:pt idx="7">
                  <c:v>6.5206059298673456</c:v>
                </c:pt>
                <c:pt idx="8">
                  <c:v>6.5206059298673456</c:v>
                </c:pt>
                <c:pt idx="9">
                  <c:v>6.5206059298673456</c:v>
                </c:pt>
                <c:pt idx="10">
                  <c:v>6.5206059298673456</c:v>
                </c:pt>
                <c:pt idx="11">
                  <c:v>6.5206059298673456</c:v>
                </c:pt>
                <c:pt idx="12">
                  <c:v>6.5206059298673456</c:v>
                </c:pt>
                <c:pt idx="13">
                  <c:v>6.5206059298673456</c:v>
                </c:pt>
                <c:pt idx="14">
                  <c:v>6.5206059298673456</c:v>
                </c:pt>
                <c:pt idx="15">
                  <c:v>6.5206059298673456</c:v>
                </c:pt>
                <c:pt idx="16">
                  <c:v>6.5206059298673456</c:v>
                </c:pt>
                <c:pt idx="17">
                  <c:v>6.5206059298673456</c:v>
                </c:pt>
                <c:pt idx="18">
                  <c:v>6.5206059298673456</c:v>
                </c:pt>
                <c:pt idx="19">
                  <c:v>6.5206059298673456</c:v>
                </c:pt>
                <c:pt idx="20">
                  <c:v>6.5206059298673456</c:v>
                </c:pt>
                <c:pt idx="21">
                  <c:v>6.5206059298673456</c:v>
                </c:pt>
                <c:pt idx="22">
                  <c:v>6.5206059298673456</c:v>
                </c:pt>
                <c:pt idx="23">
                  <c:v>6.5206059298673456</c:v>
                </c:pt>
                <c:pt idx="24">
                  <c:v>6.5206059298673456</c:v>
                </c:pt>
                <c:pt idx="25">
                  <c:v>6.5206059298673456</c:v>
                </c:pt>
                <c:pt idx="26">
                  <c:v>6.5206059298673456</c:v>
                </c:pt>
                <c:pt idx="27">
                  <c:v>6.5206059298673456</c:v>
                </c:pt>
                <c:pt idx="28">
                  <c:v>6.5206059298673456</c:v>
                </c:pt>
                <c:pt idx="29">
                  <c:v>6.5206059298673456</c:v>
                </c:pt>
                <c:pt idx="30">
                  <c:v>6.5206059298673456</c:v>
                </c:pt>
                <c:pt idx="31">
                  <c:v>6.5206059298673456</c:v>
                </c:pt>
                <c:pt idx="32">
                  <c:v>6.5206059298673456</c:v>
                </c:pt>
                <c:pt idx="33">
                  <c:v>6.5206059298673456</c:v>
                </c:pt>
                <c:pt idx="34">
                  <c:v>6.5206059298673456</c:v>
                </c:pt>
                <c:pt idx="35">
                  <c:v>6.5206059298673456</c:v>
                </c:pt>
                <c:pt idx="36">
                  <c:v>6.5206059298673456</c:v>
                </c:pt>
                <c:pt idx="37">
                  <c:v>6.5206059298673456</c:v>
                </c:pt>
                <c:pt idx="38">
                  <c:v>6.5206059298673456</c:v>
                </c:pt>
                <c:pt idx="39">
                  <c:v>6.5206059298673456</c:v>
                </c:pt>
                <c:pt idx="40">
                  <c:v>6.5206059298673456</c:v>
                </c:pt>
                <c:pt idx="41">
                  <c:v>6.5206059298673456</c:v>
                </c:pt>
                <c:pt idx="42">
                  <c:v>6.5206059298673456</c:v>
                </c:pt>
                <c:pt idx="43">
                  <c:v>6.5206059298673456</c:v>
                </c:pt>
                <c:pt idx="44">
                  <c:v>6.5206059298673456</c:v>
                </c:pt>
                <c:pt idx="45">
                  <c:v>6.5206059298673456</c:v>
                </c:pt>
                <c:pt idx="46">
                  <c:v>6.5206059298673456</c:v>
                </c:pt>
                <c:pt idx="47">
                  <c:v>6.5206059298673456</c:v>
                </c:pt>
                <c:pt idx="48">
                  <c:v>6.5206059298673456</c:v>
                </c:pt>
                <c:pt idx="49">
                  <c:v>6.5206059298673456</c:v>
                </c:pt>
                <c:pt idx="50">
                  <c:v>6.5206059298673456</c:v>
                </c:pt>
                <c:pt idx="51">
                  <c:v>6.5206059298673456</c:v>
                </c:pt>
                <c:pt idx="52">
                  <c:v>6.5206059298673456</c:v>
                </c:pt>
                <c:pt idx="53">
                  <c:v>6.5206059298673456</c:v>
                </c:pt>
                <c:pt idx="54">
                  <c:v>6.5206059298673456</c:v>
                </c:pt>
                <c:pt idx="55">
                  <c:v>6.5206059298673456</c:v>
                </c:pt>
                <c:pt idx="56">
                  <c:v>6.5206059298673456</c:v>
                </c:pt>
                <c:pt idx="57">
                  <c:v>6.5206059298673456</c:v>
                </c:pt>
                <c:pt idx="58">
                  <c:v>6.5206059298673456</c:v>
                </c:pt>
                <c:pt idx="59">
                  <c:v>6.5206059298673456</c:v>
                </c:pt>
                <c:pt idx="60">
                  <c:v>6.5206059298673456</c:v>
                </c:pt>
                <c:pt idx="61">
                  <c:v>6.5206059298673456</c:v>
                </c:pt>
                <c:pt idx="62">
                  <c:v>6.5206059298673456</c:v>
                </c:pt>
                <c:pt idx="63">
                  <c:v>6.5206059298673456</c:v>
                </c:pt>
                <c:pt idx="64">
                  <c:v>6.5206059298673456</c:v>
                </c:pt>
                <c:pt idx="65">
                  <c:v>6.5206059298673456</c:v>
                </c:pt>
                <c:pt idx="66">
                  <c:v>6.5206059298673456</c:v>
                </c:pt>
                <c:pt idx="67">
                  <c:v>6.5206059298673456</c:v>
                </c:pt>
                <c:pt idx="68">
                  <c:v>6.5206059298673456</c:v>
                </c:pt>
                <c:pt idx="69">
                  <c:v>6.5206059298673456</c:v>
                </c:pt>
                <c:pt idx="70">
                  <c:v>6.5206059298673456</c:v>
                </c:pt>
                <c:pt idx="71">
                  <c:v>6.5206059298673456</c:v>
                </c:pt>
                <c:pt idx="72">
                  <c:v>6.5206059298673456</c:v>
                </c:pt>
                <c:pt idx="73">
                  <c:v>6.5206059298673456</c:v>
                </c:pt>
                <c:pt idx="74">
                  <c:v>6.5206059298673456</c:v>
                </c:pt>
                <c:pt idx="75">
                  <c:v>6.5206059298673456</c:v>
                </c:pt>
                <c:pt idx="76">
                  <c:v>6.5206059298673456</c:v>
                </c:pt>
                <c:pt idx="77">
                  <c:v>6.5206059298673456</c:v>
                </c:pt>
                <c:pt idx="78">
                  <c:v>6.5206059298673456</c:v>
                </c:pt>
                <c:pt idx="79">
                  <c:v>6.5206059298673456</c:v>
                </c:pt>
                <c:pt idx="80">
                  <c:v>6.5206059298673456</c:v>
                </c:pt>
                <c:pt idx="81">
                  <c:v>6.5206059298673456</c:v>
                </c:pt>
                <c:pt idx="82">
                  <c:v>6.5206059298673456</c:v>
                </c:pt>
                <c:pt idx="83">
                  <c:v>6.5206059298673456</c:v>
                </c:pt>
                <c:pt idx="84">
                  <c:v>6.5206059298673456</c:v>
                </c:pt>
                <c:pt idx="85">
                  <c:v>6.5206059298673456</c:v>
                </c:pt>
                <c:pt idx="86">
                  <c:v>6.5206059298673456</c:v>
                </c:pt>
                <c:pt idx="87">
                  <c:v>6.5206059298673456</c:v>
                </c:pt>
                <c:pt idx="88">
                  <c:v>6.5206059298673456</c:v>
                </c:pt>
                <c:pt idx="89">
                  <c:v>6.5206059298673456</c:v>
                </c:pt>
                <c:pt idx="90">
                  <c:v>6.5206059298673456</c:v>
                </c:pt>
                <c:pt idx="91">
                  <c:v>6.5206059298673456</c:v>
                </c:pt>
                <c:pt idx="92">
                  <c:v>6.5206059298673456</c:v>
                </c:pt>
                <c:pt idx="93">
                  <c:v>6.5206059298673456</c:v>
                </c:pt>
                <c:pt idx="94">
                  <c:v>6.5206059298673456</c:v>
                </c:pt>
                <c:pt idx="95">
                  <c:v>6.5206059298673456</c:v>
                </c:pt>
                <c:pt idx="96">
                  <c:v>6.5206059298673456</c:v>
                </c:pt>
                <c:pt idx="97">
                  <c:v>6.5206059298673456</c:v>
                </c:pt>
                <c:pt idx="98">
                  <c:v>6.5206059298673456</c:v>
                </c:pt>
                <c:pt idx="99">
                  <c:v>6.5206059298673456</c:v>
                </c:pt>
                <c:pt idx="100">
                  <c:v>6.5206059298673456</c:v>
                </c:pt>
                <c:pt idx="101">
                  <c:v>6.5206059298673456</c:v>
                </c:pt>
                <c:pt idx="102">
                  <c:v>6.5206059298673456</c:v>
                </c:pt>
                <c:pt idx="103">
                  <c:v>6.5206059298673456</c:v>
                </c:pt>
                <c:pt idx="104">
                  <c:v>6.5206059298673456</c:v>
                </c:pt>
                <c:pt idx="105">
                  <c:v>6.5206059298673456</c:v>
                </c:pt>
                <c:pt idx="106">
                  <c:v>6.5206059298673456</c:v>
                </c:pt>
                <c:pt idx="107">
                  <c:v>6.5206059298673456</c:v>
                </c:pt>
                <c:pt idx="108">
                  <c:v>6.5206059298673456</c:v>
                </c:pt>
                <c:pt idx="109">
                  <c:v>6.5206059298673456</c:v>
                </c:pt>
                <c:pt idx="110">
                  <c:v>6.5206059298673456</c:v>
                </c:pt>
                <c:pt idx="111">
                  <c:v>6.5206059298673456</c:v>
                </c:pt>
                <c:pt idx="112">
                  <c:v>6.5206059298673456</c:v>
                </c:pt>
                <c:pt idx="113">
                  <c:v>6.5206059298673456</c:v>
                </c:pt>
                <c:pt idx="114">
                  <c:v>6.5206059298673456</c:v>
                </c:pt>
                <c:pt idx="115">
                  <c:v>6.5206059298673456</c:v>
                </c:pt>
                <c:pt idx="116">
                  <c:v>6.5206059298673456</c:v>
                </c:pt>
                <c:pt idx="117">
                  <c:v>6.5206059298673456</c:v>
                </c:pt>
                <c:pt idx="118">
                  <c:v>6.5206059298673456</c:v>
                </c:pt>
                <c:pt idx="119">
                  <c:v>6.5206059298673456</c:v>
                </c:pt>
                <c:pt idx="120">
                  <c:v>6.5206059298673456</c:v>
                </c:pt>
                <c:pt idx="121">
                  <c:v>6.5206059298673456</c:v>
                </c:pt>
                <c:pt idx="122">
                  <c:v>6.5206059298673456</c:v>
                </c:pt>
                <c:pt idx="123">
                  <c:v>6.5206059298673456</c:v>
                </c:pt>
                <c:pt idx="124">
                  <c:v>6.5206059298673456</c:v>
                </c:pt>
                <c:pt idx="125">
                  <c:v>6.5206059298673456</c:v>
                </c:pt>
                <c:pt idx="126">
                  <c:v>6.5206059298673456</c:v>
                </c:pt>
                <c:pt idx="127">
                  <c:v>6.5206059298673456</c:v>
                </c:pt>
                <c:pt idx="128">
                  <c:v>6.5206059298673456</c:v>
                </c:pt>
                <c:pt idx="129">
                  <c:v>6.5206059298673456</c:v>
                </c:pt>
                <c:pt idx="130">
                  <c:v>6.5206059298673456</c:v>
                </c:pt>
                <c:pt idx="131">
                  <c:v>6.5206059298673456</c:v>
                </c:pt>
                <c:pt idx="132">
                  <c:v>6.5206059298673456</c:v>
                </c:pt>
                <c:pt idx="133">
                  <c:v>6.5206059298673456</c:v>
                </c:pt>
                <c:pt idx="134">
                  <c:v>6.5206059298673456</c:v>
                </c:pt>
                <c:pt idx="135">
                  <c:v>6.5206059298673456</c:v>
                </c:pt>
                <c:pt idx="136">
                  <c:v>6.5206059298673456</c:v>
                </c:pt>
                <c:pt idx="137">
                  <c:v>6.5206059298673456</c:v>
                </c:pt>
                <c:pt idx="138">
                  <c:v>6.5206059298673456</c:v>
                </c:pt>
                <c:pt idx="139">
                  <c:v>6.5206059298673456</c:v>
                </c:pt>
                <c:pt idx="140">
                  <c:v>6.5206059298673456</c:v>
                </c:pt>
                <c:pt idx="141">
                  <c:v>6.5206059298673456</c:v>
                </c:pt>
                <c:pt idx="142">
                  <c:v>6.5206059298673456</c:v>
                </c:pt>
                <c:pt idx="143">
                  <c:v>6.5206059298673456</c:v>
                </c:pt>
                <c:pt idx="144">
                  <c:v>6.5206059298673456</c:v>
                </c:pt>
                <c:pt idx="145">
                  <c:v>6.5206059298673456</c:v>
                </c:pt>
                <c:pt idx="146">
                  <c:v>6.5206059298673456</c:v>
                </c:pt>
                <c:pt idx="147">
                  <c:v>6.5206059298673456</c:v>
                </c:pt>
                <c:pt idx="148">
                  <c:v>6.5206059298673456</c:v>
                </c:pt>
                <c:pt idx="149">
                  <c:v>6.5206059298673456</c:v>
                </c:pt>
                <c:pt idx="150">
                  <c:v>6.5206059298673456</c:v>
                </c:pt>
                <c:pt idx="151">
                  <c:v>6.5206059298673456</c:v>
                </c:pt>
                <c:pt idx="152">
                  <c:v>6.5206059298673456</c:v>
                </c:pt>
                <c:pt idx="153">
                  <c:v>6.5206059298673456</c:v>
                </c:pt>
                <c:pt idx="154">
                  <c:v>6.5206059298673456</c:v>
                </c:pt>
                <c:pt idx="155">
                  <c:v>6.5206059298673456</c:v>
                </c:pt>
                <c:pt idx="156">
                  <c:v>6.5206059298673456</c:v>
                </c:pt>
                <c:pt idx="157">
                  <c:v>6.5206059298673456</c:v>
                </c:pt>
                <c:pt idx="158">
                  <c:v>6.5206059298673456</c:v>
                </c:pt>
                <c:pt idx="159">
                  <c:v>6.5206059298673456</c:v>
                </c:pt>
                <c:pt idx="160">
                  <c:v>6.5206059298673456</c:v>
                </c:pt>
                <c:pt idx="161">
                  <c:v>6.5206059298673456</c:v>
                </c:pt>
                <c:pt idx="162">
                  <c:v>6.5206059298673456</c:v>
                </c:pt>
                <c:pt idx="163">
                  <c:v>6.5206059298673456</c:v>
                </c:pt>
                <c:pt idx="164">
                  <c:v>6.5206059298673456</c:v>
                </c:pt>
                <c:pt idx="165">
                  <c:v>6.5206059298673456</c:v>
                </c:pt>
                <c:pt idx="166">
                  <c:v>6.5206059298673456</c:v>
                </c:pt>
                <c:pt idx="167">
                  <c:v>6.5206059298673456</c:v>
                </c:pt>
                <c:pt idx="168">
                  <c:v>6.5206059298673456</c:v>
                </c:pt>
                <c:pt idx="169">
                  <c:v>6.5206059298673456</c:v>
                </c:pt>
                <c:pt idx="170">
                  <c:v>6.5206059298673456</c:v>
                </c:pt>
                <c:pt idx="171">
                  <c:v>6.5206059298673456</c:v>
                </c:pt>
                <c:pt idx="172">
                  <c:v>6.5206059298673456</c:v>
                </c:pt>
                <c:pt idx="173">
                  <c:v>6.5206059298673456</c:v>
                </c:pt>
                <c:pt idx="174">
                  <c:v>6.5206059298673456</c:v>
                </c:pt>
                <c:pt idx="175">
                  <c:v>6.5206059298673456</c:v>
                </c:pt>
                <c:pt idx="176">
                  <c:v>6.5206059298673456</c:v>
                </c:pt>
                <c:pt idx="177">
                  <c:v>6.5206059298673456</c:v>
                </c:pt>
                <c:pt idx="178">
                  <c:v>6.5206059298673456</c:v>
                </c:pt>
                <c:pt idx="179">
                  <c:v>6.5206059298673456</c:v>
                </c:pt>
                <c:pt idx="180">
                  <c:v>6.5206059298673456</c:v>
                </c:pt>
                <c:pt idx="181">
                  <c:v>6.5206059298673456</c:v>
                </c:pt>
                <c:pt idx="182">
                  <c:v>6.5206059298673456</c:v>
                </c:pt>
                <c:pt idx="183">
                  <c:v>6.5206059298673456</c:v>
                </c:pt>
                <c:pt idx="184">
                  <c:v>6.5206059298673456</c:v>
                </c:pt>
                <c:pt idx="185">
                  <c:v>6.5206059298673456</c:v>
                </c:pt>
                <c:pt idx="186">
                  <c:v>6.5206059298673456</c:v>
                </c:pt>
                <c:pt idx="187">
                  <c:v>6.5206059298673456</c:v>
                </c:pt>
                <c:pt idx="188">
                  <c:v>6.5206059298673456</c:v>
                </c:pt>
                <c:pt idx="189">
                  <c:v>6.5206059298673456</c:v>
                </c:pt>
                <c:pt idx="190">
                  <c:v>6.5206059298673456</c:v>
                </c:pt>
                <c:pt idx="191">
                  <c:v>6.5206059298673456</c:v>
                </c:pt>
                <c:pt idx="192">
                  <c:v>6.5206059298673456</c:v>
                </c:pt>
                <c:pt idx="193">
                  <c:v>6.5206059298673456</c:v>
                </c:pt>
                <c:pt idx="194">
                  <c:v>6.5206059298673456</c:v>
                </c:pt>
                <c:pt idx="195">
                  <c:v>6.5206059298673456</c:v>
                </c:pt>
                <c:pt idx="196">
                  <c:v>6.5206059298673456</c:v>
                </c:pt>
                <c:pt idx="197">
                  <c:v>6.5206059298673456</c:v>
                </c:pt>
                <c:pt idx="198">
                  <c:v>6.5206059298673456</c:v>
                </c:pt>
                <c:pt idx="199">
                  <c:v>6.5206059298673456</c:v>
                </c:pt>
                <c:pt idx="200">
                  <c:v>6.5206059298673456</c:v>
                </c:pt>
                <c:pt idx="201">
                  <c:v>6.5206059298673456</c:v>
                </c:pt>
                <c:pt idx="202">
                  <c:v>6.5206059298673456</c:v>
                </c:pt>
                <c:pt idx="203">
                  <c:v>6.5206059298673456</c:v>
                </c:pt>
                <c:pt idx="204">
                  <c:v>6.5206059298673456</c:v>
                </c:pt>
                <c:pt idx="205">
                  <c:v>6.5206059298673456</c:v>
                </c:pt>
                <c:pt idx="206">
                  <c:v>6.5206059298673456</c:v>
                </c:pt>
                <c:pt idx="207">
                  <c:v>6.5206059298673456</c:v>
                </c:pt>
                <c:pt idx="208">
                  <c:v>6.5206059298673456</c:v>
                </c:pt>
                <c:pt idx="209">
                  <c:v>6.5206059298673456</c:v>
                </c:pt>
                <c:pt idx="210">
                  <c:v>6.5206059298673456</c:v>
                </c:pt>
                <c:pt idx="211">
                  <c:v>6.5206059298673456</c:v>
                </c:pt>
                <c:pt idx="212">
                  <c:v>6.5206059298673456</c:v>
                </c:pt>
                <c:pt idx="213">
                  <c:v>6.5206059298673456</c:v>
                </c:pt>
                <c:pt idx="214">
                  <c:v>6.5206059298673456</c:v>
                </c:pt>
                <c:pt idx="215">
                  <c:v>6.5206059298673456</c:v>
                </c:pt>
                <c:pt idx="216">
                  <c:v>6.5206059298673456</c:v>
                </c:pt>
                <c:pt idx="217">
                  <c:v>6.5206059298673456</c:v>
                </c:pt>
                <c:pt idx="218">
                  <c:v>6.5206059298673456</c:v>
                </c:pt>
                <c:pt idx="219">
                  <c:v>6.5206059298673456</c:v>
                </c:pt>
                <c:pt idx="220">
                  <c:v>6.5206059298673456</c:v>
                </c:pt>
                <c:pt idx="221">
                  <c:v>6.5206059298673456</c:v>
                </c:pt>
                <c:pt idx="222">
                  <c:v>6.5206059298673456</c:v>
                </c:pt>
                <c:pt idx="223">
                  <c:v>6.5206059298673456</c:v>
                </c:pt>
                <c:pt idx="224">
                  <c:v>6.5206059298673456</c:v>
                </c:pt>
                <c:pt idx="225">
                  <c:v>6.5206059298673456</c:v>
                </c:pt>
                <c:pt idx="226">
                  <c:v>6.5206059298673456</c:v>
                </c:pt>
                <c:pt idx="227">
                  <c:v>6.5206059298673456</c:v>
                </c:pt>
                <c:pt idx="228">
                  <c:v>6.5206059298673456</c:v>
                </c:pt>
                <c:pt idx="229">
                  <c:v>6.5206059298673456</c:v>
                </c:pt>
                <c:pt idx="230">
                  <c:v>6.5206059298673456</c:v>
                </c:pt>
                <c:pt idx="231">
                  <c:v>6.5206059298673456</c:v>
                </c:pt>
                <c:pt idx="232">
                  <c:v>6.5206059298673456</c:v>
                </c:pt>
                <c:pt idx="233">
                  <c:v>6.5206059298673456</c:v>
                </c:pt>
                <c:pt idx="234">
                  <c:v>6.5206059298673456</c:v>
                </c:pt>
                <c:pt idx="235">
                  <c:v>6.5206059298673456</c:v>
                </c:pt>
                <c:pt idx="236">
                  <c:v>6.5206059298673456</c:v>
                </c:pt>
                <c:pt idx="237">
                  <c:v>6.5206059298673456</c:v>
                </c:pt>
                <c:pt idx="238">
                  <c:v>6.5206059298673456</c:v>
                </c:pt>
                <c:pt idx="239">
                  <c:v>6.5206059298673456</c:v>
                </c:pt>
                <c:pt idx="240">
                  <c:v>6.5206059298673456</c:v>
                </c:pt>
                <c:pt idx="241">
                  <c:v>6.5206059298673456</c:v>
                </c:pt>
                <c:pt idx="242">
                  <c:v>6.5206059298673456</c:v>
                </c:pt>
                <c:pt idx="243">
                  <c:v>6.5206059298673456</c:v>
                </c:pt>
                <c:pt idx="244">
                  <c:v>6.5206059298673456</c:v>
                </c:pt>
                <c:pt idx="245">
                  <c:v>6.5206059298673456</c:v>
                </c:pt>
                <c:pt idx="246">
                  <c:v>6.5206059298673456</c:v>
                </c:pt>
                <c:pt idx="247">
                  <c:v>6.5206059298673456</c:v>
                </c:pt>
                <c:pt idx="248">
                  <c:v>6.5206059298673456</c:v>
                </c:pt>
                <c:pt idx="249">
                  <c:v>6.5206059298673456</c:v>
                </c:pt>
                <c:pt idx="250">
                  <c:v>6.5206059298673456</c:v>
                </c:pt>
                <c:pt idx="251">
                  <c:v>6.5206059298673456</c:v>
                </c:pt>
                <c:pt idx="252">
                  <c:v>6.5206059298673456</c:v>
                </c:pt>
                <c:pt idx="253">
                  <c:v>6.5206059298673456</c:v>
                </c:pt>
                <c:pt idx="254">
                  <c:v>6.5206059298673456</c:v>
                </c:pt>
                <c:pt idx="255">
                  <c:v>6.5206059298673456</c:v>
                </c:pt>
                <c:pt idx="256">
                  <c:v>6.5206059298673456</c:v>
                </c:pt>
                <c:pt idx="257">
                  <c:v>6.5206059298673456</c:v>
                </c:pt>
                <c:pt idx="258">
                  <c:v>6.5206059298673456</c:v>
                </c:pt>
                <c:pt idx="259">
                  <c:v>6.5206059298673456</c:v>
                </c:pt>
                <c:pt idx="260">
                  <c:v>6.5206059298673456</c:v>
                </c:pt>
                <c:pt idx="261">
                  <c:v>6.5206059298673456</c:v>
                </c:pt>
                <c:pt idx="262">
                  <c:v>6.5206059298673456</c:v>
                </c:pt>
                <c:pt idx="263">
                  <c:v>6.5206059298673456</c:v>
                </c:pt>
                <c:pt idx="264">
                  <c:v>6.5206059298673456</c:v>
                </c:pt>
                <c:pt idx="265">
                  <c:v>6.5206059298673456</c:v>
                </c:pt>
                <c:pt idx="266">
                  <c:v>6.5206059298673456</c:v>
                </c:pt>
                <c:pt idx="267">
                  <c:v>6.5206059298673456</c:v>
                </c:pt>
                <c:pt idx="268">
                  <c:v>6.5206059298673456</c:v>
                </c:pt>
                <c:pt idx="269">
                  <c:v>6.5206059298673456</c:v>
                </c:pt>
                <c:pt idx="270">
                  <c:v>6.5206059298673456</c:v>
                </c:pt>
                <c:pt idx="271">
                  <c:v>6.5206059298673456</c:v>
                </c:pt>
                <c:pt idx="272">
                  <c:v>6.5206059298673456</c:v>
                </c:pt>
                <c:pt idx="273">
                  <c:v>6.5206059298673456</c:v>
                </c:pt>
                <c:pt idx="274">
                  <c:v>6.5206059298673456</c:v>
                </c:pt>
                <c:pt idx="275">
                  <c:v>6.5206059298673456</c:v>
                </c:pt>
                <c:pt idx="276">
                  <c:v>6.5206059298673456</c:v>
                </c:pt>
                <c:pt idx="277">
                  <c:v>6.5206059298673456</c:v>
                </c:pt>
                <c:pt idx="278">
                  <c:v>6.5206059298673456</c:v>
                </c:pt>
                <c:pt idx="279">
                  <c:v>6.5206059298673456</c:v>
                </c:pt>
                <c:pt idx="280">
                  <c:v>6.5206059298673456</c:v>
                </c:pt>
                <c:pt idx="281">
                  <c:v>6.5206059298673456</c:v>
                </c:pt>
                <c:pt idx="282">
                  <c:v>6.5206059298673456</c:v>
                </c:pt>
                <c:pt idx="283">
                  <c:v>6.5206059298673456</c:v>
                </c:pt>
                <c:pt idx="284">
                  <c:v>6.5206059298673456</c:v>
                </c:pt>
                <c:pt idx="285">
                  <c:v>6.5206059298673456</c:v>
                </c:pt>
                <c:pt idx="286">
                  <c:v>6.5206059298673456</c:v>
                </c:pt>
                <c:pt idx="287">
                  <c:v>6.5206059298673456</c:v>
                </c:pt>
                <c:pt idx="288">
                  <c:v>6.5206059298673456</c:v>
                </c:pt>
                <c:pt idx="289">
                  <c:v>6.5206059298673456</c:v>
                </c:pt>
                <c:pt idx="290">
                  <c:v>6.5206059298673456</c:v>
                </c:pt>
                <c:pt idx="291">
                  <c:v>6.5206059298673456</c:v>
                </c:pt>
                <c:pt idx="292">
                  <c:v>6.5206059298673456</c:v>
                </c:pt>
                <c:pt idx="293">
                  <c:v>6.5206059298673456</c:v>
                </c:pt>
                <c:pt idx="294">
                  <c:v>6.5206059298673456</c:v>
                </c:pt>
                <c:pt idx="295">
                  <c:v>6.5206059298673456</c:v>
                </c:pt>
                <c:pt idx="296">
                  <c:v>6.5206059298673456</c:v>
                </c:pt>
                <c:pt idx="297">
                  <c:v>6.5206059298673456</c:v>
                </c:pt>
                <c:pt idx="298">
                  <c:v>6.5206059298673456</c:v>
                </c:pt>
                <c:pt idx="299">
                  <c:v>6.5206059298673456</c:v>
                </c:pt>
                <c:pt idx="300">
                  <c:v>6.5206059298673456</c:v>
                </c:pt>
                <c:pt idx="301">
                  <c:v>6.5206059298673456</c:v>
                </c:pt>
                <c:pt idx="302">
                  <c:v>6.5206059298673456</c:v>
                </c:pt>
                <c:pt idx="303">
                  <c:v>6.5206059298673456</c:v>
                </c:pt>
                <c:pt idx="304">
                  <c:v>6.5206059298673456</c:v>
                </c:pt>
                <c:pt idx="305">
                  <c:v>6.5206059298673456</c:v>
                </c:pt>
                <c:pt idx="306">
                  <c:v>6.5206059298673456</c:v>
                </c:pt>
                <c:pt idx="307">
                  <c:v>6.5206059298673456</c:v>
                </c:pt>
                <c:pt idx="308">
                  <c:v>6.5206059298673456</c:v>
                </c:pt>
                <c:pt idx="309">
                  <c:v>6.5206059298673456</c:v>
                </c:pt>
                <c:pt idx="310">
                  <c:v>6.5206059298673456</c:v>
                </c:pt>
                <c:pt idx="311">
                  <c:v>6.5206059298673456</c:v>
                </c:pt>
                <c:pt idx="312">
                  <c:v>6.5206059298673456</c:v>
                </c:pt>
                <c:pt idx="313">
                  <c:v>6.5206059298673456</c:v>
                </c:pt>
                <c:pt idx="314">
                  <c:v>6.5206059298673456</c:v>
                </c:pt>
                <c:pt idx="315">
                  <c:v>6.5206059298673456</c:v>
                </c:pt>
                <c:pt idx="316">
                  <c:v>6.5206059298673456</c:v>
                </c:pt>
                <c:pt idx="317">
                  <c:v>6.5206059298673456</c:v>
                </c:pt>
                <c:pt idx="318">
                  <c:v>6.5206059298673456</c:v>
                </c:pt>
                <c:pt idx="319">
                  <c:v>6.5206059298673456</c:v>
                </c:pt>
                <c:pt idx="320">
                  <c:v>6.5206059298673456</c:v>
                </c:pt>
                <c:pt idx="321">
                  <c:v>6.5206059298673456</c:v>
                </c:pt>
                <c:pt idx="322">
                  <c:v>6.5206059298673456</c:v>
                </c:pt>
                <c:pt idx="323">
                  <c:v>6.5206059298673456</c:v>
                </c:pt>
                <c:pt idx="324">
                  <c:v>6.5206059298673456</c:v>
                </c:pt>
                <c:pt idx="325">
                  <c:v>6.5206059298673456</c:v>
                </c:pt>
                <c:pt idx="326">
                  <c:v>6.5206059298673456</c:v>
                </c:pt>
                <c:pt idx="327">
                  <c:v>6.5206059298673456</c:v>
                </c:pt>
                <c:pt idx="328">
                  <c:v>6.5206059298673456</c:v>
                </c:pt>
                <c:pt idx="329">
                  <c:v>6.5206059298673456</c:v>
                </c:pt>
                <c:pt idx="330">
                  <c:v>6.5206059298673456</c:v>
                </c:pt>
                <c:pt idx="331">
                  <c:v>6.5206059298673456</c:v>
                </c:pt>
                <c:pt idx="332">
                  <c:v>6.5206059298673456</c:v>
                </c:pt>
                <c:pt idx="333">
                  <c:v>6.5206059298673456</c:v>
                </c:pt>
                <c:pt idx="334">
                  <c:v>6.5206059298673456</c:v>
                </c:pt>
                <c:pt idx="335">
                  <c:v>6.5206059298673456</c:v>
                </c:pt>
                <c:pt idx="336">
                  <c:v>6.5206059298673456</c:v>
                </c:pt>
                <c:pt idx="337">
                  <c:v>6.5206059298673456</c:v>
                </c:pt>
                <c:pt idx="338">
                  <c:v>6.5206059298673456</c:v>
                </c:pt>
                <c:pt idx="339">
                  <c:v>6.5206059298673456</c:v>
                </c:pt>
                <c:pt idx="340">
                  <c:v>6.5206059298673456</c:v>
                </c:pt>
                <c:pt idx="341">
                  <c:v>6.5206059298673456</c:v>
                </c:pt>
                <c:pt idx="342">
                  <c:v>6.5206059298673456</c:v>
                </c:pt>
                <c:pt idx="343">
                  <c:v>6.5206059298673456</c:v>
                </c:pt>
                <c:pt idx="344">
                  <c:v>6.5206059298673456</c:v>
                </c:pt>
                <c:pt idx="345">
                  <c:v>6.5206059298673456</c:v>
                </c:pt>
                <c:pt idx="346">
                  <c:v>6.5206059298673456</c:v>
                </c:pt>
                <c:pt idx="347">
                  <c:v>6.5206059298673456</c:v>
                </c:pt>
                <c:pt idx="348">
                  <c:v>6.5206059298673456</c:v>
                </c:pt>
                <c:pt idx="349">
                  <c:v>6.5206059298673456</c:v>
                </c:pt>
                <c:pt idx="350">
                  <c:v>6.5206059298673456</c:v>
                </c:pt>
                <c:pt idx="351">
                  <c:v>6.5206059298673456</c:v>
                </c:pt>
                <c:pt idx="352">
                  <c:v>6.5206059298673456</c:v>
                </c:pt>
                <c:pt idx="353">
                  <c:v>6.5206059298673456</c:v>
                </c:pt>
                <c:pt idx="354">
                  <c:v>6.5206059298673456</c:v>
                </c:pt>
                <c:pt idx="355">
                  <c:v>6.5206059298673456</c:v>
                </c:pt>
                <c:pt idx="356">
                  <c:v>6.5206059298673456</c:v>
                </c:pt>
                <c:pt idx="357">
                  <c:v>6.5206059298673456</c:v>
                </c:pt>
                <c:pt idx="358">
                  <c:v>6.5206059298673456</c:v>
                </c:pt>
                <c:pt idx="359">
                  <c:v>6.5206059298673456</c:v>
                </c:pt>
                <c:pt idx="360">
                  <c:v>6.5206059298673456</c:v>
                </c:pt>
                <c:pt idx="361">
                  <c:v>6.5206059298673456</c:v>
                </c:pt>
                <c:pt idx="362">
                  <c:v>6.5206059298673456</c:v>
                </c:pt>
                <c:pt idx="363">
                  <c:v>6.5206059298673456</c:v>
                </c:pt>
                <c:pt idx="364">
                  <c:v>6.5206059298673456</c:v>
                </c:pt>
                <c:pt idx="365">
                  <c:v>6.5206059298673456</c:v>
                </c:pt>
                <c:pt idx="366">
                  <c:v>6.5206059298673456</c:v>
                </c:pt>
                <c:pt idx="367">
                  <c:v>6.5206059298673456</c:v>
                </c:pt>
                <c:pt idx="368">
                  <c:v>6.5206059298673456</c:v>
                </c:pt>
                <c:pt idx="369">
                  <c:v>6.5206059298673456</c:v>
                </c:pt>
                <c:pt idx="370">
                  <c:v>6.5206059298673456</c:v>
                </c:pt>
                <c:pt idx="371">
                  <c:v>6.5206059298673456</c:v>
                </c:pt>
                <c:pt idx="372">
                  <c:v>6.5206059298673456</c:v>
                </c:pt>
                <c:pt idx="373">
                  <c:v>6.5206059298673456</c:v>
                </c:pt>
                <c:pt idx="374">
                  <c:v>6.5206059298673456</c:v>
                </c:pt>
                <c:pt idx="375">
                  <c:v>6.5206059298673456</c:v>
                </c:pt>
                <c:pt idx="376">
                  <c:v>6.5206059298673456</c:v>
                </c:pt>
                <c:pt idx="377">
                  <c:v>6.5206059298673456</c:v>
                </c:pt>
                <c:pt idx="378">
                  <c:v>6.5206059298673456</c:v>
                </c:pt>
                <c:pt idx="379">
                  <c:v>6.5206059298673456</c:v>
                </c:pt>
                <c:pt idx="380">
                  <c:v>6.5206059298673456</c:v>
                </c:pt>
                <c:pt idx="381">
                  <c:v>6.5206059298673456</c:v>
                </c:pt>
                <c:pt idx="382">
                  <c:v>6.5206059298673456</c:v>
                </c:pt>
                <c:pt idx="383">
                  <c:v>6.5206059298673456</c:v>
                </c:pt>
                <c:pt idx="384">
                  <c:v>6.5206059298673456</c:v>
                </c:pt>
                <c:pt idx="385">
                  <c:v>6.5206059298673456</c:v>
                </c:pt>
                <c:pt idx="386">
                  <c:v>6.5206059298673456</c:v>
                </c:pt>
                <c:pt idx="387">
                  <c:v>6.5206059298673456</c:v>
                </c:pt>
                <c:pt idx="388">
                  <c:v>6.5206059298673456</c:v>
                </c:pt>
                <c:pt idx="389">
                  <c:v>6.5206059298673456</c:v>
                </c:pt>
                <c:pt idx="390">
                  <c:v>6.5206059298673456</c:v>
                </c:pt>
                <c:pt idx="391">
                  <c:v>6.5206059298673456</c:v>
                </c:pt>
                <c:pt idx="392">
                  <c:v>6.5206059298673456</c:v>
                </c:pt>
                <c:pt idx="393">
                  <c:v>6.5206059298673456</c:v>
                </c:pt>
                <c:pt idx="394">
                  <c:v>6.5206059298673456</c:v>
                </c:pt>
                <c:pt idx="395">
                  <c:v>6.5206059298673456</c:v>
                </c:pt>
                <c:pt idx="396">
                  <c:v>6.5206059298673456</c:v>
                </c:pt>
                <c:pt idx="397">
                  <c:v>6.5206059298673456</c:v>
                </c:pt>
                <c:pt idx="398">
                  <c:v>6.5206059298673456</c:v>
                </c:pt>
                <c:pt idx="399">
                  <c:v>6.5206059298673456</c:v>
                </c:pt>
                <c:pt idx="400">
                  <c:v>6.5206059298673456</c:v>
                </c:pt>
                <c:pt idx="401">
                  <c:v>6.5206059298673456</c:v>
                </c:pt>
                <c:pt idx="402">
                  <c:v>6.5206059298673456</c:v>
                </c:pt>
                <c:pt idx="403">
                  <c:v>6.5206059298673456</c:v>
                </c:pt>
                <c:pt idx="404">
                  <c:v>6.5206059298673456</c:v>
                </c:pt>
                <c:pt idx="405">
                  <c:v>6.5206059298673456</c:v>
                </c:pt>
                <c:pt idx="406">
                  <c:v>6.5206059298673456</c:v>
                </c:pt>
                <c:pt idx="407">
                  <c:v>6.5206059298673456</c:v>
                </c:pt>
                <c:pt idx="408">
                  <c:v>6.5206059298673456</c:v>
                </c:pt>
                <c:pt idx="409">
                  <c:v>6.5206059298673456</c:v>
                </c:pt>
                <c:pt idx="410">
                  <c:v>6.5206059298673456</c:v>
                </c:pt>
                <c:pt idx="411">
                  <c:v>6.5206059298673456</c:v>
                </c:pt>
                <c:pt idx="412">
                  <c:v>6.5206059298673456</c:v>
                </c:pt>
              </c:numCache>
            </c:numRef>
          </c:val>
          <c:smooth val="0"/>
          <c:extLst>
            <c:ext xmlns:c16="http://schemas.microsoft.com/office/drawing/2014/chart" uri="{C3380CC4-5D6E-409C-BE32-E72D297353CC}">
              <c16:uniqueId val="{00000000-5F0B-447C-9E07-7A2FD1EB889A}"/>
            </c:ext>
          </c:extLst>
        </c:ser>
        <c:dLbls>
          <c:showLegendKey val="0"/>
          <c:showVal val="0"/>
          <c:showCatName val="0"/>
          <c:showSerName val="0"/>
          <c:showPercent val="0"/>
          <c:showBubbleSize val="0"/>
        </c:dLbls>
        <c:smooth val="0"/>
        <c:axId val="1683816912"/>
        <c:axId val="1683822672"/>
      </c:lineChart>
      <c:dateAx>
        <c:axId val="1683816912"/>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822672"/>
        <c:crosses val="autoZero"/>
        <c:auto val="1"/>
        <c:lblOffset val="100"/>
        <c:baseTimeUnit val="days"/>
        <c:majorUnit val="1"/>
        <c:majorTimeUnit val="years"/>
      </c:dateAx>
      <c:valAx>
        <c:axId val="1683822672"/>
        <c:scaling>
          <c:orientation val="minMax"/>
        </c:scaling>
        <c:delete val="0"/>
        <c:axPos val="l"/>
        <c:majorGridlines>
          <c:spPr>
            <a:ln w="9525" cap="flat" cmpd="sng" algn="ctr">
              <a:solidFill>
                <a:schemeClr val="tx1">
                  <a:lumMod val="15000"/>
                  <a:lumOff val="85000"/>
                </a:schemeClr>
              </a:solidFill>
              <a:round/>
            </a:ln>
            <a:effectLst/>
          </c:spPr>
        </c:majorGridlines>
        <c:numFmt formatCode="0\x;\(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81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44734955628537"/>
          <c:y val="5.8422818104298738E-2"/>
          <c:w val="0.80156399612020268"/>
          <c:h val="0.80019145287135396"/>
        </c:manualLayout>
      </c:layout>
      <c:barChart>
        <c:barDir val="col"/>
        <c:grouping val="clustered"/>
        <c:varyColors val="0"/>
        <c:ser>
          <c:idx val="0"/>
          <c:order val="0"/>
          <c:tx>
            <c:strRef>
              <c:f>Charts!$E$49</c:f>
              <c:strCache>
                <c:ptCount val="1"/>
                <c:pt idx="0">
                  <c:v>Merchant Solutions Gross Profit</c:v>
                </c:pt>
              </c:strCache>
            </c:strRef>
          </c:tx>
          <c:spPr>
            <a:solidFill>
              <a:schemeClr val="accent1"/>
            </a:solidFill>
            <a:ln>
              <a:noFill/>
            </a:ln>
            <a:effectLst/>
          </c:spPr>
          <c:invertIfNegative val="0"/>
          <c:dLbls>
            <c:numFmt formatCode="&quot;$&quot;0.0,&quot;B&quot;;\(&quot;$&quot;0.0,&quot;B&quot;\);&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Charts!$CH$49:$CS$49</c:f>
              <c:numCache>
                <c:formatCode>"$"#,##0.0,"B"_);\("$"#,##0.0"B"\);"$"#,##0.00_);@_)</c:formatCode>
                <c:ptCount val="12"/>
                <c:pt idx="0">
                  <c:v>60.36699999999999</c:v>
                </c:pt>
                <c:pt idx="1">
                  <c:v>131.48899999999998</c:v>
                </c:pt>
                <c:pt idx="2">
                  <c:v>232.261</c:v>
                </c:pt>
                <c:pt idx="3">
                  <c:v>351.55700000000002</c:v>
                </c:pt>
                <c:pt idx="4">
                  <c:v>826.29499999999996</c:v>
                </c:pt>
                <c:pt idx="5">
                  <c:v>1403.1610000000001</c:v>
                </c:pt>
                <c:pt idx="6">
                  <c:v>1597.2269999999999</c:v>
                </c:pt>
                <c:pt idx="7">
                  <c:v>2032</c:v>
                </c:pt>
                <c:pt idx="8">
                  <c:v>2513.2349596810564</c:v>
                </c:pt>
                <c:pt idx="9">
                  <c:v>3154.5836395635329</c:v>
                </c:pt>
                <c:pt idx="10">
                  <c:v>3822.0550767694294</c:v>
                </c:pt>
                <c:pt idx="11">
                  <c:v>4551.9069537142859</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Charts!$E$54</c:f>
              <c:strCache>
                <c:ptCount val="1"/>
                <c:pt idx="0">
                  <c:v>Merchant Solutions Gross margin </c:v>
                </c:pt>
              </c:strCache>
            </c:strRef>
          </c:tx>
          <c:spPr>
            <a:ln w="28575" cap="rnd">
              <a:solidFill>
                <a:schemeClr val="accent3"/>
              </a:solidFill>
              <a:round/>
            </a:ln>
            <a:effectLst/>
          </c:spPr>
          <c:marker>
            <c:symbol val="none"/>
          </c:marker>
          <c:dLbls>
            <c:dLbl>
              <c:idx val="10"/>
              <c:layout>
                <c:manualLayout>
                  <c:x val="-4.4462363540089506E-2"/>
                  <c:y val="3.8993899224283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5C-4C83-B592-D67A4E8CDD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Charts!$CH$38:$CO$38</c:f>
              <c:strCache>
                <c:ptCount val="8"/>
                <c:pt idx="0">
                  <c:v>2016A</c:v>
                </c:pt>
                <c:pt idx="1">
                  <c:v>2017A</c:v>
                </c:pt>
                <c:pt idx="2">
                  <c:v>2018A</c:v>
                </c:pt>
                <c:pt idx="3">
                  <c:v>2019A</c:v>
                </c:pt>
                <c:pt idx="4">
                  <c:v>2020A</c:v>
                </c:pt>
                <c:pt idx="5">
                  <c:v>2021A</c:v>
                </c:pt>
                <c:pt idx="6">
                  <c:v>2022A</c:v>
                </c:pt>
                <c:pt idx="7">
                  <c:v>2023A</c:v>
                </c:pt>
              </c:strCache>
            </c:strRef>
          </c:cat>
          <c:val>
            <c:numRef>
              <c:f>Charts!$CH$54:$CS$54</c:f>
              <c:numCache>
                <c:formatCode>0.0%_);\(0.0%\);0.0%_);@_)</c:formatCode>
                <c:ptCount val="12"/>
                <c:pt idx="0">
                  <c:v>0.30074629839979272</c:v>
                </c:pt>
                <c:pt idx="1">
                  <c:v>0.36195643496764135</c:v>
                </c:pt>
                <c:pt idx="2">
                  <c:v>0.38186188516571778</c:v>
                </c:pt>
                <c:pt idx="3">
                  <c:v>0.37562237427505418</c:v>
                </c:pt>
                <c:pt idx="4">
                  <c:v>0.40890834716494107</c:v>
                </c:pt>
                <c:pt idx="5">
                  <c:v>0.42916395730018031</c:v>
                </c:pt>
                <c:pt idx="6">
                  <c:v>0.38842077232950034</c:v>
                </c:pt>
                <c:pt idx="7">
                  <c:v>0.38904843959410301</c:v>
                </c:pt>
                <c:pt idx="8">
                  <c:v>0.3908696357581653</c:v>
                </c:pt>
                <c:pt idx="9">
                  <c:v>0.39280177202896771</c:v>
                </c:pt>
                <c:pt idx="10">
                  <c:v>0.39330102734359035</c:v>
                </c:pt>
                <c:pt idx="11">
                  <c:v>0.39380052166419682</c:v>
                </c:pt>
              </c:numCache>
            </c:numRef>
          </c:val>
          <c:smooth val="1"/>
          <c:extLst>
            <c:ext xmlns:c16="http://schemas.microsoft.com/office/drawing/2014/chart" uri="{C3380CC4-5D6E-409C-BE32-E72D297353CC}">
              <c16:uniqueId val="{00000001-95CD-4672-A3EA-DF62D571BBDA}"/>
            </c:ext>
          </c:extLst>
        </c:ser>
        <c:dLbls>
          <c:showLegendKey val="0"/>
          <c:showVal val="0"/>
          <c:showCatName val="0"/>
          <c:showSerName val="0"/>
          <c:showPercent val="0"/>
          <c:showBubbleSize val="0"/>
        </c:dLbls>
        <c:marker val="1"/>
        <c:smooth val="0"/>
        <c:axId val="1316696208"/>
        <c:axId val="1316699568"/>
      </c:lineChart>
      <c:catAx>
        <c:axId val="965551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min val="-500"/>
        </c:scaling>
        <c:delete val="0"/>
        <c:axPos val="l"/>
        <c:numFmt formatCode="&quot;$&quot;0,&quot;B&quot;;\(&quot;$&quot;0,&quot;B&quot;\);&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316699568"/>
        <c:scaling>
          <c:orientation val="minMax"/>
        </c:scaling>
        <c:delete val="0"/>
        <c:axPos val="r"/>
        <c:numFmt formatCode="0%_);\(0%\);0%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96208"/>
        <c:crosses val="max"/>
        <c:crossBetween val="between"/>
      </c:valAx>
      <c:catAx>
        <c:axId val="1316696208"/>
        <c:scaling>
          <c:orientation val="minMax"/>
        </c:scaling>
        <c:delete val="1"/>
        <c:axPos val="b"/>
        <c:numFmt formatCode="General" sourceLinked="1"/>
        <c:majorTickMark val="none"/>
        <c:minorTickMark val="none"/>
        <c:tickLblPos val="nextTo"/>
        <c:crossAx val="1316699568"/>
        <c:crosses val="autoZero"/>
        <c:auto val="1"/>
        <c:lblAlgn val="ctr"/>
        <c:lblOffset val="100"/>
        <c:noMultiLvlLbl val="0"/>
      </c:catAx>
      <c:spPr>
        <a:noFill/>
        <a:ln>
          <a:noFill/>
        </a:ln>
        <a:effectLst/>
      </c:spPr>
    </c:plotArea>
    <c:legend>
      <c:legendPos val="b"/>
      <c:layout>
        <c:manualLayout>
          <c:xMode val="edge"/>
          <c:yMode val="edge"/>
          <c:x val="0.10639444944379975"/>
          <c:y val="4.9408970940010739E-3"/>
          <c:w val="0.70930599745823886"/>
          <c:h val="8.8653803609835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3865071336437735E-2"/>
          <c:y val="5.8422818104298738E-2"/>
          <c:w val="0.93862009779383604"/>
          <c:h val="0.80019145287135396"/>
        </c:manualLayout>
      </c:layout>
      <c:barChart>
        <c:barDir val="col"/>
        <c:grouping val="clustered"/>
        <c:varyColors val="0"/>
        <c:ser>
          <c:idx val="0"/>
          <c:order val="0"/>
          <c:tx>
            <c:strRef>
              <c:f>Charts!$E$58</c:f>
              <c:strCache>
                <c:ptCount val="1"/>
                <c:pt idx="0">
                  <c:v>Selling and Marketing </c:v>
                </c:pt>
              </c:strCache>
            </c:strRef>
          </c:tx>
          <c:spPr>
            <a:solidFill>
              <a:schemeClr val="accent1"/>
            </a:solidFill>
            <a:ln>
              <a:noFill/>
            </a:ln>
            <a:effectLst/>
          </c:spPr>
          <c:invertIfNegative val="0"/>
          <c:dLbls>
            <c:numFmt formatCode="&quot;$&quot;0.0,&quot;B&quot;;\(&quot;$&quot;0.0,&quot;B&quot;\);&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Charts!$CH$58:$CS$58</c:f>
              <c:numCache>
                <c:formatCode>"$"#,##0.0,"B"_);\("$"#,##0.0"B"\);"$"#,##0.00_);@_)</c:formatCode>
                <c:ptCount val="12"/>
                <c:pt idx="0">
                  <c:v>129.214</c:v>
                </c:pt>
                <c:pt idx="1">
                  <c:v>225.69400000000002</c:v>
                </c:pt>
                <c:pt idx="2">
                  <c:v>350.06900000000002</c:v>
                </c:pt>
                <c:pt idx="3">
                  <c:v>472.84100000000001</c:v>
                </c:pt>
                <c:pt idx="4">
                  <c:v>602.048</c:v>
                </c:pt>
                <c:pt idx="5">
                  <c:v>901.55700000000013</c:v>
                </c:pt>
                <c:pt idx="6">
                  <c:v>1230.4899999999998</c:v>
                </c:pt>
                <c:pt idx="7">
                  <c:v>1220</c:v>
                </c:pt>
                <c:pt idx="8">
                  <c:v>1420.4054651686629</c:v>
                </c:pt>
                <c:pt idx="9">
                  <c:v>1663.9055400087245</c:v>
                </c:pt>
                <c:pt idx="10">
                  <c:v>1901.096428475217</c:v>
                </c:pt>
                <c:pt idx="11">
                  <c:v>2119.6979463754756</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Charts!$E$59</c:f>
              <c:strCache>
                <c:ptCount val="1"/>
                <c:pt idx="0">
                  <c:v>% of revenue </c:v>
                </c:pt>
              </c:strCache>
            </c:strRef>
          </c:tx>
          <c:spPr>
            <a:ln w="28575" cap="rnd">
              <a:solidFill>
                <a:schemeClr val="accent3"/>
              </a:solidFill>
              <a:round/>
            </a:ln>
            <a:effectLst/>
          </c:spPr>
          <c:marker>
            <c:symbol val="none"/>
          </c:marker>
          <c:dLbls>
            <c:dLbl>
              <c:idx val="7"/>
              <c:layout>
                <c:manualLayout>
                  <c:x val="-4.3378311989598677E-2"/>
                  <c:y val="4.9412899472211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FA-4E31-B815-35363AE740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Charts!$CH$38:$CO$38</c:f>
              <c:strCache>
                <c:ptCount val="8"/>
                <c:pt idx="0">
                  <c:v>2016A</c:v>
                </c:pt>
                <c:pt idx="1">
                  <c:v>2017A</c:v>
                </c:pt>
                <c:pt idx="2">
                  <c:v>2018A</c:v>
                </c:pt>
                <c:pt idx="3">
                  <c:v>2019A</c:v>
                </c:pt>
                <c:pt idx="4">
                  <c:v>2020A</c:v>
                </c:pt>
                <c:pt idx="5">
                  <c:v>2021A</c:v>
                </c:pt>
                <c:pt idx="6">
                  <c:v>2022A</c:v>
                </c:pt>
                <c:pt idx="7">
                  <c:v>2023A</c:v>
                </c:pt>
              </c:strCache>
            </c:strRef>
          </c:cat>
          <c:val>
            <c:numRef>
              <c:f>Charts!$CH$59:$CS$59</c:f>
              <c:numCache>
                <c:formatCode>0.0%_);\(0.0%\);0.0%_);@_)</c:formatCode>
                <c:ptCount val="12"/>
                <c:pt idx="0">
                  <c:v>0.33188811548044078</c:v>
                </c:pt>
                <c:pt idx="1">
                  <c:v>0.33520371184487247</c:v>
                </c:pt>
                <c:pt idx="2">
                  <c:v>0.32618294883943694</c:v>
                </c:pt>
                <c:pt idx="3">
                  <c:v>0.29961290682326969</c:v>
                </c:pt>
                <c:pt idx="4">
                  <c:v>0.20551283482352395</c:v>
                </c:pt>
                <c:pt idx="5">
                  <c:v>0.19548680617955116</c:v>
                </c:pt>
                <c:pt idx="6">
                  <c:v>0.21973569358112977</c:v>
                </c:pt>
                <c:pt idx="7">
                  <c:v>0.17280453257790368</c:v>
                </c:pt>
                <c:pt idx="8">
                  <c:v>0.16193251117923399</c:v>
                </c:pt>
                <c:pt idx="9">
                  <c:v>0.15411161137488472</c:v>
                </c:pt>
                <c:pt idx="10">
                  <c:v>0.14710462509509281</c:v>
                </c:pt>
                <c:pt idx="11">
                  <c:v>0.13909903302395007</c:v>
                </c:pt>
              </c:numCache>
            </c:numRef>
          </c:val>
          <c:smooth val="1"/>
          <c:extLst>
            <c:ext xmlns:c16="http://schemas.microsoft.com/office/drawing/2014/chart" uri="{C3380CC4-5D6E-409C-BE32-E72D297353CC}">
              <c16:uniqueId val="{00000001-95CD-4672-A3EA-DF62D571BBDA}"/>
            </c:ext>
          </c:extLst>
        </c:ser>
        <c:dLbls>
          <c:showLegendKey val="0"/>
          <c:showVal val="0"/>
          <c:showCatName val="0"/>
          <c:showSerName val="0"/>
          <c:showPercent val="0"/>
          <c:showBubbleSize val="0"/>
        </c:dLbls>
        <c:marker val="1"/>
        <c:smooth val="0"/>
        <c:axId val="1316696208"/>
        <c:axId val="1316699568"/>
      </c:lineChart>
      <c:catAx>
        <c:axId val="965551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scaling>
        <c:delete val="0"/>
        <c:axPos val="l"/>
        <c:numFmt formatCode="&quot;$&quot;0.0,&quot;B&quot;;\(&quot;$&quot;0.0,&quot;B&quot;\);&quot;-&quot;"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316699568"/>
        <c:scaling>
          <c:orientation val="minMax"/>
        </c:scaling>
        <c:delete val="0"/>
        <c:axPos val="r"/>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96208"/>
        <c:crosses val="max"/>
        <c:crossBetween val="between"/>
      </c:valAx>
      <c:catAx>
        <c:axId val="1316696208"/>
        <c:scaling>
          <c:orientation val="minMax"/>
        </c:scaling>
        <c:delete val="1"/>
        <c:axPos val="b"/>
        <c:numFmt formatCode="General" sourceLinked="1"/>
        <c:majorTickMark val="none"/>
        <c:minorTickMark val="none"/>
        <c:tickLblPos val="nextTo"/>
        <c:crossAx val="1316699568"/>
        <c:crosses val="autoZero"/>
        <c:auto val="1"/>
        <c:lblAlgn val="ctr"/>
        <c:lblOffset val="100"/>
        <c:noMultiLvlLbl val="0"/>
      </c:catAx>
      <c:spPr>
        <a:noFill/>
        <a:ln>
          <a:noFill/>
        </a:ln>
        <a:effectLst/>
      </c:spPr>
    </c:plotArea>
    <c:legend>
      <c:legendPos val="b"/>
      <c:layout>
        <c:manualLayout>
          <c:xMode val="edge"/>
          <c:yMode val="edge"/>
          <c:x val="0.26283421308178939"/>
          <c:y val="3.9857600722751615E-2"/>
          <c:w val="0.5261185886826516"/>
          <c:h val="8.8653803609835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98136789904473E-2"/>
          <c:y val="7.2877028721931067E-2"/>
          <c:w val="0.91861145701550695"/>
          <c:h val="0.86308631590944007"/>
        </c:manualLayout>
      </c:layout>
      <c:barChart>
        <c:barDir val="col"/>
        <c:grouping val="clustered"/>
        <c:varyColors val="0"/>
        <c:ser>
          <c:idx val="0"/>
          <c:order val="0"/>
          <c:tx>
            <c:strRef>
              <c:f>Charts!$E$58</c:f>
              <c:strCache>
                <c:ptCount val="1"/>
                <c:pt idx="0">
                  <c:v>Selling and Marketing </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0-D2F2-471D-B86F-4D662A1C2744}"/>
              </c:ext>
            </c:extLst>
          </c:dPt>
          <c:dPt>
            <c:idx val="2"/>
            <c:invertIfNegative val="0"/>
            <c:bubble3D val="0"/>
            <c:extLst>
              <c:ext xmlns:c16="http://schemas.microsoft.com/office/drawing/2014/chart" uri="{C3380CC4-5D6E-409C-BE32-E72D297353CC}">
                <c16:uniqueId val="{00000001-D2F2-471D-B86F-4D662A1C2744}"/>
              </c:ext>
            </c:extLst>
          </c:dPt>
          <c:dPt>
            <c:idx val="8"/>
            <c:invertIfNegative val="0"/>
            <c:bubble3D val="0"/>
            <c:extLst>
              <c:ext xmlns:c16="http://schemas.microsoft.com/office/drawing/2014/chart" uri="{C3380CC4-5D6E-409C-BE32-E72D297353CC}">
                <c16:uniqueId val="{00000002-D2F2-471D-B86F-4D662A1C2744}"/>
              </c:ext>
            </c:extLst>
          </c:dPt>
          <c:dPt>
            <c:idx val="9"/>
            <c:invertIfNegative val="0"/>
            <c:bubble3D val="0"/>
            <c:extLst>
              <c:ext xmlns:c16="http://schemas.microsoft.com/office/drawing/2014/chart" uri="{C3380CC4-5D6E-409C-BE32-E72D297353CC}">
                <c16:uniqueId val="{00000003-D2F2-471D-B86F-4D662A1C2744}"/>
              </c:ext>
            </c:extLst>
          </c:dPt>
          <c:cat>
            <c:strRef>
              <c:f>Charts!$V$38:$BA$38</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Charts!$V$58:$BA$58</c:f>
              <c:numCache>
                <c:formatCode>0.0</c:formatCode>
                <c:ptCount val="32"/>
                <c:pt idx="0">
                  <c:v>154.86199999999999</c:v>
                </c:pt>
                <c:pt idx="1">
                  <c:v>144.85</c:v>
                </c:pt>
                <c:pt idx="2">
                  <c:v>147.608</c:v>
                </c:pt>
                <c:pt idx="3">
                  <c:v>154.72800000000001</c:v>
                </c:pt>
                <c:pt idx="4">
                  <c:v>186.22300000000001</c:v>
                </c:pt>
                <c:pt idx="5">
                  <c:v>201.91</c:v>
                </c:pt>
                <c:pt idx="6">
                  <c:v>237.94900000000001</c:v>
                </c:pt>
                <c:pt idx="7">
                  <c:v>275.47500000000002</c:v>
                </c:pt>
                <c:pt idx="8">
                  <c:v>303.37099999999998</c:v>
                </c:pt>
                <c:pt idx="9">
                  <c:v>326.90199999999999</c:v>
                </c:pt>
                <c:pt idx="10">
                  <c:v>302.476</c:v>
                </c:pt>
                <c:pt idx="11">
                  <c:v>297.74099999999999</c:v>
                </c:pt>
                <c:pt idx="12">
                  <c:v>287</c:v>
                </c:pt>
                <c:pt idx="13">
                  <c:v>321</c:v>
                </c:pt>
                <c:pt idx="14">
                  <c:v>295</c:v>
                </c:pt>
                <c:pt idx="15">
                  <c:v>317</c:v>
                </c:pt>
                <c:pt idx="16">
                  <c:v>361</c:v>
                </c:pt>
                <c:pt idx="17">
                  <c:v>353</c:v>
                </c:pt>
                <c:pt idx="18">
                  <c:v>331</c:v>
                </c:pt>
                <c:pt idx="19">
                  <c:v>375.40546516866294</c:v>
                </c:pt>
                <c:pt idx="20">
                  <c:v>434.9895860930381</c:v>
                </c:pt>
                <c:pt idx="21">
                  <c:v>412.86194344892897</c:v>
                </c:pt>
                <c:pt idx="22">
                  <c:v>381.88683146572583</c:v>
                </c:pt>
                <c:pt idx="23">
                  <c:v>434.16717900103151</c:v>
                </c:pt>
                <c:pt idx="24">
                  <c:v>501.00660020440864</c:v>
                </c:pt>
                <c:pt idx="25">
                  <c:v>473.02905680528914</c:v>
                </c:pt>
                <c:pt idx="26">
                  <c:v>434.67549475014067</c:v>
                </c:pt>
                <c:pt idx="27">
                  <c:v>492.38527671537855</c:v>
                </c:pt>
                <c:pt idx="28">
                  <c:v>564.30262750308623</c:v>
                </c:pt>
                <c:pt idx="29">
                  <c:v>529.33261959145443</c:v>
                </c:pt>
                <c:pt idx="30">
                  <c:v>482.52479740313089</c:v>
                </c:pt>
                <c:pt idx="31">
                  <c:v>543.53790187780396</c:v>
                </c:pt>
              </c:numCache>
            </c:numRef>
          </c:val>
          <c:extLst>
            <c:ext xmlns:c16="http://schemas.microsoft.com/office/drawing/2014/chart" uri="{C3380CC4-5D6E-409C-BE32-E72D297353CC}">
              <c16:uniqueId val="{00000004-D2F2-471D-B86F-4D662A1C2744}"/>
            </c:ext>
          </c:extLst>
        </c:ser>
        <c:dLbls>
          <c:showLegendKey val="0"/>
          <c:showVal val="0"/>
          <c:showCatName val="0"/>
          <c:showSerName val="0"/>
          <c:showPercent val="0"/>
          <c:showBubbleSize val="0"/>
        </c:dLbls>
        <c:gapWidth val="30"/>
        <c:axId val="945418624"/>
        <c:axId val="945420160"/>
      </c:barChart>
      <c:lineChart>
        <c:grouping val="standard"/>
        <c:varyColors val="0"/>
        <c:ser>
          <c:idx val="1"/>
          <c:order val="1"/>
          <c:tx>
            <c:strRef>
              <c:f>Charts!$E$59</c:f>
              <c:strCache>
                <c:ptCount val="1"/>
                <c:pt idx="0">
                  <c:v>% of revenue </c:v>
                </c:pt>
              </c:strCache>
            </c:strRef>
          </c:tx>
          <c:spPr>
            <a:ln w="19050" cap="rnd" cmpd="sng" algn="ctr">
              <a:solidFill>
                <a:schemeClr val="accent3"/>
              </a:solidFill>
              <a:prstDash val="solid"/>
              <a:round/>
            </a:ln>
            <a:effectLst/>
          </c:spPr>
          <c:marker>
            <c:symbol val="none"/>
          </c:marker>
          <c:cat>
            <c:strRef>
              <c:f>Charts!$V$38:$BA$38</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Charts!$V$59:$BA$59</c:f>
              <c:numCache>
                <c:formatCode>0.0%_);\(0.0%\);0.0%_);@_)</c:formatCode>
                <c:ptCount val="32"/>
                <c:pt idx="0">
                  <c:v>0.32949291597251923</c:v>
                </c:pt>
                <c:pt idx="1">
                  <c:v>0.20277430526877219</c:v>
                </c:pt>
                <c:pt idx="2">
                  <c:v>0.19234693545129367</c:v>
                </c:pt>
                <c:pt idx="3">
                  <c:v>0.15825001227315127</c:v>
                </c:pt>
                <c:pt idx="4">
                  <c:v>0.1883614677432896</c:v>
                </c:pt>
                <c:pt idx="5">
                  <c:v>0.18036616358999327</c:v>
                </c:pt>
                <c:pt idx="6">
                  <c:v>0.2117473792870237</c:v>
                </c:pt>
                <c:pt idx="7">
                  <c:v>0.19961609363315422</c:v>
                </c:pt>
                <c:pt idx="8">
                  <c:v>0.25204819116949406</c:v>
                </c:pt>
                <c:pt idx="9">
                  <c:v>0.25242169685953497</c:v>
                </c:pt>
                <c:pt idx="10">
                  <c:v>0.22139950226906749</c:v>
                </c:pt>
                <c:pt idx="11">
                  <c:v>0.17161082157814103</c:v>
                </c:pt>
                <c:pt idx="12">
                  <c:v>0.19031830238726791</c:v>
                </c:pt>
                <c:pt idx="13">
                  <c:v>0.18949232585596221</c:v>
                </c:pt>
                <c:pt idx="14">
                  <c:v>0.17211201866977829</c:v>
                </c:pt>
                <c:pt idx="15">
                  <c:v>0.14785447761194029</c:v>
                </c:pt>
                <c:pt idx="16">
                  <c:v>0.19398173025255239</c:v>
                </c:pt>
                <c:pt idx="17">
                  <c:v>0.1726161369193154</c:v>
                </c:pt>
                <c:pt idx="18">
                  <c:v>0.15309898242368178</c:v>
                </c:pt>
                <c:pt idx="19">
                  <c:v>0.13885447761194028</c:v>
                </c:pt>
                <c:pt idx="20">
                  <c:v>0.18598173025255238</c:v>
                </c:pt>
                <c:pt idx="21">
                  <c:v>0.1646161369193154</c:v>
                </c:pt>
                <c:pt idx="22">
                  <c:v>0.14509898242368177</c:v>
                </c:pt>
                <c:pt idx="23">
                  <c:v>0.13085447761194027</c:v>
                </c:pt>
                <c:pt idx="24">
                  <c:v>0.17898173025255237</c:v>
                </c:pt>
                <c:pt idx="25">
                  <c:v>0.15761613691931539</c:v>
                </c:pt>
                <c:pt idx="26">
                  <c:v>0.13809898242368177</c:v>
                </c:pt>
                <c:pt idx="27">
                  <c:v>0.12385447761194027</c:v>
                </c:pt>
                <c:pt idx="28">
                  <c:v>0.17098173025255237</c:v>
                </c:pt>
                <c:pt idx="29">
                  <c:v>0.14961613691931538</c:v>
                </c:pt>
                <c:pt idx="30">
                  <c:v>0.13009898242368176</c:v>
                </c:pt>
                <c:pt idx="31">
                  <c:v>0.11585447761194026</c:v>
                </c:pt>
              </c:numCache>
            </c:numRef>
          </c:val>
          <c:smooth val="1"/>
          <c:extLst>
            <c:ext xmlns:c16="http://schemas.microsoft.com/office/drawing/2014/chart" uri="{C3380CC4-5D6E-409C-BE32-E72D297353CC}">
              <c16:uniqueId val="{00000005-D2F2-471D-B86F-4D662A1C2744}"/>
            </c:ext>
          </c:extLst>
        </c:ser>
        <c:dLbls>
          <c:showLegendKey val="0"/>
          <c:showVal val="0"/>
          <c:showCatName val="0"/>
          <c:showSerName val="0"/>
          <c:showPercent val="0"/>
          <c:showBubbleSize val="0"/>
        </c:dLbls>
        <c:marker val="1"/>
        <c:smooth val="0"/>
        <c:axId val="200588160"/>
        <c:axId val="227166032"/>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3360000" spcFirstLastPara="1" vertOverflow="ellipsis"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27166032"/>
        <c:scaling>
          <c:orientation val="minMax"/>
        </c:scaling>
        <c:delete val="0"/>
        <c:axPos val="r"/>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200588160"/>
        <c:crosses val="max"/>
        <c:crossBetween val="between"/>
        <c:majorUnit val="2.5000000000000005E-2"/>
      </c:valAx>
      <c:catAx>
        <c:axId val="200588160"/>
        <c:scaling>
          <c:orientation val="minMax"/>
        </c:scaling>
        <c:delete val="1"/>
        <c:axPos val="b"/>
        <c:numFmt formatCode="General" sourceLinked="1"/>
        <c:majorTickMark val="out"/>
        <c:minorTickMark val="none"/>
        <c:tickLblPos val="nextTo"/>
        <c:crossAx val="227166032"/>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0.2237042490452566"/>
          <c:y val="5.7139349888956185E-2"/>
          <c:w val="0.37612856159571517"/>
          <c:h val="0.1600138905713708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0204592991116382E-2"/>
          <c:y val="5.8422818104298738E-2"/>
          <c:w val="0.94158692594183901"/>
          <c:h val="0.80019145287135396"/>
        </c:manualLayout>
      </c:layout>
      <c:barChart>
        <c:barDir val="col"/>
        <c:grouping val="clustered"/>
        <c:varyColors val="0"/>
        <c:ser>
          <c:idx val="0"/>
          <c:order val="0"/>
          <c:tx>
            <c:strRef>
              <c:f>Charts!$E$62</c:f>
              <c:strCache>
                <c:ptCount val="1"/>
                <c:pt idx="0">
                  <c:v>General and Administrative</c:v>
                </c:pt>
              </c:strCache>
            </c:strRef>
          </c:tx>
          <c:spPr>
            <a:solidFill>
              <a:schemeClr val="accent1"/>
            </a:solidFill>
            <a:ln>
              <a:noFill/>
            </a:ln>
            <a:effectLst/>
          </c:spPr>
          <c:invertIfNegative val="0"/>
          <c:dLbls>
            <c:numFmt formatCode="&quot;$&quot;0.0,&quot;B&quot;;\(&quot;$&quot;0.0,&quot;B&quot;\);&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Charts!$CH$62:$CS$62</c:f>
              <c:numCache>
                <c:formatCode>0.0</c:formatCode>
                <c:ptCount val="12"/>
                <c:pt idx="0">
                  <c:v>43.11</c:v>
                </c:pt>
                <c:pt idx="1">
                  <c:v>67.719000000000008</c:v>
                </c:pt>
                <c:pt idx="2">
                  <c:v>107.44400000000002</c:v>
                </c:pt>
                <c:pt idx="3">
                  <c:v>153.76499999999999</c:v>
                </c:pt>
                <c:pt idx="4">
                  <c:v>245.34300000000002</c:v>
                </c:pt>
                <c:pt idx="5">
                  <c:v>374.84399999999994</c:v>
                </c:pt>
                <c:pt idx="6">
                  <c:v>707.7650000000001</c:v>
                </c:pt>
                <c:pt idx="7">
                  <c:v>491</c:v>
                </c:pt>
                <c:pt idx="8">
                  <c:v>402.47152869391539</c:v>
                </c:pt>
                <c:pt idx="9">
                  <c:v>442.43191855061968</c:v>
                </c:pt>
                <c:pt idx="10">
                  <c:v>503.69138294148388</c:v>
                </c:pt>
                <c:pt idx="11">
                  <c:v>563.41683681122799</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Charts!$E$63</c:f>
              <c:strCache>
                <c:ptCount val="1"/>
                <c:pt idx="0">
                  <c:v>% of revenue </c:v>
                </c:pt>
              </c:strCache>
            </c:strRef>
          </c:tx>
          <c:spPr>
            <a:ln w="28575" cap="rnd">
              <a:solidFill>
                <a:schemeClr val="accent3"/>
              </a:solidFill>
              <a:round/>
            </a:ln>
            <a:effectLst/>
          </c:spPr>
          <c:marker>
            <c:symbol val="none"/>
          </c:marker>
          <c:dLbls>
            <c:dLbl>
              <c:idx val="6"/>
              <c:layout>
                <c:manualLayout>
                  <c:x val="-4.2163114979473192E-2"/>
                  <c:y val="0.1015349714660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FA-4089-A0C6-D85A7E3124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Charts!$CH$38:$CO$38</c:f>
              <c:strCache>
                <c:ptCount val="8"/>
                <c:pt idx="0">
                  <c:v>2016A</c:v>
                </c:pt>
                <c:pt idx="1">
                  <c:v>2017A</c:v>
                </c:pt>
                <c:pt idx="2">
                  <c:v>2018A</c:v>
                </c:pt>
                <c:pt idx="3">
                  <c:v>2019A</c:v>
                </c:pt>
                <c:pt idx="4">
                  <c:v>2020A</c:v>
                </c:pt>
                <c:pt idx="5">
                  <c:v>2021A</c:v>
                </c:pt>
                <c:pt idx="6">
                  <c:v>2022A</c:v>
                </c:pt>
                <c:pt idx="7">
                  <c:v>2023A</c:v>
                </c:pt>
              </c:strCache>
            </c:strRef>
          </c:cat>
          <c:val>
            <c:numRef>
              <c:f>Charts!$CH$63:$CS$63</c:f>
              <c:numCache>
                <c:formatCode>0.0%_);\(0.0%\);0.0%_);@_)</c:formatCode>
                <c:ptCount val="12"/>
                <c:pt idx="0">
                  <c:v>0.11072868774561426</c:v>
                </c:pt>
                <c:pt idx="1">
                  <c:v>0.10057715385620761</c:v>
                </c:pt>
                <c:pt idx="2">
                  <c:v>0.10011283705527901</c:v>
                </c:pt>
                <c:pt idx="3">
                  <c:v>9.7432284039835934E-2</c:v>
                </c:pt>
                <c:pt idx="4">
                  <c:v>8.37493612371569E-2</c:v>
                </c:pt>
                <c:pt idx="5">
                  <c:v>8.1278340000208144E-2</c:v>
                </c:pt>
                <c:pt idx="6">
                  <c:v>0.12638967660643188</c:v>
                </c:pt>
                <c:pt idx="7">
                  <c:v>6.9546742209631723E-2</c:v>
                </c:pt>
                <c:pt idx="8">
                  <c:v>4.5883536016817564E-2</c:v>
                </c:pt>
                <c:pt idx="9">
                  <c:v>4.0978225176869248E-2</c:v>
                </c:pt>
                <c:pt idx="10">
                  <c:v>3.8975051944453082E-2</c:v>
                </c:pt>
                <c:pt idx="11">
                  <c:v>3.6972596649377604E-2</c:v>
                </c:pt>
              </c:numCache>
            </c:numRef>
          </c:val>
          <c:smooth val="1"/>
          <c:extLst>
            <c:ext xmlns:c16="http://schemas.microsoft.com/office/drawing/2014/chart" uri="{C3380CC4-5D6E-409C-BE32-E72D297353CC}">
              <c16:uniqueId val="{00000001-95CD-4672-A3EA-DF62D571BBDA}"/>
            </c:ext>
          </c:extLst>
        </c:ser>
        <c:dLbls>
          <c:showLegendKey val="0"/>
          <c:showVal val="0"/>
          <c:showCatName val="0"/>
          <c:showSerName val="0"/>
          <c:showPercent val="0"/>
          <c:showBubbleSize val="0"/>
        </c:dLbls>
        <c:marker val="1"/>
        <c:smooth val="0"/>
        <c:axId val="1316696208"/>
        <c:axId val="1316699568"/>
      </c:lineChart>
      <c:catAx>
        <c:axId val="965551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scaling>
        <c:delete val="0"/>
        <c:axPos val="l"/>
        <c:numFmt formatCode="&quot;$&quot;#,##0.0,&quot;B&quot;;\(&quot;$&quot;#,##0.0,&quot;B&quot;\);&quot;$&quot;0,&quot;B&quot;"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316699568"/>
        <c:scaling>
          <c:orientation val="minMax"/>
        </c:scaling>
        <c:delete val="0"/>
        <c:axPos val="r"/>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96208"/>
        <c:crosses val="max"/>
        <c:crossBetween val="between"/>
      </c:valAx>
      <c:catAx>
        <c:axId val="1316696208"/>
        <c:scaling>
          <c:orientation val="minMax"/>
        </c:scaling>
        <c:delete val="1"/>
        <c:axPos val="b"/>
        <c:numFmt formatCode="General" sourceLinked="1"/>
        <c:majorTickMark val="none"/>
        <c:minorTickMark val="none"/>
        <c:tickLblPos val="nextTo"/>
        <c:crossAx val="1316699568"/>
        <c:crosses val="autoZero"/>
        <c:auto val="1"/>
        <c:lblAlgn val="ctr"/>
        <c:lblOffset val="100"/>
        <c:noMultiLvlLbl val="0"/>
      </c:catAx>
      <c:spPr>
        <a:noFill/>
        <a:ln>
          <a:noFill/>
        </a:ln>
        <a:effectLst/>
      </c:spPr>
    </c:plotArea>
    <c:legend>
      <c:legendPos val="b"/>
      <c:layout>
        <c:manualLayout>
          <c:xMode val="edge"/>
          <c:yMode val="edge"/>
          <c:x val="0.57269507372212858"/>
          <c:y val="2.3340048931010726E-2"/>
          <c:w val="0.35132648856680443"/>
          <c:h val="0.209318485600333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09530221448139E-2"/>
          <c:y val="5.0666527097135428E-2"/>
          <c:w val="0.91861145701550695"/>
          <c:h val="0.86308631590944007"/>
        </c:manualLayout>
      </c:layout>
      <c:barChart>
        <c:barDir val="col"/>
        <c:grouping val="clustered"/>
        <c:varyColors val="0"/>
        <c:ser>
          <c:idx val="0"/>
          <c:order val="0"/>
          <c:tx>
            <c:strRef>
              <c:f>Charts!$E$62</c:f>
              <c:strCache>
                <c:ptCount val="1"/>
                <c:pt idx="0">
                  <c:v>General and Administrative</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0-AE0B-4ED7-A5E1-D729C991A4CB}"/>
              </c:ext>
            </c:extLst>
          </c:dPt>
          <c:dPt>
            <c:idx val="2"/>
            <c:invertIfNegative val="0"/>
            <c:bubble3D val="0"/>
            <c:extLst>
              <c:ext xmlns:c16="http://schemas.microsoft.com/office/drawing/2014/chart" uri="{C3380CC4-5D6E-409C-BE32-E72D297353CC}">
                <c16:uniqueId val="{00000001-AE0B-4ED7-A5E1-D729C991A4CB}"/>
              </c:ext>
            </c:extLst>
          </c:dPt>
          <c:dPt>
            <c:idx val="8"/>
            <c:invertIfNegative val="0"/>
            <c:bubble3D val="0"/>
            <c:extLst>
              <c:ext xmlns:c16="http://schemas.microsoft.com/office/drawing/2014/chart" uri="{C3380CC4-5D6E-409C-BE32-E72D297353CC}">
                <c16:uniqueId val="{00000002-AE0B-4ED7-A5E1-D729C991A4CB}"/>
              </c:ext>
            </c:extLst>
          </c:dPt>
          <c:dPt>
            <c:idx val="9"/>
            <c:invertIfNegative val="0"/>
            <c:bubble3D val="0"/>
            <c:extLst>
              <c:ext xmlns:c16="http://schemas.microsoft.com/office/drawing/2014/chart" uri="{C3380CC4-5D6E-409C-BE32-E72D297353CC}">
                <c16:uniqueId val="{00000003-AE0B-4ED7-A5E1-D729C991A4CB}"/>
              </c:ext>
            </c:extLst>
          </c:dPt>
          <c:cat>
            <c:strRef>
              <c:f>Charts!$V$38:$BA$38</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Charts!$V$62:$BA$62</c:f>
              <c:numCache>
                <c:formatCode>0.0</c:formatCode>
                <c:ptCount val="32"/>
                <c:pt idx="0">
                  <c:v>44.841999999999999</c:v>
                </c:pt>
                <c:pt idx="1">
                  <c:v>83.307000000000002</c:v>
                </c:pt>
                <c:pt idx="2">
                  <c:v>51.798999999999999</c:v>
                </c:pt>
                <c:pt idx="3">
                  <c:v>65.394999999999996</c:v>
                </c:pt>
                <c:pt idx="4">
                  <c:v>67.102000000000004</c:v>
                </c:pt>
                <c:pt idx="5">
                  <c:v>77.965999999999994</c:v>
                </c:pt>
                <c:pt idx="6">
                  <c:v>128.72200000000001</c:v>
                </c:pt>
                <c:pt idx="7">
                  <c:v>101.054</c:v>
                </c:pt>
                <c:pt idx="8">
                  <c:v>108.08799999999999</c:v>
                </c:pt>
                <c:pt idx="9">
                  <c:v>129.90100000000001</c:v>
                </c:pt>
                <c:pt idx="10">
                  <c:v>255.125</c:v>
                </c:pt>
                <c:pt idx="11">
                  <c:v>214.65100000000001</c:v>
                </c:pt>
                <c:pt idx="12">
                  <c:v>123</c:v>
                </c:pt>
                <c:pt idx="13">
                  <c:v>131</c:v>
                </c:pt>
                <c:pt idx="14">
                  <c:v>137</c:v>
                </c:pt>
                <c:pt idx="15">
                  <c:v>100</c:v>
                </c:pt>
                <c:pt idx="16">
                  <c:v>124</c:v>
                </c:pt>
                <c:pt idx="17">
                  <c:v>60</c:v>
                </c:pt>
                <c:pt idx="18">
                  <c:v>114</c:v>
                </c:pt>
                <c:pt idx="19">
                  <c:v>104.4715286939154</c:v>
                </c:pt>
                <c:pt idx="20">
                  <c:v>144.147358591846</c:v>
                </c:pt>
                <c:pt idx="21">
                  <c:v>61.045042880140322</c:v>
                </c:pt>
                <c:pt idx="22">
                  <c:v>125.61810540811801</c:v>
                </c:pt>
                <c:pt idx="23">
                  <c:v>111.62141167051531</c:v>
                </c:pt>
                <c:pt idx="24">
                  <c:v>166.91897096682183</c:v>
                </c:pt>
                <c:pt idx="25">
                  <c:v>67.045163918869562</c:v>
                </c:pt>
                <c:pt idx="26">
                  <c:v>143.93484765370738</c:v>
                </c:pt>
                <c:pt idx="27">
                  <c:v>125.79240040208512</c:v>
                </c:pt>
                <c:pt idx="28">
                  <c:v>190.20299092176705</c:v>
                </c:pt>
                <c:pt idx="29">
                  <c:v>71.961140365422651</c:v>
                </c:pt>
                <c:pt idx="30">
                  <c:v>162.18654904501233</c:v>
                </c:pt>
                <c:pt idx="31">
                  <c:v>139.06615647902592</c:v>
                </c:pt>
              </c:numCache>
            </c:numRef>
          </c:val>
          <c:extLst>
            <c:ext xmlns:c16="http://schemas.microsoft.com/office/drawing/2014/chart" uri="{C3380CC4-5D6E-409C-BE32-E72D297353CC}">
              <c16:uniqueId val="{00000004-AE0B-4ED7-A5E1-D729C991A4CB}"/>
            </c:ext>
          </c:extLst>
        </c:ser>
        <c:dLbls>
          <c:showLegendKey val="0"/>
          <c:showVal val="0"/>
          <c:showCatName val="0"/>
          <c:showSerName val="0"/>
          <c:showPercent val="0"/>
          <c:showBubbleSize val="0"/>
        </c:dLbls>
        <c:gapWidth val="30"/>
        <c:axId val="945418624"/>
        <c:axId val="945420160"/>
      </c:barChart>
      <c:lineChart>
        <c:grouping val="standard"/>
        <c:varyColors val="0"/>
        <c:ser>
          <c:idx val="1"/>
          <c:order val="1"/>
          <c:tx>
            <c:strRef>
              <c:f>Charts!$E$63</c:f>
              <c:strCache>
                <c:ptCount val="1"/>
                <c:pt idx="0">
                  <c:v>% of revenue </c:v>
                </c:pt>
              </c:strCache>
            </c:strRef>
          </c:tx>
          <c:spPr>
            <a:ln w="19050" cap="rnd" cmpd="sng" algn="ctr">
              <a:solidFill>
                <a:schemeClr val="accent3"/>
              </a:solidFill>
              <a:prstDash val="solid"/>
              <a:round/>
            </a:ln>
            <a:effectLst/>
          </c:spPr>
          <c:marker>
            <c:symbol val="none"/>
          </c:marker>
          <c:cat>
            <c:strRef>
              <c:f>Charts!$R$38:$AK$38</c:f>
              <c:strCache>
                <c:ptCount val="20"/>
                <c:pt idx="0">
                  <c:v>1Q19A</c:v>
                </c:pt>
                <c:pt idx="1">
                  <c:v>2Q19A</c:v>
                </c:pt>
                <c:pt idx="2">
                  <c:v>3Q19A</c:v>
                </c:pt>
                <c:pt idx="3">
                  <c:v>4Q19A</c:v>
                </c:pt>
                <c:pt idx="4">
                  <c:v>1Q20A</c:v>
                </c:pt>
                <c:pt idx="5">
                  <c:v>2Q20A</c:v>
                </c:pt>
                <c:pt idx="6">
                  <c:v>3Q20A</c:v>
                </c:pt>
                <c:pt idx="7">
                  <c:v>4Q20A</c:v>
                </c:pt>
                <c:pt idx="8">
                  <c:v>1Q21A</c:v>
                </c:pt>
                <c:pt idx="9">
                  <c:v>2Q21A</c:v>
                </c:pt>
                <c:pt idx="10">
                  <c:v>3Q21A</c:v>
                </c:pt>
                <c:pt idx="11">
                  <c:v>4Q21A</c:v>
                </c:pt>
                <c:pt idx="12">
                  <c:v>1Q22A</c:v>
                </c:pt>
                <c:pt idx="13">
                  <c:v>2Q22A</c:v>
                </c:pt>
                <c:pt idx="14">
                  <c:v>3Q22A</c:v>
                </c:pt>
                <c:pt idx="15">
                  <c:v>4Q22A</c:v>
                </c:pt>
                <c:pt idx="16">
                  <c:v>1Q23A</c:v>
                </c:pt>
                <c:pt idx="17">
                  <c:v>2Q23A</c:v>
                </c:pt>
                <c:pt idx="18">
                  <c:v>3Q23A</c:v>
                </c:pt>
                <c:pt idx="19">
                  <c:v>4Q23A</c:v>
                </c:pt>
              </c:strCache>
            </c:strRef>
          </c:cat>
          <c:val>
            <c:numRef>
              <c:f>Charts!$V$63:$BA$63</c:f>
              <c:numCache>
                <c:formatCode>0.0%_);\(0.0%\);0.0%_);@_)</c:formatCode>
                <c:ptCount val="32"/>
                <c:pt idx="0">
                  <c:v>9.5408307641898643E-2</c:v>
                </c:pt>
                <c:pt idx="1">
                  <c:v>0.11662077355212706</c:v>
                </c:pt>
                <c:pt idx="2">
                  <c:v>6.7498908659703802E-2</c:v>
                </c:pt>
                <c:pt idx="3">
                  <c:v>6.6883560522999888E-2</c:v>
                </c:pt>
                <c:pt idx="4">
                  <c:v>6.7872557141224324E-2</c:v>
                </c:pt>
                <c:pt idx="5">
                  <c:v>6.9647012582127743E-2</c:v>
                </c:pt>
                <c:pt idx="6">
                  <c:v>0.11454784914659975</c:v>
                </c:pt>
                <c:pt idx="7">
                  <c:v>7.3226262731662634E-2</c:v>
                </c:pt>
                <c:pt idx="8">
                  <c:v>8.9802205507870811E-2</c:v>
                </c:pt>
                <c:pt idx="9">
                  <c:v>0.1003047728180019</c:v>
                </c:pt>
                <c:pt idx="10">
                  <c:v>0.18674059434929</c:v>
                </c:pt>
                <c:pt idx="11">
                  <c:v>0.12371972439996358</c:v>
                </c:pt>
                <c:pt idx="12">
                  <c:v>8.1564986737400536E-2</c:v>
                </c:pt>
                <c:pt idx="13">
                  <c:v>7.7331759149940962E-2</c:v>
                </c:pt>
                <c:pt idx="14">
                  <c:v>7.9929988331388563E-2</c:v>
                </c:pt>
                <c:pt idx="15">
                  <c:v>4.6641791044776122E-2</c:v>
                </c:pt>
                <c:pt idx="16">
                  <c:v>6.6630843632455666E-2</c:v>
                </c:pt>
                <c:pt idx="17">
                  <c:v>2.9339853300733496E-2</c:v>
                </c:pt>
                <c:pt idx="18">
                  <c:v>5.2728954671600367E-2</c:v>
                </c:pt>
                <c:pt idx="19">
                  <c:v>3.8641791044776122E-2</c:v>
                </c:pt>
                <c:pt idx="20">
                  <c:v>6.1630843632455669E-2</c:v>
                </c:pt>
                <c:pt idx="21">
                  <c:v>2.4339853300733495E-2</c:v>
                </c:pt>
                <c:pt idx="22">
                  <c:v>4.772895467160037E-2</c:v>
                </c:pt>
                <c:pt idx="23">
                  <c:v>3.3641791044776125E-2</c:v>
                </c:pt>
                <c:pt idx="24">
                  <c:v>5.9630843632455667E-2</c:v>
                </c:pt>
                <c:pt idx="25">
                  <c:v>2.2339853300733493E-2</c:v>
                </c:pt>
                <c:pt idx="26">
                  <c:v>4.5728954671600368E-2</c:v>
                </c:pt>
                <c:pt idx="27">
                  <c:v>3.1641791044776123E-2</c:v>
                </c:pt>
                <c:pt idx="28">
                  <c:v>5.7630843632455665E-2</c:v>
                </c:pt>
                <c:pt idx="29">
                  <c:v>2.0339853300733492E-2</c:v>
                </c:pt>
                <c:pt idx="30">
                  <c:v>4.3728954671600366E-2</c:v>
                </c:pt>
                <c:pt idx="31">
                  <c:v>2.9641791044776121E-2</c:v>
                </c:pt>
              </c:numCache>
            </c:numRef>
          </c:val>
          <c:smooth val="1"/>
          <c:extLst>
            <c:ext xmlns:c16="http://schemas.microsoft.com/office/drawing/2014/chart" uri="{C3380CC4-5D6E-409C-BE32-E72D297353CC}">
              <c16:uniqueId val="{00000005-AE0B-4ED7-A5E1-D729C991A4CB}"/>
            </c:ext>
          </c:extLst>
        </c:ser>
        <c:dLbls>
          <c:showLegendKey val="0"/>
          <c:showVal val="0"/>
          <c:showCatName val="0"/>
          <c:showSerName val="0"/>
          <c:showPercent val="0"/>
          <c:showBubbleSize val="0"/>
        </c:dLbls>
        <c:marker val="1"/>
        <c:smooth val="0"/>
        <c:axId val="200588160"/>
        <c:axId val="227166032"/>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3000000" spcFirstLastPara="1" vertOverflow="ellipsis"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27166032"/>
        <c:scaling>
          <c:orientation val="minMax"/>
        </c:scaling>
        <c:delete val="0"/>
        <c:axPos val="r"/>
        <c:numFmt formatCode="0.0%_);\(0.0%\);0.0%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200588160"/>
        <c:crosses val="max"/>
        <c:crossBetween val="between"/>
        <c:majorUnit val="2.5000000000000005E-2"/>
      </c:valAx>
      <c:catAx>
        <c:axId val="200588160"/>
        <c:scaling>
          <c:orientation val="minMax"/>
        </c:scaling>
        <c:delete val="1"/>
        <c:axPos val="b"/>
        <c:numFmt formatCode="General" sourceLinked="1"/>
        <c:majorTickMark val="out"/>
        <c:minorTickMark val="none"/>
        <c:tickLblPos val="nextTo"/>
        <c:crossAx val="227166032"/>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0.49319581177537969"/>
          <c:y val="8.8670869287062887E-2"/>
          <c:w val="0.37745964771697904"/>
          <c:h val="0.21057468753413328"/>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9014784866231078E-2"/>
          <c:y val="5.8422818104298738E-2"/>
          <c:w val="0.94345102312739526"/>
          <c:h val="0.85595724167262066"/>
        </c:manualLayout>
      </c:layout>
      <c:barChart>
        <c:barDir val="col"/>
        <c:grouping val="clustered"/>
        <c:varyColors val="0"/>
        <c:ser>
          <c:idx val="0"/>
          <c:order val="0"/>
          <c:tx>
            <c:strRef>
              <c:f>Charts!$E$64</c:f>
              <c:strCache>
                <c:ptCount val="1"/>
                <c:pt idx="0">
                  <c:v>Transaction and loan losses</c:v>
                </c:pt>
              </c:strCache>
            </c:strRef>
          </c:tx>
          <c:spPr>
            <a:solidFill>
              <a:schemeClr val="accent1"/>
            </a:solidFill>
            <a:ln>
              <a:noFill/>
            </a:ln>
            <a:effectLst/>
          </c:spPr>
          <c:invertIfNegative val="0"/>
          <c:dLbls>
            <c:numFmt formatCode="&quot;$&quot;0.0,&quot;B&quot;;\(&quot;$&quot;0.0,&quot;B&quot;\);&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Charts!$CH$64:$CS$64</c:f>
              <c:numCache>
                <c:formatCode>0.0</c:formatCode>
                <c:ptCount val="12"/>
                <c:pt idx="0">
                  <c:v>0</c:v>
                </c:pt>
                <c:pt idx="1">
                  <c:v>0</c:v>
                </c:pt>
                <c:pt idx="2">
                  <c:v>0</c:v>
                </c:pt>
                <c:pt idx="3">
                  <c:v>25.169</c:v>
                </c:pt>
                <c:pt idx="4">
                  <c:v>51.848999999999997</c:v>
                </c:pt>
                <c:pt idx="5">
                  <c:v>81.716999999999999</c:v>
                </c:pt>
                <c:pt idx="6">
                  <c:v>134.929</c:v>
                </c:pt>
                <c:pt idx="7">
                  <c:v>152</c:v>
                </c:pt>
                <c:pt idx="8">
                  <c:v>223.52921981251984</c:v>
                </c:pt>
                <c:pt idx="9">
                  <c:v>289.64471614793223</c:v>
                </c:pt>
                <c:pt idx="10">
                  <c:v>346.69703087945391</c:v>
                </c:pt>
                <c:pt idx="11">
                  <c:v>408.8106226367762</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Charts!$E$65</c:f>
              <c:strCache>
                <c:ptCount val="1"/>
                <c:pt idx="0">
                  <c:v>% of revenue </c:v>
                </c:pt>
              </c:strCache>
            </c:strRef>
          </c:tx>
          <c:spPr>
            <a:ln w="28575" cap="rnd">
              <a:solidFill>
                <a:schemeClr val="accent3"/>
              </a:solidFill>
              <a:round/>
            </a:ln>
            <a:effectLst/>
          </c:spPr>
          <c:marker>
            <c:symbol val="none"/>
          </c:marker>
          <c:dLbls>
            <c:dLbl>
              <c:idx val="11"/>
              <c:layout>
                <c:manualLayout>
                  <c:x val="-3.9641207148384379E-2"/>
                  <c:y val="4.22226250792732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90-4325-BA3C-E8DB86C472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Charts!$CH$38:$CO$38</c:f>
              <c:strCache>
                <c:ptCount val="8"/>
                <c:pt idx="0">
                  <c:v>2016A</c:v>
                </c:pt>
                <c:pt idx="1">
                  <c:v>2017A</c:v>
                </c:pt>
                <c:pt idx="2">
                  <c:v>2018A</c:v>
                </c:pt>
                <c:pt idx="3">
                  <c:v>2019A</c:v>
                </c:pt>
                <c:pt idx="4">
                  <c:v>2020A</c:v>
                </c:pt>
                <c:pt idx="5">
                  <c:v>2021A</c:v>
                </c:pt>
                <c:pt idx="6">
                  <c:v>2022A</c:v>
                </c:pt>
                <c:pt idx="7">
                  <c:v>2023A</c:v>
                </c:pt>
              </c:strCache>
            </c:strRef>
          </c:cat>
          <c:val>
            <c:numRef>
              <c:f>Charts!$CH$65:$CS$65</c:f>
              <c:numCache>
                <c:formatCode>0.0%_);\(0.0%\);0.0%_);@_)</c:formatCode>
                <c:ptCount val="12"/>
                <c:pt idx="0">
                  <c:v>0</c:v>
                </c:pt>
                <c:pt idx="1">
                  <c:v>0</c:v>
                </c:pt>
                <c:pt idx="2">
                  <c:v>0</c:v>
                </c:pt>
                <c:pt idx="3">
                  <c:v>1.5948188189761198E-2</c:v>
                </c:pt>
                <c:pt idx="4">
                  <c:v>1.7698979105926591E-2</c:v>
                </c:pt>
                <c:pt idx="5">
                  <c:v>1.7718896687147215E-2</c:v>
                </c:pt>
                <c:pt idx="6">
                  <c:v>2.4095049451200955E-2</c:v>
                </c:pt>
                <c:pt idx="7">
                  <c:v>2.1529745042492918E-2</c:v>
                </c:pt>
                <c:pt idx="8">
                  <c:v>2.5483320624845828E-2</c:v>
                </c:pt>
                <c:pt idx="9">
                  <c:v>2.6827012025901945E-2</c:v>
                </c:pt>
                <c:pt idx="10">
                  <c:v>2.6827012025901945E-2</c:v>
                </c:pt>
                <c:pt idx="11">
                  <c:v>2.6827012025901941E-2</c:v>
                </c:pt>
              </c:numCache>
            </c:numRef>
          </c:val>
          <c:smooth val="1"/>
          <c:extLst>
            <c:ext xmlns:c16="http://schemas.microsoft.com/office/drawing/2014/chart" uri="{C3380CC4-5D6E-409C-BE32-E72D297353CC}">
              <c16:uniqueId val="{00000001-95CD-4672-A3EA-DF62D571BBDA}"/>
            </c:ext>
          </c:extLst>
        </c:ser>
        <c:dLbls>
          <c:showLegendKey val="0"/>
          <c:showVal val="0"/>
          <c:showCatName val="0"/>
          <c:showSerName val="0"/>
          <c:showPercent val="0"/>
          <c:showBubbleSize val="0"/>
        </c:dLbls>
        <c:marker val="1"/>
        <c:smooth val="0"/>
        <c:axId val="1316696208"/>
        <c:axId val="1316699568"/>
      </c:lineChart>
      <c:catAx>
        <c:axId val="965551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scaling>
        <c:delete val="0"/>
        <c:axPos val="l"/>
        <c:numFmt formatCode="&quot;$&quot;0.0,&quot;B&quot;;\(&quot;$&quot;0.0,&quot;B&quot;\);&quot;-&quot;"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316699568"/>
        <c:scaling>
          <c:orientation val="minMax"/>
        </c:scaling>
        <c:delete val="0"/>
        <c:axPos val="r"/>
        <c:numFmt formatCode="#,##0.0%;\(#,##0.0%\);0.0%;@"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96208"/>
        <c:crosses val="max"/>
        <c:crossBetween val="between"/>
      </c:valAx>
      <c:catAx>
        <c:axId val="1316696208"/>
        <c:scaling>
          <c:orientation val="minMax"/>
        </c:scaling>
        <c:delete val="1"/>
        <c:axPos val="b"/>
        <c:numFmt formatCode="General" sourceLinked="1"/>
        <c:majorTickMark val="none"/>
        <c:minorTickMark val="none"/>
        <c:tickLblPos val="nextTo"/>
        <c:crossAx val="1316699568"/>
        <c:crosses val="autoZero"/>
        <c:auto val="1"/>
        <c:lblAlgn val="ctr"/>
        <c:lblOffset val="100"/>
        <c:noMultiLvlLbl val="0"/>
      </c:catAx>
      <c:spPr>
        <a:noFill/>
        <a:ln>
          <a:noFill/>
        </a:ln>
        <a:effectLst/>
      </c:spPr>
    </c:plotArea>
    <c:legend>
      <c:legendPos val="b"/>
      <c:layout>
        <c:manualLayout>
          <c:xMode val="edge"/>
          <c:yMode val="edge"/>
          <c:x val="0.10442462512424075"/>
          <c:y val="5.6248585954518884E-2"/>
          <c:w val="0.5261185886826516"/>
          <c:h val="8.8653803609835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09530221448139E-2"/>
          <c:y val="5.0666527097135428E-2"/>
          <c:w val="0.91861145701550695"/>
          <c:h val="0.86308631590944007"/>
        </c:manualLayout>
      </c:layout>
      <c:barChart>
        <c:barDir val="col"/>
        <c:grouping val="clustered"/>
        <c:varyColors val="0"/>
        <c:ser>
          <c:idx val="0"/>
          <c:order val="0"/>
          <c:tx>
            <c:strRef>
              <c:f>Charts!$E$64</c:f>
              <c:strCache>
                <c:ptCount val="1"/>
                <c:pt idx="0">
                  <c:v>Transaction and loan losses</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0-6465-43DB-8726-107EB1B1F440}"/>
              </c:ext>
            </c:extLst>
          </c:dPt>
          <c:dPt>
            <c:idx val="2"/>
            <c:invertIfNegative val="0"/>
            <c:bubble3D val="0"/>
            <c:extLst>
              <c:ext xmlns:c16="http://schemas.microsoft.com/office/drawing/2014/chart" uri="{C3380CC4-5D6E-409C-BE32-E72D297353CC}">
                <c16:uniqueId val="{00000001-6465-43DB-8726-107EB1B1F440}"/>
              </c:ext>
            </c:extLst>
          </c:dPt>
          <c:dPt>
            <c:idx val="8"/>
            <c:invertIfNegative val="0"/>
            <c:bubble3D val="0"/>
            <c:extLst>
              <c:ext xmlns:c16="http://schemas.microsoft.com/office/drawing/2014/chart" uri="{C3380CC4-5D6E-409C-BE32-E72D297353CC}">
                <c16:uniqueId val="{00000002-6465-43DB-8726-107EB1B1F440}"/>
              </c:ext>
            </c:extLst>
          </c:dPt>
          <c:dPt>
            <c:idx val="9"/>
            <c:invertIfNegative val="0"/>
            <c:bubble3D val="0"/>
            <c:extLst>
              <c:ext xmlns:c16="http://schemas.microsoft.com/office/drawing/2014/chart" uri="{C3380CC4-5D6E-409C-BE32-E72D297353CC}">
                <c16:uniqueId val="{00000003-6465-43DB-8726-107EB1B1F440}"/>
              </c:ext>
            </c:extLst>
          </c:dPt>
          <c:cat>
            <c:strRef>
              <c:f>Charts!$V$38:$BA$38</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Charts!$V$64:$BA$64</c:f>
              <c:numCache>
                <c:formatCode>0.0</c:formatCode>
                <c:ptCount val="32"/>
                <c:pt idx="0">
                  <c:v>14.083</c:v>
                </c:pt>
                <c:pt idx="1">
                  <c:v>13.366</c:v>
                </c:pt>
                <c:pt idx="2">
                  <c:v>11.753</c:v>
                </c:pt>
                <c:pt idx="3">
                  <c:v>12.647</c:v>
                </c:pt>
                <c:pt idx="4">
                  <c:v>10.606</c:v>
                </c:pt>
                <c:pt idx="5">
                  <c:v>17.986000000000001</c:v>
                </c:pt>
                <c:pt idx="6">
                  <c:v>25.311</c:v>
                </c:pt>
                <c:pt idx="7">
                  <c:v>27.814</c:v>
                </c:pt>
                <c:pt idx="8">
                  <c:v>20.492999999999999</c:v>
                </c:pt>
                <c:pt idx="9">
                  <c:v>42.38</c:v>
                </c:pt>
                <c:pt idx="10">
                  <c:v>37.738</c:v>
                </c:pt>
                <c:pt idx="11">
                  <c:v>34.317999999999998</c:v>
                </c:pt>
                <c:pt idx="12">
                  <c:v>42</c:v>
                </c:pt>
                <c:pt idx="13">
                  <c:v>31</c:v>
                </c:pt>
                <c:pt idx="14">
                  <c:v>34</c:v>
                </c:pt>
                <c:pt idx="15">
                  <c:v>45</c:v>
                </c:pt>
                <c:pt idx="16">
                  <c:v>51</c:v>
                </c:pt>
                <c:pt idx="17">
                  <c:v>42</c:v>
                </c:pt>
                <c:pt idx="18">
                  <c:v>58</c:v>
                </c:pt>
                <c:pt idx="19">
                  <c:v>72.529219812519855</c:v>
                </c:pt>
                <c:pt idx="20">
                  <c:v>62.745253748384734</c:v>
                </c:pt>
                <c:pt idx="21">
                  <c:v>67.282907552194345</c:v>
                </c:pt>
                <c:pt idx="22">
                  <c:v>70.606164489493594</c:v>
                </c:pt>
                <c:pt idx="23">
                  <c:v>89.010390357859521</c:v>
                </c:pt>
                <c:pt idx="24">
                  <c:v>75.094313088686036</c:v>
                </c:pt>
                <c:pt idx="25">
                  <c:v>80.511782889416992</c:v>
                </c:pt>
                <c:pt idx="26">
                  <c:v>84.439758500546475</c:v>
                </c:pt>
                <c:pt idx="27">
                  <c:v>106.65117640080436</c:v>
                </c:pt>
                <c:pt idx="28">
                  <c:v>88.539011459953187</c:v>
                </c:pt>
                <c:pt idx="29">
                  <c:v>94.912305877407377</c:v>
                </c:pt>
                <c:pt idx="30">
                  <c:v>99.498845429657891</c:v>
                </c:pt>
                <c:pt idx="31">
                  <c:v>125.86045986975775</c:v>
                </c:pt>
              </c:numCache>
            </c:numRef>
          </c:val>
          <c:extLst>
            <c:ext xmlns:c16="http://schemas.microsoft.com/office/drawing/2014/chart" uri="{C3380CC4-5D6E-409C-BE32-E72D297353CC}">
              <c16:uniqueId val="{00000004-6465-43DB-8726-107EB1B1F440}"/>
            </c:ext>
          </c:extLst>
        </c:ser>
        <c:dLbls>
          <c:showLegendKey val="0"/>
          <c:showVal val="0"/>
          <c:showCatName val="0"/>
          <c:showSerName val="0"/>
          <c:showPercent val="0"/>
          <c:showBubbleSize val="0"/>
        </c:dLbls>
        <c:gapWidth val="30"/>
        <c:axId val="945418624"/>
        <c:axId val="945420160"/>
      </c:barChart>
      <c:lineChart>
        <c:grouping val="standard"/>
        <c:varyColors val="0"/>
        <c:ser>
          <c:idx val="1"/>
          <c:order val="1"/>
          <c:tx>
            <c:strRef>
              <c:f>Charts!$E$65</c:f>
              <c:strCache>
                <c:ptCount val="1"/>
                <c:pt idx="0">
                  <c:v>% of revenue </c:v>
                </c:pt>
              </c:strCache>
            </c:strRef>
          </c:tx>
          <c:spPr>
            <a:ln w="19050" cap="rnd" cmpd="sng" algn="ctr">
              <a:solidFill>
                <a:schemeClr val="accent3"/>
              </a:solidFill>
              <a:prstDash val="solid"/>
              <a:round/>
            </a:ln>
            <a:effectLst/>
          </c:spPr>
          <c:marker>
            <c:symbol val="none"/>
          </c:marker>
          <c:cat>
            <c:strRef>
              <c:f>Charts!$R$38:$AK$38</c:f>
              <c:strCache>
                <c:ptCount val="20"/>
                <c:pt idx="0">
                  <c:v>1Q19A</c:v>
                </c:pt>
                <c:pt idx="1">
                  <c:v>2Q19A</c:v>
                </c:pt>
                <c:pt idx="2">
                  <c:v>3Q19A</c:v>
                </c:pt>
                <c:pt idx="3">
                  <c:v>4Q19A</c:v>
                </c:pt>
                <c:pt idx="4">
                  <c:v>1Q20A</c:v>
                </c:pt>
                <c:pt idx="5">
                  <c:v>2Q20A</c:v>
                </c:pt>
                <c:pt idx="6">
                  <c:v>3Q20A</c:v>
                </c:pt>
                <c:pt idx="7">
                  <c:v>4Q20A</c:v>
                </c:pt>
                <c:pt idx="8">
                  <c:v>1Q21A</c:v>
                </c:pt>
                <c:pt idx="9">
                  <c:v>2Q21A</c:v>
                </c:pt>
                <c:pt idx="10">
                  <c:v>3Q21A</c:v>
                </c:pt>
                <c:pt idx="11">
                  <c:v>4Q21A</c:v>
                </c:pt>
                <c:pt idx="12">
                  <c:v>1Q22A</c:v>
                </c:pt>
                <c:pt idx="13">
                  <c:v>2Q22A</c:v>
                </c:pt>
                <c:pt idx="14">
                  <c:v>3Q22A</c:v>
                </c:pt>
                <c:pt idx="15">
                  <c:v>4Q22A</c:v>
                </c:pt>
                <c:pt idx="16">
                  <c:v>1Q23A</c:v>
                </c:pt>
                <c:pt idx="17">
                  <c:v>2Q23A</c:v>
                </c:pt>
                <c:pt idx="18">
                  <c:v>3Q23A</c:v>
                </c:pt>
                <c:pt idx="19">
                  <c:v>4Q23A</c:v>
                </c:pt>
              </c:strCache>
            </c:strRef>
          </c:cat>
          <c:val>
            <c:numRef>
              <c:f>Charts!$V$65:$BA$65</c:f>
              <c:numCache>
                <c:formatCode>0.0%_);\(0.0%\);0.0%_);@_)</c:formatCode>
                <c:ptCount val="32"/>
                <c:pt idx="0">
                  <c:v>2.9963766034540353E-2</c:v>
                </c:pt>
                <c:pt idx="1">
                  <c:v>1.8710951772332819E-2</c:v>
                </c:pt>
                <c:pt idx="2">
                  <c:v>1.5315250747649547E-2</c:v>
                </c:pt>
                <c:pt idx="3">
                  <c:v>1.29348786594446E-2</c:v>
                </c:pt>
                <c:pt idx="4">
                  <c:v>1.0727792629725272E-2</c:v>
                </c:pt>
                <c:pt idx="5">
                  <c:v>1.6066890289384472E-2</c:v>
                </c:pt>
                <c:pt idx="6">
                  <c:v>2.252389342730525E-2</c:v>
                </c:pt>
                <c:pt idx="7">
                  <c:v>2.0154721946864691E-2</c:v>
                </c:pt>
                <c:pt idx="8">
                  <c:v>1.7026095380364117E-2</c:v>
                </c:pt>
                <c:pt idx="9">
                  <c:v>3.2724276734027613E-2</c:v>
                </c:pt>
                <c:pt idx="10">
                  <c:v>2.7622602839994143E-2</c:v>
                </c:pt>
                <c:pt idx="11">
                  <c:v>1.9780077903005108E-2</c:v>
                </c:pt>
                <c:pt idx="12">
                  <c:v>2.7851458885941646E-2</c:v>
                </c:pt>
                <c:pt idx="13">
                  <c:v>1.8299881936245571E-2</c:v>
                </c:pt>
                <c:pt idx="14">
                  <c:v>1.9836639439906652E-2</c:v>
                </c:pt>
                <c:pt idx="15">
                  <c:v>2.0988805970149255E-2</c:v>
                </c:pt>
                <c:pt idx="16">
                  <c:v>2.7404621171413217E-2</c:v>
                </c:pt>
                <c:pt idx="17">
                  <c:v>2.0537897310513448E-2</c:v>
                </c:pt>
                <c:pt idx="18">
                  <c:v>2.6827012025901941E-2</c:v>
                </c:pt>
                <c:pt idx="19">
                  <c:v>2.6827012025901941E-2</c:v>
                </c:pt>
                <c:pt idx="20">
                  <c:v>2.6827012025901941E-2</c:v>
                </c:pt>
                <c:pt idx="21">
                  <c:v>2.6827012025901941E-2</c:v>
                </c:pt>
                <c:pt idx="22">
                  <c:v>2.6827012025901941E-2</c:v>
                </c:pt>
                <c:pt idx="23">
                  <c:v>2.6827012025901941E-2</c:v>
                </c:pt>
                <c:pt idx="24">
                  <c:v>2.6827012025901941E-2</c:v>
                </c:pt>
                <c:pt idx="25">
                  <c:v>2.6827012025901941E-2</c:v>
                </c:pt>
                <c:pt idx="26">
                  <c:v>2.6827012025901941E-2</c:v>
                </c:pt>
                <c:pt idx="27">
                  <c:v>2.6827012025901941E-2</c:v>
                </c:pt>
                <c:pt idx="28">
                  <c:v>2.6827012025901941E-2</c:v>
                </c:pt>
                <c:pt idx="29">
                  <c:v>2.6827012025901941E-2</c:v>
                </c:pt>
                <c:pt idx="30">
                  <c:v>2.6827012025901941E-2</c:v>
                </c:pt>
                <c:pt idx="31">
                  <c:v>2.6827012025901941E-2</c:v>
                </c:pt>
              </c:numCache>
            </c:numRef>
          </c:val>
          <c:smooth val="1"/>
          <c:extLst>
            <c:ext xmlns:c16="http://schemas.microsoft.com/office/drawing/2014/chart" uri="{C3380CC4-5D6E-409C-BE32-E72D297353CC}">
              <c16:uniqueId val="{00000005-6465-43DB-8726-107EB1B1F440}"/>
            </c:ext>
          </c:extLst>
        </c:ser>
        <c:dLbls>
          <c:showLegendKey val="0"/>
          <c:showVal val="0"/>
          <c:showCatName val="0"/>
          <c:showSerName val="0"/>
          <c:showPercent val="0"/>
          <c:showBubbleSize val="0"/>
        </c:dLbls>
        <c:marker val="1"/>
        <c:smooth val="0"/>
        <c:axId val="200588160"/>
        <c:axId val="227166032"/>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3720000" spcFirstLastPara="1" vertOverflow="ellipsis"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27166032"/>
        <c:scaling>
          <c:orientation val="minMax"/>
        </c:scaling>
        <c:delete val="0"/>
        <c:axPos val="r"/>
        <c:numFmt formatCode="0.0%_);\(0.0%\);0.0%_);@_)"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200588160"/>
        <c:crosses val="max"/>
        <c:crossBetween val="between"/>
        <c:majorUnit val="1.0000000000000002E-2"/>
      </c:valAx>
      <c:catAx>
        <c:axId val="200588160"/>
        <c:scaling>
          <c:orientation val="minMax"/>
        </c:scaling>
        <c:delete val="1"/>
        <c:axPos val="b"/>
        <c:numFmt formatCode="General" sourceLinked="1"/>
        <c:majorTickMark val="out"/>
        <c:minorTickMark val="none"/>
        <c:tickLblPos val="nextTo"/>
        <c:crossAx val="227166032"/>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0.4263653014875754"/>
          <c:y val="5.966307623334087E-2"/>
          <c:w val="0.37745964771697904"/>
          <c:h val="0.13432917050105461"/>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93653092918944E-2"/>
          <c:y val="5.4609675619501766E-2"/>
          <c:w val="0.91861145701550695"/>
          <c:h val="0.86308631590944007"/>
        </c:manualLayout>
      </c:layout>
      <c:barChart>
        <c:barDir val="col"/>
        <c:grouping val="stacked"/>
        <c:varyColors val="0"/>
        <c:ser>
          <c:idx val="0"/>
          <c:order val="0"/>
          <c:tx>
            <c:strRef>
              <c:f>Charts!$E$49</c:f>
              <c:strCache>
                <c:ptCount val="1"/>
                <c:pt idx="0">
                  <c:v>Merchant Solutions Gross Profit</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0-770A-4D71-B105-14D971190069}"/>
              </c:ext>
            </c:extLst>
          </c:dPt>
          <c:dPt>
            <c:idx val="2"/>
            <c:invertIfNegative val="0"/>
            <c:bubble3D val="0"/>
            <c:extLst>
              <c:ext xmlns:c16="http://schemas.microsoft.com/office/drawing/2014/chart" uri="{C3380CC4-5D6E-409C-BE32-E72D297353CC}">
                <c16:uniqueId val="{00000001-770A-4D71-B105-14D971190069}"/>
              </c:ext>
            </c:extLst>
          </c:dPt>
          <c:dPt>
            <c:idx val="8"/>
            <c:invertIfNegative val="0"/>
            <c:bubble3D val="0"/>
            <c:extLst>
              <c:ext xmlns:c16="http://schemas.microsoft.com/office/drawing/2014/chart" uri="{C3380CC4-5D6E-409C-BE32-E72D297353CC}">
                <c16:uniqueId val="{00000002-770A-4D71-B105-14D971190069}"/>
              </c:ext>
            </c:extLst>
          </c:dPt>
          <c:dPt>
            <c:idx val="9"/>
            <c:invertIfNegative val="0"/>
            <c:bubble3D val="0"/>
            <c:extLst>
              <c:ext xmlns:c16="http://schemas.microsoft.com/office/drawing/2014/chart" uri="{C3380CC4-5D6E-409C-BE32-E72D297353CC}">
                <c16:uniqueId val="{00000003-770A-4D71-B105-14D97119006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Charts!$CH$49:$CS$49</c:f>
              <c:numCache>
                <c:formatCode>"$"#,##0.0,"B"_);\("$"#,##0.0"B"\);"$"#,##0.00_);@_)</c:formatCode>
                <c:ptCount val="12"/>
                <c:pt idx="0">
                  <c:v>60.36699999999999</c:v>
                </c:pt>
                <c:pt idx="1">
                  <c:v>131.48899999999998</c:v>
                </c:pt>
                <c:pt idx="2">
                  <c:v>232.261</c:v>
                </c:pt>
                <c:pt idx="3">
                  <c:v>351.55700000000002</c:v>
                </c:pt>
                <c:pt idx="4">
                  <c:v>826.29499999999996</c:v>
                </c:pt>
                <c:pt idx="5">
                  <c:v>1403.1610000000001</c:v>
                </c:pt>
                <c:pt idx="6">
                  <c:v>1597.2269999999999</c:v>
                </c:pt>
                <c:pt idx="7">
                  <c:v>2032</c:v>
                </c:pt>
                <c:pt idx="8">
                  <c:v>2513.2349596810564</c:v>
                </c:pt>
                <c:pt idx="9">
                  <c:v>3154.5836395635329</c:v>
                </c:pt>
                <c:pt idx="10">
                  <c:v>3822.0550767694294</c:v>
                </c:pt>
                <c:pt idx="11">
                  <c:v>4551.9069537142859</c:v>
                </c:pt>
              </c:numCache>
            </c:numRef>
          </c:val>
          <c:extLst>
            <c:ext xmlns:c16="http://schemas.microsoft.com/office/drawing/2014/chart" uri="{C3380CC4-5D6E-409C-BE32-E72D297353CC}">
              <c16:uniqueId val="{00000005-770A-4D71-B105-14D971190069}"/>
            </c:ext>
          </c:extLst>
        </c:ser>
        <c:ser>
          <c:idx val="1"/>
          <c:order val="1"/>
          <c:tx>
            <c:strRef>
              <c:f>Charts!$E$48</c:f>
              <c:strCache>
                <c:ptCount val="1"/>
                <c:pt idx="0">
                  <c:v>Subscription Solution Gross Profit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Charts!$CH$48:$CS$48</c:f>
              <c:numCache>
                <c:formatCode>"$"#,##0.0,"B"_);\("$"#,##0.0"B"\);"$"#,##0.00_);@_)</c:formatCode>
                <c:ptCount val="12"/>
                <c:pt idx="0">
                  <c:v>149.12799999999999</c:v>
                </c:pt>
                <c:pt idx="1">
                  <c:v>248.76400000000001</c:v>
                </c:pt>
                <c:pt idx="2">
                  <c:v>364.00600000000003</c:v>
                </c:pt>
                <c:pt idx="3">
                  <c:v>514.08600000000001</c:v>
                </c:pt>
                <c:pt idx="4">
                  <c:v>715.22499999999991</c:v>
                </c:pt>
                <c:pt idx="5">
                  <c:v>1077.9830000000002</c:v>
                </c:pt>
                <c:pt idx="6">
                  <c:v>1156.8920000000001</c:v>
                </c:pt>
                <c:pt idx="7">
                  <c:v>1483</c:v>
                </c:pt>
                <c:pt idx="8">
                  <c:v>1922.6522129800942</c:v>
                </c:pt>
                <c:pt idx="9">
                  <c:v>2284.6345541862975</c:v>
                </c:pt>
                <c:pt idx="10">
                  <c:v>2654.3106115557157</c:v>
                </c:pt>
                <c:pt idx="11">
                  <c:v>3054.4164652720096</c:v>
                </c:pt>
              </c:numCache>
            </c:numRef>
          </c:val>
          <c:extLst>
            <c:ext xmlns:c16="http://schemas.microsoft.com/office/drawing/2014/chart" uri="{C3380CC4-5D6E-409C-BE32-E72D297353CC}">
              <c16:uniqueId val="{00000007-770A-4D71-B105-14D971190069}"/>
            </c:ext>
          </c:extLst>
        </c:ser>
        <c:dLbls>
          <c:showLegendKey val="0"/>
          <c:showVal val="0"/>
          <c:showCatName val="0"/>
          <c:showSerName val="0"/>
          <c:showPercent val="0"/>
          <c:showBubbleSize val="0"/>
        </c:dLbls>
        <c:gapWidth val="30"/>
        <c:overlap val="100"/>
        <c:axId val="945418624"/>
        <c:axId val="945420160"/>
      </c:barChart>
      <c:lineChart>
        <c:grouping val="standard"/>
        <c:varyColors val="0"/>
        <c:ser>
          <c:idx val="2"/>
          <c:order val="2"/>
          <c:tx>
            <c:strRef>
              <c:f>Charts!$E$55</c:f>
              <c:strCache>
                <c:ptCount val="1"/>
                <c:pt idx="0">
                  <c:v>Total Gross Margin</c:v>
                </c:pt>
              </c:strCache>
            </c:strRef>
          </c:tx>
          <c:spPr>
            <a:ln w="19050" cap="rnd" cmpd="sng" algn="ctr">
              <a:solidFill>
                <a:schemeClr val="accent5"/>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Charts!$CH$55:$CS$55</c:f>
              <c:numCache>
                <c:formatCode>0.0%_);\(0.0%\);0.0%_);@_)</c:formatCode>
                <c:ptCount val="12"/>
                <c:pt idx="0">
                  <c:v>0.53809107954691393</c:v>
                </c:pt>
                <c:pt idx="1">
                  <c:v>0.5647567814835498</c:v>
                </c:pt>
                <c:pt idx="2">
                  <c:v>0.55558226622649964</c:v>
                </c:pt>
                <c:pt idx="3">
                  <c:v>0.54850957404543099</c:v>
                </c:pt>
                <c:pt idx="4">
                  <c:v>0.52620745378634048</c:v>
                </c:pt>
                <c:pt idx="5">
                  <c:v>0.53799251320943231</c:v>
                </c:pt>
                <c:pt idx="6">
                  <c:v>0.4918189084592054</c:v>
                </c:pt>
                <c:pt idx="7">
                  <c:v>0.49787535410764872</c:v>
                </c:pt>
                <c:pt idx="8">
                  <c:v>0.50571077540276699</c:v>
                </c:pt>
                <c:pt idx="9">
                  <c:v>0.50378261283629167</c:v>
                </c:pt>
                <c:pt idx="10">
                  <c:v>0.50113362599072009</c:v>
                </c:pt>
                <c:pt idx="11">
                  <c:v>0.49914292470659571</c:v>
                </c:pt>
              </c:numCache>
            </c:numRef>
          </c:val>
          <c:smooth val="1"/>
          <c:extLst>
            <c:ext xmlns:c16="http://schemas.microsoft.com/office/drawing/2014/chart" uri="{C3380CC4-5D6E-409C-BE32-E72D297353CC}">
              <c16:uniqueId val="{00000010-770A-4D71-B105-14D971190069}"/>
            </c:ext>
          </c:extLst>
        </c:ser>
        <c:dLbls>
          <c:showLegendKey val="0"/>
          <c:showVal val="0"/>
          <c:showCatName val="0"/>
          <c:showSerName val="0"/>
          <c:showPercent val="0"/>
          <c:showBubbleSize val="0"/>
        </c:dLbls>
        <c:marker val="1"/>
        <c:smooth val="0"/>
        <c:axId val="852823664"/>
        <c:axId val="214573408"/>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14573408"/>
        <c:scaling>
          <c:orientation val="minMax"/>
        </c:scaling>
        <c:delete val="0"/>
        <c:axPos val="r"/>
        <c:numFmt formatCode="0.0%_);\(0.0%\);0.0%_);@_)" sourceLinked="1"/>
        <c:majorTickMark val="none"/>
        <c:minorTickMark val="none"/>
        <c:tickLblPos val="none"/>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852823664"/>
        <c:crosses val="max"/>
        <c:crossBetween val="between"/>
      </c:valAx>
      <c:catAx>
        <c:axId val="852823664"/>
        <c:scaling>
          <c:orientation val="minMax"/>
        </c:scaling>
        <c:delete val="1"/>
        <c:axPos val="b"/>
        <c:majorTickMark val="out"/>
        <c:minorTickMark val="none"/>
        <c:tickLblPos val="nextTo"/>
        <c:crossAx val="214573408"/>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0.43147164092503404"/>
          <c:y val="5.7763034228968738E-2"/>
          <c:w val="0.32160270308045863"/>
          <c:h val="0.1701021746274019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93653092918944E-2"/>
          <c:y val="5.4609675619501766E-2"/>
          <c:w val="0.85746340121949294"/>
          <c:h val="0.86308631590944007"/>
        </c:manualLayout>
      </c:layout>
      <c:barChart>
        <c:barDir val="col"/>
        <c:grouping val="stacked"/>
        <c:varyColors val="0"/>
        <c:ser>
          <c:idx val="0"/>
          <c:order val="0"/>
          <c:tx>
            <c:strRef>
              <c:f>Charts!$E$49</c:f>
              <c:strCache>
                <c:ptCount val="1"/>
                <c:pt idx="0">
                  <c:v>Merchant Solutions Gross Profit</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0-1020-4EE7-9F46-0E37F08AB9C1}"/>
              </c:ext>
            </c:extLst>
          </c:dPt>
          <c:dPt>
            <c:idx val="2"/>
            <c:invertIfNegative val="0"/>
            <c:bubble3D val="0"/>
            <c:extLst>
              <c:ext xmlns:c16="http://schemas.microsoft.com/office/drawing/2014/chart" uri="{C3380CC4-5D6E-409C-BE32-E72D297353CC}">
                <c16:uniqueId val="{00000001-1020-4EE7-9F46-0E37F08AB9C1}"/>
              </c:ext>
            </c:extLst>
          </c:dPt>
          <c:dPt>
            <c:idx val="8"/>
            <c:invertIfNegative val="0"/>
            <c:bubble3D val="0"/>
            <c:extLst>
              <c:ext xmlns:c16="http://schemas.microsoft.com/office/drawing/2014/chart" uri="{C3380CC4-5D6E-409C-BE32-E72D297353CC}">
                <c16:uniqueId val="{00000002-1020-4EE7-9F46-0E37F08AB9C1}"/>
              </c:ext>
            </c:extLst>
          </c:dPt>
          <c:dPt>
            <c:idx val="9"/>
            <c:invertIfNegative val="0"/>
            <c:bubble3D val="0"/>
            <c:extLst>
              <c:ext xmlns:c16="http://schemas.microsoft.com/office/drawing/2014/chart" uri="{C3380CC4-5D6E-409C-BE32-E72D297353CC}">
                <c16:uniqueId val="{00000003-1020-4EE7-9F46-0E37F08AB9C1}"/>
              </c:ext>
            </c:extLst>
          </c:dPt>
          <c:cat>
            <c:strRef>
              <c:f>Charts!$V$38:$BA$38</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Charts!$V$49:$BA$49</c:f>
              <c:numCache>
                <c:formatCode>0.0</c:formatCode>
                <c:ptCount val="32"/>
                <c:pt idx="0">
                  <c:v>107.053</c:v>
                </c:pt>
                <c:pt idx="1">
                  <c:v>223.00000000000006</c:v>
                </c:pt>
                <c:pt idx="2">
                  <c:v>212.04399999999998</c:v>
                </c:pt>
                <c:pt idx="3">
                  <c:v>284.19799999999998</c:v>
                </c:pt>
                <c:pt idx="4">
                  <c:v>296.41700000000003</c:v>
                </c:pt>
                <c:pt idx="5">
                  <c:v>349.65</c:v>
                </c:pt>
                <c:pt idx="6">
                  <c:v>340.05600000000004</c:v>
                </c:pt>
                <c:pt idx="7">
                  <c:v>417.03800000000001</c:v>
                </c:pt>
                <c:pt idx="8">
                  <c:v>370.42099999999999</c:v>
                </c:pt>
                <c:pt idx="9">
                  <c:v>374.43700000000001</c:v>
                </c:pt>
                <c:pt idx="10">
                  <c:v>368.34400000000005</c:v>
                </c:pt>
                <c:pt idx="11">
                  <c:v>484.02499999999998</c:v>
                </c:pt>
                <c:pt idx="12">
                  <c:v>419</c:v>
                </c:pt>
                <c:pt idx="13">
                  <c:v>476</c:v>
                </c:pt>
                <c:pt idx="14">
                  <c:v>503</c:v>
                </c:pt>
                <c:pt idx="15">
                  <c:v>634</c:v>
                </c:pt>
                <c:pt idx="16">
                  <c:v>541</c:v>
                </c:pt>
                <c:pt idx="17">
                  <c:v>579</c:v>
                </c:pt>
                <c:pt idx="18">
                  <c:v>616</c:v>
                </c:pt>
                <c:pt idx="19">
                  <c:v>777.23495968105658</c:v>
                </c:pt>
                <c:pt idx="20">
                  <c:v>691.95540236666648</c:v>
                </c:pt>
                <c:pt idx="21">
                  <c:v>718.22681510491816</c:v>
                </c:pt>
                <c:pt idx="22">
                  <c:v>766.31288623200567</c:v>
                </c:pt>
                <c:pt idx="23">
                  <c:v>978.08853585994257</c:v>
                </c:pt>
                <c:pt idx="24">
                  <c:v>838.28969468389118</c:v>
                </c:pt>
                <c:pt idx="25">
                  <c:v>870.30286290998242</c:v>
                </c:pt>
                <c:pt idx="26">
                  <c:v>928.27451590278338</c:v>
                </c:pt>
                <c:pt idx="27">
                  <c:v>1185.188003272772</c:v>
                </c:pt>
                <c:pt idx="28">
                  <c:v>998.30108899426932</c:v>
                </c:pt>
                <c:pt idx="29">
                  <c:v>1036.5848306795538</c:v>
                </c:pt>
                <c:pt idx="30">
                  <c:v>1105.3806420114013</c:v>
                </c:pt>
                <c:pt idx="31">
                  <c:v>1411.6403920290609</c:v>
                </c:pt>
              </c:numCache>
            </c:numRef>
          </c:val>
          <c:extLst>
            <c:ext xmlns:c16="http://schemas.microsoft.com/office/drawing/2014/chart" uri="{C3380CC4-5D6E-409C-BE32-E72D297353CC}">
              <c16:uniqueId val="{00000004-1020-4EE7-9F46-0E37F08AB9C1}"/>
            </c:ext>
          </c:extLst>
        </c:ser>
        <c:ser>
          <c:idx val="1"/>
          <c:order val="1"/>
          <c:tx>
            <c:strRef>
              <c:f>Charts!$E$48</c:f>
              <c:strCache>
                <c:ptCount val="1"/>
                <c:pt idx="0">
                  <c:v>Subscription Solution Gross Profit</c:v>
                </c:pt>
              </c:strCache>
            </c:strRef>
          </c:tx>
          <c:spPr>
            <a:solidFill>
              <a:schemeClr val="accent3"/>
            </a:solidFill>
            <a:ln>
              <a:noFill/>
            </a:ln>
            <a:effectLst/>
          </c:spPr>
          <c:invertIfNegative val="0"/>
          <c:cat>
            <c:strRef>
              <c:f>Charts!$V$38:$BA$38</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Charts!$V$48:$BA$48</c:f>
              <c:numCache>
                <c:formatCode>0.0</c:formatCode>
                <c:ptCount val="32"/>
                <c:pt idx="0">
                  <c:v>149.89699999999999</c:v>
                </c:pt>
                <c:pt idx="1">
                  <c:v>152.03399999999999</c:v>
                </c:pt>
                <c:pt idx="2">
                  <c:v>193.10399999999998</c:v>
                </c:pt>
                <c:pt idx="3">
                  <c:v>220.19</c:v>
                </c:pt>
                <c:pt idx="4">
                  <c:v>262.29899999999998</c:v>
                </c:pt>
                <c:pt idx="5">
                  <c:v>271.21000000000004</c:v>
                </c:pt>
                <c:pt idx="6">
                  <c:v>268.85300000000001</c:v>
                </c:pt>
                <c:pt idx="7">
                  <c:v>275.62100000000004</c:v>
                </c:pt>
                <c:pt idx="8">
                  <c:v>267.21600000000001</c:v>
                </c:pt>
                <c:pt idx="9">
                  <c:v>281.20499999999998</c:v>
                </c:pt>
                <c:pt idx="10">
                  <c:v>293.988</c:v>
                </c:pt>
                <c:pt idx="11">
                  <c:v>314.483</c:v>
                </c:pt>
                <c:pt idx="12">
                  <c:v>298</c:v>
                </c:pt>
                <c:pt idx="13">
                  <c:v>359</c:v>
                </c:pt>
                <c:pt idx="14">
                  <c:v>398</c:v>
                </c:pt>
                <c:pt idx="15">
                  <c:v>428</c:v>
                </c:pt>
                <c:pt idx="16">
                  <c:v>416</c:v>
                </c:pt>
                <c:pt idx="17">
                  <c:v>466</c:v>
                </c:pt>
                <c:pt idx="18">
                  <c:v>502</c:v>
                </c:pt>
                <c:pt idx="19">
                  <c:v>538.65221298009408</c:v>
                </c:pt>
                <c:pt idx="20">
                  <c:v>494.3468527460351</c:v>
                </c:pt>
                <c:pt idx="21">
                  <c:v>553.70792314064443</c:v>
                </c:pt>
                <c:pt idx="22">
                  <c:v>596.50434943886705</c:v>
                </c:pt>
                <c:pt idx="23">
                  <c:v>640.07542886075089</c:v>
                </c:pt>
                <c:pt idx="24">
                  <c:v>574.34874084579076</c:v>
                </c:pt>
                <c:pt idx="25">
                  <c:v>643.29079435195854</c:v>
                </c:pt>
                <c:pt idx="26">
                  <c:v>693.02067803525563</c:v>
                </c:pt>
                <c:pt idx="27">
                  <c:v>743.65039832271077</c:v>
                </c:pt>
                <c:pt idx="28">
                  <c:v>660.9384787937679</c:v>
                </c:pt>
                <c:pt idx="29">
                  <c:v>740.24499913205659</c:v>
                </c:pt>
                <c:pt idx="30">
                  <c:v>797.48089891571112</c:v>
                </c:pt>
                <c:pt idx="31">
                  <c:v>855.75208843047415</c:v>
                </c:pt>
              </c:numCache>
            </c:numRef>
          </c:val>
          <c:extLst>
            <c:ext xmlns:c16="http://schemas.microsoft.com/office/drawing/2014/chart" uri="{C3380CC4-5D6E-409C-BE32-E72D297353CC}">
              <c16:uniqueId val="{0000000D-1020-4EE7-9F46-0E37F08AB9C1}"/>
            </c:ext>
          </c:extLst>
        </c:ser>
        <c:dLbls>
          <c:showLegendKey val="0"/>
          <c:showVal val="0"/>
          <c:showCatName val="0"/>
          <c:showSerName val="0"/>
          <c:showPercent val="0"/>
          <c:showBubbleSize val="0"/>
        </c:dLbls>
        <c:gapWidth val="30"/>
        <c:overlap val="100"/>
        <c:axId val="945418624"/>
        <c:axId val="945420160"/>
      </c:barChart>
      <c:lineChart>
        <c:grouping val="standard"/>
        <c:varyColors val="0"/>
        <c:ser>
          <c:idx val="2"/>
          <c:order val="2"/>
          <c:tx>
            <c:strRef>
              <c:f>Charts!$E$55</c:f>
              <c:strCache>
                <c:ptCount val="1"/>
                <c:pt idx="0">
                  <c:v>Total Gross Margin</c:v>
                </c:pt>
              </c:strCache>
            </c:strRef>
          </c:tx>
          <c:spPr>
            <a:ln w="19050" cap="rnd" cmpd="sng" algn="ctr">
              <a:solidFill>
                <a:schemeClr val="accent5"/>
              </a:solidFill>
              <a:prstDash val="solid"/>
              <a:round/>
            </a:ln>
            <a:effectLst/>
          </c:spPr>
          <c:marker>
            <c:symbol val="none"/>
          </c:marker>
          <c:val>
            <c:numRef>
              <c:f>Charts!$V$55:$BA$55</c:f>
              <c:numCache>
                <c:formatCode>0.0%_);\(0.0%\);0.0%_);@_)</c:formatCode>
                <c:ptCount val="32"/>
                <c:pt idx="0">
                  <c:v>0.546700964466033</c:v>
                </c:pt>
                <c:pt idx="1">
                  <c:v>0.52500696446095074</c:v>
                </c:pt>
                <c:pt idx="2">
                  <c:v>0.52794547859344154</c:v>
                </c:pt>
                <c:pt idx="3">
                  <c:v>0.51586918457183062</c:v>
                </c:pt>
                <c:pt idx="4">
                  <c:v>0.56513194294829194</c:v>
                </c:pt>
                <c:pt idx="5">
                  <c:v>0.55461411681681538</c:v>
                </c:pt>
                <c:pt idx="6">
                  <c:v>0.54185932689056182</c:v>
                </c:pt>
                <c:pt idx="7">
                  <c:v>0.501918082584071</c:v>
                </c:pt>
                <c:pt idx="8">
                  <c:v>0.52976471868683139</c:v>
                </c:pt>
                <c:pt idx="9">
                  <c:v>0.50626262969446278</c:v>
                </c:pt>
                <c:pt idx="10">
                  <c:v>0.48479871175523354</c:v>
                </c:pt>
                <c:pt idx="11">
                  <c:v>0.46024099441030381</c:v>
                </c:pt>
                <c:pt idx="12">
                  <c:v>0.47546419098143233</c:v>
                </c:pt>
                <c:pt idx="13">
                  <c:v>0.49291617473435656</c:v>
                </c:pt>
                <c:pt idx="14">
                  <c:v>0.52567094515752621</c:v>
                </c:pt>
                <c:pt idx="15">
                  <c:v>0.49533582089552236</c:v>
                </c:pt>
                <c:pt idx="16">
                  <c:v>0.51423965609887157</c:v>
                </c:pt>
                <c:pt idx="17">
                  <c:v>0.51100244498777503</c:v>
                </c:pt>
                <c:pt idx="18">
                  <c:v>0.51711378353376503</c:v>
                </c:pt>
                <c:pt idx="19">
                  <c:v>0.48671860936820865</c:v>
                </c:pt>
                <c:pt idx="20">
                  <c:v>0.50720880007728575</c:v>
                </c:pt>
                <c:pt idx="21">
                  <c:v>0.50714527300423251</c:v>
                </c:pt>
                <c:pt idx="22">
                  <c:v>0.51780626571054189</c:v>
                </c:pt>
                <c:pt idx="23">
                  <c:v>0.48770153649382481</c:v>
                </c:pt>
                <c:pt idx="24">
                  <c:v>0.50465696721201858</c:v>
                </c:pt>
                <c:pt idx="25">
                  <c:v>0.50433854261389621</c:v>
                </c:pt>
                <c:pt idx="26">
                  <c:v>0.51509509782682894</c:v>
                </c:pt>
                <c:pt idx="27">
                  <c:v>0.48517956146270169</c:v>
                </c:pt>
                <c:pt idx="28">
                  <c:v>0.50274380868861746</c:v>
                </c:pt>
                <c:pt idx="29">
                  <c:v>0.50222186440087202</c:v>
                </c:pt>
                <c:pt idx="30">
                  <c:v>0.51305207835971445</c:v>
                </c:pt>
                <c:pt idx="31">
                  <c:v>0.48329209510018184</c:v>
                </c:pt>
              </c:numCache>
            </c:numRef>
          </c:val>
          <c:smooth val="1"/>
          <c:extLst>
            <c:ext xmlns:c16="http://schemas.microsoft.com/office/drawing/2014/chart" uri="{C3380CC4-5D6E-409C-BE32-E72D297353CC}">
              <c16:uniqueId val="{0000000E-1020-4EE7-9F46-0E37F08AB9C1}"/>
            </c:ext>
          </c:extLst>
        </c:ser>
        <c:dLbls>
          <c:showLegendKey val="0"/>
          <c:showVal val="0"/>
          <c:showCatName val="0"/>
          <c:showSerName val="0"/>
          <c:showPercent val="0"/>
          <c:showBubbleSize val="0"/>
        </c:dLbls>
        <c:marker val="1"/>
        <c:smooth val="0"/>
        <c:axId val="852823664"/>
        <c:axId val="214573408"/>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14573408"/>
        <c:scaling>
          <c:orientation val="minMax"/>
        </c:scaling>
        <c:delete val="0"/>
        <c:axPos val="r"/>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852823664"/>
        <c:crosses val="max"/>
        <c:crossBetween val="between"/>
      </c:valAx>
      <c:catAx>
        <c:axId val="852823664"/>
        <c:scaling>
          <c:orientation val="minMax"/>
        </c:scaling>
        <c:delete val="1"/>
        <c:axPos val="b"/>
        <c:majorTickMark val="out"/>
        <c:minorTickMark val="none"/>
        <c:tickLblPos val="nextTo"/>
        <c:crossAx val="214573408"/>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7.6305854756706093E-2"/>
          <c:y val="0.30548628142793627"/>
          <c:w val="0.41890844856618731"/>
          <c:h val="0.1701021746274019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93653092918944E-2"/>
          <c:y val="5.4609675619501766E-2"/>
          <c:w val="0.91861145701550695"/>
          <c:h val="0.86308631590944007"/>
        </c:manualLayout>
      </c:layout>
      <c:barChart>
        <c:barDir val="col"/>
        <c:grouping val="stacked"/>
        <c:varyColors val="0"/>
        <c:ser>
          <c:idx val="0"/>
          <c:order val="0"/>
          <c:tx>
            <c:strRef>
              <c:f>Charts!$E$44</c:f>
              <c:strCache>
                <c:ptCount val="1"/>
                <c:pt idx="0">
                  <c:v>Total Cost of Revenue</c:v>
                </c:pt>
              </c:strCache>
            </c:strRef>
          </c:tx>
          <c:spPr>
            <a:solidFill>
              <a:schemeClr val="accent4">
                <a:lumMod val="40000"/>
                <a:lumOff val="60000"/>
              </a:schemeClr>
            </a:solidFill>
            <a:ln>
              <a:noFill/>
            </a:ln>
            <a:effectLst/>
          </c:spPr>
          <c:invertIfNegative val="0"/>
          <c:dPt>
            <c:idx val="1"/>
            <c:invertIfNegative val="0"/>
            <c:bubble3D val="0"/>
            <c:extLst>
              <c:ext xmlns:c16="http://schemas.microsoft.com/office/drawing/2014/chart" uri="{C3380CC4-5D6E-409C-BE32-E72D297353CC}">
                <c16:uniqueId val="{00000000-C3A8-46DA-B002-B344E1BC1631}"/>
              </c:ext>
            </c:extLst>
          </c:dPt>
          <c:dPt>
            <c:idx val="2"/>
            <c:invertIfNegative val="0"/>
            <c:bubble3D val="0"/>
            <c:extLst>
              <c:ext xmlns:c16="http://schemas.microsoft.com/office/drawing/2014/chart" uri="{C3380CC4-5D6E-409C-BE32-E72D297353CC}">
                <c16:uniqueId val="{00000001-C3A8-46DA-B002-B344E1BC1631}"/>
              </c:ext>
            </c:extLst>
          </c:dPt>
          <c:dPt>
            <c:idx val="8"/>
            <c:invertIfNegative val="0"/>
            <c:bubble3D val="0"/>
            <c:extLst>
              <c:ext xmlns:c16="http://schemas.microsoft.com/office/drawing/2014/chart" uri="{C3380CC4-5D6E-409C-BE32-E72D297353CC}">
                <c16:uniqueId val="{00000002-C3A8-46DA-B002-B344E1BC1631}"/>
              </c:ext>
            </c:extLst>
          </c:dPt>
          <c:dPt>
            <c:idx val="9"/>
            <c:invertIfNegative val="0"/>
            <c:bubble3D val="0"/>
            <c:extLst>
              <c:ext xmlns:c16="http://schemas.microsoft.com/office/drawing/2014/chart" uri="{C3380CC4-5D6E-409C-BE32-E72D297353CC}">
                <c16:uniqueId val="{00000003-C3A8-46DA-B002-B344E1BC16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Charts!$CH$44:$CS$44</c:f>
              <c:numCache>
                <c:formatCode>0.0</c:formatCode>
                <c:ptCount val="12"/>
                <c:pt idx="0">
                  <c:v>179.83499999999998</c:v>
                </c:pt>
                <c:pt idx="1">
                  <c:v>293.05099999999999</c:v>
                </c:pt>
                <c:pt idx="2">
                  <c:v>476.96199999999999</c:v>
                </c:pt>
                <c:pt idx="3">
                  <c:v>712.53</c:v>
                </c:pt>
                <c:pt idx="4">
                  <c:v>1387.9709999999998</c:v>
                </c:pt>
                <c:pt idx="5">
                  <c:v>2130.712</c:v>
                </c:pt>
                <c:pt idx="6">
                  <c:v>2845.7450000000003</c:v>
                </c:pt>
                <c:pt idx="7">
                  <c:v>3545</c:v>
                </c:pt>
                <c:pt idx="8">
                  <c:v>4335.7020210400206</c:v>
                </c:pt>
                <c:pt idx="9">
                  <c:v>5357.53829438516</c:v>
                </c:pt>
                <c:pt idx="10">
                  <c:v>6447.0650144572564</c:v>
                </c:pt>
                <c:pt idx="11">
                  <c:v>7632.4449627500881</c:v>
                </c:pt>
              </c:numCache>
            </c:numRef>
          </c:val>
          <c:extLst>
            <c:ext xmlns:c16="http://schemas.microsoft.com/office/drawing/2014/chart" uri="{C3380CC4-5D6E-409C-BE32-E72D297353CC}">
              <c16:uniqueId val="{00000004-C3A8-46DA-B002-B344E1BC1631}"/>
            </c:ext>
          </c:extLst>
        </c:ser>
        <c:dLbls>
          <c:showLegendKey val="0"/>
          <c:showVal val="0"/>
          <c:showCatName val="0"/>
          <c:showSerName val="0"/>
          <c:showPercent val="0"/>
          <c:showBubbleSize val="0"/>
        </c:dLbls>
        <c:gapWidth val="30"/>
        <c:overlap val="100"/>
        <c:axId val="945418624"/>
        <c:axId val="945420160"/>
      </c:barChart>
      <c:lineChart>
        <c:grouping val="standard"/>
        <c:varyColors val="0"/>
        <c:ser>
          <c:idx val="2"/>
          <c:order val="1"/>
          <c:tx>
            <c:strRef>
              <c:f>Charts!$E$45</c:f>
              <c:strCache>
                <c:ptCount val="1"/>
                <c:pt idx="0">
                  <c:v>% of total revenue </c:v>
                </c:pt>
              </c:strCache>
            </c:strRef>
          </c:tx>
          <c:spPr>
            <a:ln w="19050" cap="rnd" cmpd="sng" algn="ctr">
              <a:solidFill>
                <a:schemeClr val="accent5"/>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Charts!$CH$45:$CS$45</c:f>
              <c:numCache>
                <c:formatCode>0.0%_);\(0.0%\);0.0%_);@_)</c:formatCode>
                <c:ptCount val="12"/>
                <c:pt idx="0">
                  <c:v>0.46190892045308601</c:v>
                </c:pt>
                <c:pt idx="1">
                  <c:v>0.4352432185164502</c:v>
                </c:pt>
                <c:pt idx="2">
                  <c:v>0.44441773377350041</c:v>
                </c:pt>
                <c:pt idx="3">
                  <c:v>0.45149042595456895</c:v>
                </c:pt>
                <c:pt idx="4">
                  <c:v>0.47379254621365957</c:v>
                </c:pt>
                <c:pt idx="5">
                  <c:v>0.46200748679056763</c:v>
                </c:pt>
                <c:pt idx="6">
                  <c:v>0.5081810915407946</c:v>
                </c:pt>
                <c:pt idx="7">
                  <c:v>0.50212464589235128</c:v>
                </c:pt>
                <c:pt idx="8">
                  <c:v>0.49428922459723307</c:v>
                </c:pt>
                <c:pt idx="9">
                  <c:v>0.49621738716370833</c:v>
                </c:pt>
                <c:pt idx="10">
                  <c:v>0.49886637400927991</c:v>
                </c:pt>
                <c:pt idx="11">
                  <c:v>0.50085707529340429</c:v>
                </c:pt>
              </c:numCache>
            </c:numRef>
          </c:val>
          <c:smooth val="1"/>
          <c:extLst>
            <c:ext xmlns:c16="http://schemas.microsoft.com/office/drawing/2014/chart" uri="{C3380CC4-5D6E-409C-BE32-E72D297353CC}">
              <c16:uniqueId val="{0000000E-C3A8-46DA-B002-B344E1BC1631}"/>
            </c:ext>
          </c:extLst>
        </c:ser>
        <c:dLbls>
          <c:showLegendKey val="0"/>
          <c:showVal val="0"/>
          <c:showCatName val="0"/>
          <c:showSerName val="0"/>
          <c:showPercent val="0"/>
          <c:showBubbleSize val="0"/>
        </c:dLbls>
        <c:marker val="1"/>
        <c:smooth val="0"/>
        <c:axId val="852823664"/>
        <c:axId val="214573408"/>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0" sourceLinked="0"/>
        <c:majorTickMark val="out"/>
        <c:minorTickMark val="none"/>
        <c:tickLblPos val="none"/>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14573408"/>
        <c:scaling>
          <c:orientation val="minMax"/>
        </c:scaling>
        <c:delete val="0"/>
        <c:axPos val="r"/>
        <c:numFmt formatCode="0.0%_);\(0.0%\);0.0%_);@_)" sourceLinked="1"/>
        <c:majorTickMark val="out"/>
        <c:minorTickMark val="none"/>
        <c:tickLblPos val="none"/>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852823664"/>
        <c:crosses val="max"/>
        <c:crossBetween val="between"/>
      </c:valAx>
      <c:catAx>
        <c:axId val="852823664"/>
        <c:scaling>
          <c:orientation val="minMax"/>
        </c:scaling>
        <c:delete val="1"/>
        <c:axPos val="b"/>
        <c:majorTickMark val="out"/>
        <c:minorTickMark val="none"/>
        <c:tickLblPos val="nextTo"/>
        <c:crossAx val="214573408"/>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0.13947584473262947"/>
          <c:y val="5.7762955444089631E-2"/>
          <c:w val="0.32160270308045863"/>
          <c:h val="0.1701021746274019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Summary!$N$85</c:f>
              <c:strCache>
                <c:ptCount val="1"/>
                <c:pt idx="0">
                  <c:v>SHOP EV/EBITDA</c:v>
                </c:pt>
              </c:strCache>
            </c:strRef>
          </c:tx>
          <c:spPr>
            <a:ln w="28575" cap="rnd">
              <a:solidFill>
                <a:schemeClr val="accent3"/>
              </a:solidFill>
              <a:round/>
            </a:ln>
            <a:effectLst/>
          </c:spPr>
          <c:marker>
            <c:symbol val="none"/>
          </c:marker>
          <c:cat>
            <c:numRef>
              <c:f>Summary!$B$451:$B$498</c:f>
              <c:numCache>
                <c:formatCode>m/d/yyyy</c:formatCode>
                <c:ptCount val="48"/>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numCache>
            </c:numRef>
          </c:cat>
          <c:val>
            <c:numRef>
              <c:f>Summary!$N$451:$N$498</c:f>
              <c:numCache>
                <c:formatCode>0.0\x</c:formatCode>
                <c:ptCount val="48"/>
                <c:pt idx="0">
                  <c:v>67.305004059332987</c:v>
                </c:pt>
                <c:pt idx="1">
                  <c:v>72.766395366015175</c:v>
                </c:pt>
                <c:pt idx="2">
                  <c:v>70.817253312690013</c:v>
                </c:pt>
                <c:pt idx="3">
                  <c:v>71.90566509996836</c:v>
                </c:pt>
                <c:pt idx="4">
                  <c:v>72.684428462246515</c:v>
                </c:pt>
                <c:pt idx="5">
                  <c:v>79.10343832373465</c:v>
                </c:pt>
                <c:pt idx="6">
                  <c:v>72.074744962479372</c:v>
                </c:pt>
                <c:pt idx="7">
                  <c:v>66.903121337312442</c:v>
                </c:pt>
                <c:pt idx="8">
                  <c:v>66.851847712851253</c:v>
                </c:pt>
                <c:pt idx="9">
                  <c:v>67.216157245298049</c:v>
                </c:pt>
                <c:pt idx="10">
                  <c:v>68.328915204904675</c:v>
                </c:pt>
                <c:pt idx="11">
                  <c:v>69.293704976932929</c:v>
                </c:pt>
                <c:pt idx="12">
                  <c:v>67.44139487894239</c:v>
                </c:pt>
                <c:pt idx="13">
                  <c:v>65.014240614470651</c:v>
                </c:pt>
                <c:pt idx="14">
                  <c:v>60.277883839867421</c:v>
                </c:pt>
                <c:pt idx="15">
                  <c:v>59.408767257233706</c:v>
                </c:pt>
                <c:pt idx="16">
                  <c:v>58.868148659214462</c:v>
                </c:pt>
                <c:pt idx="17">
                  <c:v>61.1753084265072</c:v>
                </c:pt>
                <c:pt idx="18">
                  <c:v>51.823251328015729</c:v>
                </c:pt>
                <c:pt idx="19">
                  <c:v>51.09528170170524</c:v>
                </c:pt>
                <c:pt idx="20">
                  <c:v>49.723469887094026</c:v>
                </c:pt>
                <c:pt idx="21">
                  <c:v>51.44285956199802</c:v>
                </c:pt>
                <c:pt idx="22">
                  <c:v>53.414345274442574</c:v>
                </c:pt>
                <c:pt idx="23">
                  <c:v>58.700931725283624</c:v>
                </c:pt>
                <c:pt idx="24">
                  <c:v>56.009575617355772</c:v>
                </c:pt>
                <c:pt idx="25">
                  <c:v>55.670248254025651</c:v>
                </c:pt>
                <c:pt idx="26">
                  <c:v>56.664010738252493</c:v>
                </c:pt>
                <c:pt idx="27">
                  <c:v>53.993029993186809</c:v>
                </c:pt>
                <c:pt idx="28">
                  <c:v>52.123318349796605</c:v>
                </c:pt>
                <c:pt idx="29">
                  <c:v>48.946119349629079</c:v>
                </c:pt>
                <c:pt idx="30">
                  <c:v>43.886477770547486</c:v>
                </c:pt>
                <c:pt idx="31">
                  <c:v>52.616420126659413</c:v>
                </c:pt>
                <c:pt idx="32">
                  <c:v>56.798958296328344</c:v>
                </c:pt>
                <c:pt idx="33">
                  <c:v>57.865370987423908</c:v>
                </c:pt>
                <c:pt idx="34">
                  <c:v>55.941536217827732</c:v>
                </c:pt>
                <c:pt idx="35">
                  <c:v>49.818687058623105</c:v>
                </c:pt>
                <c:pt idx="36">
                  <c:v>53.429504698035949</c:v>
                </c:pt>
                <c:pt idx="37">
                  <c:v>57.870559270481465</c:v>
                </c:pt>
                <c:pt idx="38">
                  <c:v>58.178181510712143</c:v>
                </c:pt>
                <c:pt idx="39">
                  <c:v>60.260516103974822</c:v>
                </c:pt>
                <c:pt idx="40">
                  <c:v>60.459288124105946</c:v>
                </c:pt>
                <c:pt idx="41">
                  <c:v>59.79353899832207</c:v>
                </c:pt>
                <c:pt idx="42">
                  <c:v>56.723246501818728</c:v>
                </c:pt>
                <c:pt idx="43">
                  <c:v>56.408281750104436</c:v>
                </c:pt>
                <c:pt idx="44">
                  <c:v>62.073674949433908</c:v>
                </c:pt>
                <c:pt idx="45">
                  <c:v>72.084186383960031</c:v>
                </c:pt>
                <c:pt idx="46">
                  <c:v>70.612422587144465</c:v>
                </c:pt>
                <c:pt idx="47">
                  <c:v>76.121280904885992</c:v>
                </c:pt>
              </c:numCache>
            </c:numRef>
          </c:val>
          <c:smooth val="0"/>
          <c:extLst>
            <c:ext xmlns:c16="http://schemas.microsoft.com/office/drawing/2014/chart" uri="{C3380CC4-5D6E-409C-BE32-E72D297353CC}">
              <c16:uniqueId val="{00000000-9003-4D76-8BA6-14E4769EC0C5}"/>
            </c:ext>
          </c:extLst>
        </c:ser>
        <c:ser>
          <c:idx val="1"/>
          <c:order val="1"/>
          <c:tx>
            <c:strRef>
              <c:f>Summary!$O$85</c:f>
              <c:strCache>
                <c:ptCount val="1"/>
                <c:pt idx="0">
                  <c:v>SHOP Mean</c:v>
                </c:pt>
              </c:strCache>
            </c:strRef>
          </c:tx>
          <c:spPr>
            <a:ln w="28575" cap="rnd">
              <a:solidFill>
                <a:schemeClr val="accent3"/>
              </a:solidFill>
              <a:prstDash val="sysDash"/>
              <a:round/>
            </a:ln>
            <a:effectLst/>
          </c:spPr>
          <c:marker>
            <c:symbol val="none"/>
          </c:marker>
          <c:cat>
            <c:numRef>
              <c:f>Summary!$B$451:$B$498</c:f>
              <c:numCache>
                <c:formatCode>m/d/yyyy</c:formatCode>
                <c:ptCount val="48"/>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numCache>
            </c:numRef>
          </c:cat>
          <c:val>
            <c:numRef>
              <c:f>Summary!$O$451:$O$498</c:f>
              <c:numCache>
                <c:formatCode>0.0\x_);\(0.0\x\)</c:formatCode>
                <c:ptCount val="48"/>
                <c:pt idx="0">
                  <c:v>61.840666619098997</c:v>
                </c:pt>
                <c:pt idx="1">
                  <c:v>61.840666619098997</c:v>
                </c:pt>
                <c:pt idx="2">
                  <c:v>61.840666619098997</c:v>
                </c:pt>
                <c:pt idx="3">
                  <c:v>61.840666619098997</c:v>
                </c:pt>
                <c:pt idx="4">
                  <c:v>61.840666619098997</c:v>
                </c:pt>
                <c:pt idx="5">
                  <c:v>61.840666619098997</c:v>
                </c:pt>
                <c:pt idx="6">
                  <c:v>61.840666619098997</c:v>
                </c:pt>
                <c:pt idx="7">
                  <c:v>61.840666619098997</c:v>
                </c:pt>
                <c:pt idx="8">
                  <c:v>61.840666619098997</c:v>
                </c:pt>
                <c:pt idx="9">
                  <c:v>61.840666619098997</c:v>
                </c:pt>
                <c:pt idx="10">
                  <c:v>61.840666619098997</c:v>
                </c:pt>
                <c:pt idx="11">
                  <c:v>61.840666619098997</c:v>
                </c:pt>
                <c:pt idx="12">
                  <c:v>61.840666619098997</c:v>
                </c:pt>
                <c:pt idx="13">
                  <c:v>61.840666619098997</c:v>
                </c:pt>
                <c:pt idx="14">
                  <c:v>61.840666619098997</c:v>
                </c:pt>
                <c:pt idx="15">
                  <c:v>61.840666619098997</c:v>
                </c:pt>
                <c:pt idx="16">
                  <c:v>61.840666619098997</c:v>
                </c:pt>
                <c:pt idx="17">
                  <c:v>61.840666619098997</c:v>
                </c:pt>
                <c:pt idx="18">
                  <c:v>61.840666619098997</c:v>
                </c:pt>
                <c:pt idx="19">
                  <c:v>61.840666619098997</c:v>
                </c:pt>
                <c:pt idx="20">
                  <c:v>61.840666619098997</c:v>
                </c:pt>
                <c:pt idx="21">
                  <c:v>61.840666619098997</c:v>
                </c:pt>
                <c:pt idx="22">
                  <c:v>61.840666619098997</c:v>
                </c:pt>
                <c:pt idx="23">
                  <c:v>61.840666619098997</c:v>
                </c:pt>
                <c:pt idx="24">
                  <c:v>61.840666619098997</c:v>
                </c:pt>
                <c:pt idx="25">
                  <c:v>61.840666619098997</c:v>
                </c:pt>
                <c:pt idx="26">
                  <c:v>61.840666619098997</c:v>
                </c:pt>
                <c:pt idx="27">
                  <c:v>61.840666619098997</c:v>
                </c:pt>
                <c:pt idx="28">
                  <c:v>61.840666619098997</c:v>
                </c:pt>
                <c:pt idx="29">
                  <c:v>61.840666619098997</c:v>
                </c:pt>
                <c:pt idx="30">
                  <c:v>61.840666619098997</c:v>
                </c:pt>
                <c:pt idx="31">
                  <c:v>61.840666619098997</c:v>
                </c:pt>
                <c:pt idx="32">
                  <c:v>61.840666619098997</c:v>
                </c:pt>
                <c:pt idx="33">
                  <c:v>61.840666619098997</c:v>
                </c:pt>
                <c:pt idx="34">
                  <c:v>61.840666619098997</c:v>
                </c:pt>
                <c:pt idx="35">
                  <c:v>61.840666619098997</c:v>
                </c:pt>
                <c:pt idx="36">
                  <c:v>61.840666619098997</c:v>
                </c:pt>
                <c:pt idx="37">
                  <c:v>61.840666619098997</c:v>
                </c:pt>
                <c:pt idx="38">
                  <c:v>61.840666619098997</c:v>
                </c:pt>
                <c:pt idx="39">
                  <c:v>61.840666619098997</c:v>
                </c:pt>
                <c:pt idx="40">
                  <c:v>61.840666619098997</c:v>
                </c:pt>
                <c:pt idx="41">
                  <c:v>61.840666619098997</c:v>
                </c:pt>
                <c:pt idx="42">
                  <c:v>61.840666619098997</c:v>
                </c:pt>
                <c:pt idx="43">
                  <c:v>61.840666619098997</c:v>
                </c:pt>
                <c:pt idx="44">
                  <c:v>61.840666619098997</c:v>
                </c:pt>
                <c:pt idx="45">
                  <c:v>61.840666619098997</c:v>
                </c:pt>
                <c:pt idx="46">
                  <c:v>61.840666619098997</c:v>
                </c:pt>
                <c:pt idx="47">
                  <c:v>61.840666619098997</c:v>
                </c:pt>
              </c:numCache>
            </c:numRef>
          </c:val>
          <c:smooth val="0"/>
          <c:extLst>
            <c:ext xmlns:c16="http://schemas.microsoft.com/office/drawing/2014/chart" uri="{C3380CC4-5D6E-409C-BE32-E72D297353CC}">
              <c16:uniqueId val="{00000001-9003-4D76-8BA6-14E4769EC0C5}"/>
            </c:ext>
          </c:extLst>
        </c:ser>
        <c:ser>
          <c:idx val="2"/>
          <c:order val="2"/>
          <c:tx>
            <c:strRef>
              <c:f>Summary!$P$85</c:f>
              <c:strCache>
                <c:ptCount val="1"/>
                <c:pt idx="0">
                  <c:v>Large Cap EV/EBITDA</c:v>
                </c:pt>
              </c:strCache>
            </c:strRef>
          </c:tx>
          <c:spPr>
            <a:ln w="28575" cap="rnd">
              <a:solidFill>
                <a:schemeClr val="accent1"/>
              </a:solidFill>
              <a:round/>
            </a:ln>
            <a:effectLst/>
          </c:spPr>
          <c:marker>
            <c:symbol val="none"/>
          </c:marker>
          <c:cat>
            <c:numRef>
              <c:f>Summary!$B$451:$B$498</c:f>
              <c:numCache>
                <c:formatCode>m/d/yyyy</c:formatCode>
                <c:ptCount val="48"/>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numCache>
            </c:numRef>
          </c:cat>
          <c:val>
            <c:numRef>
              <c:f>Summary!$P$451:$P$498</c:f>
              <c:numCache>
                <c:formatCode>0.0\x_);\(0.0\x\)</c:formatCode>
                <c:ptCount val="48"/>
                <c:pt idx="0">
                  <c:v>20.336770282624691</c:v>
                </c:pt>
                <c:pt idx="1">
                  <c:v>20.731352329240199</c:v>
                </c:pt>
                <c:pt idx="2">
                  <c:v>20.577087345784452</c:v>
                </c:pt>
                <c:pt idx="3">
                  <c:v>20.631989599997276</c:v>
                </c:pt>
                <c:pt idx="4">
                  <c:v>20.837760528225981</c:v>
                </c:pt>
                <c:pt idx="5">
                  <c:v>18.892593076754146</c:v>
                </c:pt>
                <c:pt idx="6">
                  <c:v>19.599660067011115</c:v>
                </c:pt>
                <c:pt idx="7">
                  <c:v>19.126646223440225</c:v>
                </c:pt>
                <c:pt idx="8">
                  <c:v>19.620605268982764</c:v>
                </c:pt>
                <c:pt idx="9">
                  <c:v>19.76348570027811</c:v>
                </c:pt>
                <c:pt idx="10">
                  <c:v>18.716052253420511</c:v>
                </c:pt>
                <c:pt idx="11">
                  <c:v>19.613826152221183</c:v>
                </c:pt>
                <c:pt idx="12">
                  <c:v>19.356153502368567</c:v>
                </c:pt>
                <c:pt idx="13">
                  <c:v>19.003001624404263</c:v>
                </c:pt>
                <c:pt idx="14">
                  <c:v>18.672667802510638</c:v>
                </c:pt>
                <c:pt idx="15">
                  <c:v>17.443197596944227</c:v>
                </c:pt>
                <c:pt idx="16">
                  <c:v>18.025047501054875</c:v>
                </c:pt>
                <c:pt idx="17">
                  <c:v>18.214022552857408</c:v>
                </c:pt>
                <c:pt idx="18">
                  <c:v>18.050483354122527</c:v>
                </c:pt>
                <c:pt idx="19">
                  <c:v>18.257913904378821</c:v>
                </c:pt>
                <c:pt idx="20">
                  <c:v>17.777980531636285</c:v>
                </c:pt>
                <c:pt idx="21">
                  <c:v>17.561490447825353</c:v>
                </c:pt>
                <c:pt idx="22">
                  <c:v>17.987069933627772</c:v>
                </c:pt>
                <c:pt idx="23">
                  <c:v>18.04837962176606</c:v>
                </c:pt>
                <c:pt idx="24">
                  <c:v>18.154900254045899</c:v>
                </c:pt>
                <c:pt idx="25">
                  <c:v>18.373892160427403</c:v>
                </c:pt>
                <c:pt idx="26">
                  <c:v>18.360524325129088</c:v>
                </c:pt>
                <c:pt idx="27">
                  <c:v>18.008796829550732</c:v>
                </c:pt>
                <c:pt idx="28">
                  <c:v>17.27397627247127</c:v>
                </c:pt>
                <c:pt idx="29">
                  <c:v>16.462455429983617</c:v>
                </c:pt>
                <c:pt idx="30">
                  <c:v>14.952876021633061</c:v>
                </c:pt>
                <c:pt idx="31">
                  <c:v>15.609636238446493</c:v>
                </c:pt>
                <c:pt idx="32">
                  <c:v>16.136391544065532</c:v>
                </c:pt>
                <c:pt idx="33">
                  <c:v>16.543106083646339</c:v>
                </c:pt>
                <c:pt idx="34">
                  <c:v>16.433139190044013</c:v>
                </c:pt>
                <c:pt idx="35">
                  <c:v>15.557931816227615</c:v>
                </c:pt>
                <c:pt idx="36">
                  <c:v>16.356599091501693</c:v>
                </c:pt>
                <c:pt idx="37">
                  <c:v>17.139080314728261</c:v>
                </c:pt>
                <c:pt idx="38">
                  <c:v>17.363958546292857</c:v>
                </c:pt>
                <c:pt idx="39">
                  <c:v>17.397879041049578</c:v>
                </c:pt>
                <c:pt idx="40">
                  <c:v>17.859013210372694</c:v>
                </c:pt>
                <c:pt idx="41">
                  <c:v>17.751248900030006</c:v>
                </c:pt>
                <c:pt idx="42">
                  <c:v>17.429711577545273</c:v>
                </c:pt>
                <c:pt idx="43">
                  <c:v>17.489150271109565</c:v>
                </c:pt>
                <c:pt idx="44">
                  <c:v>18.215374504508244</c:v>
                </c:pt>
                <c:pt idx="45">
                  <c:v>17.70239025793953</c:v>
                </c:pt>
                <c:pt idx="46">
                  <c:v>18.524121244291713</c:v>
                </c:pt>
                <c:pt idx="47">
                  <c:v>18.637116058461775</c:v>
                </c:pt>
              </c:numCache>
            </c:numRef>
          </c:val>
          <c:smooth val="0"/>
          <c:extLst>
            <c:ext xmlns:c16="http://schemas.microsoft.com/office/drawing/2014/chart" uri="{C3380CC4-5D6E-409C-BE32-E72D297353CC}">
              <c16:uniqueId val="{00000002-9003-4D76-8BA6-14E4769EC0C5}"/>
            </c:ext>
          </c:extLst>
        </c:ser>
        <c:ser>
          <c:idx val="3"/>
          <c:order val="3"/>
          <c:tx>
            <c:strRef>
              <c:f>Summary!$Q$85</c:f>
              <c:strCache>
                <c:ptCount val="1"/>
                <c:pt idx="0">
                  <c:v>Large Cap Mean</c:v>
                </c:pt>
              </c:strCache>
            </c:strRef>
          </c:tx>
          <c:spPr>
            <a:ln w="28575" cap="rnd">
              <a:solidFill>
                <a:schemeClr val="accent1">
                  <a:lumMod val="75000"/>
                </a:schemeClr>
              </a:solidFill>
              <a:prstDash val="dash"/>
              <a:round/>
            </a:ln>
            <a:effectLst/>
          </c:spPr>
          <c:marker>
            <c:symbol val="none"/>
          </c:marker>
          <c:cat>
            <c:numRef>
              <c:f>Summary!$B$451:$B$498</c:f>
              <c:numCache>
                <c:formatCode>m/d/yyyy</c:formatCode>
                <c:ptCount val="48"/>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numCache>
            </c:numRef>
          </c:cat>
          <c:val>
            <c:numRef>
              <c:f>Summary!$Q$451:$Q$498</c:f>
              <c:numCache>
                <c:formatCode>0.0\x_);\(0.0\x\)</c:formatCode>
                <c:ptCount val="48"/>
                <c:pt idx="0">
                  <c:v>21.944428303451904</c:v>
                </c:pt>
                <c:pt idx="1">
                  <c:v>21.944428303451904</c:v>
                </c:pt>
                <c:pt idx="2">
                  <c:v>21.944428303451904</c:v>
                </c:pt>
                <c:pt idx="3">
                  <c:v>21.944428303451904</c:v>
                </c:pt>
                <c:pt idx="4">
                  <c:v>21.944428303451904</c:v>
                </c:pt>
                <c:pt idx="5">
                  <c:v>21.944428303451904</c:v>
                </c:pt>
                <c:pt idx="6">
                  <c:v>21.944428303451904</c:v>
                </c:pt>
                <c:pt idx="7">
                  <c:v>21.944428303451904</c:v>
                </c:pt>
                <c:pt idx="8">
                  <c:v>21.944428303451904</c:v>
                </c:pt>
                <c:pt idx="9">
                  <c:v>21.944428303451904</c:v>
                </c:pt>
                <c:pt idx="10">
                  <c:v>21.944428303451904</c:v>
                </c:pt>
                <c:pt idx="11">
                  <c:v>21.944428303451904</c:v>
                </c:pt>
                <c:pt idx="12">
                  <c:v>21.944428303451904</c:v>
                </c:pt>
                <c:pt idx="13">
                  <c:v>21.944428303451904</c:v>
                </c:pt>
                <c:pt idx="14">
                  <c:v>21.944428303451904</c:v>
                </c:pt>
                <c:pt idx="15">
                  <c:v>21.944428303451904</c:v>
                </c:pt>
                <c:pt idx="16">
                  <c:v>21.944428303451904</c:v>
                </c:pt>
                <c:pt idx="17">
                  <c:v>21.944428303451904</c:v>
                </c:pt>
                <c:pt idx="18">
                  <c:v>21.944428303451904</c:v>
                </c:pt>
                <c:pt idx="19">
                  <c:v>21.944428303451904</c:v>
                </c:pt>
                <c:pt idx="20">
                  <c:v>21.944428303451904</c:v>
                </c:pt>
                <c:pt idx="21">
                  <c:v>21.944428303451904</c:v>
                </c:pt>
                <c:pt idx="22">
                  <c:v>21.944428303451904</c:v>
                </c:pt>
                <c:pt idx="23">
                  <c:v>21.944428303451904</c:v>
                </c:pt>
                <c:pt idx="24">
                  <c:v>21.944428303451904</c:v>
                </c:pt>
                <c:pt idx="25">
                  <c:v>21.944428303451904</c:v>
                </c:pt>
                <c:pt idx="26">
                  <c:v>21.944428303451904</c:v>
                </c:pt>
                <c:pt idx="27">
                  <c:v>21.944428303451904</c:v>
                </c:pt>
                <c:pt idx="28">
                  <c:v>21.944428303451904</c:v>
                </c:pt>
                <c:pt idx="29">
                  <c:v>21.944428303451904</c:v>
                </c:pt>
                <c:pt idx="30">
                  <c:v>21.944428303451904</c:v>
                </c:pt>
                <c:pt idx="31">
                  <c:v>21.944428303451904</c:v>
                </c:pt>
                <c:pt idx="32">
                  <c:v>21.944428303451904</c:v>
                </c:pt>
                <c:pt idx="33">
                  <c:v>21.944428303451904</c:v>
                </c:pt>
                <c:pt idx="34">
                  <c:v>21.944428303451904</c:v>
                </c:pt>
                <c:pt idx="35">
                  <c:v>21.944428303451904</c:v>
                </c:pt>
                <c:pt idx="36">
                  <c:v>21.944428303451904</c:v>
                </c:pt>
                <c:pt idx="37">
                  <c:v>21.944428303451904</c:v>
                </c:pt>
                <c:pt idx="38">
                  <c:v>21.944428303451904</c:v>
                </c:pt>
                <c:pt idx="39">
                  <c:v>21.944428303451904</c:v>
                </c:pt>
                <c:pt idx="40">
                  <c:v>21.944428303451904</c:v>
                </c:pt>
                <c:pt idx="41">
                  <c:v>21.944428303451904</c:v>
                </c:pt>
                <c:pt idx="42">
                  <c:v>21.944428303451904</c:v>
                </c:pt>
                <c:pt idx="43">
                  <c:v>21.944428303451904</c:v>
                </c:pt>
                <c:pt idx="44">
                  <c:v>21.944428303451904</c:v>
                </c:pt>
                <c:pt idx="45">
                  <c:v>21.944428303451904</c:v>
                </c:pt>
                <c:pt idx="46">
                  <c:v>21.944428303451904</c:v>
                </c:pt>
                <c:pt idx="47">
                  <c:v>21.944428303451904</c:v>
                </c:pt>
              </c:numCache>
            </c:numRef>
          </c:val>
          <c:smooth val="0"/>
          <c:extLst>
            <c:ext xmlns:c16="http://schemas.microsoft.com/office/drawing/2014/chart" uri="{C3380CC4-5D6E-409C-BE32-E72D297353CC}">
              <c16:uniqueId val="{00000003-9003-4D76-8BA6-14E4769EC0C5}"/>
            </c:ext>
          </c:extLst>
        </c:ser>
        <c:dLbls>
          <c:showLegendKey val="0"/>
          <c:showVal val="0"/>
          <c:showCatName val="0"/>
          <c:showSerName val="0"/>
          <c:showPercent val="0"/>
          <c:showBubbleSize val="0"/>
        </c:dLbls>
        <c:smooth val="0"/>
        <c:axId val="1683816912"/>
        <c:axId val="1683822672"/>
      </c:lineChart>
      <c:dateAx>
        <c:axId val="1683816912"/>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822672"/>
        <c:crosses val="autoZero"/>
        <c:auto val="1"/>
        <c:lblOffset val="100"/>
        <c:baseTimeUnit val="days"/>
      </c:dateAx>
      <c:valAx>
        <c:axId val="1683822672"/>
        <c:scaling>
          <c:orientation val="minMax"/>
        </c:scaling>
        <c:delete val="0"/>
        <c:axPos val="l"/>
        <c:majorGridlines>
          <c:spPr>
            <a:ln w="9525" cap="flat" cmpd="sng" algn="ctr">
              <a:solidFill>
                <a:schemeClr val="tx1">
                  <a:lumMod val="15000"/>
                  <a:lumOff val="85000"/>
                </a:schemeClr>
              </a:solidFill>
              <a:round/>
            </a:ln>
            <a:effectLst/>
          </c:spPr>
        </c:majorGridlines>
        <c:numFmt formatCode="0\x;\(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81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93653092918944E-2"/>
          <c:y val="5.4609675619501766E-2"/>
          <c:w val="0.85746340121949294"/>
          <c:h val="0.86308631590944007"/>
        </c:manualLayout>
      </c:layout>
      <c:barChart>
        <c:barDir val="col"/>
        <c:grouping val="clustered"/>
        <c:varyColors val="0"/>
        <c:ser>
          <c:idx val="0"/>
          <c:order val="0"/>
          <c:tx>
            <c:strRef>
              <c:f>Charts!$E$44</c:f>
              <c:strCache>
                <c:ptCount val="1"/>
                <c:pt idx="0">
                  <c:v>Total Cost of Revenue</c:v>
                </c:pt>
              </c:strCache>
            </c:strRef>
          </c:tx>
          <c:spPr>
            <a:solidFill>
              <a:schemeClr val="accent3">
                <a:lumMod val="20000"/>
                <a:lumOff val="80000"/>
              </a:schemeClr>
            </a:solidFill>
            <a:ln>
              <a:noFill/>
            </a:ln>
            <a:effectLst/>
          </c:spPr>
          <c:invertIfNegative val="0"/>
          <c:dPt>
            <c:idx val="1"/>
            <c:invertIfNegative val="0"/>
            <c:bubble3D val="0"/>
            <c:extLst>
              <c:ext xmlns:c16="http://schemas.microsoft.com/office/drawing/2014/chart" uri="{C3380CC4-5D6E-409C-BE32-E72D297353CC}">
                <c16:uniqueId val="{00000000-9AC4-41C1-AE90-507A571B9372}"/>
              </c:ext>
            </c:extLst>
          </c:dPt>
          <c:dPt>
            <c:idx val="2"/>
            <c:invertIfNegative val="0"/>
            <c:bubble3D val="0"/>
            <c:extLst>
              <c:ext xmlns:c16="http://schemas.microsoft.com/office/drawing/2014/chart" uri="{C3380CC4-5D6E-409C-BE32-E72D297353CC}">
                <c16:uniqueId val="{00000001-9AC4-41C1-AE90-507A571B9372}"/>
              </c:ext>
            </c:extLst>
          </c:dPt>
          <c:dPt>
            <c:idx val="8"/>
            <c:invertIfNegative val="0"/>
            <c:bubble3D val="0"/>
            <c:extLst>
              <c:ext xmlns:c16="http://schemas.microsoft.com/office/drawing/2014/chart" uri="{C3380CC4-5D6E-409C-BE32-E72D297353CC}">
                <c16:uniqueId val="{00000002-9AC4-41C1-AE90-507A571B9372}"/>
              </c:ext>
            </c:extLst>
          </c:dPt>
          <c:dPt>
            <c:idx val="9"/>
            <c:invertIfNegative val="0"/>
            <c:bubble3D val="0"/>
            <c:extLst>
              <c:ext xmlns:c16="http://schemas.microsoft.com/office/drawing/2014/chart" uri="{C3380CC4-5D6E-409C-BE32-E72D297353CC}">
                <c16:uniqueId val="{00000003-9AC4-41C1-AE90-507A571B9372}"/>
              </c:ext>
            </c:extLst>
          </c:dPt>
          <c:dLbls>
            <c:dLbl>
              <c:idx val="0"/>
              <c:layout>
                <c:manualLayout>
                  <c:x val="0"/>
                  <c:y val="1.55317473603283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AC4-41C1-AE90-507A571B9372}"/>
                </c:ext>
              </c:extLst>
            </c:dLbl>
            <c:dLbl>
              <c:idx val="1"/>
              <c:layout>
                <c:manualLayout>
                  <c:x val="0"/>
                  <c:y val="1.55317473603283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C4-41C1-AE90-507A571B9372}"/>
                </c:ext>
              </c:extLst>
            </c:dLbl>
            <c:dLbl>
              <c:idx val="2"/>
              <c:layout>
                <c:manualLayout>
                  <c:x val="-3.5128134227011882E-17"/>
                  <c:y val="1.55317473603282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C4-41C1-AE90-507A571B9372}"/>
                </c:ext>
              </c:extLst>
            </c:dLbl>
            <c:dLbl>
              <c:idx val="3"/>
              <c:layout>
                <c:manualLayout>
                  <c:x val="-3.5128134227011882E-17"/>
                  <c:y val="1.15947150766634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AC4-41C1-AE90-507A571B9372}"/>
                </c:ext>
              </c:extLst>
            </c:dLbl>
            <c:dLbl>
              <c:idx val="4"/>
              <c:layout>
                <c:manualLayout>
                  <c:x val="-7.0256268454023765E-17"/>
                  <c:y val="7.65768279299883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AC4-41C1-AE90-507A571B9372}"/>
                </c:ext>
              </c:extLst>
            </c:dLbl>
            <c:dLbl>
              <c:idx val="5"/>
              <c:layout>
                <c:manualLayout>
                  <c:x val="0"/>
                  <c:y val="1.1594715076663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AC4-41C1-AE90-507A571B9372}"/>
                </c:ext>
              </c:extLst>
            </c:dLbl>
            <c:dLbl>
              <c:idx val="6"/>
              <c:layout>
                <c:manualLayout>
                  <c:x val="0"/>
                  <c:y val="7.65768279299890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AC4-41C1-AE90-507A571B9372}"/>
                </c:ext>
              </c:extLst>
            </c:dLbl>
            <c:dLbl>
              <c:idx val="7"/>
              <c:layout>
                <c:manualLayout>
                  <c:x val="0"/>
                  <c:y val="1.55317473603282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AC4-41C1-AE90-507A571B9372}"/>
                </c:ext>
              </c:extLst>
            </c:dLbl>
            <c:dLbl>
              <c:idx val="8"/>
              <c:layout>
                <c:manualLayout>
                  <c:x val="0"/>
                  <c:y val="1.15947150766636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C4-41C1-AE90-507A571B9372}"/>
                </c:ext>
              </c:extLst>
            </c:dLbl>
            <c:dLbl>
              <c:idx val="9"/>
              <c:layout>
                <c:manualLayout>
                  <c:x val="-7.0256268454023765E-17"/>
                  <c:y val="1.15947150766636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C4-41C1-AE90-507A571B9372}"/>
                </c:ext>
              </c:extLst>
            </c:dLbl>
            <c:dLbl>
              <c:idx val="10"/>
              <c:layout>
                <c:manualLayout>
                  <c:x val="0"/>
                  <c:y val="1.15947150766636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AC4-41C1-AE90-507A571B9372}"/>
                </c:ext>
              </c:extLst>
            </c:dLbl>
            <c:dLbl>
              <c:idx val="11"/>
              <c:layout>
                <c:manualLayout>
                  <c:x val="0"/>
                  <c:y val="1.55317473603283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AC4-41C1-AE90-507A571B9372}"/>
                </c:ext>
              </c:extLst>
            </c:dLbl>
            <c:dLbl>
              <c:idx val="12"/>
              <c:layout>
                <c:manualLayout>
                  <c:x val="0"/>
                  <c:y val="1.15947150766636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AC4-41C1-AE90-507A571B9372}"/>
                </c:ext>
              </c:extLst>
            </c:dLbl>
            <c:dLbl>
              <c:idx val="13"/>
              <c:layout>
                <c:manualLayout>
                  <c:x val="0"/>
                  <c:y val="1.15947150766636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AC4-41C1-AE90-507A571B9372}"/>
                </c:ext>
              </c:extLst>
            </c:dLbl>
            <c:dLbl>
              <c:idx val="14"/>
              <c:layout>
                <c:manualLayout>
                  <c:x val="-1.4051253690804753E-16"/>
                  <c:y val="1.55317473603283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AC4-41C1-AE90-507A571B9372}"/>
                </c:ext>
              </c:extLst>
            </c:dLbl>
            <c:dLbl>
              <c:idx val="15"/>
              <c:layout>
                <c:manualLayout>
                  <c:x val="0"/>
                  <c:y val="1.55317473603283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AC4-41C1-AE90-507A571B937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Charts!$V$38:$AK$38</c:f>
              <c:strCache>
                <c:ptCount val="16"/>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strCache>
            </c:strRef>
          </c:cat>
          <c:val>
            <c:numRef>
              <c:f>Charts!$V$44:$AK$44</c:f>
              <c:numCache>
                <c:formatCode>0.0</c:formatCode>
                <c:ptCount val="16"/>
                <c:pt idx="0">
                  <c:v>213.05099999999999</c:v>
                </c:pt>
                <c:pt idx="1">
                  <c:v>339.30699999999996</c:v>
                </c:pt>
                <c:pt idx="2">
                  <c:v>362.25700000000001</c:v>
                </c:pt>
                <c:pt idx="3">
                  <c:v>473.35599999999999</c:v>
                </c:pt>
                <c:pt idx="4">
                  <c:v>429.93099999999998</c:v>
                </c:pt>
                <c:pt idx="5">
                  <c:v>498.58499999999998</c:v>
                </c:pt>
                <c:pt idx="6">
                  <c:v>514.83100000000002</c:v>
                </c:pt>
                <c:pt idx="7">
                  <c:v>687.36500000000001</c:v>
                </c:pt>
                <c:pt idx="8">
                  <c:v>565.98599999999999</c:v>
                </c:pt>
                <c:pt idx="9">
                  <c:v>639.42100000000005</c:v>
                </c:pt>
                <c:pt idx="10">
                  <c:v>703.86799999999994</c:v>
                </c:pt>
                <c:pt idx="11">
                  <c:v>936.46999999999991</c:v>
                </c:pt>
                <c:pt idx="12">
                  <c:v>791</c:v>
                </c:pt>
                <c:pt idx="13">
                  <c:v>859</c:v>
                </c:pt>
                <c:pt idx="14">
                  <c:v>813</c:v>
                </c:pt>
                <c:pt idx="15">
                  <c:v>1082</c:v>
                </c:pt>
              </c:numCache>
            </c:numRef>
          </c:val>
          <c:extLst>
            <c:ext xmlns:c16="http://schemas.microsoft.com/office/drawing/2014/chart" uri="{C3380CC4-5D6E-409C-BE32-E72D297353CC}">
              <c16:uniqueId val="{00000004-9AC4-41C1-AE90-507A571B9372}"/>
            </c:ext>
          </c:extLst>
        </c:ser>
        <c:dLbls>
          <c:showLegendKey val="0"/>
          <c:showVal val="0"/>
          <c:showCatName val="0"/>
          <c:showSerName val="0"/>
          <c:showPercent val="0"/>
          <c:showBubbleSize val="0"/>
        </c:dLbls>
        <c:gapWidth val="30"/>
        <c:axId val="945418624"/>
        <c:axId val="945420160"/>
      </c:barChart>
      <c:lineChart>
        <c:grouping val="standard"/>
        <c:varyColors val="0"/>
        <c:ser>
          <c:idx val="2"/>
          <c:order val="1"/>
          <c:tx>
            <c:strRef>
              <c:f>Charts!$E$45</c:f>
              <c:strCache>
                <c:ptCount val="1"/>
                <c:pt idx="0">
                  <c:v>% of total revenue </c:v>
                </c:pt>
              </c:strCache>
            </c:strRef>
          </c:tx>
          <c:spPr>
            <a:ln w="19050" cap="rnd" cmpd="sng" algn="ctr">
              <a:solidFill>
                <a:schemeClr val="accent5"/>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Charts!$V$45:$AK$45</c:f>
              <c:numCache>
                <c:formatCode>0.0%_);\(0.0%\);0.0%_);@_)</c:formatCode>
                <c:ptCount val="16"/>
                <c:pt idx="0">
                  <c:v>0.45329903553396694</c:v>
                </c:pt>
                <c:pt idx="1">
                  <c:v>0.4749930355390492</c:v>
                </c:pt>
                <c:pt idx="2">
                  <c:v>0.47205452140655851</c:v>
                </c:pt>
                <c:pt idx="3">
                  <c:v>0.48413081542816938</c:v>
                </c:pt>
                <c:pt idx="4">
                  <c:v>0.43486805705170806</c:v>
                </c:pt>
                <c:pt idx="5">
                  <c:v>0.44538588318318451</c:v>
                </c:pt>
                <c:pt idx="6">
                  <c:v>0.45814067310943812</c:v>
                </c:pt>
                <c:pt idx="7">
                  <c:v>0.49808191741592894</c:v>
                </c:pt>
                <c:pt idx="8">
                  <c:v>0.47023528131316861</c:v>
                </c:pt>
                <c:pt idx="9">
                  <c:v>0.49373737030553727</c:v>
                </c:pt>
                <c:pt idx="10">
                  <c:v>0.51520128824476641</c:v>
                </c:pt>
                <c:pt idx="11">
                  <c:v>0.53975900558969614</c:v>
                </c:pt>
                <c:pt idx="12">
                  <c:v>0.52453580901856767</c:v>
                </c:pt>
                <c:pt idx="13">
                  <c:v>0.50708382526564344</c:v>
                </c:pt>
                <c:pt idx="14">
                  <c:v>0.47432905484247373</c:v>
                </c:pt>
                <c:pt idx="15">
                  <c:v>0.50466417910447758</c:v>
                </c:pt>
              </c:numCache>
            </c:numRef>
          </c:val>
          <c:smooth val="1"/>
          <c:extLst>
            <c:ext xmlns:c16="http://schemas.microsoft.com/office/drawing/2014/chart" uri="{C3380CC4-5D6E-409C-BE32-E72D297353CC}">
              <c16:uniqueId val="{00000016-9AC4-41C1-AE90-507A571B9372}"/>
            </c:ext>
          </c:extLst>
        </c:ser>
        <c:dLbls>
          <c:showLegendKey val="0"/>
          <c:showVal val="0"/>
          <c:showCatName val="0"/>
          <c:showSerName val="0"/>
          <c:showPercent val="0"/>
          <c:showBubbleSize val="0"/>
        </c:dLbls>
        <c:marker val="1"/>
        <c:smooth val="0"/>
        <c:axId val="852823664"/>
        <c:axId val="214573408"/>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2580000" spcFirstLastPara="1" vertOverflow="ellipsis"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14573408"/>
        <c:scaling>
          <c:orientation val="minMax"/>
        </c:scaling>
        <c:delete val="0"/>
        <c:axPos val="r"/>
        <c:numFmt formatCode="0.0%_);\(0.0%\);0.0%_);@_)"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852823664"/>
        <c:crosses val="max"/>
        <c:crossBetween val="between"/>
      </c:valAx>
      <c:catAx>
        <c:axId val="852823664"/>
        <c:scaling>
          <c:orientation val="minMax"/>
        </c:scaling>
        <c:delete val="1"/>
        <c:axPos val="b"/>
        <c:majorTickMark val="out"/>
        <c:minorTickMark val="none"/>
        <c:tickLblPos val="nextTo"/>
        <c:crossAx val="214573408"/>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7.36180280216433E-2"/>
          <c:y val="4.2069511791252082E-2"/>
          <c:w val="0.53593219812874626"/>
          <c:h val="7.9863737018748382E-2"/>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6423653907702365E-2"/>
          <c:y val="9.4357157049403798E-2"/>
          <c:w val="0.93344938066475547"/>
          <c:h val="0.80602318656140204"/>
        </c:manualLayout>
      </c:layout>
      <c:barChart>
        <c:barDir val="col"/>
        <c:grouping val="clustered"/>
        <c:varyColors val="0"/>
        <c:ser>
          <c:idx val="0"/>
          <c:order val="0"/>
          <c:tx>
            <c:strRef>
              <c:f>Charts!$E$60</c:f>
              <c:strCache>
                <c:ptCount val="1"/>
                <c:pt idx="0">
                  <c:v>Research and Development</c:v>
                </c:pt>
              </c:strCache>
            </c:strRef>
          </c:tx>
          <c:spPr>
            <a:solidFill>
              <a:schemeClr val="accent1"/>
            </a:solidFill>
            <a:ln>
              <a:noFill/>
            </a:ln>
            <a:effectLst/>
          </c:spPr>
          <c:invertIfNegative val="0"/>
          <c:dLbls>
            <c:numFmt formatCode="&quot;$&quot;0.0,&quot;B&quot;;\(&quot;$&quot;0.0,&quot;B&quot;\);&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Charts!$CH$60:$CS$60</c:f>
              <c:numCache>
                <c:formatCode>0.0</c:formatCode>
                <c:ptCount val="12"/>
                <c:pt idx="0">
                  <c:v>74.336000000000013</c:v>
                </c:pt>
                <c:pt idx="1">
                  <c:v>135.99700000000001</c:v>
                </c:pt>
                <c:pt idx="2">
                  <c:v>230.67400000000001</c:v>
                </c:pt>
                <c:pt idx="3">
                  <c:v>355.01499999999999</c:v>
                </c:pt>
                <c:pt idx="4">
                  <c:v>552.12699999999995</c:v>
                </c:pt>
                <c:pt idx="5">
                  <c:v>854.38300000000004</c:v>
                </c:pt>
                <c:pt idx="6">
                  <c:v>1503.2339999999999</c:v>
                </c:pt>
                <c:pt idx="7">
                  <c:v>1730</c:v>
                </c:pt>
                <c:pt idx="8">
                  <c:v>1356.6522384063476</c:v>
                </c:pt>
                <c:pt idx="9">
                  <c:v>1563.2968213247882</c:v>
                </c:pt>
                <c:pt idx="10">
                  <c:v>1741.8541077401842</c:v>
                </c:pt>
                <c:pt idx="11">
                  <c:v>1901.4049905628981</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Charts!$E$61</c:f>
              <c:strCache>
                <c:ptCount val="1"/>
                <c:pt idx="0">
                  <c:v>% of revenue </c:v>
                </c:pt>
              </c:strCache>
            </c:strRef>
          </c:tx>
          <c:spPr>
            <a:ln w="28575" cap="rnd">
              <a:solidFill>
                <a:schemeClr val="accent3"/>
              </a:solidFill>
              <a:round/>
            </a:ln>
            <a:effectLst/>
          </c:spPr>
          <c:marker>
            <c:symbol val="none"/>
          </c:marker>
          <c:dLbls>
            <c:dLbl>
              <c:idx val="7"/>
              <c:layout>
                <c:manualLayout>
                  <c:x val="-3.5830705953653702E-2"/>
                  <c:y val="9.0234934016765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37-4E9F-BD2E-CC1BB22202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Charts!$CH$38:$CO$38</c:f>
              <c:strCache>
                <c:ptCount val="8"/>
                <c:pt idx="0">
                  <c:v>2016A</c:v>
                </c:pt>
                <c:pt idx="1">
                  <c:v>2017A</c:v>
                </c:pt>
                <c:pt idx="2">
                  <c:v>2018A</c:v>
                </c:pt>
                <c:pt idx="3">
                  <c:v>2019A</c:v>
                </c:pt>
                <c:pt idx="4">
                  <c:v>2020A</c:v>
                </c:pt>
                <c:pt idx="5">
                  <c:v>2021A</c:v>
                </c:pt>
                <c:pt idx="6">
                  <c:v>2022A</c:v>
                </c:pt>
                <c:pt idx="7">
                  <c:v>2023A</c:v>
                </c:pt>
              </c:strCache>
            </c:strRef>
          </c:cat>
          <c:val>
            <c:numRef>
              <c:f>Charts!$CH$61:$CS$61</c:f>
              <c:numCache>
                <c:formatCode>0.0%_);\(0.0%\);0.0%_);@_)</c:formatCode>
                <c:ptCount val="12"/>
                <c:pt idx="0">
                  <c:v>0.19093314155086949</c:v>
                </c:pt>
                <c:pt idx="1">
                  <c:v>0.20198454190083531</c:v>
                </c:pt>
                <c:pt idx="2">
                  <c:v>0.21493455730324101</c:v>
                </c:pt>
                <c:pt idx="3">
                  <c:v>0.22495315786038667</c:v>
                </c:pt>
                <c:pt idx="4">
                  <c:v>0.18847199052668193</c:v>
                </c:pt>
                <c:pt idx="5">
                  <c:v>0.1852579525466537</c:v>
                </c:pt>
                <c:pt idx="6">
                  <c:v>0.26844116214250913</c:v>
                </c:pt>
                <c:pt idx="7">
                  <c:v>0.24504249291784702</c:v>
                </c:pt>
                <c:pt idx="8">
                  <c:v>0.15466436109212137</c:v>
                </c:pt>
                <c:pt idx="9">
                  <c:v>0.14479319071822735</c:v>
                </c:pt>
                <c:pt idx="10">
                  <c:v>0.13478263998159287</c:v>
                </c:pt>
                <c:pt idx="11">
                  <c:v>0.12477419059940081</c:v>
                </c:pt>
              </c:numCache>
            </c:numRef>
          </c:val>
          <c:smooth val="1"/>
          <c:extLst>
            <c:ext xmlns:c16="http://schemas.microsoft.com/office/drawing/2014/chart" uri="{C3380CC4-5D6E-409C-BE32-E72D297353CC}">
              <c16:uniqueId val="{00000001-95CD-4672-A3EA-DF62D571BBDA}"/>
            </c:ext>
          </c:extLst>
        </c:ser>
        <c:dLbls>
          <c:showLegendKey val="0"/>
          <c:showVal val="0"/>
          <c:showCatName val="0"/>
          <c:showSerName val="0"/>
          <c:showPercent val="0"/>
          <c:showBubbleSize val="0"/>
        </c:dLbls>
        <c:marker val="1"/>
        <c:smooth val="0"/>
        <c:axId val="1316696208"/>
        <c:axId val="1316699568"/>
      </c:lineChart>
      <c:catAx>
        <c:axId val="965551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scaling>
        <c:delete val="0"/>
        <c:axPos val="l"/>
        <c:numFmt formatCode="&quot;$&quot;0.0,&quot;B&quot;;\(&quot;$&quot;0.0,&quot;B&quot;\);&quot;-&quot;"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316699568"/>
        <c:scaling>
          <c:orientation val="minMax"/>
        </c:scaling>
        <c:delete val="0"/>
        <c:axPos val="r"/>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96208"/>
        <c:crosses val="max"/>
        <c:crossBetween val="between"/>
      </c:valAx>
      <c:catAx>
        <c:axId val="1316696208"/>
        <c:scaling>
          <c:orientation val="minMax"/>
        </c:scaling>
        <c:delete val="1"/>
        <c:axPos val="b"/>
        <c:numFmt formatCode="General" sourceLinked="1"/>
        <c:majorTickMark val="none"/>
        <c:minorTickMark val="none"/>
        <c:tickLblPos val="nextTo"/>
        <c:crossAx val="1316699568"/>
        <c:crosses val="autoZero"/>
        <c:auto val="1"/>
        <c:lblAlgn val="ctr"/>
        <c:lblOffset val="100"/>
        <c:noMultiLvlLbl val="0"/>
      </c:catAx>
      <c:spPr>
        <a:noFill/>
        <a:ln>
          <a:noFill/>
        </a:ln>
        <a:effectLst/>
      </c:spPr>
    </c:plotArea>
    <c:legend>
      <c:legendPos val="b"/>
      <c:layout>
        <c:manualLayout>
          <c:xMode val="edge"/>
          <c:yMode val="edge"/>
          <c:x val="4.6049226767267505E-2"/>
          <c:y val="2.6851982263626097E-2"/>
          <c:w val="0.5261185886826516"/>
          <c:h val="8.8653803609835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09530221448139E-2"/>
          <c:y val="5.0666527097135428E-2"/>
          <c:w val="0.91861145701550695"/>
          <c:h val="0.86308631590944007"/>
        </c:manualLayout>
      </c:layout>
      <c:barChart>
        <c:barDir val="col"/>
        <c:grouping val="clustered"/>
        <c:varyColors val="0"/>
        <c:ser>
          <c:idx val="0"/>
          <c:order val="0"/>
          <c:tx>
            <c:strRef>
              <c:f>Charts!$E$60</c:f>
              <c:strCache>
                <c:ptCount val="1"/>
                <c:pt idx="0">
                  <c:v>Research and Development</c:v>
                </c:pt>
              </c:strCache>
            </c:strRef>
          </c:tx>
          <c:spPr>
            <a:solidFill>
              <a:schemeClr val="accent1"/>
            </a:solidFill>
            <a:ln>
              <a:noFill/>
            </a:ln>
            <a:effectLst/>
          </c:spPr>
          <c:invertIfNegative val="0"/>
          <c:cat>
            <c:strRef>
              <c:extLst>
                <c:ext xmlns:c15="http://schemas.microsoft.com/office/drawing/2012/chart" uri="{02D57815-91ED-43cb-92C2-25804820EDAC}">
                  <c15:fullRef>
                    <c15:sqref>Charts!$V$38:$BA$38</c15:sqref>
                  </c15:fullRef>
                </c:ext>
              </c:extLst>
              <c:f>Charts!$AH$38:$BA$38</c:f>
              <c:strCache>
                <c:ptCount val="20"/>
                <c:pt idx="0">
                  <c:v>1Q23A</c:v>
                </c:pt>
                <c:pt idx="1">
                  <c:v>2Q23A</c:v>
                </c:pt>
                <c:pt idx="2">
                  <c:v>3Q23A</c:v>
                </c:pt>
                <c:pt idx="3">
                  <c:v>4Q23A</c:v>
                </c:pt>
                <c:pt idx="4">
                  <c:v>1Q24A</c:v>
                </c:pt>
                <c:pt idx="5">
                  <c:v>2Q24A</c:v>
                </c:pt>
                <c:pt idx="6">
                  <c:v>3Q24A</c:v>
                </c:pt>
                <c:pt idx="7">
                  <c:v>4Q24E</c:v>
                </c:pt>
                <c:pt idx="8">
                  <c:v>1Q25E</c:v>
                </c:pt>
                <c:pt idx="9">
                  <c:v>2Q25E</c:v>
                </c:pt>
                <c:pt idx="10">
                  <c:v>3Q25E</c:v>
                </c:pt>
                <c:pt idx="11">
                  <c:v>4Q25E</c:v>
                </c:pt>
                <c:pt idx="12">
                  <c:v>1Q26E</c:v>
                </c:pt>
                <c:pt idx="13">
                  <c:v>2Q26E</c:v>
                </c:pt>
                <c:pt idx="14">
                  <c:v>3Q26E</c:v>
                </c:pt>
                <c:pt idx="15">
                  <c:v>4Q26E</c:v>
                </c:pt>
                <c:pt idx="16">
                  <c:v>1Q27E</c:v>
                </c:pt>
                <c:pt idx="17">
                  <c:v>2Q27E</c:v>
                </c:pt>
                <c:pt idx="18">
                  <c:v>3Q27E</c:v>
                </c:pt>
                <c:pt idx="19">
                  <c:v>4Q27E</c:v>
                </c:pt>
              </c:strCache>
            </c:strRef>
          </c:cat>
          <c:val>
            <c:numRef>
              <c:extLst>
                <c:ext xmlns:c15="http://schemas.microsoft.com/office/drawing/2012/chart" uri="{02D57815-91ED-43cb-92C2-25804820EDAC}">
                  <c15:fullRef>
                    <c15:sqref>Charts!$V$60:$BA$60</c15:sqref>
                  </c15:fullRef>
                </c:ext>
              </c:extLst>
              <c:f>Charts!$AH$60:$BA$60</c:f>
              <c:numCache>
                <c:formatCode>0.0</c:formatCode>
                <c:ptCount val="20"/>
                <c:pt idx="0">
                  <c:v>458</c:v>
                </c:pt>
                <c:pt idx="1">
                  <c:v>648</c:v>
                </c:pt>
                <c:pt idx="2">
                  <c:v>313</c:v>
                </c:pt>
                <c:pt idx="3">
                  <c:v>311</c:v>
                </c:pt>
                <c:pt idx="4">
                  <c:v>335</c:v>
                </c:pt>
                <c:pt idx="5">
                  <c:v>349</c:v>
                </c:pt>
                <c:pt idx="6">
                  <c:v>332</c:v>
                </c:pt>
                <c:pt idx="7">
                  <c:v>340.65223840634758</c:v>
                </c:pt>
                <c:pt idx="8">
                  <c:v>397.63531788547158</c:v>
                </c:pt>
                <c:pt idx="9">
                  <c:v>402.94020770005227</c:v>
                </c:pt>
                <c:pt idx="10">
                  <c:v>377.84036783187975</c:v>
                </c:pt>
                <c:pt idx="11">
                  <c:v>384.8809279073846</c:v>
                </c:pt>
                <c:pt idx="12">
                  <c:v>447.90292390491561</c:v>
                </c:pt>
                <c:pt idx="13">
                  <c:v>452.15311378797662</c:v>
                </c:pt>
                <c:pt idx="14">
                  <c:v>420.39352870030689</c:v>
                </c:pt>
                <c:pt idx="15">
                  <c:v>421.40454134698518</c:v>
                </c:pt>
                <c:pt idx="16">
                  <c:v>495.09066559407097</c:v>
                </c:pt>
                <c:pt idx="17">
                  <c:v>497.64688126250331</c:v>
                </c:pt>
                <c:pt idx="18">
                  <c:v>458.2779580703243</c:v>
                </c:pt>
                <c:pt idx="19">
                  <c:v>450.38948563599945</c:v>
                </c:pt>
              </c:numCache>
            </c:numRef>
          </c:val>
          <c:extLst>
            <c:ext xmlns:c15="http://schemas.microsoft.com/office/drawing/2012/chart" uri="{02D57815-91ED-43cb-92C2-25804820EDAC}">
              <c15:categoryFilterExceptions>
                <c15:categoryFilterException>
                  <c15:sqref>Charts!$W$60</c15:sqref>
                  <c15:invertIfNegative val="0"/>
                  <c15:bubble3D val="0"/>
                </c15:categoryFilterException>
                <c15:categoryFilterException>
                  <c15:sqref>Charts!$X$60</c15:sqref>
                  <c15:invertIfNegative val="0"/>
                  <c15:bubble3D val="0"/>
                </c15:categoryFilterException>
                <c15:categoryFilterException>
                  <c15:sqref>Charts!$AD$60</c15:sqref>
                  <c15:invertIfNegative val="0"/>
                  <c15:bubble3D val="0"/>
                </c15:categoryFilterException>
                <c15:categoryFilterException>
                  <c15:sqref>Charts!$AE$60</c15:sqref>
                  <c15:invertIfNegative val="0"/>
                  <c15:bubble3D val="0"/>
                </c15:categoryFilterException>
              </c15:categoryFilterExceptions>
            </c:ext>
            <c:ext xmlns:c16="http://schemas.microsoft.com/office/drawing/2014/chart" uri="{C3380CC4-5D6E-409C-BE32-E72D297353CC}">
              <c16:uniqueId val="{00000004-378A-40E9-9040-02A47DFC4CD6}"/>
            </c:ext>
          </c:extLst>
        </c:ser>
        <c:dLbls>
          <c:showLegendKey val="0"/>
          <c:showVal val="0"/>
          <c:showCatName val="0"/>
          <c:showSerName val="0"/>
          <c:showPercent val="0"/>
          <c:showBubbleSize val="0"/>
        </c:dLbls>
        <c:gapWidth val="30"/>
        <c:axId val="945418624"/>
        <c:axId val="945420160"/>
      </c:barChart>
      <c:lineChart>
        <c:grouping val="standard"/>
        <c:varyColors val="0"/>
        <c:ser>
          <c:idx val="1"/>
          <c:order val="1"/>
          <c:tx>
            <c:strRef>
              <c:f>Charts!$E$61</c:f>
              <c:strCache>
                <c:ptCount val="1"/>
                <c:pt idx="0">
                  <c:v>% of revenue </c:v>
                </c:pt>
              </c:strCache>
            </c:strRef>
          </c:tx>
          <c:spPr>
            <a:ln w="19050" cap="rnd" cmpd="sng" algn="ctr">
              <a:solidFill>
                <a:schemeClr val="accent3"/>
              </a:solidFill>
              <a:prstDash val="solid"/>
              <a:round/>
            </a:ln>
            <a:effectLst/>
          </c:spPr>
          <c:marker>
            <c:symbol val="none"/>
          </c:marker>
          <c:cat>
            <c:strRef>
              <c:extLst>
                <c:ext xmlns:c15="http://schemas.microsoft.com/office/drawing/2012/chart" uri="{02D57815-91ED-43cb-92C2-25804820EDAC}">
                  <c15:fullRef>
                    <c15:sqref>Charts!$R$38:$BA$38</c15:sqref>
                  </c15:fullRef>
                </c:ext>
              </c:extLst>
              <c:f>Charts!$AD$38:$BA$38</c:f>
              <c:strCache>
                <c:ptCount val="24"/>
                <c:pt idx="0">
                  <c:v>1Q22A</c:v>
                </c:pt>
                <c:pt idx="1">
                  <c:v>2Q22A</c:v>
                </c:pt>
                <c:pt idx="2">
                  <c:v>3Q22A</c:v>
                </c:pt>
                <c:pt idx="3">
                  <c:v>4Q22A</c:v>
                </c:pt>
                <c:pt idx="4">
                  <c:v>1Q23A</c:v>
                </c:pt>
                <c:pt idx="5">
                  <c:v>2Q23A</c:v>
                </c:pt>
                <c:pt idx="6">
                  <c:v>3Q23A</c:v>
                </c:pt>
                <c:pt idx="7">
                  <c:v>4Q23A</c:v>
                </c:pt>
                <c:pt idx="8">
                  <c:v>1Q24A</c:v>
                </c:pt>
                <c:pt idx="9">
                  <c:v>2Q24A</c:v>
                </c:pt>
                <c:pt idx="10">
                  <c:v>3Q24A</c:v>
                </c:pt>
                <c:pt idx="11">
                  <c:v>4Q24E</c:v>
                </c:pt>
                <c:pt idx="12">
                  <c:v>1Q25E</c:v>
                </c:pt>
                <c:pt idx="13">
                  <c:v>2Q25E</c:v>
                </c:pt>
                <c:pt idx="14">
                  <c:v>3Q25E</c:v>
                </c:pt>
                <c:pt idx="15">
                  <c:v>4Q25E</c:v>
                </c:pt>
                <c:pt idx="16">
                  <c:v>1Q26E</c:v>
                </c:pt>
                <c:pt idx="17">
                  <c:v>2Q26E</c:v>
                </c:pt>
                <c:pt idx="18">
                  <c:v>3Q26E</c:v>
                </c:pt>
                <c:pt idx="19">
                  <c:v>4Q26E</c:v>
                </c:pt>
                <c:pt idx="20">
                  <c:v>1Q27E</c:v>
                </c:pt>
                <c:pt idx="21">
                  <c:v>2Q27E</c:v>
                </c:pt>
                <c:pt idx="22">
                  <c:v>3Q27E</c:v>
                </c:pt>
                <c:pt idx="23">
                  <c:v>4Q27E</c:v>
                </c:pt>
              </c:strCache>
            </c:strRef>
          </c:cat>
          <c:val>
            <c:numRef>
              <c:extLst>
                <c:ext xmlns:c15="http://schemas.microsoft.com/office/drawing/2012/chart" uri="{02D57815-91ED-43cb-92C2-25804820EDAC}">
                  <c15:fullRef>
                    <c15:sqref>Charts!$V$61:$BA$61</c15:sqref>
                  </c15:fullRef>
                </c:ext>
              </c:extLst>
              <c:f>Charts!$AH$61:$BA$61</c:f>
              <c:numCache>
                <c:formatCode>0.0%_);\(0.0%\);0.0%_);@_)</c:formatCode>
                <c:ptCount val="20"/>
                <c:pt idx="0">
                  <c:v>0.30371352785145889</c:v>
                </c:pt>
                <c:pt idx="1">
                  <c:v>0.38252656434474619</c:v>
                </c:pt>
                <c:pt idx="2">
                  <c:v>0.18261376896149359</c:v>
                </c:pt>
                <c:pt idx="3">
                  <c:v>0.14505597014925373</c:v>
                </c:pt>
                <c:pt idx="4">
                  <c:v>0.18001074691026331</c:v>
                </c:pt>
                <c:pt idx="5">
                  <c:v>0.17066014669926649</c:v>
                </c:pt>
                <c:pt idx="6">
                  <c:v>0.15356151711378355</c:v>
                </c:pt>
                <c:pt idx="7">
                  <c:v>0.126</c:v>
                </c:pt>
                <c:pt idx="8">
                  <c:v>0.1700107469102633</c:v>
                </c:pt>
                <c:pt idx="9">
                  <c:v>0.16066014669926648</c:v>
                </c:pt>
                <c:pt idx="10">
                  <c:v>0.14356151711378354</c:v>
                </c:pt>
                <c:pt idx="11">
                  <c:v>0.11600000000000001</c:v>
                </c:pt>
                <c:pt idx="12">
                  <c:v>0.16001074691026329</c:v>
                </c:pt>
                <c:pt idx="13">
                  <c:v>0.15066014669926647</c:v>
                </c:pt>
                <c:pt idx="14">
                  <c:v>0.13356151711378353</c:v>
                </c:pt>
                <c:pt idx="15">
                  <c:v>0.10600000000000001</c:v>
                </c:pt>
                <c:pt idx="16">
                  <c:v>0.15001074691026328</c:v>
                </c:pt>
                <c:pt idx="17">
                  <c:v>0.14066014669926646</c:v>
                </c:pt>
                <c:pt idx="18">
                  <c:v>0.12356151711378353</c:v>
                </c:pt>
                <c:pt idx="19">
                  <c:v>9.6000000000000016E-2</c:v>
                </c:pt>
              </c:numCache>
            </c:numRef>
          </c:val>
          <c:smooth val="1"/>
          <c:extLst>
            <c:ext xmlns:c16="http://schemas.microsoft.com/office/drawing/2014/chart" uri="{C3380CC4-5D6E-409C-BE32-E72D297353CC}">
              <c16:uniqueId val="{00000005-378A-40E9-9040-02A47DFC4CD6}"/>
            </c:ext>
          </c:extLst>
        </c:ser>
        <c:dLbls>
          <c:showLegendKey val="0"/>
          <c:showVal val="0"/>
          <c:showCatName val="0"/>
          <c:showSerName val="0"/>
          <c:showPercent val="0"/>
          <c:showBubbleSize val="0"/>
        </c:dLbls>
        <c:marker val="1"/>
        <c:smooth val="0"/>
        <c:axId val="200588160"/>
        <c:axId val="227166032"/>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 sourceLinked="0"/>
        <c:majorTickMark val="out"/>
        <c:minorTickMark val="none"/>
        <c:tickLblPos val="nextTo"/>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27166032"/>
        <c:scaling>
          <c:orientation val="minMax"/>
          <c:min val="5.000000000000001E-2"/>
        </c:scaling>
        <c:delete val="0"/>
        <c:axPos val="r"/>
        <c:numFmt formatCode="0.0%_);\(0.0%\);0.0%_);@_)"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200588160"/>
        <c:crosses val="max"/>
        <c:crossBetween val="between"/>
        <c:majorUnit val="2.5000000000000005E-2"/>
      </c:valAx>
      <c:catAx>
        <c:axId val="200588160"/>
        <c:scaling>
          <c:orientation val="minMax"/>
        </c:scaling>
        <c:delete val="1"/>
        <c:axPos val="b"/>
        <c:numFmt formatCode="General" sourceLinked="1"/>
        <c:majorTickMark val="out"/>
        <c:minorTickMark val="none"/>
        <c:tickLblPos val="nextTo"/>
        <c:crossAx val="227166032"/>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0.25412692789296432"/>
          <c:y val="7.8317199213916583E-2"/>
          <c:w val="0.37745964771697904"/>
          <c:h val="0.1591623538064901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198010199883732E-2"/>
          <c:y val="5.8422818104298738E-2"/>
          <c:w val="0.90434523544574252"/>
          <c:h val="0.84913863706876447"/>
        </c:manualLayout>
      </c:layout>
      <c:barChart>
        <c:barDir val="col"/>
        <c:grouping val="clustered"/>
        <c:varyColors val="0"/>
        <c:ser>
          <c:idx val="0"/>
          <c:order val="0"/>
          <c:tx>
            <c:strRef>
              <c:f>Charts!$E$69</c:f>
              <c:strCache>
                <c:ptCount val="1"/>
                <c:pt idx="0">
                  <c:v>Adjusted EBITDA</c:v>
                </c:pt>
              </c:strCache>
            </c:strRef>
          </c:tx>
          <c:spPr>
            <a:solidFill>
              <a:schemeClr val="accent1"/>
            </a:solidFill>
            <a:ln>
              <a:noFill/>
            </a:ln>
            <a:effectLst/>
          </c:spPr>
          <c:invertIfNegative val="0"/>
          <c:dLbls>
            <c:dLbl>
              <c:idx val="11"/>
              <c:layout>
                <c:manualLayout>
                  <c:x val="0"/>
                  <c:y val="5.8249096374582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0A-468D-98BF-0184FBFE6390}"/>
                </c:ext>
              </c:extLst>
            </c:dLbl>
            <c:numFmt formatCode="&quot;$&quot;0.0,&quot;B&quot;;\(&quot;$&quot;0.0,&quot;B&quot;\);&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Charts!$CH$69:$CS$69</c:f>
              <c:numCache>
                <c:formatCode>"$"#,##0.0,"B"_);\("$"#,##0.0"B"\);"$"#,##0.00_);@_)</c:formatCode>
                <c:ptCount val="12"/>
                <c:pt idx="0">
                  <c:v>1.8229999999999815</c:v>
                </c:pt>
                <c:pt idx="1">
                  <c:v>29.427000000000003</c:v>
                </c:pt>
                <c:pt idx="2">
                  <c:v>41.581999999999873</c:v>
                </c:pt>
                <c:pt idx="3">
                  <c:v>81.406000000000034</c:v>
                </c:pt>
                <c:pt idx="4">
                  <c:v>507.411</c:v>
                </c:pt>
                <c:pt idx="5">
                  <c:v>766.83330000000001</c:v>
                </c:pt>
                <c:pt idx="6">
                  <c:v>29.158000000000214</c:v>
                </c:pt>
                <c:pt idx="7">
                  <c:v>801</c:v>
                </c:pt>
                <c:pt idx="8">
                  <c:v>1462.2770998078572</c:v>
                </c:pt>
                <c:pt idx="9">
                  <c:v>2014.896245831641</c:v>
                </c:pt>
                <c:pt idx="10">
                  <c:v>2571.7096574417092</c:v>
                </c:pt>
                <c:pt idx="11">
                  <c:v>3247.1012381626606</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Charts!$E$70</c:f>
              <c:strCache>
                <c:ptCount val="1"/>
                <c:pt idx="0">
                  <c:v>Adjusted EBITDA margin</c:v>
                </c:pt>
              </c:strCache>
            </c:strRef>
          </c:tx>
          <c:spPr>
            <a:ln w="28575" cap="rnd">
              <a:solidFill>
                <a:schemeClr val="accent3"/>
              </a:solidFill>
              <a:round/>
            </a:ln>
            <a:effectLst/>
          </c:spPr>
          <c:marker>
            <c:symbol val="none"/>
          </c:marker>
          <c:dLbls>
            <c:dLbl>
              <c:idx val="6"/>
              <c:layout>
                <c:manualLayout>
                  <c:x val="-3.8633981717902131E-2"/>
                  <c:y val="-8.3210376309516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68-4639-9702-D485AB0D7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Charts!$CH$70:$CS$70</c:f>
              <c:numCache>
                <c:formatCode>0.0%_);\(0.0%\);0.0%_);@_)</c:formatCode>
                <c:ptCount val="12"/>
                <c:pt idx="0">
                  <c:v>4.6824031027662433E-3</c:v>
                </c:pt>
                <c:pt idx="1">
                  <c:v>4.3705369342822861E-2</c:v>
                </c:pt>
                <c:pt idx="2">
                  <c:v>3.8744759972009588E-2</c:v>
                </c:pt>
                <c:pt idx="3">
                  <c:v>5.1582431076947863E-2</c:v>
                </c:pt>
                <c:pt idx="4">
                  <c:v>0.17320790540063102</c:v>
                </c:pt>
                <c:pt idx="5">
                  <c:v>0.16627433727332339</c:v>
                </c:pt>
                <c:pt idx="6">
                  <c:v>5.2069121678669714E-3</c:v>
                </c:pt>
                <c:pt idx="7">
                  <c:v>0.11345609065155807</c:v>
                </c:pt>
                <c:pt idx="8">
                  <c:v>0.16670606289427123</c:v>
                </c:pt>
                <c:pt idx="9">
                  <c:v>0.18662051404474067</c:v>
                </c:pt>
                <c:pt idx="10">
                  <c:v>0.19899589486621558</c:v>
                </c:pt>
                <c:pt idx="11">
                  <c:v>0.21308160586352251</c:v>
                </c:pt>
              </c:numCache>
            </c:numRef>
          </c:val>
          <c:smooth val="1"/>
          <c:extLst>
            <c:ext xmlns:c16="http://schemas.microsoft.com/office/drawing/2014/chart" uri="{C3380CC4-5D6E-409C-BE32-E72D297353CC}">
              <c16:uniqueId val="{00000001-95CD-4672-A3EA-DF62D571BBDA}"/>
            </c:ext>
          </c:extLst>
        </c:ser>
        <c:dLbls>
          <c:showLegendKey val="0"/>
          <c:showVal val="0"/>
          <c:showCatName val="0"/>
          <c:showSerName val="0"/>
          <c:showPercent val="0"/>
          <c:showBubbleSize val="0"/>
        </c:dLbls>
        <c:marker val="1"/>
        <c:smooth val="0"/>
        <c:axId val="1316696208"/>
        <c:axId val="1316699568"/>
      </c:lineChart>
      <c:catAx>
        <c:axId val="965551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max val="4000"/>
        </c:scaling>
        <c:delete val="0"/>
        <c:axPos val="l"/>
        <c:numFmt formatCode="&quot;$&quot;0,&quot;B&quot;;\(&quot;$&quot;0,&quot;B&quot;\);&quot;-&quot;"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316699568"/>
        <c:scaling>
          <c:orientation val="minMax"/>
          <c:max val="0.25"/>
        </c:scaling>
        <c:delete val="0"/>
        <c:axPos val="r"/>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96208"/>
        <c:crosses val="max"/>
        <c:crossBetween val="between"/>
      </c:valAx>
      <c:catAx>
        <c:axId val="1316696208"/>
        <c:scaling>
          <c:orientation val="minMax"/>
        </c:scaling>
        <c:delete val="1"/>
        <c:axPos val="b"/>
        <c:numFmt formatCode="General" sourceLinked="1"/>
        <c:majorTickMark val="none"/>
        <c:minorTickMark val="none"/>
        <c:tickLblPos val="nextTo"/>
        <c:crossAx val="1316699568"/>
        <c:crosses val="autoZero"/>
        <c:auto val="1"/>
        <c:lblAlgn val="ctr"/>
        <c:lblOffset val="100"/>
        <c:noMultiLvlLbl val="0"/>
      </c:catAx>
      <c:spPr>
        <a:noFill/>
        <a:ln>
          <a:noFill/>
        </a:ln>
        <a:effectLst/>
      </c:spPr>
    </c:plotArea>
    <c:legend>
      <c:legendPos val="b"/>
      <c:layout>
        <c:manualLayout>
          <c:xMode val="edge"/>
          <c:yMode val="edge"/>
          <c:x val="0.10442462512424075"/>
          <c:y val="5.6248585954518884E-2"/>
          <c:w val="0.5261185886826516"/>
          <c:h val="8.8653803609835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93653092918944E-2"/>
          <c:y val="5.4609675619501766E-2"/>
          <c:w val="0.85746340121949294"/>
          <c:h val="0.89885550475028042"/>
        </c:manualLayout>
      </c:layout>
      <c:barChart>
        <c:barDir val="col"/>
        <c:grouping val="stacked"/>
        <c:varyColors val="0"/>
        <c:ser>
          <c:idx val="0"/>
          <c:order val="0"/>
          <c:tx>
            <c:strRef>
              <c:f>Charts!$E$69</c:f>
              <c:strCache>
                <c:ptCount val="1"/>
                <c:pt idx="0">
                  <c:v>Adjusted EBITDA</c:v>
                </c:pt>
              </c:strCache>
            </c:strRef>
          </c:tx>
          <c:spPr>
            <a:solidFill>
              <a:schemeClr val="accent3">
                <a:lumMod val="20000"/>
                <a:lumOff val="80000"/>
              </a:schemeClr>
            </a:solidFill>
            <a:ln>
              <a:noFill/>
            </a:ln>
            <a:effectLst/>
          </c:spPr>
          <c:invertIfNegative val="0"/>
          <c:dPt>
            <c:idx val="1"/>
            <c:invertIfNegative val="0"/>
            <c:bubble3D val="0"/>
            <c:extLst>
              <c:ext xmlns:c16="http://schemas.microsoft.com/office/drawing/2014/chart" uri="{C3380CC4-5D6E-409C-BE32-E72D297353CC}">
                <c16:uniqueId val="{00000000-FAF1-4BB4-9080-540E06F9A296}"/>
              </c:ext>
            </c:extLst>
          </c:dPt>
          <c:dPt>
            <c:idx val="2"/>
            <c:invertIfNegative val="0"/>
            <c:bubble3D val="0"/>
            <c:extLst>
              <c:ext xmlns:c16="http://schemas.microsoft.com/office/drawing/2014/chart" uri="{C3380CC4-5D6E-409C-BE32-E72D297353CC}">
                <c16:uniqueId val="{00000001-FAF1-4BB4-9080-540E06F9A296}"/>
              </c:ext>
            </c:extLst>
          </c:dPt>
          <c:dPt>
            <c:idx val="8"/>
            <c:invertIfNegative val="0"/>
            <c:bubble3D val="0"/>
            <c:extLst>
              <c:ext xmlns:c16="http://schemas.microsoft.com/office/drawing/2014/chart" uri="{C3380CC4-5D6E-409C-BE32-E72D297353CC}">
                <c16:uniqueId val="{00000002-FAF1-4BB4-9080-540E06F9A296}"/>
              </c:ext>
            </c:extLst>
          </c:dPt>
          <c:dPt>
            <c:idx val="9"/>
            <c:invertIfNegative val="0"/>
            <c:bubble3D val="0"/>
            <c:extLst>
              <c:ext xmlns:c16="http://schemas.microsoft.com/office/drawing/2014/chart" uri="{C3380CC4-5D6E-409C-BE32-E72D297353CC}">
                <c16:uniqueId val="{00000003-FAF1-4BB4-9080-540E06F9A296}"/>
              </c:ext>
            </c:extLst>
          </c:dPt>
          <c:cat>
            <c:strRef>
              <c:f>Charts!$V$38:$BA$38</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Charts!$V$69:$BA$69</c:f>
              <c:numCache>
                <c:formatCode>"$"#,##0.0,"B"_);\("$"#,##0.0"B"\);"$"#,##0.00_);@_)</c:formatCode>
                <c:ptCount val="32"/>
                <c:pt idx="0">
                  <c:v>7.0939999999999985</c:v>
                </c:pt>
                <c:pt idx="1">
                  <c:v>133.60700000000003</c:v>
                </c:pt>
                <c:pt idx="2">
                  <c:v>148.81000000000003</c:v>
                </c:pt>
                <c:pt idx="3">
                  <c:v>217.89999999999992</c:v>
                </c:pt>
                <c:pt idx="4">
                  <c:v>226.64199999999991</c:v>
                </c:pt>
                <c:pt idx="5">
                  <c:v>251.46599999999992</c:v>
                </c:pt>
                <c:pt idx="6">
                  <c:v>153.76600000000002</c:v>
                </c:pt>
                <c:pt idx="7">
                  <c:v>134.95930000000024</c:v>
                </c:pt>
                <c:pt idx="8">
                  <c:v>36.683000000000106</c:v>
                </c:pt>
                <c:pt idx="9">
                  <c:v>-34.385999999999967</c:v>
                </c:pt>
                <c:pt idx="10">
                  <c:v>-40.27000000000001</c:v>
                </c:pt>
                <c:pt idx="11">
                  <c:v>67.131000000000085</c:v>
                </c:pt>
                <c:pt idx="12">
                  <c:v>-29</c:v>
                </c:pt>
                <c:pt idx="13">
                  <c:v>148</c:v>
                </c:pt>
                <c:pt idx="14">
                  <c:v>280</c:v>
                </c:pt>
                <c:pt idx="15">
                  <c:v>402</c:v>
                </c:pt>
                <c:pt idx="16">
                  <c:v>207</c:v>
                </c:pt>
                <c:pt idx="17">
                  <c:v>305</c:v>
                </c:pt>
                <c:pt idx="18">
                  <c:v>401</c:v>
                </c:pt>
                <c:pt idx="19">
                  <c:v>549.27709980785721</c:v>
                </c:pt>
                <c:pt idx="20">
                  <c:v>282.68689269859328</c:v>
                </c:pt>
                <c:pt idx="21">
                  <c:v>457.3332967886696</c:v>
                </c:pt>
                <c:pt idx="22">
                  <c:v>536.22031611460159</c:v>
                </c:pt>
                <c:pt idx="23">
                  <c:v>738.65574022977648</c:v>
                </c:pt>
                <c:pt idx="24">
                  <c:v>373.08077332406918</c:v>
                </c:pt>
                <c:pt idx="25">
                  <c:v>583.80980626420114</c:v>
                </c:pt>
                <c:pt idx="26">
                  <c:v>679.96298036631788</c:v>
                </c:pt>
                <c:pt idx="27">
                  <c:v>934.85609748712091</c:v>
                </c:pt>
                <c:pt idx="28">
                  <c:v>486.47692623950076</c:v>
                </c:pt>
                <c:pt idx="29">
                  <c:v>737.51874063819628</c:v>
                </c:pt>
                <c:pt idx="30">
                  <c:v>853.20736651707318</c:v>
                </c:pt>
                <c:pt idx="31">
                  <c:v>1169.8982047678903</c:v>
                </c:pt>
              </c:numCache>
            </c:numRef>
          </c:val>
          <c:extLst>
            <c:ext xmlns:c16="http://schemas.microsoft.com/office/drawing/2014/chart" uri="{C3380CC4-5D6E-409C-BE32-E72D297353CC}">
              <c16:uniqueId val="{00000004-FAF1-4BB4-9080-540E06F9A296}"/>
            </c:ext>
          </c:extLst>
        </c:ser>
        <c:dLbls>
          <c:showLegendKey val="0"/>
          <c:showVal val="0"/>
          <c:showCatName val="0"/>
          <c:showSerName val="0"/>
          <c:showPercent val="0"/>
          <c:showBubbleSize val="0"/>
        </c:dLbls>
        <c:gapWidth val="30"/>
        <c:overlap val="100"/>
        <c:axId val="945418624"/>
        <c:axId val="945420160"/>
      </c:barChart>
      <c:lineChart>
        <c:grouping val="standard"/>
        <c:varyColors val="0"/>
        <c:ser>
          <c:idx val="2"/>
          <c:order val="1"/>
          <c:tx>
            <c:strRef>
              <c:f>Charts!$E$55</c:f>
              <c:strCache>
                <c:ptCount val="1"/>
                <c:pt idx="0">
                  <c:v>Total Gross Margin</c:v>
                </c:pt>
              </c:strCache>
            </c:strRef>
          </c:tx>
          <c:spPr>
            <a:ln w="19050" cap="rnd" cmpd="sng" algn="ctr">
              <a:solidFill>
                <a:schemeClr val="accent5"/>
              </a:solidFill>
              <a:prstDash val="solid"/>
              <a:round/>
            </a:ln>
            <a:effectLst/>
          </c:spPr>
          <c:marker>
            <c:symbol val="none"/>
          </c:marker>
          <c:val>
            <c:numRef>
              <c:f>Charts!$V$55:$BA$55</c:f>
              <c:numCache>
                <c:formatCode>0.0%_);\(0.0%\);0.0%_);@_)</c:formatCode>
                <c:ptCount val="32"/>
                <c:pt idx="0">
                  <c:v>0.546700964466033</c:v>
                </c:pt>
                <c:pt idx="1">
                  <c:v>0.52500696446095074</c:v>
                </c:pt>
                <c:pt idx="2">
                  <c:v>0.52794547859344154</c:v>
                </c:pt>
                <c:pt idx="3">
                  <c:v>0.51586918457183062</c:v>
                </c:pt>
                <c:pt idx="4">
                  <c:v>0.56513194294829194</c:v>
                </c:pt>
                <c:pt idx="5">
                  <c:v>0.55461411681681538</c:v>
                </c:pt>
                <c:pt idx="6">
                  <c:v>0.54185932689056182</c:v>
                </c:pt>
                <c:pt idx="7">
                  <c:v>0.501918082584071</c:v>
                </c:pt>
                <c:pt idx="8">
                  <c:v>0.52976471868683139</c:v>
                </c:pt>
                <c:pt idx="9">
                  <c:v>0.50626262969446278</c:v>
                </c:pt>
                <c:pt idx="10">
                  <c:v>0.48479871175523354</c:v>
                </c:pt>
                <c:pt idx="11">
                  <c:v>0.46024099441030381</c:v>
                </c:pt>
                <c:pt idx="12">
                  <c:v>0.47546419098143233</c:v>
                </c:pt>
                <c:pt idx="13">
                  <c:v>0.49291617473435656</c:v>
                </c:pt>
                <c:pt idx="14">
                  <c:v>0.52567094515752621</c:v>
                </c:pt>
                <c:pt idx="15">
                  <c:v>0.49533582089552236</c:v>
                </c:pt>
                <c:pt idx="16">
                  <c:v>0.51423965609887157</c:v>
                </c:pt>
                <c:pt idx="17">
                  <c:v>0.51100244498777503</c:v>
                </c:pt>
                <c:pt idx="18">
                  <c:v>0.51711378353376503</c:v>
                </c:pt>
                <c:pt idx="19">
                  <c:v>0.48671860936820865</c:v>
                </c:pt>
                <c:pt idx="20">
                  <c:v>0.50720880007728575</c:v>
                </c:pt>
                <c:pt idx="21">
                  <c:v>0.50714527300423251</c:v>
                </c:pt>
                <c:pt idx="22">
                  <c:v>0.51780626571054189</c:v>
                </c:pt>
                <c:pt idx="23">
                  <c:v>0.48770153649382481</c:v>
                </c:pt>
                <c:pt idx="24">
                  <c:v>0.50465696721201858</c:v>
                </c:pt>
                <c:pt idx="25">
                  <c:v>0.50433854261389621</c:v>
                </c:pt>
                <c:pt idx="26">
                  <c:v>0.51509509782682894</c:v>
                </c:pt>
                <c:pt idx="27">
                  <c:v>0.48517956146270169</c:v>
                </c:pt>
                <c:pt idx="28">
                  <c:v>0.50274380868861746</c:v>
                </c:pt>
                <c:pt idx="29">
                  <c:v>0.50222186440087202</c:v>
                </c:pt>
                <c:pt idx="30">
                  <c:v>0.51305207835971445</c:v>
                </c:pt>
                <c:pt idx="31">
                  <c:v>0.48329209510018184</c:v>
                </c:pt>
              </c:numCache>
            </c:numRef>
          </c:val>
          <c:smooth val="1"/>
          <c:extLst>
            <c:ext xmlns:c16="http://schemas.microsoft.com/office/drawing/2014/chart" uri="{C3380CC4-5D6E-409C-BE32-E72D297353CC}">
              <c16:uniqueId val="{00000016-FAF1-4BB4-9080-540E06F9A296}"/>
            </c:ext>
          </c:extLst>
        </c:ser>
        <c:dLbls>
          <c:showLegendKey val="0"/>
          <c:showVal val="0"/>
          <c:showCatName val="0"/>
          <c:showSerName val="0"/>
          <c:showPercent val="0"/>
          <c:showBubbleSize val="0"/>
        </c:dLbls>
        <c:marker val="1"/>
        <c:smooth val="0"/>
        <c:axId val="852823664"/>
        <c:axId val="214573408"/>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4080000" spcFirstLastPara="1" vertOverflow="ellipsis"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14573408"/>
        <c:scaling>
          <c:orientation val="minMax"/>
        </c:scaling>
        <c:delete val="0"/>
        <c:axPos val="r"/>
        <c:numFmt formatCode="0.0%_);\(0.0%\);0.0%_);@_)"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852823664"/>
        <c:crosses val="max"/>
        <c:crossBetween val="between"/>
      </c:valAx>
      <c:catAx>
        <c:axId val="852823664"/>
        <c:scaling>
          <c:orientation val="minMax"/>
        </c:scaling>
        <c:delete val="1"/>
        <c:axPos val="b"/>
        <c:majorTickMark val="out"/>
        <c:minorTickMark val="none"/>
        <c:tickLblPos val="nextTo"/>
        <c:crossAx val="214573408"/>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0.17256606779502978"/>
          <c:y val="0.31557474837623228"/>
          <c:w val="0.32160270308045863"/>
          <c:h val="0.17010217462740196"/>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09530221448139E-2"/>
          <c:y val="5.0666527097135428E-2"/>
          <c:w val="0.91861145701550695"/>
          <c:h val="0.86308631590944007"/>
        </c:manualLayout>
      </c:layout>
      <c:barChart>
        <c:barDir val="col"/>
        <c:grouping val="stacked"/>
        <c:varyColors val="0"/>
        <c:ser>
          <c:idx val="0"/>
          <c:order val="0"/>
          <c:tx>
            <c:strRef>
              <c:f>Charts!$E$18</c:f>
              <c:strCache>
                <c:ptCount val="1"/>
                <c:pt idx="0">
                  <c:v>Shopify Payments Revenue </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0-BAD6-4AAE-99B6-E3344BDFB4FD}"/>
              </c:ext>
            </c:extLst>
          </c:dPt>
          <c:dPt>
            <c:idx val="2"/>
            <c:invertIfNegative val="0"/>
            <c:bubble3D val="0"/>
            <c:extLst>
              <c:ext xmlns:c16="http://schemas.microsoft.com/office/drawing/2014/chart" uri="{C3380CC4-5D6E-409C-BE32-E72D297353CC}">
                <c16:uniqueId val="{00000001-BAD6-4AAE-99B6-E3344BDFB4FD}"/>
              </c:ext>
            </c:extLst>
          </c:dPt>
          <c:dPt>
            <c:idx val="8"/>
            <c:invertIfNegative val="0"/>
            <c:bubble3D val="0"/>
            <c:extLst>
              <c:ext xmlns:c16="http://schemas.microsoft.com/office/drawing/2014/chart" uri="{C3380CC4-5D6E-409C-BE32-E72D297353CC}">
                <c16:uniqueId val="{00000002-BAD6-4AAE-99B6-E3344BDFB4FD}"/>
              </c:ext>
            </c:extLst>
          </c:dPt>
          <c:dPt>
            <c:idx val="9"/>
            <c:invertIfNegative val="0"/>
            <c:bubble3D val="0"/>
            <c:extLst>
              <c:ext xmlns:c16="http://schemas.microsoft.com/office/drawing/2014/chart" uri="{C3380CC4-5D6E-409C-BE32-E72D297353CC}">
                <c16:uniqueId val="{00000003-BAD6-4AAE-99B6-E3344BDFB4FD}"/>
              </c:ext>
            </c:extLst>
          </c:dPt>
          <c:cat>
            <c:strRef>
              <c:f>Charts!$V$4:$BA$4</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Charts!$V$18:$BA$18</c:f>
              <c:numCache>
                <c:formatCode>#,##0_);\(#,##0\);#,##0_);@_)</c:formatCode>
                <c:ptCount val="32"/>
                <c:pt idx="0">
                  <c:v>159.55147999999997</c:v>
                </c:pt>
                <c:pt idx="1">
                  <c:v>292.61745500000001</c:v>
                </c:pt>
                <c:pt idx="2">
                  <c:v>295.00401499999998</c:v>
                </c:pt>
                <c:pt idx="3">
                  <c:v>394.54175999999995</c:v>
                </c:pt>
                <c:pt idx="4">
                  <c:v>374.06096000000002</c:v>
                </c:pt>
                <c:pt idx="5">
                  <c:v>439.71648000000005</c:v>
                </c:pt>
                <c:pt idx="6">
                  <c:v>441.01792000000006</c:v>
                </c:pt>
                <c:pt idx="7">
                  <c:v>576.13696000000004</c:v>
                </c:pt>
                <c:pt idx="8">
                  <c:v>474.95068600000002</c:v>
                </c:pt>
                <c:pt idx="9">
                  <c:v>513.52686000000006</c:v>
                </c:pt>
                <c:pt idx="10">
                  <c:v>547.41414700000007</c:v>
                </c:pt>
                <c:pt idx="11">
                  <c:v>738.10237200000006</c:v>
                </c:pt>
                <c:pt idx="12">
                  <c:v>636.18999999999994</c:v>
                </c:pt>
                <c:pt idx="13">
                  <c:v>706.24999999999989</c:v>
                </c:pt>
                <c:pt idx="14">
                  <c:v>693.81999999999994</c:v>
                </c:pt>
                <c:pt idx="15">
                  <c:v>914.7349999999999</c:v>
                </c:pt>
                <c:pt idx="16">
                  <c:v>762.95249999999987</c:v>
                </c:pt>
                <c:pt idx="17">
                  <c:v>837.77459999999985</c:v>
                </c:pt>
                <c:pt idx="18">
                  <c:v>877.57839999999987</c:v>
                </c:pt>
                <c:pt idx="19">
                  <c:v>1143.0655260134847</c:v>
                </c:pt>
                <c:pt idx="20">
                  <c:v>956.14609985366576</c:v>
                </c:pt>
                <c:pt idx="21">
                  <c:v>1013.0944921617291</c:v>
                </c:pt>
                <c:pt idx="22">
                  <c:v>1051.717644946842</c:v>
                </c:pt>
                <c:pt idx="23">
                  <c:v>1378.0733963687687</c:v>
                </c:pt>
                <c:pt idx="24">
                  <c:v>1134.461531407695</c:v>
                </c:pt>
                <c:pt idx="25">
                  <c:v>1199.4975354816354</c:v>
                </c:pt>
                <c:pt idx="26">
                  <c:v>1245.6034570184461</c:v>
                </c:pt>
                <c:pt idx="27">
                  <c:v>1628.9372663110391</c:v>
                </c:pt>
                <c:pt idx="28">
                  <c:v>1324.7438398113609</c:v>
                </c:pt>
                <c:pt idx="29">
                  <c:v>1398.0079396551403</c:v>
                </c:pt>
                <c:pt idx="30">
                  <c:v>1452.1998984128486</c:v>
                </c:pt>
                <c:pt idx="31">
                  <c:v>1895.6033809555734</c:v>
                </c:pt>
              </c:numCache>
            </c:numRef>
          </c:val>
          <c:extLst>
            <c:ext xmlns:c16="http://schemas.microsoft.com/office/drawing/2014/chart" uri="{C3380CC4-5D6E-409C-BE32-E72D297353CC}">
              <c16:uniqueId val="{00000004-BAD6-4AAE-99B6-E3344BDFB4FD}"/>
            </c:ext>
          </c:extLst>
        </c:ser>
        <c:ser>
          <c:idx val="1"/>
          <c:order val="1"/>
          <c:tx>
            <c:strRef>
              <c:f>Charts!$E$19</c:f>
              <c:strCache>
                <c:ptCount val="1"/>
                <c:pt idx="0">
                  <c:v>3P Transaction Fee Revenue</c:v>
                </c:pt>
              </c:strCache>
            </c:strRef>
          </c:tx>
          <c:spPr>
            <a:solidFill>
              <a:schemeClr val="accent2"/>
            </a:solidFill>
            <a:ln>
              <a:noFill/>
            </a:ln>
            <a:effectLst/>
          </c:spPr>
          <c:invertIfNegative val="0"/>
          <c:cat>
            <c:strRef>
              <c:f>Charts!$V$4:$BA$4</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Charts!$V$19:$BA$19</c:f>
              <c:numCache>
                <c:formatCode>#,##0_);\(#,##0\);#,##0_);@_)</c:formatCode>
                <c:ptCount val="32"/>
                <c:pt idx="0">
                  <c:v>79.069759999999988</c:v>
                </c:pt>
                <c:pt idx="1">
                  <c:v>145.01396</c:v>
                </c:pt>
                <c:pt idx="2">
                  <c:v>146.19667999999999</c:v>
                </c:pt>
                <c:pt idx="3">
                  <c:v>195.52511999999996</c:v>
                </c:pt>
                <c:pt idx="4">
                  <c:v>173.67115999999996</c:v>
                </c:pt>
                <c:pt idx="5">
                  <c:v>204.15407999999996</c:v>
                </c:pt>
                <c:pt idx="6">
                  <c:v>204.75831999999997</c:v>
                </c:pt>
                <c:pt idx="7">
                  <c:v>267.49215999999996</c:v>
                </c:pt>
                <c:pt idx="8">
                  <c:v>210.42118999999994</c:v>
                </c:pt>
                <c:pt idx="9">
                  <c:v>227.51189999999994</c:v>
                </c:pt>
                <c:pt idx="10">
                  <c:v>242.52525499999993</c:v>
                </c:pt>
                <c:pt idx="11">
                  <c:v>327.0073799999999</c:v>
                </c:pt>
                <c:pt idx="12">
                  <c:v>264.60999999999996</c:v>
                </c:pt>
                <c:pt idx="13">
                  <c:v>293.75</c:v>
                </c:pt>
                <c:pt idx="14">
                  <c:v>288.58</c:v>
                </c:pt>
                <c:pt idx="15">
                  <c:v>380.46499999999997</c:v>
                </c:pt>
                <c:pt idx="16">
                  <c:v>310.5</c:v>
                </c:pt>
                <c:pt idx="17">
                  <c:v>340.85999999999996</c:v>
                </c:pt>
                <c:pt idx="18">
                  <c:v>356.96</c:v>
                </c:pt>
                <c:pt idx="19">
                  <c:v>438.06783744211066</c:v>
                </c:pt>
                <c:pt idx="20">
                  <c:v>357.36784273266437</c:v>
                </c:pt>
                <c:pt idx="21">
                  <c:v>378.07677827603374</c:v>
                </c:pt>
                <c:pt idx="22">
                  <c:v>392.29371061316732</c:v>
                </c:pt>
                <c:pt idx="23">
                  <c:v>483.93262705610414</c:v>
                </c:pt>
                <c:pt idx="24">
                  <c:v>395.33337757294959</c:v>
                </c:pt>
                <c:pt idx="25">
                  <c:v>416.78907057963147</c:v>
                </c:pt>
                <c:pt idx="26">
                  <c:v>432.48510746290503</c:v>
                </c:pt>
                <c:pt idx="27">
                  <c:v>532.03046550209979</c:v>
                </c:pt>
                <c:pt idx="28">
                  <c:v>437.31036789810605</c:v>
                </c:pt>
                <c:pt idx="29">
                  <c:v>459.57352393200676</c:v>
                </c:pt>
                <c:pt idx="30">
                  <c:v>476.90455687483467</c:v>
                </c:pt>
                <c:pt idx="31">
                  <c:v>585.16885356758564</c:v>
                </c:pt>
              </c:numCache>
            </c:numRef>
          </c:val>
          <c:extLst>
            <c:ext xmlns:c16="http://schemas.microsoft.com/office/drawing/2014/chart" uri="{C3380CC4-5D6E-409C-BE32-E72D297353CC}">
              <c16:uniqueId val="{00000005-BAD6-4AAE-99B6-E3344BDFB4FD}"/>
            </c:ext>
          </c:extLst>
        </c:ser>
        <c:ser>
          <c:idx val="2"/>
          <c:order val="2"/>
          <c:tx>
            <c:strRef>
              <c:f>Charts!$E$21</c:f>
              <c:strCache>
                <c:ptCount val="1"/>
                <c:pt idx="0">
                  <c:v>Non-Payments Merchant Solution Revenue</c:v>
                </c:pt>
              </c:strCache>
            </c:strRef>
          </c:tx>
          <c:spPr>
            <a:solidFill>
              <a:schemeClr val="accent3"/>
            </a:solidFill>
            <a:ln>
              <a:noFill/>
            </a:ln>
            <a:effectLst/>
          </c:spPr>
          <c:invertIfNegative val="0"/>
          <c:cat>
            <c:strRef>
              <c:f>Charts!$V$4:$BA$4</c:f>
              <c:strCache>
                <c:ptCount val="32"/>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pt idx="16">
                  <c:v>1Q24A</c:v>
                </c:pt>
                <c:pt idx="17">
                  <c:v>2Q24A</c:v>
                </c:pt>
                <c:pt idx="18">
                  <c:v>3Q24A</c:v>
                </c:pt>
                <c:pt idx="19">
                  <c:v>4Q24E</c:v>
                </c:pt>
                <c:pt idx="20">
                  <c:v>1Q25E</c:v>
                </c:pt>
                <c:pt idx="21">
                  <c:v>2Q25E</c:v>
                </c:pt>
                <c:pt idx="22">
                  <c:v>3Q25E</c:v>
                </c:pt>
                <c:pt idx="23">
                  <c:v>4Q25E</c:v>
                </c:pt>
                <c:pt idx="24">
                  <c:v>1Q26E</c:v>
                </c:pt>
                <c:pt idx="25">
                  <c:v>2Q26E</c:v>
                </c:pt>
                <c:pt idx="26">
                  <c:v>3Q26E</c:v>
                </c:pt>
                <c:pt idx="27">
                  <c:v>4Q26E</c:v>
                </c:pt>
                <c:pt idx="28">
                  <c:v>1Q27E</c:v>
                </c:pt>
                <c:pt idx="29">
                  <c:v>2Q27E</c:v>
                </c:pt>
                <c:pt idx="30">
                  <c:v>3Q27E</c:v>
                </c:pt>
                <c:pt idx="31">
                  <c:v>4Q27E</c:v>
                </c:pt>
              </c:strCache>
            </c:strRef>
          </c:cat>
          <c:val>
            <c:numRef>
              <c:f>Charts!$V$21:$BA$21</c:f>
              <c:numCache>
                <c:formatCode>0.0</c:formatCode>
                <c:ptCount val="32"/>
                <c:pt idx="0">
                  <c:v>43.770760000000053</c:v>
                </c:pt>
                <c:pt idx="1">
                  <c:v>80.275585000000035</c:v>
                </c:pt>
                <c:pt idx="2">
                  <c:v>80.930304999999976</c:v>
                </c:pt>
                <c:pt idx="3">
                  <c:v>108.23712000000012</c:v>
                </c:pt>
                <c:pt idx="4">
                  <c:v>120.23388</c:v>
                </c:pt>
                <c:pt idx="5">
                  <c:v>141.3374399999999</c:v>
                </c:pt>
                <c:pt idx="6">
                  <c:v>141.75576000000001</c:v>
                </c:pt>
                <c:pt idx="7">
                  <c:v>185.18687999999997</c:v>
                </c:pt>
                <c:pt idx="8">
                  <c:v>173.49012400000004</c:v>
                </c:pt>
                <c:pt idx="9">
                  <c:v>187.58123999999998</c:v>
                </c:pt>
                <c:pt idx="10">
                  <c:v>199.95959800000003</c:v>
                </c:pt>
                <c:pt idx="11">
                  <c:v>269.61424800000009</c:v>
                </c:pt>
                <c:pt idx="12">
                  <c:v>225.20000000000005</c:v>
                </c:pt>
                <c:pt idx="13">
                  <c:v>250.00000000000011</c:v>
                </c:pt>
                <c:pt idx="14">
                  <c:v>245.60000000000014</c:v>
                </c:pt>
                <c:pt idx="15">
                  <c:v>323.80000000000018</c:v>
                </c:pt>
                <c:pt idx="16">
                  <c:v>276.54750000000013</c:v>
                </c:pt>
                <c:pt idx="17">
                  <c:v>303.36540000000014</c:v>
                </c:pt>
                <c:pt idx="18">
                  <c:v>317.46160000000009</c:v>
                </c:pt>
                <c:pt idx="19">
                  <c:v>464.72132404440413</c:v>
                </c:pt>
                <c:pt idx="20">
                  <c:v>421.8377074136697</c:v>
                </c:pt>
                <c:pt idx="21">
                  <c:v>451.90918763538616</c:v>
                </c:pt>
                <c:pt idx="22">
                  <c:v>467.43561945810779</c:v>
                </c:pt>
                <c:pt idx="23">
                  <c:v>679.09607584699393</c:v>
                </c:pt>
                <c:pt idx="24">
                  <c:v>569.91488799185549</c:v>
                </c:pt>
                <c:pt idx="25">
                  <c:v>614.18251388774252</c:v>
                </c:pt>
                <c:pt idx="26">
                  <c:v>634.46207675681853</c:v>
                </c:pt>
                <c:pt idx="27">
                  <c:v>914.19005597214345</c:v>
                </c:pt>
                <c:pt idx="28">
                  <c:v>735.31718141730789</c:v>
                </c:pt>
                <c:pt idx="29">
                  <c:v>795.64603048383606</c:v>
                </c:pt>
                <c:pt idx="30">
                  <c:v>821.23342531013486</c:v>
                </c:pt>
                <c:pt idx="31">
                  <c:v>1177.206501533768</c:v>
                </c:pt>
              </c:numCache>
            </c:numRef>
          </c:val>
          <c:extLst>
            <c:ext xmlns:c16="http://schemas.microsoft.com/office/drawing/2014/chart" uri="{C3380CC4-5D6E-409C-BE32-E72D297353CC}">
              <c16:uniqueId val="{00000006-BAD6-4AAE-99B6-E3344BDFB4FD}"/>
            </c:ext>
          </c:extLst>
        </c:ser>
        <c:dLbls>
          <c:showLegendKey val="0"/>
          <c:showVal val="0"/>
          <c:showCatName val="0"/>
          <c:showSerName val="0"/>
          <c:showPercent val="0"/>
          <c:showBubbleSize val="0"/>
        </c:dLbls>
        <c:gapWidth val="30"/>
        <c:overlap val="100"/>
        <c:axId val="945418624"/>
        <c:axId val="945420160"/>
      </c:barChart>
      <c:lineChart>
        <c:grouping val="standard"/>
        <c:varyColors val="0"/>
        <c:ser>
          <c:idx val="3"/>
          <c:order val="3"/>
          <c:tx>
            <c:strRef>
              <c:f>Charts!$E$27</c:f>
              <c:strCache>
                <c:ptCount val="1"/>
                <c:pt idx="0">
                  <c:v>Total payments rev % MS rev </c:v>
                </c:pt>
              </c:strCache>
            </c:strRef>
          </c:tx>
          <c:spPr>
            <a:ln w="19050" cap="rnd" cmpd="sng" algn="ctr">
              <a:solidFill>
                <a:schemeClr val="accent4"/>
              </a:solidFill>
              <a:prstDash val="solid"/>
              <a:round/>
            </a:ln>
            <a:effectLst/>
          </c:spPr>
          <c:marker>
            <c:symbol val="none"/>
          </c:marker>
          <c:val>
            <c:numRef>
              <c:f>Charts!$V$27:$BA$27</c:f>
              <c:numCache>
                <c:formatCode>0.0%_);\(0.0%\);0.0%_);@_)</c:formatCode>
                <c:ptCount val="32"/>
                <c:pt idx="0">
                  <c:v>0.84499999999999986</c:v>
                </c:pt>
                <c:pt idx="1">
                  <c:v>0.84499999999999997</c:v>
                </c:pt>
                <c:pt idx="2">
                  <c:v>0.84500000000000008</c:v>
                </c:pt>
                <c:pt idx="3">
                  <c:v>0.84499999999999986</c:v>
                </c:pt>
                <c:pt idx="4">
                  <c:v>0.82</c:v>
                </c:pt>
                <c:pt idx="5">
                  <c:v>0.82000000000000017</c:v>
                </c:pt>
                <c:pt idx="6">
                  <c:v>0.82</c:v>
                </c:pt>
                <c:pt idx="7">
                  <c:v>0.82000000000000006</c:v>
                </c:pt>
                <c:pt idx="8">
                  <c:v>0.79799999999999993</c:v>
                </c:pt>
                <c:pt idx="9">
                  <c:v>0.79800000000000004</c:v>
                </c:pt>
                <c:pt idx="10">
                  <c:v>0.79799999999999993</c:v>
                </c:pt>
                <c:pt idx="11">
                  <c:v>0.79799999999999993</c:v>
                </c:pt>
                <c:pt idx="12">
                  <c:v>0.79999999999999993</c:v>
                </c:pt>
                <c:pt idx="13">
                  <c:v>0.79999999999999993</c:v>
                </c:pt>
                <c:pt idx="14">
                  <c:v>0.79999999999999993</c:v>
                </c:pt>
                <c:pt idx="15">
                  <c:v>0.79999999999999993</c:v>
                </c:pt>
                <c:pt idx="16">
                  <c:v>0.79514999999999991</c:v>
                </c:pt>
                <c:pt idx="17">
                  <c:v>0.7952999999999999</c:v>
                </c:pt>
                <c:pt idx="18">
                  <c:v>0.79544999999999999</c:v>
                </c:pt>
                <c:pt idx="19">
                  <c:v>0.7728473449830956</c:v>
                </c:pt>
                <c:pt idx="20">
                  <c:v>0.7569151431563339</c:v>
                </c:pt>
                <c:pt idx="21">
                  <c:v>0.75480767230973989</c:v>
                </c:pt>
                <c:pt idx="22">
                  <c:v>0.75545457155374274</c:v>
                </c:pt>
                <c:pt idx="23">
                  <c:v>0.73275529698645969</c:v>
                </c:pt>
                <c:pt idx="24">
                  <c:v>0.72857444928170723</c:v>
                </c:pt>
                <c:pt idx="25">
                  <c:v>0.7246397592351409</c:v>
                </c:pt>
                <c:pt idx="26">
                  <c:v>0.7256440289596775</c:v>
                </c:pt>
                <c:pt idx="27">
                  <c:v>0.70271767529999174</c:v>
                </c:pt>
                <c:pt idx="28">
                  <c:v>0.70556354388506981</c:v>
                </c:pt>
                <c:pt idx="29">
                  <c:v>0.7001214436900639</c:v>
                </c:pt>
                <c:pt idx="30">
                  <c:v>0.70140635043297661</c:v>
                </c:pt>
                <c:pt idx="31">
                  <c:v>0.67818115235882337</c:v>
                </c:pt>
              </c:numCache>
            </c:numRef>
          </c:val>
          <c:smooth val="1"/>
          <c:extLst>
            <c:ext xmlns:c16="http://schemas.microsoft.com/office/drawing/2014/chart" uri="{C3380CC4-5D6E-409C-BE32-E72D297353CC}">
              <c16:uniqueId val="{00000007-BAD6-4AAE-99B6-E3344BDFB4FD}"/>
            </c:ext>
          </c:extLst>
        </c:ser>
        <c:dLbls>
          <c:showLegendKey val="0"/>
          <c:showVal val="0"/>
          <c:showCatName val="0"/>
          <c:showSerName val="0"/>
          <c:showPercent val="0"/>
          <c:showBubbleSize val="0"/>
        </c:dLbls>
        <c:marker val="1"/>
        <c:smooth val="0"/>
        <c:axId val="269090544"/>
        <c:axId val="278759152"/>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2820000" spcFirstLastPara="1" vertOverflow="ellipsis"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78759152"/>
        <c:scaling>
          <c:orientation val="minMax"/>
          <c:min val="0.5"/>
        </c:scaling>
        <c:delete val="0"/>
        <c:axPos val="r"/>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269090544"/>
        <c:crosses val="max"/>
        <c:crossBetween val="between"/>
      </c:valAx>
      <c:catAx>
        <c:axId val="269090544"/>
        <c:scaling>
          <c:orientation val="minMax"/>
        </c:scaling>
        <c:delete val="1"/>
        <c:axPos val="b"/>
        <c:majorTickMark val="out"/>
        <c:minorTickMark val="none"/>
        <c:tickLblPos val="nextTo"/>
        <c:crossAx val="278759152"/>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r"/>
      <c:layout>
        <c:manualLayout>
          <c:xMode val="edge"/>
          <c:yMode val="edge"/>
          <c:x val="0.32918097377543087"/>
          <c:y val="1.2388451443569517E-3"/>
          <c:w val="0.42821019482795664"/>
          <c:h val="0.1974072907553222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09530221448139E-2"/>
          <c:y val="5.0666527097135428E-2"/>
          <c:w val="0.91861145701550695"/>
          <c:h val="0.86308631590944007"/>
        </c:manualLayout>
      </c:layout>
      <c:barChart>
        <c:barDir val="col"/>
        <c:grouping val="stacked"/>
        <c:varyColors val="0"/>
        <c:ser>
          <c:idx val="0"/>
          <c:order val="0"/>
          <c:tx>
            <c:strRef>
              <c:f>Charts!$E$20</c:f>
              <c:strCache>
                <c:ptCount val="1"/>
                <c:pt idx="0">
                  <c:v>Total Payments Revenue</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0-72D2-452A-BEA0-7C937219E2C6}"/>
              </c:ext>
            </c:extLst>
          </c:dPt>
          <c:dPt>
            <c:idx val="2"/>
            <c:invertIfNegative val="0"/>
            <c:bubble3D val="0"/>
            <c:extLst>
              <c:ext xmlns:c16="http://schemas.microsoft.com/office/drawing/2014/chart" uri="{C3380CC4-5D6E-409C-BE32-E72D297353CC}">
                <c16:uniqueId val="{00000001-72D2-452A-BEA0-7C937219E2C6}"/>
              </c:ext>
            </c:extLst>
          </c:dPt>
          <c:dPt>
            <c:idx val="8"/>
            <c:invertIfNegative val="0"/>
            <c:bubble3D val="0"/>
            <c:extLst>
              <c:ext xmlns:c16="http://schemas.microsoft.com/office/drawing/2014/chart" uri="{C3380CC4-5D6E-409C-BE32-E72D297353CC}">
                <c16:uniqueId val="{00000002-72D2-452A-BEA0-7C937219E2C6}"/>
              </c:ext>
            </c:extLst>
          </c:dPt>
          <c:dPt>
            <c:idx val="9"/>
            <c:invertIfNegative val="0"/>
            <c:bubble3D val="0"/>
            <c:extLst>
              <c:ext xmlns:c16="http://schemas.microsoft.com/office/drawing/2014/chart" uri="{C3380CC4-5D6E-409C-BE32-E72D297353CC}">
                <c16:uniqueId val="{00000003-72D2-452A-BEA0-7C937219E2C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Charts!$V$4:$AK$4</c:f>
              <c:strCache>
                <c:ptCount val="16"/>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strCache>
            </c:strRef>
          </c:cat>
          <c:val>
            <c:numRef>
              <c:f>Charts!$V$20:$AK$20</c:f>
              <c:numCache>
                <c:formatCode>#,##0_);\(#,##0\);#,##0_);@_)</c:formatCode>
                <c:ptCount val="16"/>
                <c:pt idx="0">
                  <c:v>238.62123999999994</c:v>
                </c:pt>
                <c:pt idx="1">
                  <c:v>437.631415</c:v>
                </c:pt>
                <c:pt idx="2">
                  <c:v>441.200695</c:v>
                </c:pt>
                <c:pt idx="3">
                  <c:v>590.06687999999986</c:v>
                </c:pt>
                <c:pt idx="4">
                  <c:v>547.73212000000001</c:v>
                </c:pt>
                <c:pt idx="5">
                  <c:v>643.87056000000007</c:v>
                </c:pt>
                <c:pt idx="6">
                  <c:v>645.77624000000003</c:v>
                </c:pt>
                <c:pt idx="7">
                  <c:v>843.62912000000006</c:v>
                </c:pt>
                <c:pt idx="8">
                  <c:v>685.37187599999993</c:v>
                </c:pt>
                <c:pt idx="9">
                  <c:v>741.03876000000002</c:v>
                </c:pt>
                <c:pt idx="10">
                  <c:v>789.93940199999997</c:v>
                </c:pt>
                <c:pt idx="11">
                  <c:v>1065.1097519999998</c:v>
                </c:pt>
                <c:pt idx="12">
                  <c:v>900.8</c:v>
                </c:pt>
                <c:pt idx="13">
                  <c:v>999.99999999999989</c:v>
                </c:pt>
                <c:pt idx="14">
                  <c:v>982.39999999999986</c:v>
                </c:pt>
                <c:pt idx="15">
                  <c:v>1295.1999999999998</c:v>
                </c:pt>
              </c:numCache>
            </c:numRef>
          </c:val>
          <c:extLst>
            <c:ext xmlns:c16="http://schemas.microsoft.com/office/drawing/2014/chart" uri="{C3380CC4-5D6E-409C-BE32-E72D297353CC}">
              <c16:uniqueId val="{00000004-72D2-452A-BEA0-7C937219E2C6}"/>
            </c:ext>
          </c:extLst>
        </c:ser>
        <c:ser>
          <c:idx val="1"/>
          <c:order val="1"/>
          <c:tx>
            <c:strRef>
              <c:f>Charts!$E$22</c:f>
              <c:strCache>
                <c:ptCount val="1"/>
                <c:pt idx="0">
                  <c:v>Total Merchant Solution Revenues</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Charts!$V$4:$AK$4</c:f>
              <c:strCache>
                <c:ptCount val="16"/>
                <c:pt idx="0">
                  <c:v>1Q20A</c:v>
                </c:pt>
                <c:pt idx="1">
                  <c:v>2Q20A</c:v>
                </c:pt>
                <c:pt idx="2">
                  <c:v>3Q20A</c:v>
                </c:pt>
                <c:pt idx="3">
                  <c:v>4Q20A</c:v>
                </c:pt>
                <c:pt idx="4">
                  <c:v>1Q21A</c:v>
                </c:pt>
                <c:pt idx="5">
                  <c:v>2Q21A</c:v>
                </c:pt>
                <c:pt idx="6">
                  <c:v>3Q21A</c:v>
                </c:pt>
                <c:pt idx="7">
                  <c:v>4Q21A</c:v>
                </c:pt>
                <c:pt idx="8">
                  <c:v>1Q22A</c:v>
                </c:pt>
                <c:pt idx="9">
                  <c:v>2Q22A</c:v>
                </c:pt>
                <c:pt idx="10">
                  <c:v>3Q22A</c:v>
                </c:pt>
                <c:pt idx="11">
                  <c:v>4Q22A</c:v>
                </c:pt>
                <c:pt idx="12">
                  <c:v>1Q23A</c:v>
                </c:pt>
                <c:pt idx="13">
                  <c:v>2Q23A</c:v>
                </c:pt>
                <c:pt idx="14">
                  <c:v>3Q23A</c:v>
                </c:pt>
                <c:pt idx="15">
                  <c:v>4Q23A</c:v>
                </c:pt>
              </c:strCache>
            </c:strRef>
          </c:cat>
          <c:val>
            <c:numRef>
              <c:f>Charts!$V$22:$AK$22</c:f>
              <c:numCache>
                <c:formatCode>0.0</c:formatCode>
                <c:ptCount val="16"/>
                <c:pt idx="0">
                  <c:v>282.392</c:v>
                </c:pt>
                <c:pt idx="1">
                  <c:v>517.90700000000004</c:v>
                </c:pt>
                <c:pt idx="2">
                  <c:v>522.13099999999997</c:v>
                </c:pt>
                <c:pt idx="3">
                  <c:v>698.30399999999997</c:v>
                </c:pt>
                <c:pt idx="4">
                  <c:v>667.96600000000001</c:v>
                </c:pt>
                <c:pt idx="5">
                  <c:v>785.20799999999997</c:v>
                </c:pt>
                <c:pt idx="6">
                  <c:v>787.53200000000004</c:v>
                </c:pt>
                <c:pt idx="7">
                  <c:v>1028.816</c:v>
                </c:pt>
                <c:pt idx="8">
                  <c:v>858.86199999999997</c:v>
                </c:pt>
                <c:pt idx="9">
                  <c:v>928.62</c:v>
                </c:pt>
                <c:pt idx="10">
                  <c:v>989.899</c:v>
                </c:pt>
                <c:pt idx="11">
                  <c:v>1334.7239999999999</c:v>
                </c:pt>
                <c:pt idx="12">
                  <c:v>1126</c:v>
                </c:pt>
                <c:pt idx="13">
                  <c:v>1250</c:v>
                </c:pt>
                <c:pt idx="14">
                  <c:v>1228</c:v>
                </c:pt>
                <c:pt idx="15">
                  <c:v>1619</c:v>
                </c:pt>
              </c:numCache>
            </c:numRef>
          </c:val>
          <c:extLst>
            <c:ext xmlns:c16="http://schemas.microsoft.com/office/drawing/2014/chart" uri="{C3380CC4-5D6E-409C-BE32-E72D297353CC}">
              <c16:uniqueId val="{00000005-72D2-452A-BEA0-7C937219E2C6}"/>
            </c:ext>
          </c:extLst>
        </c:ser>
        <c:dLbls>
          <c:showLegendKey val="0"/>
          <c:showVal val="0"/>
          <c:showCatName val="0"/>
          <c:showSerName val="0"/>
          <c:showPercent val="0"/>
          <c:showBubbleSize val="0"/>
        </c:dLbls>
        <c:gapWidth val="30"/>
        <c:overlap val="100"/>
        <c:axId val="945418624"/>
        <c:axId val="945420160"/>
      </c:bar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2340000" spcFirstLastPara="1" vertOverflow="ellipsis"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r"/>
      <c:layout>
        <c:manualLayout>
          <c:xMode val="edge"/>
          <c:yMode val="edge"/>
          <c:x val="0.16393106566284851"/>
          <c:y val="5.2996736008375733E-2"/>
          <c:w val="0.36391606686622113"/>
          <c:h val="0.289752814294754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09530221448139E-2"/>
          <c:y val="5.0666527097135428E-2"/>
          <c:w val="0.91861145701550695"/>
          <c:h val="0.86308631590944007"/>
        </c:manualLayout>
      </c:layout>
      <c:barChart>
        <c:barDir val="col"/>
        <c:grouping val="stacked"/>
        <c:varyColors val="0"/>
        <c:ser>
          <c:idx val="0"/>
          <c:order val="0"/>
          <c:tx>
            <c:strRef>
              <c:f>Charts!$E$18</c:f>
              <c:strCache>
                <c:ptCount val="1"/>
                <c:pt idx="0">
                  <c:v>Shopify Payments Revenue </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0-C645-4748-9094-8C0C0FC1FCF1}"/>
              </c:ext>
            </c:extLst>
          </c:dPt>
          <c:dPt>
            <c:idx val="2"/>
            <c:invertIfNegative val="0"/>
            <c:bubble3D val="0"/>
            <c:extLst>
              <c:ext xmlns:c16="http://schemas.microsoft.com/office/drawing/2014/chart" uri="{C3380CC4-5D6E-409C-BE32-E72D297353CC}">
                <c16:uniqueId val="{00000001-C645-4748-9094-8C0C0FC1FCF1}"/>
              </c:ext>
            </c:extLst>
          </c:dPt>
          <c:dPt>
            <c:idx val="8"/>
            <c:invertIfNegative val="0"/>
            <c:bubble3D val="0"/>
            <c:extLst>
              <c:ext xmlns:c16="http://schemas.microsoft.com/office/drawing/2014/chart" uri="{C3380CC4-5D6E-409C-BE32-E72D297353CC}">
                <c16:uniqueId val="{00000002-C645-4748-9094-8C0C0FC1FCF1}"/>
              </c:ext>
            </c:extLst>
          </c:dPt>
          <c:dPt>
            <c:idx val="9"/>
            <c:invertIfNegative val="0"/>
            <c:bubble3D val="0"/>
            <c:extLst>
              <c:ext xmlns:c16="http://schemas.microsoft.com/office/drawing/2014/chart" uri="{C3380CC4-5D6E-409C-BE32-E72D297353CC}">
                <c16:uniqueId val="{00000003-C645-4748-9094-8C0C0FC1FCF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Charts!$CK$4:$CS$4</c:f>
              <c:strCache>
                <c:ptCount val="9"/>
                <c:pt idx="0">
                  <c:v>2019A</c:v>
                </c:pt>
                <c:pt idx="1">
                  <c:v>2020A</c:v>
                </c:pt>
                <c:pt idx="2">
                  <c:v>2021A</c:v>
                </c:pt>
                <c:pt idx="3">
                  <c:v>2022A</c:v>
                </c:pt>
                <c:pt idx="4">
                  <c:v>2023A</c:v>
                </c:pt>
                <c:pt idx="5">
                  <c:v>2024E</c:v>
                </c:pt>
                <c:pt idx="6">
                  <c:v>2025E</c:v>
                </c:pt>
                <c:pt idx="7">
                  <c:v>2026E</c:v>
                </c:pt>
                <c:pt idx="8">
                  <c:v>2027E</c:v>
                </c:pt>
              </c:strCache>
            </c:strRef>
          </c:cat>
          <c:val>
            <c:numRef>
              <c:f>Charts!$CK$18:$CS$18</c:f>
              <c:numCache>
                <c:formatCode>"$"#,##0.0,"B"_);\("$"#,##0.0"B"\);"$"#,##0.00_);@_)</c:formatCode>
                <c:ptCount val="9"/>
                <c:pt idx="0">
                  <c:v>533.48123999999996</c:v>
                </c:pt>
                <c:pt idx="1">
                  <c:v>1141.7147099999997</c:v>
                </c:pt>
                <c:pt idx="2">
                  <c:v>1830.9323200000001</c:v>
                </c:pt>
                <c:pt idx="3">
                  <c:v>2273.9940649999999</c:v>
                </c:pt>
                <c:pt idx="4">
                  <c:v>2950.9949999999999</c:v>
                </c:pt>
                <c:pt idx="5">
                  <c:v>3621.371026013484</c:v>
                </c:pt>
                <c:pt idx="6">
                  <c:v>4399.0316333310057</c:v>
                </c:pt>
                <c:pt idx="7">
                  <c:v>5208.4997902188161</c:v>
                </c:pt>
                <c:pt idx="8">
                  <c:v>6070.5550588349233</c:v>
                </c:pt>
              </c:numCache>
            </c:numRef>
          </c:val>
          <c:extLst>
            <c:ext xmlns:c16="http://schemas.microsoft.com/office/drawing/2014/chart" uri="{C3380CC4-5D6E-409C-BE32-E72D297353CC}">
              <c16:uniqueId val="{00000004-C645-4748-9094-8C0C0FC1FCF1}"/>
            </c:ext>
          </c:extLst>
        </c:ser>
        <c:ser>
          <c:idx val="1"/>
          <c:order val="1"/>
          <c:tx>
            <c:strRef>
              <c:f>Charts!$E$19</c:f>
              <c:strCache>
                <c:ptCount val="1"/>
                <c:pt idx="0">
                  <c:v>3P Transaction Fee Revenue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Charts!$CK$4:$CS$4</c:f>
              <c:strCache>
                <c:ptCount val="9"/>
                <c:pt idx="0">
                  <c:v>2019A</c:v>
                </c:pt>
                <c:pt idx="1">
                  <c:v>2020A</c:v>
                </c:pt>
                <c:pt idx="2">
                  <c:v>2021A</c:v>
                </c:pt>
                <c:pt idx="3">
                  <c:v>2022A</c:v>
                </c:pt>
                <c:pt idx="4">
                  <c:v>2023A</c:v>
                </c:pt>
                <c:pt idx="5">
                  <c:v>2024E</c:v>
                </c:pt>
                <c:pt idx="6">
                  <c:v>2025E</c:v>
                </c:pt>
                <c:pt idx="7">
                  <c:v>2026E</c:v>
                </c:pt>
                <c:pt idx="8">
                  <c:v>2027E</c:v>
                </c:pt>
              </c:strCache>
            </c:strRef>
          </c:cat>
          <c:val>
            <c:numRef>
              <c:f>Charts!$CK$19:$CS$19</c:f>
              <c:numCache>
                <c:formatCode>"$"#,##0.0,"B"_);\("$"#,##0.0"B"\);"$"#,##0.00_);@_)</c:formatCode>
                <c:ptCount val="9"/>
                <c:pt idx="0">
                  <c:v>280.77960000000002</c:v>
                </c:pt>
                <c:pt idx="1">
                  <c:v>565.80551999999989</c:v>
                </c:pt>
                <c:pt idx="2">
                  <c:v>850.07571999999982</c:v>
                </c:pt>
                <c:pt idx="3">
                  <c:v>1007.4657249999997</c:v>
                </c:pt>
                <c:pt idx="4">
                  <c:v>1227.4049999999997</c:v>
                </c:pt>
                <c:pt idx="5">
                  <c:v>1446.3878374421106</c:v>
                </c:pt>
                <c:pt idx="6">
                  <c:v>1611.6709586779696</c:v>
                </c:pt>
                <c:pt idx="7">
                  <c:v>1776.6380211175858</c:v>
                </c:pt>
                <c:pt idx="8">
                  <c:v>1958.9573022725331</c:v>
                </c:pt>
              </c:numCache>
            </c:numRef>
          </c:val>
          <c:extLst>
            <c:ext xmlns:c16="http://schemas.microsoft.com/office/drawing/2014/chart" uri="{C3380CC4-5D6E-409C-BE32-E72D297353CC}">
              <c16:uniqueId val="{00000005-C645-4748-9094-8C0C0FC1FCF1}"/>
            </c:ext>
          </c:extLst>
        </c:ser>
        <c:ser>
          <c:idx val="2"/>
          <c:order val="2"/>
          <c:tx>
            <c:strRef>
              <c:f>Charts!$E$21</c:f>
              <c:strCache>
                <c:ptCount val="1"/>
                <c:pt idx="0">
                  <c:v>Non-Payments Merchant Solution Revenue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Charts!$CK$4:$CS$4</c:f>
              <c:strCache>
                <c:ptCount val="9"/>
                <c:pt idx="0">
                  <c:v>2019A</c:v>
                </c:pt>
                <c:pt idx="1">
                  <c:v>2020A</c:v>
                </c:pt>
                <c:pt idx="2">
                  <c:v>2021A</c:v>
                </c:pt>
                <c:pt idx="3">
                  <c:v>2022A</c:v>
                </c:pt>
                <c:pt idx="4">
                  <c:v>2023A</c:v>
                </c:pt>
                <c:pt idx="5">
                  <c:v>2024E</c:v>
                </c:pt>
                <c:pt idx="6">
                  <c:v>2025E</c:v>
                </c:pt>
                <c:pt idx="7">
                  <c:v>2026E</c:v>
                </c:pt>
                <c:pt idx="8">
                  <c:v>2027E</c:v>
                </c:pt>
              </c:strCache>
            </c:strRef>
          </c:cat>
          <c:val>
            <c:numRef>
              <c:f>Charts!$CK$21:$CS$21</c:f>
              <c:numCache>
                <c:formatCode>"$"#,##0.0,"B"_);\("$"#,##0.0"B"\);"$"#,##0.00_);@_)</c:formatCode>
                <c:ptCount val="9"/>
                <c:pt idx="0">
                  <c:v>121.6711600000001</c:v>
                </c:pt>
                <c:pt idx="1">
                  <c:v>313.2137700000003</c:v>
                </c:pt>
                <c:pt idx="2">
                  <c:v>588.51396000000022</c:v>
                </c:pt>
                <c:pt idx="3">
                  <c:v>830.64521000000013</c:v>
                </c:pt>
                <c:pt idx="4">
                  <c:v>1044.6000000000004</c:v>
                </c:pt>
                <c:pt idx="5">
                  <c:v>1362.0958240444052</c:v>
                </c:pt>
                <c:pt idx="6">
                  <c:v>2020.2785903541571</c:v>
                </c:pt>
                <c:pt idx="7">
                  <c:v>2732.7495346085589</c:v>
                </c:pt>
                <c:pt idx="8">
                  <c:v>3529.4031387450468</c:v>
                </c:pt>
              </c:numCache>
            </c:numRef>
          </c:val>
          <c:extLst>
            <c:ext xmlns:c16="http://schemas.microsoft.com/office/drawing/2014/chart" uri="{C3380CC4-5D6E-409C-BE32-E72D297353CC}">
              <c16:uniqueId val="{00000006-C645-4748-9094-8C0C0FC1FCF1}"/>
            </c:ext>
          </c:extLst>
        </c:ser>
        <c:dLbls>
          <c:showLegendKey val="0"/>
          <c:showVal val="1"/>
          <c:showCatName val="0"/>
          <c:showSerName val="0"/>
          <c:showPercent val="0"/>
          <c:showBubbleSize val="0"/>
        </c:dLbls>
        <c:gapWidth val="41"/>
        <c:overlap val="100"/>
        <c:axId val="945418624"/>
        <c:axId val="945420160"/>
      </c:barChart>
      <c:lineChart>
        <c:grouping val="standard"/>
        <c:varyColors val="0"/>
        <c:ser>
          <c:idx val="3"/>
          <c:order val="3"/>
          <c:tx>
            <c:strRef>
              <c:f>Charts!$E$27</c:f>
              <c:strCache>
                <c:ptCount val="1"/>
                <c:pt idx="0">
                  <c:v>Total payments rev % MS rev </c:v>
                </c:pt>
              </c:strCache>
            </c:strRef>
          </c:tx>
          <c:spPr>
            <a:ln w="19050" cap="rnd" cmpd="sng" algn="ctr">
              <a:solidFill>
                <a:schemeClr val="accent4"/>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Charts!$CK$4:$CS$4</c:f>
              <c:strCache>
                <c:ptCount val="9"/>
                <c:pt idx="0">
                  <c:v>2019A</c:v>
                </c:pt>
                <c:pt idx="1">
                  <c:v>2020A</c:v>
                </c:pt>
                <c:pt idx="2">
                  <c:v>2021A</c:v>
                </c:pt>
                <c:pt idx="3">
                  <c:v>2022A</c:v>
                </c:pt>
                <c:pt idx="4">
                  <c:v>2023A</c:v>
                </c:pt>
                <c:pt idx="5">
                  <c:v>2024E</c:v>
                </c:pt>
                <c:pt idx="6">
                  <c:v>2025E</c:v>
                </c:pt>
                <c:pt idx="7">
                  <c:v>2026E</c:v>
                </c:pt>
                <c:pt idx="8">
                  <c:v>2027E</c:v>
                </c:pt>
              </c:strCache>
            </c:strRef>
          </c:cat>
          <c:val>
            <c:numRef>
              <c:f>Charts!$CK$27:$CS$27</c:f>
              <c:numCache>
                <c:formatCode>0.0%_);\(0.0%\);0.0%_);@_)</c:formatCode>
                <c:ptCount val="9"/>
                <c:pt idx="0">
                  <c:v>0.86999999999999988</c:v>
                </c:pt>
                <c:pt idx="1">
                  <c:v>0.84499999999999986</c:v>
                </c:pt>
                <c:pt idx="2">
                  <c:v>0.82</c:v>
                </c:pt>
                <c:pt idx="3">
                  <c:v>0.79799999999999993</c:v>
                </c:pt>
                <c:pt idx="4">
                  <c:v>0.79999999999999993</c:v>
                </c:pt>
                <c:pt idx="5">
                  <c:v>0.78816071431716861</c:v>
                </c:pt>
                <c:pt idx="6">
                  <c:v>0.74843938187890435</c:v>
                </c:pt>
                <c:pt idx="7">
                  <c:v>0.71879180758883054</c:v>
                </c:pt>
                <c:pt idx="8">
                  <c:v>0.69465966432663306</c:v>
                </c:pt>
              </c:numCache>
            </c:numRef>
          </c:val>
          <c:smooth val="1"/>
          <c:extLst>
            <c:ext xmlns:c16="http://schemas.microsoft.com/office/drawing/2014/chart" uri="{C3380CC4-5D6E-409C-BE32-E72D297353CC}">
              <c16:uniqueId val="{0000000B-C645-4748-9094-8C0C0FC1FCF1}"/>
            </c:ext>
          </c:extLst>
        </c:ser>
        <c:dLbls>
          <c:showLegendKey val="0"/>
          <c:showVal val="1"/>
          <c:showCatName val="0"/>
          <c:showSerName val="0"/>
          <c:showPercent val="0"/>
          <c:showBubbleSize val="0"/>
        </c:dLbls>
        <c:marker val="1"/>
        <c:smooth val="0"/>
        <c:axId val="200588160"/>
        <c:axId val="227166032"/>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 sourceLinked="0"/>
        <c:majorTickMark val="out"/>
        <c:minorTickMark val="none"/>
        <c:tickLblPos val="none"/>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no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27166032"/>
        <c:scaling>
          <c:orientation val="minMax"/>
          <c:min val="0.5"/>
        </c:scaling>
        <c:delete val="0"/>
        <c:axPos val="r"/>
        <c:numFmt formatCode="0.0%_);\(0.0%\);0.0%_);@_)" sourceLinked="1"/>
        <c:majorTickMark val="none"/>
        <c:minorTickMark val="none"/>
        <c:tickLblPos val="none"/>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200588160"/>
        <c:crosses val="max"/>
        <c:crossBetween val="between"/>
        <c:majorUnit val="2.5000000000000005E-2"/>
      </c:valAx>
      <c:catAx>
        <c:axId val="200588160"/>
        <c:scaling>
          <c:orientation val="minMax"/>
        </c:scaling>
        <c:delete val="1"/>
        <c:axPos val="t"/>
        <c:numFmt formatCode="General" sourceLinked="1"/>
        <c:majorTickMark val="none"/>
        <c:minorTickMark val="none"/>
        <c:tickLblPos val="nextTo"/>
        <c:crossAx val="227166032"/>
        <c:crosses val="max"/>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7.7704398950131232E-2"/>
          <c:y val="0.33161762111711596"/>
          <c:w val="0.47416023157876969"/>
          <c:h val="0.18244651236777221"/>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9778761071378858E-2"/>
          <c:y val="5.678467065907207E-2"/>
          <c:w val="0.94044247785724233"/>
          <c:h val="0.8502949591715373"/>
        </c:manualLayout>
      </c:layout>
      <c:lineChart>
        <c:grouping val="standard"/>
        <c:varyColors val="0"/>
        <c:ser>
          <c:idx val="0"/>
          <c:order val="0"/>
          <c:tx>
            <c:strRef>
              <c:f>Charts!$CG$115</c:f>
              <c:strCache>
                <c:ptCount val="1"/>
                <c:pt idx="0">
                  <c:v>Merchant Count Ex-North America</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Charts!$CH$113:$CS$113</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Charts!$CH$115:$CS$115</c:f>
              <c:numCache>
                <c:formatCode>0.0%_);\(0.0%\);0.0%_);@_)</c:formatCode>
                <c:ptCount val="12"/>
                <c:pt idx="0">
                  <c:v>0.35000000000000009</c:v>
                </c:pt>
                <c:pt idx="1">
                  <c:v>0.36999999999999988</c:v>
                </c:pt>
                <c:pt idx="2">
                  <c:v>0.37999999999999989</c:v>
                </c:pt>
                <c:pt idx="3">
                  <c:v>0.41999999999999993</c:v>
                </c:pt>
                <c:pt idx="4">
                  <c:v>0.43999999999999995</c:v>
                </c:pt>
                <c:pt idx="5">
                  <c:v>0.44999999999999996</c:v>
                </c:pt>
                <c:pt idx="6">
                  <c:v>0.44999999999999996</c:v>
                </c:pt>
                <c:pt idx="7">
                  <c:v>0.45999999999999996</c:v>
                </c:pt>
                <c:pt idx="8">
                  <c:v>0.46499999999999997</c:v>
                </c:pt>
                <c:pt idx="9">
                  <c:v>0.47</c:v>
                </c:pt>
                <c:pt idx="10">
                  <c:v>0.47499999999999998</c:v>
                </c:pt>
                <c:pt idx="11">
                  <c:v>0.48</c:v>
                </c:pt>
              </c:numCache>
            </c:numRef>
          </c:val>
          <c:smooth val="1"/>
          <c:extLst xmlns:c15="http://schemas.microsoft.com/office/drawing/2012/chart">
            <c:ext xmlns:c16="http://schemas.microsoft.com/office/drawing/2014/chart" uri="{C3380CC4-5D6E-409C-BE32-E72D297353CC}">
              <c16:uniqueId val="{00000000-DB54-440C-B2E7-7D06A4D3F66C}"/>
            </c:ext>
          </c:extLst>
        </c:ser>
        <c:ser>
          <c:idx val="1"/>
          <c:order val="1"/>
          <c:tx>
            <c:strRef>
              <c:f>Charts!$CG$116</c:f>
              <c:strCache>
                <c:ptCount val="1"/>
                <c:pt idx="0">
                  <c:v>Revenue Ex-North America</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Charts!$CH$113:$CS$113</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Charts!$CH$116:$CS$116</c:f>
              <c:numCache>
                <c:formatCode>0.0%_);\(0.0%\);0.0%_);@_)</c:formatCode>
                <c:ptCount val="12"/>
                <c:pt idx="0">
                  <c:v>0.20122261320730483</c:v>
                </c:pt>
                <c:pt idx="1">
                  <c:v>0.21819415895345939</c:v>
                </c:pt>
                <c:pt idx="2">
                  <c:v>0.23014752676269468</c:v>
                </c:pt>
                <c:pt idx="3">
                  <c:v>0.25503224297969862</c:v>
                </c:pt>
                <c:pt idx="4">
                  <c:v>0.26716757279677594</c:v>
                </c:pt>
                <c:pt idx="5">
                  <c:v>0.28642671292281008</c:v>
                </c:pt>
                <c:pt idx="6">
                  <c:v>0.27392857142857141</c:v>
                </c:pt>
                <c:pt idx="7">
                  <c:v>0.28654390934844187</c:v>
                </c:pt>
                <c:pt idx="8">
                  <c:v>0.29426252677832987</c:v>
                </c:pt>
                <c:pt idx="9">
                  <c:v>0.29900282117229637</c:v>
                </c:pt>
                <c:pt idx="10">
                  <c:v>0.30698465536532304</c:v>
                </c:pt>
                <c:pt idx="11">
                  <c:v>0.31511801117691929</c:v>
                </c:pt>
              </c:numCache>
            </c:numRef>
          </c:val>
          <c:smooth val="1"/>
          <c:extLst>
            <c:ext xmlns:c16="http://schemas.microsoft.com/office/drawing/2014/chart" uri="{C3380CC4-5D6E-409C-BE32-E72D297353CC}">
              <c16:uniqueId val="{00000001-DB54-440C-B2E7-7D06A4D3F66C}"/>
            </c:ext>
          </c:extLst>
        </c:ser>
        <c:dLbls>
          <c:showLegendKey val="0"/>
          <c:showVal val="0"/>
          <c:showCatName val="0"/>
          <c:showSerName val="0"/>
          <c:showPercent val="0"/>
          <c:showBubbleSize val="0"/>
        </c:dLbls>
        <c:smooth val="0"/>
        <c:axId val="1876331488"/>
        <c:axId val="1876330048"/>
        <c:extLst/>
      </c:lineChart>
      <c:catAx>
        <c:axId val="187633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6330048"/>
        <c:crosses val="autoZero"/>
        <c:auto val="1"/>
        <c:lblAlgn val="ctr"/>
        <c:lblOffset val="100"/>
        <c:noMultiLvlLbl val="0"/>
      </c:catAx>
      <c:valAx>
        <c:axId val="1876330048"/>
        <c:scaling>
          <c:orientation val="minMax"/>
          <c:max val="0.70000000000000007"/>
        </c:scaling>
        <c:delete val="0"/>
        <c:axPos val="l"/>
        <c:numFmt formatCode="0.0%_);\(0.0%\);0.0%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6331488"/>
        <c:crosses val="autoZero"/>
        <c:crossBetween val="between"/>
      </c:valAx>
      <c:spPr>
        <a:noFill/>
        <a:ln>
          <a:noFill/>
        </a:ln>
        <a:effectLst/>
      </c:spPr>
    </c:plotArea>
    <c:legend>
      <c:legendPos val="b"/>
      <c:layout>
        <c:manualLayout>
          <c:xMode val="edge"/>
          <c:yMode val="edge"/>
          <c:x val="5.8121448317862374E-2"/>
          <c:y val="7.7548674462059736E-2"/>
          <c:w val="0.89999985078645128"/>
          <c:h val="8.61679940134242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Charts!$E$33</c:f>
              <c:strCache>
                <c:ptCount val="1"/>
                <c:pt idx="0">
                  <c:v>Subscription Solutions Revenue</c:v>
                </c:pt>
              </c:strCache>
            </c:strRef>
          </c:tx>
          <c:spPr>
            <a:solidFill>
              <a:schemeClr val="accent1"/>
            </a:solidFill>
            <a:ln>
              <a:noFill/>
            </a:ln>
            <a:effectLst/>
          </c:spPr>
          <c:cat>
            <c:strRef>
              <c:f>Charts!$F$4:$BA$4</c:f>
              <c:strCache>
                <c:ptCount val="48"/>
                <c:pt idx="0">
                  <c:v>1Q16A</c:v>
                </c:pt>
                <c:pt idx="1">
                  <c:v>2Q16A</c:v>
                </c:pt>
                <c:pt idx="2">
                  <c:v>3Q16A</c:v>
                </c:pt>
                <c:pt idx="3">
                  <c:v>4Q16A</c:v>
                </c:pt>
                <c:pt idx="4">
                  <c:v>1Q17A</c:v>
                </c:pt>
                <c:pt idx="5">
                  <c:v>2Q17A</c:v>
                </c:pt>
                <c:pt idx="6">
                  <c:v>3Q17A</c:v>
                </c:pt>
                <c:pt idx="7">
                  <c:v>4Q17A</c:v>
                </c:pt>
                <c:pt idx="8">
                  <c:v>1Q18A</c:v>
                </c:pt>
                <c:pt idx="9">
                  <c:v>2Q18A</c:v>
                </c:pt>
                <c:pt idx="10">
                  <c:v>3Q18A</c:v>
                </c:pt>
                <c:pt idx="11">
                  <c:v>4Q18A</c:v>
                </c:pt>
                <c:pt idx="12">
                  <c:v>1Q19A</c:v>
                </c:pt>
                <c:pt idx="13">
                  <c:v>2Q19A</c:v>
                </c:pt>
                <c:pt idx="14">
                  <c:v>3Q19A</c:v>
                </c:pt>
                <c:pt idx="15">
                  <c:v>4Q19A</c:v>
                </c:pt>
                <c:pt idx="16">
                  <c:v>1Q20A</c:v>
                </c:pt>
                <c:pt idx="17">
                  <c:v>2Q20A</c:v>
                </c:pt>
                <c:pt idx="18">
                  <c:v>3Q20A</c:v>
                </c:pt>
                <c:pt idx="19">
                  <c:v>4Q20A</c:v>
                </c:pt>
                <c:pt idx="20">
                  <c:v>1Q21A</c:v>
                </c:pt>
                <c:pt idx="21">
                  <c:v>2Q21A</c:v>
                </c:pt>
                <c:pt idx="22">
                  <c:v>3Q21A</c:v>
                </c:pt>
                <c:pt idx="23">
                  <c:v>4Q21A</c:v>
                </c:pt>
                <c:pt idx="24">
                  <c:v>1Q22A</c:v>
                </c:pt>
                <c:pt idx="25">
                  <c:v>2Q22A</c:v>
                </c:pt>
                <c:pt idx="26">
                  <c:v>3Q22A</c:v>
                </c:pt>
                <c:pt idx="27">
                  <c:v>4Q22A</c:v>
                </c:pt>
                <c:pt idx="28">
                  <c:v>1Q23A</c:v>
                </c:pt>
                <c:pt idx="29">
                  <c:v>2Q23A</c:v>
                </c:pt>
                <c:pt idx="30">
                  <c:v>3Q23A</c:v>
                </c:pt>
                <c:pt idx="31">
                  <c:v>4Q23A</c:v>
                </c:pt>
                <c:pt idx="32">
                  <c:v>1Q24A</c:v>
                </c:pt>
                <c:pt idx="33">
                  <c:v>2Q24A</c:v>
                </c:pt>
                <c:pt idx="34">
                  <c:v>3Q24A</c:v>
                </c:pt>
                <c:pt idx="35">
                  <c:v>4Q24E</c:v>
                </c:pt>
                <c:pt idx="36">
                  <c:v>1Q25E</c:v>
                </c:pt>
                <c:pt idx="37">
                  <c:v>2Q25E</c:v>
                </c:pt>
                <c:pt idx="38">
                  <c:v>3Q25E</c:v>
                </c:pt>
                <c:pt idx="39">
                  <c:v>4Q25E</c:v>
                </c:pt>
                <c:pt idx="40">
                  <c:v>1Q26E</c:v>
                </c:pt>
                <c:pt idx="41">
                  <c:v>2Q26E</c:v>
                </c:pt>
                <c:pt idx="42">
                  <c:v>3Q26E</c:v>
                </c:pt>
                <c:pt idx="43">
                  <c:v>4Q26E</c:v>
                </c:pt>
                <c:pt idx="44">
                  <c:v>1Q27E</c:v>
                </c:pt>
                <c:pt idx="45">
                  <c:v>2Q27E</c:v>
                </c:pt>
                <c:pt idx="46">
                  <c:v>3Q27E</c:v>
                </c:pt>
                <c:pt idx="47">
                  <c:v>4Q27E</c:v>
                </c:pt>
              </c:strCache>
            </c:strRef>
          </c:cat>
          <c:val>
            <c:numRef>
              <c:f>Charts!$F$33:$BA$33</c:f>
              <c:numCache>
                <c:formatCode>#,##0_);\(#,##0\);#,##0_);@_)</c:formatCode>
                <c:ptCount val="48"/>
                <c:pt idx="0">
                  <c:v>38.706000000000003</c:v>
                </c:pt>
                <c:pt idx="1">
                  <c:v>43.673999999999999</c:v>
                </c:pt>
                <c:pt idx="2">
                  <c:v>49.838999999999999</c:v>
                </c:pt>
                <c:pt idx="3">
                  <c:v>56.387</c:v>
                </c:pt>
                <c:pt idx="4">
                  <c:v>62.08</c:v>
                </c:pt>
                <c:pt idx="5">
                  <c:v>71.597999999999999</c:v>
                </c:pt>
                <c:pt idx="6">
                  <c:v>82.435000000000002</c:v>
                </c:pt>
                <c:pt idx="7">
                  <c:v>93.918000000000006</c:v>
                </c:pt>
                <c:pt idx="8">
                  <c:v>100.19799999999999</c:v>
                </c:pt>
                <c:pt idx="9">
                  <c:v>110.721</c:v>
                </c:pt>
                <c:pt idx="10">
                  <c:v>120.517</c:v>
                </c:pt>
                <c:pt idx="11">
                  <c:v>133.56</c:v>
                </c:pt>
                <c:pt idx="12">
                  <c:v>140.45099999999999</c:v>
                </c:pt>
                <c:pt idx="13">
                  <c:v>153.047</c:v>
                </c:pt>
                <c:pt idx="14">
                  <c:v>165.577</c:v>
                </c:pt>
                <c:pt idx="15">
                  <c:v>183.166</c:v>
                </c:pt>
                <c:pt idx="16">
                  <c:v>187.60900000000001</c:v>
                </c:pt>
                <c:pt idx="17">
                  <c:v>196.434</c:v>
                </c:pt>
                <c:pt idx="18">
                  <c:v>245.274</c:v>
                </c:pt>
                <c:pt idx="19">
                  <c:v>279.44</c:v>
                </c:pt>
                <c:pt idx="20">
                  <c:v>320.68099999999998</c:v>
                </c:pt>
                <c:pt idx="21">
                  <c:v>334.23700000000002</c:v>
                </c:pt>
                <c:pt idx="22">
                  <c:v>336.20800000000003</c:v>
                </c:pt>
                <c:pt idx="23">
                  <c:v>351.20800000000003</c:v>
                </c:pt>
                <c:pt idx="24">
                  <c:v>344.76100000000002</c:v>
                </c:pt>
                <c:pt idx="25">
                  <c:v>366.44299999999998</c:v>
                </c:pt>
                <c:pt idx="26">
                  <c:v>376.30099999999999</c:v>
                </c:pt>
                <c:pt idx="27">
                  <c:v>400.25400000000002</c:v>
                </c:pt>
                <c:pt idx="28">
                  <c:v>382</c:v>
                </c:pt>
                <c:pt idx="29">
                  <c:v>444</c:v>
                </c:pt>
                <c:pt idx="30">
                  <c:v>486</c:v>
                </c:pt>
                <c:pt idx="31">
                  <c:v>525</c:v>
                </c:pt>
                <c:pt idx="32">
                  <c:v>511</c:v>
                </c:pt>
                <c:pt idx="33">
                  <c:v>563</c:v>
                </c:pt>
                <c:pt idx="34">
                  <c:v>610</c:v>
                </c:pt>
                <c:pt idx="35">
                  <c:v>657.73450620117183</c:v>
                </c:pt>
                <c:pt idx="36">
                  <c:v>603.53177420703116</c:v>
                </c:pt>
                <c:pt idx="37">
                  <c:v>664.94792344140615</c:v>
                </c:pt>
                <c:pt idx="38">
                  <c:v>720.45867371093732</c:v>
                </c:pt>
                <c:pt idx="39">
                  <c:v>776.83693441248283</c:v>
                </c:pt>
                <c:pt idx="40">
                  <c:v>699.49545988507248</c:v>
                </c:pt>
                <c:pt idx="41">
                  <c:v>770.67699396339685</c:v>
                </c:pt>
                <c:pt idx="42">
                  <c:v>835.01414976495926</c:v>
                </c:pt>
                <c:pt idx="43">
                  <c:v>900.35675322401119</c:v>
                </c:pt>
                <c:pt idx="44">
                  <c:v>802.99658977699755</c:v>
                </c:pt>
                <c:pt idx="45">
                  <c:v>884.71052846271948</c:v>
                </c:pt>
                <c:pt idx="46">
                  <c:v>958.56735765942938</c:v>
                </c:pt>
                <c:pt idx="47">
                  <c:v>1033.5784059847326</c:v>
                </c:pt>
              </c:numCache>
            </c:numRef>
          </c:val>
          <c:extLst>
            <c:ext xmlns:c16="http://schemas.microsoft.com/office/drawing/2014/chart" uri="{C3380CC4-5D6E-409C-BE32-E72D297353CC}">
              <c16:uniqueId val="{00000000-72D0-4822-B13A-C35517BFD415}"/>
            </c:ext>
          </c:extLst>
        </c:ser>
        <c:ser>
          <c:idx val="1"/>
          <c:order val="1"/>
          <c:tx>
            <c:strRef>
              <c:f>Charts!$E$34</c:f>
              <c:strCache>
                <c:ptCount val="1"/>
                <c:pt idx="0">
                  <c:v>Merchant Solutions Revenue</c:v>
                </c:pt>
              </c:strCache>
            </c:strRef>
          </c:tx>
          <c:spPr>
            <a:solidFill>
              <a:schemeClr val="accent3"/>
            </a:solidFill>
            <a:ln>
              <a:noFill/>
            </a:ln>
            <a:effectLst/>
          </c:spPr>
          <c:cat>
            <c:strRef>
              <c:f>Charts!$F$4:$BA$4</c:f>
              <c:strCache>
                <c:ptCount val="48"/>
                <c:pt idx="0">
                  <c:v>1Q16A</c:v>
                </c:pt>
                <c:pt idx="1">
                  <c:v>2Q16A</c:v>
                </c:pt>
                <c:pt idx="2">
                  <c:v>3Q16A</c:v>
                </c:pt>
                <c:pt idx="3">
                  <c:v>4Q16A</c:v>
                </c:pt>
                <c:pt idx="4">
                  <c:v>1Q17A</c:v>
                </c:pt>
                <c:pt idx="5">
                  <c:v>2Q17A</c:v>
                </c:pt>
                <c:pt idx="6">
                  <c:v>3Q17A</c:v>
                </c:pt>
                <c:pt idx="7">
                  <c:v>4Q17A</c:v>
                </c:pt>
                <c:pt idx="8">
                  <c:v>1Q18A</c:v>
                </c:pt>
                <c:pt idx="9">
                  <c:v>2Q18A</c:v>
                </c:pt>
                <c:pt idx="10">
                  <c:v>3Q18A</c:v>
                </c:pt>
                <c:pt idx="11">
                  <c:v>4Q18A</c:v>
                </c:pt>
                <c:pt idx="12">
                  <c:v>1Q19A</c:v>
                </c:pt>
                <c:pt idx="13">
                  <c:v>2Q19A</c:v>
                </c:pt>
                <c:pt idx="14">
                  <c:v>3Q19A</c:v>
                </c:pt>
                <c:pt idx="15">
                  <c:v>4Q19A</c:v>
                </c:pt>
                <c:pt idx="16">
                  <c:v>1Q20A</c:v>
                </c:pt>
                <c:pt idx="17">
                  <c:v>2Q20A</c:v>
                </c:pt>
                <c:pt idx="18">
                  <c:v>3Q20A</c:v>
                </c:pt>
                <c:pt idx="19">
                  <c:v>4Q20A</c:v>
                </c:pt>
                <c:pt idx="20">
                  <c:v>1Q21A</c:v>
                </c:pt>
                <c:pt idx="21">
                  <c:v>2Q21A</c:v>
                </c:pt>
                <c:pt idx="22">
                  <c:v>3Q21A</c:v>
                </c:pt>
                <c:pt idx="23">
                  <c:v>4Q21A</c:v>
                </c:pt>
                <c:pt idx="24">
                  <c:v>1Q22A</c:v>
                </c:pt>
                <c:pt idx="25">
                  <c:v>2Q22A</c:v>
                </c:pt>
                <c:pt idx="26">
                  <c:v>3Q22A</c:v>
                </c:pt>
                <c:pt idx="27">
                  <c:v>4Q22A</c:v>
                </c:pt>
                <c:pt idx="28">
                  <c:v>1Q23A</c:v>
                </c:pt>
                <c:pt idx="29">
                  <c:v>2Q23A</c:v>
                </c:pt>
                <c:pt idx="30">
                  <c:v>3Q23A</c:v>
                </c:pt>
                <c:pt idx="31">
                  <c:v>4Q23A</c:v>
                </c:pt>
                <c:pt idx="32">
                  <c:v>1Q24A</c:v>
                </c:pt>
                <c:pt idx="33">
                  <c:v>2Q24A</c:v>
                </c:pt>
                <c:pt idx="34">
                  <c:v>3Q24A</c:v>
                </c:pt>
                <c:pt idx="35">
                  <c:v>4Q24E</c:v>
                </c:pt>
                <c:pt idx="36">
                  <c:v>1Q25E</c:v>
                </c:pt>
                <c:pt idx="37">
                  <c:v>2Q25E</c:v>
                </c:pt>
                <c:pt idx="38">
                  <c:v>3Q25E</c:v>
                </c:pt>
                <c:pt idx="39">
                  <c:v>4Q25E</c:v>
                </c:pt>
                <c:pt idx="40">
                  <c:v>1Q26E</c:v>
                </c:pt>
                <c:pt idx="41">
                  <c:v>2Q26E</c:v>
                </c:pt>
                <c:pt idx="42">
                  <c:v>3Q26E</c:v>
                </c:pt>
                <c:pt idx="43">
                  <c:v>4Q26E</c:v>
                </c:pt>
                <c:pt idx="44">
                  <c:v>1Q27E</c:v>
                </c:pt>
                <c:pt idx="45">
                  <c:v>2Q27E</c:v>
                </c:pt>
                <c:pt idx="46">
                  <c:v>3Q27E</c:v>
                </c:pt>
                <c:pt idx="47">
                  <c:v>4Q27E</c:v>
                </c:pt>
              </c:strCache>
            </c:strRef>
          </c:cat>
          <c:val>
            <c:numRef>
              <c:f>Charts!$F$34:$BA$34</c:f>
              <c:numCache>
                <c:formatCode>#,##0_);\(#,##0\);#,##0_);@_)</c:formatCode>
                <c:ptCount val="48"/>
                <c:pt idx="0">
                  <c:v>34.015999999999998</c:v>
                </c:pt>
                <c:pt idx="1">
                  <c:v>42.972999999999999</c:v>
                </c:pt>
                <c:pt idx="2">
                  <c:v>49.738999999999997</c:v>
                </c:pt>
                <c:pt idx="3">
                  <c:v>73.995999999999995</c:v>
                </c:pt>
                <c:pt idx="4">
                  <c:v>65.299000000000007</c:v>
                </c:pt>
                <c:pt idx="5">
                  <c:v>80.057000000000002</c:v>
                </c:pt>
                <c:pt idx="6">
                  <c:v>89.021000000000001</c:v>
                </c:pt>
                <c:pt idx="7">
                  <c:v>128.89599999999999</c:v>
                </c:pt>
                <c:pt idx="8">
                  <c:v>114.142</c:v>
                </c:pt>
                <c:pt idx="9">
                  <c:v>134.24199999999999</c:v>
                </c:pt>
                <c:pt idx="10">
                  <c:v>149.547</c:v>
                </c:pt>
                <c:pt idx="11">
                  <c:v>210.30199999999999</c:v>
                </c:pt>
                <c:pt idx="12">
                  <c:v>180.03100000000001</c:v>
                </c:pt>
                <c:pt idx="13">
                  <c:v>208.93199999999999</c:v>
                </c:pt>
                <c:pt idx="14">
                  <c:v>224.97499999999999</c:v>
                </c:pt>
                <c:pt idx="15">
                  <c:v>321.99400000000003</c:v>
                </c:pt>
                <c:pt idx="16">
                  <c:v>282.392</c:v>
                </c:pt>
                <c:pt idx="17">
                  <c:v>517.90700000000004</c:v>
                </c:pt>
                <c:pt idx="18">
                  <c:v>522.13099999999997</c:v>
                </c:pt>
                <c:pt idx="19">
                  <c:v>698.30399999999997</c:v>
                </c:pt>
                <c:pt idx="20">
                  <c:v>667.96600000000001</c:v>
                </c:pt>
                <c:pt idx="21">
                  <c:v>785.20799999999997</c:v>
                </c:pt>
                <c:pt idx="22">
                  <c:v>787.53200000000004</c:v>
                </c:pt>
                <c:pt idx="23">
                  <c:v>1028.816</c:v>
                </c:pt>
                <c:pt idx="24">
                  <c:v>858.86199999999997</c:v>
                </c:pt>
                <c:pt idx="25">
                  <c:v>928.62</c:v>
                </c:pt>
                <c:pt idx="26">
                  <c:v>989.899</c:v>
                </c:pt>
                <c:pt idx="27">
                  <c:v>1334.7239999999999</c:v>
                </c:pt>
                <c:pt idx="28">
                  <c:v>1126</c:v>
                </c:pt>
                <c:pt idx="29">
                  <c:v>1250</c:v>
                </c:pt>
                <c:pt idx="30">
                  <c:v>1228</c:v>
                </c:pt>
                <c:pt idx="31">
                  <c:v>1619</c:v>
                </c:pt>
                <c:pt idx="32">
                  <c:v>1350</c:v>
                </c:pt>
                <c:pt idx="33">
                  <c:v>1482</c:v>
                </c:pt>
                <c:pt idx="34">
                  <c:v>1552</c:v>
                </c:pt>
                <c:pt idx="35">
                  <c:v>2045.8546874999995</c:v>
                </c:pt>
                <c:pt idx="36">
                  <c:v>1735.3516499999998</c:v>
                </c:pt>
                <c:pt idx="37">
                  <c:v>1843.080458073149</c:v>
                </c:pt>
                <c:pt idx="38">
                  <c:v>1911.4469750181172</c:v>
                </c:pt>
                <c:pt idx="39">
                  <c:v>2541.1020992718668</c:v>
                </c:pt>
                <c:pt idx="40">
                  <c:v>2099.7097969725</c:v>
                </c:pt>
                <c:pt idx="41">
                  <c:v>2230.4691199490094</c:v>
                </c:pt>
                <c:pt idx="42">
                  <c:v>2312.5506412381696</c:v>
                </c:pt>
                <c:pt idx="43">
                  <c:v>3075.1577877852824</c:v>
                </c:pt>
                <c:pt idx="44">
                  <c:v>2497.3713891267748</c:v>
                </c:pt>
                <c:pt idx="45">
                  <c:v>2653.2274940709831</c:v>
                </c:pt>
                <c:pt idx="46">
                  <c:v>2750.3378805978182</c:v>
                </c:pt>
                <c:pt idx="47">
                  <c:v>3657.9787360569271</c:v>
                </c:pt>
              </c:numCache>
            </c:numRef>
          </c:val>
          <c:extLst>
            <c:ext xmlns:c16="http://schemas.microsoft.com/office/drawing/2014/chart" uri="{C3380CC4-5D6E-409C-BE32-E72D297353CC}">
              <c16:uniqueId val="{00000001-72D0-4822-B13A-C35517BFD415}"/>
            </c:ext>
          </c:extLst>
        </c:ser>
        <c:dLbls>
          <c:showLegendKey val="0"/>
          <c:showVal val="0"/>
          <c:showCatName val="0"/>
          <c:showSerName val="0"/>
          <c:showPercent val="0"/>
          <c:showBubbleSize val="0"/>
        </c:dLbls>
        <c:axId val="1782257007"/>
        <c:axId val="1782254127"/>
        <c:extLst>
          <c:ext xmlns:c15="http://schemas.microsoft.com/office/drawing/2012/chart" uri="{02D57815-91ED-43cb-92C2-25804820EDAC}">
            <c15:filteredAreaSeries>
              <c15:ser>
                <c:idx val="2"/>
                <c:order val="2"/>
                <c:tx>
                  <c:strRef>
                    <c:extLst>
                      <c:ext uri="{02D57815-91ED-43cb-92C2-25804820EDAC}">
                        <c15:formulaRef>
                          <c15:sqref>Charts!$E$35</c15:sqref>
                        </c15:formulaRef>
                      </c:ext>
                    </c:extLst>
                    <c:strCache>
                      <c:ptCount val="1"/>
                      <c:pt idx="0">
                        <c:v>Total Revenue</c:v>
                      </c:pt>
                    </c:strCache>
                  </c:strRef>
                </c:tx>
                <c:spPr>
                  <a:solidFill>
                    <a:schemeClr val="accent5"/>
                  </a:solidFill>
                  <a:ln>
                    <a:noFill/>
                  </a:ln>
                  <a:effectLst/>
                </c:spPr>
                <c:cat>
                  <c:strRef>
                    <c:extLst>
                      <c:ext uri="{02D57815-91ED-43cb-92C2-25804820EDAC}">
                        <c15:formulaRef>
                          <c15:sqref>Charts!$F$4:$BA$4</c15:sqref>
                        </c15:formulaRef>
                      </c:ext>
                    </c:extLst>
                    <c:strCache>
                      <c:ptCount val="48"/>
                      <c:pt idx="0">
                        <c:v>1Q16A</c:v>
                      </c:pt>
                      <c:pt idx="1">
                        <c:v>2Q16A</c:v>
                      </c:pt>
                      <c:pt idx="2">
                        <c:v>3Q16A</c:v>
                      </c:pt>
                      <c:pt idx="3">
                        <c:v>4Q16A</c:v>
                      </c:pt>
                      <c:pt idx="4">
                        <c:v>1Q17A</c:v>
                      </c:pt>
                      <c:pt idx="5">
                        <c:v>2Q17A</c:v>
                      </c:pt>
                      <c:pt idx="6">
                        <c:v>3Q17A</c:v>
                      </c:pt>
                      <c:pt idx="7">
                        <c:v>4Q17A</c:v>
                      </c:pt>
                      <c:pt idx="8">
                        <c:v>1Q18A</c:v>
                      </c:pt>
                      <c:pt idx="9">
                        <c:v>2Q18A</c:v>
                      </c:pt>
                      <c:pt idx="10">
                        <c:v>3Q18A</c:v>
                      </c:pt>
                      <c:pt idx="11">
                        <c:v>4Q18A</c:v>
                      </c:pt>
                      <c:pt idx="12">
                        <c:v>1Q19A</c:v>
                      </c:pt>
                      <c:pt idx="13">
                        <c:v>2Q19A</c:v>
                      </c:pt>
                      <c:pt idx="14">
                        <c:v>3Q19A</c:v>
                      </c:pt>
                      <c:pt idx="15">
                        <c:v>4Q19A</c:v>
                      </c:pt>
                      <c:pt idx="16">
                        <c:v>1Q20A</c:v>
                      </c:pt>
                      <c:pt idx="17">
                        <c:v>2Q20A</c:v>
                      </c:pt>
                      <c:pt idx="18">
                        <c:v>3Q20A</c:v>
                      </c:pt>
                      <c:pt idx="19">
                        <c:v>4Q20A</c:v>
                      </c:pt>
                      <c:pt idx="20">
                        <c:v>1Q21A</c:v>
                      </c:pt>
                      <c:pt idx="21">
                        <c:v>2Q21A</c:v>
                      </c:pt>
                      <c:pt idx="22">
                        <c:v>3Q21A</c:v>
                      </c:pt>
                      <c:pt idx="23">
                        <c:v>4Q21A</c:v>
                      </c:pt>
                      <c:pt idx="24">
                        <c:v>1Q22A</c:v>
                      </c:pt>
                      <c:pt idx="25">
                        <c:v>2Q22A</c:v>
                      </c:pt>
                      <c:pt idx="26">
                        <c:v>3Q22A</c:v>
                      </c:pt>
                      <c:pt idx="27">
                        <c:v>4Q22A</c:v>
                      </c:pt>
                      <c:pt idx="28">
                        <c:v>1Q23A</c:v>
                      </c:pt>
                      <c:pt idx="29">
                        <c:v>2Q23A</c:v>
                      </c:pt>
                      <c:pt idx="30">
                        <c:v>3Q23A</c:v>
                      </c:pt>
                      <c:pt idx="31">
                        <c:v>4Q23A</c:v>
                      </c:pt>
                      <c:pt idx="32">
                        <c:v>1Q24A</c:v>
                      </c:pt>
                      <c:pt idx="33">
                        <c:v>2Q24A</c:v>
                      </c:pt>
                      <c:pt idx="34">
                        <c:v>3Q24A</c:v>
                      </c:pt>
                      <c:pt idx="35">
                        <c:v>4Q24E</c:v>
                      </c:pt>
                      <c:pt idx="36">
                        <c:v>1Q25E</c:v>
                      </c:pt>
                      <c:pt idx="37">
                        <c:v>2Q25E</c:v>
                      </c:pt>
                      <c:pt idx="38">
                        <c:v>3Q25E</c:v>
                      </c:pt>
                      <c:pt idx="39">
                        <c:v>4Q25E</c:v>
                      </c:pt>
                      <c:pt idx="40">
                        <c:v>1Q26E</c:v>
                      </c:pt>
                      <c:pt idx="41">
                        <c:v>2Q26E</c:v>
                      </c:pt>
                      <c:pt idx="42">
                        <c:v>3Q26E</c:v>
                      </c:pt>
                      <c:pt idx="43">
                        <c:v>4Q26E</c:v>
                      </c:pt>
                      <c:pt idx="44">
                        <c:v>1Q27E</c:v>
                      </c:pt>
                      <c:pt idx="45">
                        <c:v>2Q27E</c:v>
                      </c:pt>
                      <c:pt idx="46">
                        <c:v>3Q27E</c:v>
                      </c:pt>
                      <c:pt idx="47">
                        <c:v>4Q27E</c:v>
                      </c:pt>
                    </c:strCache>
                  </c:strRef>
                </c:cat>
                <c:val>
                  <c:numRef>
                    <c:extLst>
                      <c:ext uri="{02D57815-91ED-43cb-92C2-25804820EDAC}">
                        <c15:formulaRef>
                          <c15:sqref>Charts!$F$35:$BA$35</c15:sqref>
                        </c15:formulaRef>
                      </c:ext>
                    </c:extLst>
                    <c:numCache>
                      <c:formatCode>#,##0_);\(#,##0\);#,##0_);@_)</c:formatCode>
                      <c:ptCount val="48"/>
                      <c:pt idx="0">
                        <c:v>72.722000000000008</c:v>
                      </c:pt>
                      <c:pt idx="1">
                        <c:v>86.646999999999991</c:v>
                      </c:pt>
                      <c:pt idx="2">
                        <c:v>99.578000000000003</c:v>
                      </c:pt>
                      <c:pt idx="3">
                        <c:v>130.38299999999998</c:v>
                      </c:pt>
                      <c:pt idx="4">
                        <c:v>127.379</c:v>
                      </c:pt>
                      <c:pt idx="5">
                        <c:v>151.655</c:v>
                      </c:pt>
                      <c:pt idx="6">
                        <c:v>171.45600000000002</c:v>
                      </c:pt>
                      <c:pt idx="7">
                        <c:v>222.81399999999999</c:v>
                      </c:pt>
                      <c:pt idx="8">
                        <c:v>214.33999999999997</c:v>
                      </c:pt>
                      <c:pt idx="9">
                        <c:v>244.96299999999999</c:v>
                      </c:pt>
                      <c:pt idx="10">
                        <c:v>270.06399999999996</c:v>
                      </c:pt>
                      <c:pt idx="11">
                        <c:v>343.86199999999997</c:v>
                      </c:pt>
                      <c:pt idx="12">
                        <c:v>320.48199999999997</c:v>
                      </c:pt>
                      <c:pt idx="13">
                        <c:v>361.97899999999998</c:v>
                      </c:pt>
                      <c:pt idx="14">
                        <c:v>390.55200000000002</c:v>
                      </c:pt>
                      <c:pt idx="15">
                        <c:v>505.16</c:v>
                      </c:pt>
                      <c:pt idx="16">
                        <c:v>470.00099999999998</c:v>
                      </c:pt>
                      <c:pt idx="17">
                        <c:v>714.34100000000001</c:v>
                      </c:pt>
                      <c:pt idx="18">
                        <c:v>767.40499999999997</c:v>
                      </c:pt>
                      <c:pt idx="19">
                        <c:v>977.74399999999991</c:v>
                      </c:pt>
                      <c:pt idx="20">
                        <c:v>988.64699999999993</c:v>
                      </c:pt>
                      <c:pt idx="21">
                        <c:v>1119.4449999999999</c:v>
                      </c:pt>
                      <c:pt idx="22">
                        <c:v>1123.74</c:v>
                      </c:pt>
                      <c:pt idx="23">
                        <c:v>1380.0240000000001</c:v>
                      </c:pt>
                      <c:pt idx="24">
                        <c:v>1203.623</c:v>
                      </c:pt>
                      <c:pt idx="25">
                        <c:v>1295.0630000000001</c:v>
                      </c:pt>
                      <c:pt idx="26">
                        <c:v>1366.2</c:v>
                      </c:pt>
                      <c:pt idx="27">
                        <c:v>1734.9780000000001</c:v>
                      </c:pt>
                      <c:pt idx="28">
                        <c:v>1508</c:v>
                      </c:pt>
                      <c:pt idx="29">
                        <c:v>1694</c:v>
                      </c:pt>
                      <c:pt idx="30">
                        <c:v>1714</c:v>
                      </c:pt>
                      <c:pt idx="31">
                        <c:v>2144</c:v>
                      </c:pt>
                      <c:pt idx="32">
                        <c:v>1861</c:v>
                      </c:pt>
                      <c:pt idx="33">
                        <c:v>2045</c:v>
                      </c:pt>
                      <c:pt idx="34">
                        <c:v>2162</c:v>
                      </c:pt>
                      <c:pt idx="35">
                        <c:v>2703.5891937011711</c:v>
                      </c:pt>
                      <c:pt idx="36">
                        <c:v>2338.8834242070311</c:v>
                      </c:pt>
                      <c:pt idx="37">
                        <c:v>2508.0283815145549</c:v>
                      </c:pt>
                      <c:pt idx="38">
                        <c:v>2631.9056487290545</c:v>
                      </c:pt>
                      <c:pt idx="39">
                        <c:v>3317.9390336843499</c:v>
                      </c:pt>
                      <c:pt idx="40">
                        <c:v>2799.2052568575727</c:v>
                      </c:pt>
                      <c:pt idx="41">
                        <c:v>3001.1461139124062</c:v>
                      </c:pt>
                      <c:pt idx="42">
                        <c:v>3147.5647910031289</c:v>
                      </c:pt>
                      <c:pt idx="43">
                        <c:v>3975.5145410092937</c:v>
                      </c:pt>
                      <c:pt idx="44">
                        <c:v>3300.3679789037724</c:v>
                      </c:pt>
                      <c:pt idx="45">
                        <c:v>3537.9380225337027</c:v>
                      </c:pt>
                      <c:pt idx="46">
                        <c:v>3708.9052382572477</c:v>
                      </c:pt>
                      <c:pt idx="47">
                        <c:v>4691.55714204166</c:v>
                      </c:pt>
                    </c:numCache>
                  </c:numRef>
                </c:val>
                <c:extLst>
                  <c:ext xmlns:c16="http://schemas.microsoft.com/office/drawing/2014/chart" uri="{C3380CC4-5D6E-409C-BE32-E72D297353CC}">
                    <c16:uniqueId val="{00000002-72D0-4822-B13A-C35517BFD415}"/>
                  </c:ext>
                </c:extLst>
              </c15:ser>
            </c15:filteredAreaSeries>
          </c:ext>
        </c:extLst>
      </c:areaChart>
      <c:catAx>
        <c:axId val="178225700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254127"/>
        <c:crosses val="autoZero"/>
        <c:auto val="1"/>
        <c:lblAlgn val="ctr"/>
        <c:lblOffset val="100"/>
        <c:noMultiLvlLbl val="0"/>
      </c:catAx>
      <c:valAx>
        <c:axId val="1782254127"/>
        <c:scaling>
          <c:orientation val="minMax"/>
        </c:scaling>
        <c:delete val="0"/>
        <c:axPos val="l"/>
        <c:majorGridlines>
          <c:spPr>
            <a:ln w="9525" cap="flat" cmpd="sng" algn="ctr">
              <a:solidFill>
                <a:schemeClr val="tx1">
                  <a:lumMod val="15000"/>
                  <a:lumOff val="85000"/>
                </a:schemeClr>
              </a:solidFill>
              <a:round/>
            </a:ln>
            <a:effectLst/>
          </c:spPr>
        </c:majorGridlines>
        <c:numFmt formatCode="#,##0_);\(#,##0\);#,##0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257007"/>
        <c:crosses val="autoZero"/>
        <c:crossBetween val="midCat"/>
      </c:valAx>
      <c:spPr>
        <a:noFill/>
        <a:ln>
          <a:noFill/>
        </a:ln>
        <a:effectLst/>
      </c:spPr>
    </c:plotArea>
    <c:legend>
      <c:legendPos val="b"/>
      <c:layout>
        <c:manualLayout>
          <c:xMode val="edge"/>
          <c:yMode val="edge"/>
          <c:x val="0.14615625676402624"/>
          <c:y val="5.4792717144592815E-2"/>
          <c:w val="0.44867234843043885"/>
          <c:h val="0.275425993747491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Summary!$N$85</c:f>
              <c:strCache>
                <c:ptCount val="1"/>
                <c:pt idx="0">
                  <c:v>SHOP EV/EBITDA</c:v>
                </c:pt>
              </c:strCache>
            </c:strRef>
          </c:tx>
          <c:spPr>
            <a:ln w="28575" cap="rnd">
              <a:solidFill>
                <a:schemeClr val="accent3"/>
              </a:solidFill>
              <a:round/>
            </a:ln>
            <a:effectLst/>
          </c:spPr>
          <c:marker>
            <c:symbol val="none"/>
          </c:marker>
          <c:cat>
            <c:numRef>
              <c:f>Summary!$B$451:$B$498</c:f>
              <c:numCache>
                <c:formatCode>m/d/yyyy</c:formatCode>
                <c:ptCount val="48"/>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numCache>
            </c:numRef>
          </c:cat>
          <c:val>
            <c:numRef>
              <c:f>Summary!$N$451:$N$498</c:f>
              <c:numCache>
                <c:formatCode>0.0\x</c:formatCode>
                <c:ptCount val="48"/>
                <c:pt idx="0">
                  <c:v>67.305004059332987</c:v>
                </c:pt>
                <c:pt idx="1">
                  <c:v>72.766395366015175</c:v>
                </c:pt>
                <c:pt idx="2">
                  <c:v>70.817253312690013</c:v>
                </c:pt>
                <c:pt idx="3">
                  <c:v>71.90566509996836</c:v>
                </c:pt>
                <c:pt idx="4">
                  <c:v>72.684428462246515</c:v>
                </c:pt>
                <c:pt idx="5">
                  <c:v>79.10343832373465</c:v>
                </c:pt>
                <c:pt idx="6">
                  <c:v>72.074744962479372</c:v>
                </c:pt>
                <c:pt idx="7">
                  <c:v>66.903121337312442</c:v>
                </c:pt>
                <c:pt idx="8">
                  <c:v>66.851847712851253</c:v>
                </c:pt>
                <c:pt idx="9">
                  <c:v>67.216157245298049</c:v>
                </c:pt>
                <c:pt idx="10">
                  <c:v>68.328915204904675</c:v>
                </c:pt>
                <c:pt idx="11">
                  <c:v>69.293704976932929</c:v>
                </c:pt>
                <c:pt idx="12">
                  <c:v>67.44139487894239</c:v>
                </c:pt>
                <c:pt idx="13">
                  <c:v>65.014240614470651</c:v>
                </c:pt>
                <c:pt idx="14">
                  <c:v>60.277883839867421</c:v>
                </c:pt>
                <c:pt idx="15">
                  <c:v>59.408767257233706</c:v>
                </c:pt>
                <c:pt idx="16">
                  <c:v>58.868148659214462</c:v>
                </c:pt>
                <c:pt idx="17">
                  <c:v>61.1753084265072</c:v>
                </c:pt>
                <c:pt idx="18">
                  <c:v>51.823251328015729</c:v>
                </c:pt>
                <c:pt idx="19">
                  <c:v>51.09528170170524</c:v>
                </c:pt>
                <c:pt idx="20">
                  <c:v>49.723469887094026</c:v>
                </c:pt>
                <c:pt idx="21">
                  <c:v>51.44285956199802</c:v>
                </c:pt>
                <c:pt idx="22">
                  <c:v>53.414345274442574</c:v>
                </c:pt>
                <c:pt idx="23">
                  <c:v>58.700931725283624</c:v>
                </c:pt>
                <c:pt idx="24">
                  <c:v>56.009575617355772</c:v>
                </c:pt>
                <c:pt idx="25">
                  <c:v>55.670248254025651</c:v>
                </c:pt>
                <c:pt idx="26">
                  <c:v>56.664010738252493</c:v>
                </c:pt>
                <c:pt idx="27">
                  <c:v>53.993029993186809</c:v>
                </c:pt>
                <c:pt idx="28">
                  <c:v>52.123318349796605</c:v>
                </c:pt>
                <c:pt idx="29">
                  <c:v>48.946119349629079</c:v>
                </c:pt>
                <c:pt idx="30">
                  <c:v>43.886477770547486</c:v>
                </c:pt>
                <c:pt idx="31">
                  <c:v>52.616420126659413</c:v>
                </c:pt>
                <c:pt idx="32">
                  <c:v>56.798958296328344</c:v>
                </c:pt>
                <c:pt idx="33">
                  <c:v>57.865370987423908</c:v>
                </c:pt>
                <c:pt idx="34">
                  <c:v>55.941536217827732</c:v>
                </c:pt>
                <c:pt idx="35">
                  <c:v>49.818687058623105</c:v>
                </c:pt>
                <c:pt idx="36">
                  <c:v>53.429504698035949</c:v>
                </c:pt>
                <c:pt idx="37">
                  <c:v>57.870559270481465</c:v>
                </c:pt>
                <c:pt idx="38">
                  <c:v>58.178181510712143</c:v>
                </c:pt>
                <c:pt idx="39">
                  <c:v>60.260516103974822</c:v>
                </c:pt>
                <c:pt idx="40">
                  <c:v>60.459288124105946</c:v>
                </c:pt>
                <c:pt idx="41">
                  <c:v>59.79353899832207</c:v>
                </c:pt>
                <c:pt idx="42">
                  <c:v>56.723246501818728</c:v>
                </c:pt>
                <c:pt idx="43">
                  <c:v>56.408281750104436</c:v>
                </c:pt>
                <c:pt idx="44">
                  <c:v>62.073674949433908</c:v>
                </c:pt>
                <c:pt idx="45">
                  <c:v>72.084186383960031</c:v>
                </c:pt>
                <c:pt idx="46">
                  <c:v>70.612422587144465</c:v>
                </c:pt>
                <c:pt idx="47">
                  <c:v>76.121280904885992</c:v>
                </c:pt>
              </c:numCache>
            </c:numRef>
          </c:val>
          <c:smooth val="0"/>
          <c:extLst>
            <c:ext xmlns:c16="http://schemas.microsoft.com/office/drawing/2014/chart" uri="{C3380CC4-5D6E-409C-BE32-E72D297353CC}">
              <c16:uniqueId val="{00000000-7C6C-4BD0-9F4A-6449C753B79C}"/>
            </c:ext>
          </c:extLst>
        </c:ser>
        <c:ser>
          <c:idx val="1"/>
          <c:order val="1"/>
          <c:tx>
            <c:strRef>
              <c:f>Summary!$O$85</c:f>
              <c:strCache>
                <c:ptCount val="1"/>
                <c:pt idx="0">
                  <c:v>SHOP Mean</c:v>
                </c:pt>
              </c:strCache>
            </c:strRef>
          </c:tx>
          <c:spPr>
            <a:ln w="28575" cap="rnd">
              <a:solidFill>
                <a:schemeClr val="accent3"/>
              </a:solidFill>
              <a:prstDash val="sysDash"/>
              <a:round/>
            </a:ln>
            <a:effectLst/>
          </c:spPr>
          <c:marker>
            <c:symbol val="none"/>
          </c:marker>
          <c:cat>
            <c:numRef>
              <c:f>Summary!$B$451:$B$498</c:f>
              <c:numCache>
                <c:formatCode>m/d/yyyy</c:formatCode>
                <c:ptCount val="48"/>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numCache>
            </c:numRef>
          </c:cat>
          <c:val>
            <c:numRef>
              <c:f>Summary!$O$451:$O$498</c:f>
              <c:numCache>
                <c:formatCode>0.0\x_);\(0.0\x\)</c:formatCode>
                <c:ptCount val="48"/>
                <c:pt idx="0">
                  <c:v>61.840666619098997</c:v>
                </c:pt>
                <c:pt idx="1">
                  <c:v>61.840666619098997</c:v>
                </c:pt>
                <c:pt idx="2">
                  <c:v>61.840666619098997</c:v>
                </c:pt>
                <c:pt idx="3">
                  <c:v>61.840666619098997</c:v>
                </c:pt>
                <c:pt idx="4">
                  <c:v>61.840666619098997</c:v>
                </c:pt>
                <c:pt idx="5">
                  <c:v>61.840666619098997</c:v>
                </c:pt>
                <c:pt idx="6">
                  <c:v>61.840666619098997</c:v>
                </c:pt>
                <c:pt idx="7">
                  <c:v>61.840666619098997</c:v>
                </c:pt>
                <c:pt idx="8">
                  <c:v>61.840666619098997</c:v>
                </c:pt>
                <c:pt idx="9">
                  <c:v>61.840666619098997</c:v>
                </c:pt>
                <c:pt idx="10">
                  <c:v>61.840666619098997</c:v>
                </c:pt>
                <c:pt idx="11">
                  <c:v>61.840666619098997</c:v>
                </c:pt>
                <c:pt idx="12">
                  <c:v>61.840666619098997</c:v>
                </c:pt>
                <c:pt idx="13">
                  <c:v>61.840666619098997</c:v>
                </c:pt>
                <c:pt idx="14">
                  <c:v>61.840666619098997</c:v>
                </c:pt>
                <c:pt idx="15">
                  <c:v>61.840666619098997</c:v>
                </c:pt>
                <c:pt idx="16">
                  <c:v>61.840666619098997</c:v>
                </c:pt>
                <c:pt idx="17">
                  <c:v>61.840666619098997</c:v>
                </c:pt>
                <c:pt idx="18">
                  <c:v>61.840666619098997</c:v>
                </c:pt>
                <c:pt idx="19">
                  <c:v>61.840666619098997</c:v>
                </c:pt>
                <c:pt idx="20">
                  <c:v>61.840666619098997</c:v>
                </c:pt>
                <c:pt idx="21">
                  <c:v>61.840666619098997</c:v>
                </c:pt>
                <c:pt idx="22">
                  <c:v>61.840666619098997</c:v>
                </c:pt>
                <c:pt idx="23">
                  <c:v>61.840666619098997</c:v>
                </c:pt>
                <c:pt idx="24">
                  <c:v>61.840666619098997</c:v>
                </c:pt>
                <c:pt idx="25">
                  <c:v>61.840666619098997</c:v>
                </c:pt>
                <c:pt idx="26">
                  <c:v>61.840666619098997</c:v>
                </c:pt>
                <c:pt idx="27">
                  <c:v>61.840666619098997</c:v>
                </c:pt>
                <c:pt idx="28">
                  <c:v>61.840666619098997</c:v>
                </c:pt>
                <c:pt idx="29">
                  <c:v>61.840666619098997</c:v>
                </c:pt>
                <c:pt idx="30">
                  <c:v>61.840666619098997</c:v>
                </c:pt>
                <c:pt idx="31">
                  <c:v>61.840666619098997</c:v>
                </c:pt>
                <c:pt idx="32">
                  <c:v>61.840666619098997</c:v>
                </c:pt>
                <c:pt idx="33">
                  <c:v>61.840666619098997</c:v>
                </c:pt>
                <c:pt idx="34">
                  <c:v>61.840666619098997</c:v>
                </c:pt>
                <c:pt idx="35">
                  <c:v>61.840666619098997</c:v>
                </c:pt>
                <c:pt idx="36">
                  <c:v>61.840666619098997</c:v>
                </c:pt>
                <c:pt idx="37">
                  <c:v>61.840666619098997</c:v>
                </c:pt>
                <c:pt idx="38">
                  <c:v>61.840666619098997</c:v>
                </c:pt>
                <c:pt idx="39">
                  <c:v>61.840666619098997</c:v>
                </c:pt>
                <c:pt idx="40">
                  <c:v>61.840666619098997</c:v>
                </c:pt>
                <c:pt idx="41">
                  <c:v>61.840666619098997</c:v>
                </c:pt>
                <c:pt idx="42">
                  <c:v>61.840666619098997</c:v>
                </c:pt>
                <c:pt idx="43">
                  <c:v>61.840666619098997</c:v>
                </c:pt>
                <c:pt idx="44">
                  <c:v>61.840666619098997</c:v>
                </c:pt>
                <c:pt idx="45">
                  <c:v>61.840666619098997</c:v>
                </c:pt>
                <c:pt idx="46">
                  <c:v>61.840666619098997</c:v>
                </c:pt>
                <c:pt idx="47">
                  <c:v>61.840666619098997</c:v>
                </c:pt>
              </c:numCache>
            </c:numRef>
          </c:val>
          <c:smooth val="0"/>
          <c:extLst>
            <c:ext xmlns:c16="http://schemas.microsoft.com/office/drawing/2014/chart" uri="{C3380CC4-5D6E-409C-BE32-E72D297353CC}">
              <c16:uniqueId val="{00000001-7C6C-4BD0-9F4A-6449C753B79C}"/>
            </c:ext>
          </c:extLst>
        </c:ser>
        <c:ser>
          <c:idx val="2"/>
          <c:order val="2"/>
          <c:tx>
            <c:strRef>
              <c:f>Summary!$R$85</c:f>
              <c:strCache>
                <c:ptCount val="1"/>
                <c:pt idx="0">
                  <c:v>eCom software EV/EBITDA</c:v>
                </c:pt>
              </c:strCache>
            </c:strRef>
          </c:tx>
          <c:spPr>
            <a:ln w="28575" cap="rnd">
              <a:solidFill>
                <a:schemeClr val="accent1"/>
              </a:solidFill>
              <a:round/>
            </a:ln>
            <a:effectLst/>
          </c:spPr>
          <c:marker>
            <c:symbol val="none"/>
          </c:marker>
          <c:cat>
            <c:numRef>
              <c:f>Summary!$B$451:$B$498</c:f>
              <c:numCache>
                <c:formatCode>m/d/yyyy</c:formatCode>
                <c:ptCount val="48"/>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numCache>
            </c:numRef>
          </c:cat>
          <c:val>
            <c:numRef>
              <c:f>Summary!$R$451:$R$503</c:f>
              <c:numCache>
                <c:formatCode>0.0\x_);\(0.0\x\)</c:formatCode>
                <c:ptCount val="53"/>
                <c:pt idx="0">
                  <c:v>21.236163817091132</c:v>
                </c:pt>
                <c:pt idx="1">
                  <c:v>21.981596307211106</c:v>
                </c:pt>
                <c:pt idx="2">
                  <c:v>22.161573208971099</c:v>
                </c:pt>
                <c:pt idx="3">
                  <c:v>22.071091363343292</c:v>
                </c:pt>
                <c:pt idx="4">
                  <c:v>22.234745499703731</c:v>
                </c:pt>
                <c:pt idx="5">
                  <c:v>22.63662424988388</c:v>
                </c:pt>
                <c:pt idx="6">
                  <c:v>21.602927517793493</c:v>
                </c:pt>
                <c:pt idx="7">
                  <c:v>22.258523279589479</c:v>
                </c:pt>
                <c:pt idx="8">
                  <c:v>22.764976920887182</c:v>
                </c:pt>
                <c:pt idx="9">
                  <c:v>22.151387538975495</c:v>
                </c:pt>
                <c:pt idx="10">
                  <c:v>21.123585502047341</c:v>
                </c:pt>
                <c:pt idx="11">
                  <c:v>21.634963735193281</c:v>
                </c:pt>
                <c:pt idx="12">
                  <c:v>21.172728310191292</c:v>
                </c:pt>
                <c:pt idx="13">
                  <c:v>20.649678881310848</c:v>
                </c:pt>
                <c:pt idx="14">
                  <c:v>19.951295491216495</c:v>
                </c:pt>
                <c:pt idx="15">
                  <c:v>18.979644469511371</c:v>
                </c:pt>
                <c:pt idx="16">
                  <c:v>19.124950416877404</c:v>
                </c:pt>
                <c:pt idx="17">
                  <c:v>19.02407405667654</c:v>
                </c:pt>
                <c:pt idx="18">
                  <c:v>20.386208646564089</c:v>
                </c:pt>
                <c:pt idx="19">
                  <c:v>21.076371711499842</c:v>
                </c:pt>
                <c:pt idx="20">
                  <c:v>21.638437951314142</c:v>
                </c:pt>
                <c:pt idx="21">
                  <c:v>20.388858151612546</c:v>
                </c:pt>
                <c:pt idx="22">
                  <c:v>20.562686002199467</c:v>
                </c:pt>
                <c:pt idx="23">
                  <c:v>20.628127852028619</c:v>
                </c:pt>
                <c:pt idx="24">
                  <c:v>20.165687290191137</c:v>
                </c:pt>
                <c:pt idx="25">
                  <c:v>20.965885332154066</c:v>
                </c:pt>
                <c:pt idx="26">
                  <c:v>20.959971416353607</c:v>
                </c:pt>
                <c:pt idx="27">
                  <c:v>20.771138411601886</c:v>
                </c:pt>
                <c:pt idx="28">
                  <c:v>20.598787257700739</c:v>
                </c:pt>
                <c:pt idx="29">
                  <c:v>20.678779077368475</c:v>
                </c:pt>
                <c:pt idx="30">
                  <c:v>18.773921093702636</c:v>
                </c:pt>
                <c:pt idx="31">
                  <c:v>19.037751738698329</c:v>
                </c:pt>
                <c:pt idx="32">
                  <c:v>19.693891373130398</c:v>
                </c:pt>
                <c:pt idx="33">
                  <c:v>19.675981966808557</c:v>
                </c:pt>
                <c:pt idx="34">
                  <c:v>19.550433776088948</c:v>
                </c:pt>
                <c:pt idx="35">
                  <c:v>18.683149148653317</c:v>
                </c:pt>
                <c:pt idx="36">
                  <c:v>18.572933526103412</c:v>
                </c:pt>
                <c:pt idx="37">
                  <c:v>18.936543484311414</c:v>
                </c:pt>
                <c:pt idx="38">
                  <c:v>19.081509551250566</c:v>
                </c:pt>
                <c:pt idx="39">
                  <c:v>18.39449391373012</c:v>
                </c:pt>
                <c:pt idx="40">
                  <c:v>18.456183721871128</c:v>
                </c:pt>
                <c:pt idx="41">
                  <c:v>18.704502210635383</c:v>
                </c:pt>
                <c:pt idx="42">
                  <c:v>17.88581485440282</c:v>
                </c:pt>
                <c:pt idx="43">
                  <c:v>17.829597799790896</c:v>
                </c:pt>
                <c:pt idx="44">
                  <c:v>18.645556353414214</c:v>
                </c:pt>
                <c:pt idx="45">
                  <c:v>18.986763488675653</c:v>
                </c:pt>
                <c:pt idx="46">
                  <c:v>20.436754660313717</c:v>
                </c:pt>
                <c:pt idx="47">
                  <c:v>20.701783172671277</c:v>
                </c:pt>
                <c:pt idx="48">
                  <c:v>21.537852242759506</c:v>
                </c:pt>
                <c:pt idx="49">
                  <c:v>20.402672040583745</c:v>
                </c:pt>
                <c:pt idx="50">
                  <c:v>19.666228025585024</c:v>
                </c:pt>
                <c:pt idx="51">
                  <c:v>19.403665399945943</c:v>
                </c:pt>
                <c:pt idx="52">
                  <c:v>19.298423821206892</c:v>
                </c:pt>
              </c:numCache>
            </c:numRef>
          </c:val>
          <c:smooth val="0"/>
          <c:extLst>
            <c:ext xmlns:c16="http://schemas.microsoft.com/office/drawing/2014/chart" uri="{C3380CC4-5D6E-409C-BE32-E72D297353CC}">
              <c16:uniqueId val="{00000002-7C6C-4BD0-9F4A-6449C753B79C}"/>
            </c:ext>
          </c:extLst>
        </c:ser>
        <c:ser>
          <c:idx val="3"/>
          <c:order val="3"/>
          <c:tx>
            <c:strRef>
              <c:f>Summary!$S$85</c:f>
              <c:strCache>
                <c:ptCount val="1"/>
                <c:pt idx="0">
                  <c:v>eCom Software mean</c:v>
                </c:pt>
              </c:strCache>
            </c:strRef>
          </c:tx>
          <c:spPr>
            <a:ln w="28575" cap="rnd">
              <a:solidFill>
                <a:schemeClr val="accent1">
                  <a:lumMod val="75000"/>
                </a:schemeClr>
              </a:solidFill>
              <a:prstDash val="dash"/>
              <a:round/>
            </a:ln>
            <a:effectLst/>
          </c:spPr>
          <c:marker>
            <c:symbol val="none"/>
          </c:marker>
          <c:cat>
            <c:numRef>
              <c:f>Summary!$B$451:$B$498</c:f>
              <c:numCache>
                <c:formatCode>m/d/yyyy</c:formatCode>
                <c:ptCount val="48"/>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numCache>
            </c:numRef>
          </c:cat>
          <c:val>
            <c:numRef>
              <c:f>Summary!$S$451:$S$502</c:f>
              <c:numCache>
                <c:formatCode>0.0\x_);\(0.0\x\)</c:formatCode>
                <c:ptCount val="52"/>
                <c:pt idx="0">
                  <c:v>20.262978811913154</c:v>
                </c:pt>
                <c:pt idx="1">
                  <c:v>20.262978811913154</c:v>
                </c:pt>
                <c:pt idx="2">
                  <c:v>20.262978811913154</c:v>
                </c:pt>
                <c:pt idx="3">
                  <c:v>20.262978811913154</c:v>
                </c:pt>
                <c:pt idx="4">
                  <c:v>20.262978811913154</c:v>
                </c:pt>
                <c:pt idx="5">
                  <c:v>20.262978811913154</c:v>
                </c:pt>
                <c:pt idx="6">
                  <c:v>20.262978811913154</c:v>
                </c:pt>
                <c:pt idx="7">
                  <c:v>20.262978811913154</c:v>
                </c:pt>
                <c:pt idx="8">
                  <c:v>20.262978811913154</c:v>
                </c:pt>
                <c:pt idx="9">
                  <c:v>20.262978811913154</c:v>
                </c:pt>
                <c:pt idx="10">
                  <c:v>20.262978811913154</c:v>
                </c:pt>
                <c:pt idx="11">
                  <c:v>20.262978811913154</c:v>
                </c:pt>
                <c:pt idx="12">
                  <c:v>20.262978811913154</c:v>
                </c:pt>
                <c:pt idx="13">
                  <c:v>20.262978811913154</c:v>
                </c:pt>
                <c:pt idx="14">
                  <c:v>20.262978811913154</c:v>
                </c:pt>
                <c:pt idx="15">
                  <c:v>20.262978811913154</c:v>
                </c:pt>
                <c:pt idx="16">
                  <c:v>20.262978811913154</c:v>
                </c:pt>
                <c:pt idx="17">
                  <c:v>20.262978811913154</c:v>
                </c:pt>
                <c:pt idx="18">
                  <c:v>20.262978811913154</c:v>
                </c:pt>
                <c:pt idx="19">
                  <c:v>20.262978811913154</c:v>
                </c:pt>
                <c:pt idx="20">
                  <c:v>20.262978811913154</c:v>
                </c:pt>
                <c:pt idx="21">
                  <c:v>20.262978811913154</c:v>
                </c:pt>
                <c:pt idx="22">
                  <c:v>20.262978811913154</c:v>
                </c:pt>
                <c:pt idx="23">
                  <c:v>20.262978811913154</c:v>
                </c:pt>
                <c:pt idx="24">
                  <c:v>20.262978811913154</c:v>
                </c:pt>
                <c:pt idx="25">
                  <c:v>20.262978811913154</c:v>
                </c:pt>
                <c:pt idx="26">
                  <c:v>20.262978811913154</c:v>
                </c:pt>
                <c:pt idx="27">
                  <c:v>20.262978811913154</c:v>
                </c:pt>
                <c:pt idx="28">
                  <c:v>20.262978811913154</c:v>
                </c:pt>
                <c:pt idx="29">
                  <c:v>20.262978811913154</c:v>
                </c:pt>
                <c:pt idx="30">
                  <c:v>20.262978811913154</c:v>
                </c:pt>
                <c:pt idx="31">
                  <c:v>20.262978811913154</c:v>
                </c:pt>
                <c:pt idx="32">
                  <c:v>20.262978811913154</c:v>
                </c:pt>
                <c:pt idx="33">
                  <c:v>20.262978811913154</c:v>
                </c:pt>
                <c:pt idx="34">
                  <c:v>20.262978811913154</c:v>
                </c:pt>
                <c:pt idx="35">
                  <c:v>20.262978811913154</c:v>
                </c:pt>
                <c:pt idx="36">
                  <c:v>20.262978811913154</c:v>
                </c:pt>
                <c:pt idx="37">
                  <c:v>20.262978811913154</c:v>
                </c:pt>
                <c:pt idx="38">
                  <c:v>20.262978811913154</c:v>
                </c:pt>
                <c:pt idx="39">
                  <c:v>20.262978811913154</c:v>
                </c:pt>
                <c:pt idx="40">
                  <c:v>20.262978811913154</c:v>
                </c:pt>
                <c:pt idx="41">
                  <c:v>20.262978811913154</c:v>
                </c:pt>
                <c:pt idx="42">
                  <c:v>20.262978811913154</c:v>
                </c:pt>
                <c:pt idx="43">
                  <c:v>20.262978811913154</c:v>
                </c:pt>
                <c:pt idx="44">
                  <c:v>20.262978811913154</c:v>
                </c:pt>
                <c:pt idx="45">
                  <c:v>20.262978811913154</c:v>
                </c:pt>
                <c:pt idx="46">
                  <c:v>20.262978811913154</c:v>
                </c:pt>
                <c:pt idx="47">
                  <c:v>20.262978811913154</c:v>
                </c:pt>
                <c:pt idx="48">
                  <c:v>20.262978811913154</c:v>
                </c:pt>
                <c:pt idx="49">
                  <c:v>20.262978811913154</c:v>
                </c:pt>
                <c:pt idx="50">
                  <c:v>20.262978811913154</c:v>
                </c:pt>
                <c:pt idx="51">
                  <c:v>20.262978811913154</c:v>
                </c:pt>
              </c:numCache>
            </c:numRef>
          </c:val>
          <c:smooth val="0"/>
          <c:extLst>
            <c:ext xmlns:c16="http://schemas.microsoft.com/office/drawing/2014/chart" uri="{C3380CC4-5D6E-409C-BE32-E72D297353CC}">
              <c16:uniqueId val="{00000003-7C6C-4BD0-9F4A-6449C753B79C}"/>
            </c:ext>
          </c:extLst>
        </c:ser>
        <c:dLbls>
          <c:showLegendKey val="0"/>
          <c:showVal val="0"/>
          <c:showCatName val="0"/>
          <c:showSerName val="0"/>
          <c:showPercent val="0"/>
          <c:showBubbleSize val="0"/>
        </c:dLbls>
        <c:smooth val="0"/>
        <c:axId val="1683816912"/>
        <c:axId val="1683822672"/>
      </c:lineChart>
      <c:dateAx>
        <c:axId val="1683816912"/>
        <c:scaling>
          <c:orientation val="minMax"/>
        </c:scaling>
        <c:delete val="0"/>
        <c:axPos val="b"/>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822672"/>
        <c:crosses val="autoZero"/>
        <c:auto val="1"/>
        <c:lblOffset val="100"/>
        <c:baseTimeUnit val="days"/>
      </c:dateAx>
      <c:valAx>
        <c:axId val="1683822672"/>
        <c:scaling>
          <c:orientation val="minMax"/>
        </c:scaling>
        <c:delete val="0"/>
        <c:axPos val="l"/>
        <c:majorGridlines>
          <c:spPr>
            <a:ln w="9525" cap="flat" cmpd="sng" algn="ctr">
              <a:solidFill>
                <a:schemeClr val="tx1">
                  <a:lumMod val="15000"/>
                  <a:lumOff val="85000"/>
                </a:schemeClr>
              </a:solidFill>
              <a:round/>
            </a:ln>
            <a:effectLst/>
          </c:spPr>
        </c:majorGridlines>
        <c:numFmt formatCode="0\x;\(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81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Charts!$CG$33</c:f>
              <c:strCache>
                <c:ptCount val="1"/>
                <c:pt idx="0">
                  <c:v>Subscription Solutions Revenue</c:v>
                </c:pt>
              </c:strCache>
            </c:strRef>
          </c:tx>
          <c:spPr>
            <a:solidFill>
              <a:schemeClr val="accent1"/>
            </a:solidFill>
            <a:ln>
              <a:noFill/>
            </a:ln>
            <a:effectLst/>
          </c:spPr>
          <c:cat>
            <c:strRef>
              <c:f>Charts!$CH$4:$CS$4</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Charts!$CH$33:$CS$33</c:f>
              <c:numCache>
                <c:formatCode>"$"#,##0.0,"B"_);\("$"#,##0.0"B"\);"$"#,##0.00_);@_)</c:formatCode>
                <c:ptCount val="12"/>
                <c:pt idx="0">
                  <c:v>188.60599999999999</c:v>
                </c:pt>
                <c:pt idx="1">
                  <c:v>310.03100000000001</c:v>
                </c:pt>
                <c:pt idx="2">
                  <c:v>464.99599999999998</c:v>
                </c:pt>
                <c:pt idx="3">
                  <c:v>642.24099999999999</c:v>
                </c:pt>
                <c:pt idx="4">
                  <c:v>908.75700000000006</c:v>
                </c:pt>
                <c:pt idx="5">
                  <c:v>1342.3340000000001</c:v>
                </c:pt>
                <c:pt idx="6">
                  <c:v>1487.759</c:v>
                </c:pt>
                <c:pt idx="7">
                  <c:v>1837</c:v>
                </c:pt>
                <c:pt idx="8">
                  <c:v>2341.7345062011718</c:v>
                </c:pt>
                <c:pt idx="9">
                  <c:v>2765.7753057718573</c:v>
                </c:pt>
                <c:pt idx="10">
                  <c:v>3205.5433568374401</c:v>
                </c:pt>
                <c:pt idx="11">
                  <c:v>3679.8528818838795</c:v>
                </c:pt>
              </c:numCache>
            </c:numRef>
          </c:val>
          <c:extLst>
            <c:ext xmlns:c16="http://schemas.microsoft.com/office/drawing/2014/chart" uri="{C3380CC4-5D6E-409C-BE32-E72D297353CC}">
              <c16:uniqueId val="{00000000-75A2-4985-AAEC-0FCED4DC1610}"/>
            </c:ext>
          </c:extLst>
        </c:ser>
        <c:ser>
          <c:idx val="1"/>
          <c:order val="1"/>
          <c:tx>
            <c:strRef>
              <c:f>Charts!$CG$34</c:f>
              <c:strCache>
                <c:ptCount val="1"/>
                <c:pt idx="0">
                  <c:v>Merchant Solutions Revenue</c:v>
                </c:pt>
              </c:strCache>
            </c:strRef>
          </c:tx>
          <c:spPr>
            <a:solidFill>
              <a:schemeClr val="accent3"/>
            </a:solidFill>
            <a:ln>
              <a:noFill/>
            </a:ln>
            <a:effectLst/>
          </c:spPr>
          <c:cat>
            <c:strRef>
              <c:f>Charts!$CH$4:$CS$4</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Charts!$CH$34:$CS$34</c:f>
              <c:numCache>
                <c:formatCode>"$"#,##0.0,"B"_);\("$"#,##0.0"B"\);"$"#,##0.00_);@_)</c:formatCode>
                <c:ptCount val="12"/>
                <c:pt idx="0">
                  <c:v>200.72399999999999</c:v>
                </c:pt>
                <c:pt idx="1">
                  <c:v>363.27300000000002</c:v>
                </c:pt>
                <c:pt idx="2">
                  <c:v>608.23299999999995</c:v>
                </c:pt>
                <c:pt idx="3">
                  <c:v>935.93200000000002</c:v>
                </c:pt>
                <c:pt idx="4">
                  <c:v>2020.7339999999999</c:v>
                </c:pt>
                <c:pt idx="5">
                  <c:v>3269.5219999999999</c:v>
                </c:pt>
                <c:pt idx="6">
                  <c:v>4112.1049999999996</c:v>
                </c:pt>
                <c:pt idx="7">
                  <c:v>5223</c:v>
                </c:pt>
                <c:pt idx="8">
                  <c:v>6429.8546874999993</c:v>
                </c:pt>
                <c:pt idx="9">
                  <c:v>8030.9811823631326</c:v>
                </c:pt>
                <c:pt idx="10">
                  <c:v>9717.8873459449605</c:v>
                </c:pt>
                <c:pt idx="11">
                  <c:v>11558.915499852503</c:v>
                </c:pt>
              </c:numCache>
            </c:numRef>
          </c:val>
          <c:extLst>
            <c:ext xmlns:c16="http://schemas.microsoft.com/office/drawing/2014/chart" uri="{C3380CC4-5D6E-409C-BE32-E72D297353CC}">
              <c16:uniqueId val="{00000001-75A2-4985-AAEC-0FCED4DC1610}"/>
            </c:ext>
          </c:extLst>
        </c:ser>
        <c:dLbls>
          <c:showLegendKey val="0"/>
          <c:showVal val="0"/>
          <c:showCatName val="0"/>
          <c:showSerName val="0"/>
          <c:showPercent val="0"/>
          <c:showBubbleSize val="0"/>
        </c:dLbls>
        <c:axId val="1806290255"/>
        <c:axId val="1806285935"/>
      </c:areaChart>
      <c:lineChart>
        <c:grouping val="standard"/>
        <c:varyColors val="0"/>
        <c:ser>
          <c:idx val="2"/>
          <c:order val="2"/>
          <c:tx>
            <c:strRef>
              <c:f>Charts!$CG$35</c:f>
              <c:strCache>
                <c:ptCount val="1"/>
                <c:pt idx="0">
                  <c:v>Total Revenue</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Charts!$CH$4:$CS$4</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Charts!$CH$35:$CS$35</c:f>
              <c:numCache>
                <c:formatCode>"$"#,##0.0,"B"_);\("$"#,##0.0"B"\);"$"#,##0.00_);@_)</c:formatCode>
                <c:ptCount val="12"/>
                <c:pt idx="0">
                  <c:v>389.33</c:v>
                </c:pt>
                <c:pt idx="1">
                  <c:v>673.30399999999997</c:v>
                </c:pt>
                <c:pt idx="2">
                  <c:v>1073.2289999999998</c:v>
                </c:pt>
                <c:pt idx="3">
                  <c:v>1578.173</c:v>
                </c:pt>
                <c:pt idx="4">
                  <c:v>2929.491</c:v>
                </c:pt>
                <c:pt idx="5">
                  <c:v>4611.8559999999998</c:v>
                </c:pt>
                <c:pt idx="6">
                  <c:v>5599.8640000000005</c:v>
                </c:pt>
                <c:pt idx="7">
                  <c:v>7060</c:v>
                </c:pt>
                <c:pt idx="8">
                  <c:v>8771.5891937011711</c:v>
                </c:pt>
                <c:pt idx="9">
                  <c:v>10796.75648813499</c:v>
                </c:pt>
                <c:pt idx="10">
                  <c:v>12923.430702782402</c:v>
                </c:pt>
                <c:pt idx="11">
                  <c:v>15238.768381736383</c:v>
                </c:pt>
              </c:numCache>
            </c:numRef>
          </c:val>
          <c:smooth val="0"/>
          <c:extLst>
            <c:ext xmlns:c16="http://schemas.microsoft.com/office/drawing/2014/chart" uri="{C3380CC4-5D6E-409C-BE32-E72D297353CC}">
              <c16:uniqueId val="{00000002-75A2-4985-AAEC-0FCED4DC1610}"/>
            </c:ext>
          </c:extLst>
        </c:ser>
        <c:dLbls>
          <c:showLegendKey val="0"/>
          <c:showVal val="0"/>
          <c:showCatName val="0"/>
          <c:showSerName val="0"/>
          <c:showPercent val="0"/>
          <c:showBubbleSize val="0"/>
        </c:dLbls>
        <c:marker val="1"/>
        <c:smooth val="0"/>
        <c:axId val="1806290255"/>
        <c:axId val="1806285935"/>
      </c:lineChart>
      <c:catAx>
        <c:axId val="18062902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285935"/>
        <c:crosses val="autoZero"/>
        <c:auto val="1"/>
        <c:lblAlgn val="ctr"/>
        <c:lblOffset val="100"/>
        <c:noMultiLvlLbl val="0"/>
      </c:catAx>
      <c:valAx>
        <c:axId val="180628593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_);\(&quot;$&quot;#,##0&quot;B&quot;\);&quot;$&quot;#,##0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290255"/>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29295363012068"/>
          <c:y val="4.101248282583933E-2"/>
          <c:w val="0.8743881832289212"/>
          <c:h val="0.89187618164096905"/>
        </c:manualLayout>
      </c:layout>
      <c:areaChart>
        <c:grouping val="stacked"/>
        <c:varyColors val="0"/>
        <c:ser>
          <c:idx val="0"/>
          <c:order val="0"/>
          <c:tx>
            <c:strRef>
              <c:f>Charts!$CG$48</c:f>
              <c:strCache>
                <c:ptCount val="1"/>
                <c:pt idx="0">
                  <c:v>Subscription Solutions Gross Profit</c:v>
                </c:pt>
              </c:strCache>
            </c:strRef>
          </c:tx>
          <c:spPr>
            <a:solidFill>
              <a:schemeClr val="accent1"/>
            </a:solidFill>
            <a:ln>
              <a:noFill/>
            </a:ln>
            <a:effectLst/>
          </c:spPr>
          <c:val>
            <c:numRef>
              <c:f>Charts!$CH$48:$CS$48</c:f>
              <c:numCache>
                <c:formatCode>"$"#,##0.0,"B"_);\("$"#,##0.0"B"\);"$"#,##0.00_);@_)</c:formatCode>
                <c:ptCount val="12"/>
                <c:pt idx="0">
                  <c:v>149.12799999999999</c:v>
                </c:pt>
                <c:pt idx="1">
                  <c:v>248.76400000000001</c:v>
                </c:pt>
                <c:pt idx="2">
                  <c:v>364.00600000000003</c:v>
                </c:pt>
                <c:pt idx="3">
                  <c:v>514.08600000000001</c:v>
                </c:pt>
                <c:pt idx="4">
                  <c:v>715.22499999999991</c:v>
                </c:pt>
                <c:pt idx="5">
                  <c:v>1077.9830000000002</c:v>
                </c:pt>
                <c:pt idx="6">
                  <c:v>1156.8920000000001</c:v>
                </c:pt>
                <c:pt idx="7">
                  <c:v>1483</c:v>
                </c:pt>
                <c:pt idx="8">
                  <c:v>1922.6522129800942</c:v>
                </c:pt>
                <c:pt idx="9">
                  <c:v>2284.6345541862975</c:v>
                </c:pt>
                <c:pt idx="10">
                  <c:v>2654.3106115557157</c:v>
                </c:pt>
                <c:pt idx="11">
                  <c:v>3054.4164652720096</c:v>
                </c:pt>
              </c:numCache>
            </c:numRef>
          </c:val>
          <c:extLst>
            <c:ext xmlns:c16="http://schemas.microsoft.com/office/drawing/2014/chart" uri="{C3380CC4-5D6E-409C-BE32-E72D297353CC}">
              <c16:uniqueId val="{00000000-846F-4319-A48E-007687BED467}"/>
            </c:ext>
          </c:extLst>
        </c:ser>
        <c:ser>
          <c:idx val="1"/>
          <c:order val="1"/>
          <c:tx>
            <c:strRef>
              <c:f>Charts!$CG$49</c:f>
              <c:strCache>
                <c:ptCount val="1"/>
                <c:pt idx="0">
                  <c:v>Merchant Solutions Gross Profit</c:v>
                </c:pt>
              </c:strCache>
            </c:strRef>
          </c:tx>
          <c:spPr>
            <a:solidFill>
              <a:schemeClr val="accent3"/>
            </a:solidFill>
            <a:ln>
              <a:noFill/>
            </a:ln>
            <a:effectLst/>
          </c:spPr>
          <c:val>
            <c:numRef>
              <c:f>Charts!$CH$49:$CS$49</c:f>
              <c:numCache>
                <c:formatCode>"$"#,##0.0,"B"_);\("$"#,##0.0"B"\);"$"#,##0.00_);@_)</c:formatCode>
                <c:ptCount val="12"/>
                <c:pt idx="0">
                  <c:v>60.36699999999999</c:v>
                </c:pt>
                <c:pt idx="1">
                  <c:v>131.48899999999998</c:v>
                </c:pt>
                <c:pt idx="2">
                  <c:v>232.261</c:v>
                </c:pt>
                <c:pt idx="3">
                  <c:v>351.55700000000002</c:v>
                </c:pt>
                <c:pt idx="4">
                  <c:v>826.29499999999996</c:v>
                </c:pt>
                <c:pt idx="5">
                  <c:v>1403.1610000000001</c:v>
                </c:pt>
                <c:pt idx="6">
                  <c:v>1597.2269999999999</c:v>
                </c:pt>
                <c:pt idx="7">
                  <c:v>2032</c:v>
                </c:pt>
                <c:pt idx="8">
                  <c:v>2513.2349596810564</c:v>
                </c:pt>
                <c:pt idx="9">
                  <c:v>3154.5836395635329</c:v>
                </c:pt>
                <c:pt idx="10">
                  <c:v>3822.0550767694294</c:v>
                </c:pt>
                <c:pt idx="11">
                  <c:v>4551.9069537142859</c:v>
                </c:pt>
              </c:numCache>
            </c:numRef>
          </c:val>
          <c:extLst>
            <c:ext xmlns:c16="http://schemas.microsoft.com/office/drawing/2014/chart" uri="{C3380CC4-5D6E-409C-BE32-E72D297353CC}">
              <c16:uniqueId val="{00000001-846F-4319-A48E-007687BED467}"/>
            </c:ext>
          </c:extLst>
        </c:ser>
        <c:dLbls>
          <c:showLegendKey val="0"/>
          <c:showVal val="0"/>
          <c:showCatName val="0"/>
          <c:showSerName val="0"/>
          <c:showPercent val="0"/>
          <c:showBubbleSize val="0"/>
        </c:dLbls>
        <c:axId val="1758049439"/>
        <c:axId val="1758049919"/>
      </c:areaChart>
      <c:lineChart>
        <c:grouping val="standard"/>
        <c:varyColors val="0"/>
        <c:ser>
          <c:idx val="2"/>
          <c:order val="2"/>
          <c:tx>
            <c:strRef>
              <c:f>Charts!$CG$50</c:f>
              <c:strCache>
                <c:ptCount val="1"/>
                <c:pt idx="0">
                  <c:v>Total Gross Profit</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Charts!$CH$50:$CS$50</c:f>
              <c:numCache>
                <c:formatCode>"$"#,##0.0,"B"_);\("$"#,##0.0"B"\);"$"#,##0.00_);@_)</c:formatCode>
                <c:ptCount val="12"/>
                <c:pt idx="0">
                  <c:v>209.495</c:v>
                </c:pt>
                <c:pt idx="1">
                  <c:v>380.25299999999999</c:v>
                </c:pt>
                <c:pt idx="2">
                  <c:v>596.26699999999983</c:v>
                </c:pt>
                <c:pt idx="3">
                  <c:v>865.64300000000003</c:v>
                </c:pt>
                <c:pt idx="4">
                  <c:v>1541.5200000000002</c:v>
                </c:pt>
                <c:pt idx="5">
                  <c:v>2481.1439999999998</c:v>
                </c:pt>
                <c:pt idx="6">
                  <c:v>2754.1190000000001</c:v>
                </c:pt>
                <c:pt idx="7">
                  <c:v>3515</c:v>
                </c:pt>
                <c:pt idx="8">
                  <c:v>4435.8871726611505</c:v>
                </c:pt>
                <c:pt idx="9">
                  <c:v>5439.2181937498299</c:v>
                </c:pt>
                <c:pt idx="10">
                  <c:v>6476.3656883251451</c:v>
                </c:pt>
                <c:pt idx="11">
                  <c:v>7606.3234189862951</c:v>
                </c:pt>
              </c:numCache>
            </c:numRef>
          </c:val>
          <c:smooth val="0"/>
          <c:extLst>
            <c:ext xmlns:c16="http://schemas.microsoft.com/office/drawing/2014/chart" uri="{C3380CC4-5D6E-409C-BE32-E72D297353CC}">
              <c16:uniqueId val="{00000002-846F-4319-A48E-007687BED467}"/>
            </c:ext>
          </c:extLst>
        </c:ser>
        <c:dLbls>
          <c:showLegendKey val="0"/>
          <c:showVal val="0"/>
          <c:showCatName val="0"/>
          <c:showSerName val="0"/>
          <c:showPercent val="0"/>
          <c:showBubbleSize val="0"/>
        </c:dLbls>
        <c:marker val="1"/>
        <c:smooth val="0"/>
        <c:axId val="2095090607"/>
        <c:axId val="1762718143"/>
      </c:lineChart>
      <c:catAx>
        <c:axId val="1758049439"/>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8049919"/>
        <c:crosses val="autoZero"/>
        <c:auto val="1"/>
        <c:lblAlgn val="ctr"/>
        <c:lblOffset val="100"/>
        <c:noMultiLvlLbl val="0"/>
      </c:catAx>
      <c:valAx>
        <c:axId val="175804991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quot;B&quot;_);\(&quot;$&quot;#,##0.0&quot;B&quot;\);&quot;$&quot;#,##0.00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8049439"/>
        <c:crosses val="autoZero"/>
        <c:crossBetween val="between"/>
      </c:valAx>
      <c:valAx>
        <c:axId val="1762718143"/>
        <c:scaling>
          <c:orientation val="minMax"/>
        </c:scaling>
        <c:delete val="0"/>
        <c:axPos val="r"/>
        <c:numFmt formatCode="&quot;$&quot;#,##0.0,&quot;B&quot;_);\(&quot;$&quot;#,##0.0&quot;B&quot;\);&quot;$&quot;#,##0.00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090607"/>
        <c:crosses val="max"/>
        <c:crossBetween val="between"/>
      </c:valAx>
      <c:catAx>
        <c:axId val="2095090607"/>
        <c:scaling>
          <c:orientation val="minMax"/>
        </c:scaling>
        <c:delete val="1"/>
        <c:axPos val="b"/>
        <c:majorTickMark val="out"/>
        <c:minorTickMark val="none"/>
        <c:tickLblPos val="nextTo"/>
        <c:crossAx val="1762718143"/>
        <c:crosses val="autoZero"/>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12044007087635537"/>
          <c:y val="0.16971358784363"/>
          <c:w val="0.37169967179751129"/>
          <c:h val="0.22628439235764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995479159335347E-2"/>
          <c:y val="5.0925925925925923E-2"/>
          <c:w val="0.93938413191230108"/>
          <c:h val="0.83847360211127753"/>
        </c:manualLayout>
      </c:layout>
      <c:barChart>
        <c:barDir val="col"/>
        <c:grouping val="clustered"/>
        <c:varyColors val="0"/>
        <c:ser>
          <c:idx val="0"/>
          <c:order val="0"/>
          <c:tx>
            <c:strRef>
              <c:f>Charts!$CG$119</c:f>
              <c:strCache>
                <c:ptCount val="1"/>
                <c:pt idx="0">
                  <c:v>GPV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Charts!$CI$118:$CS$118</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Charts!$CI$119:$CS$119</c:f>
              <c:numCache>
                <c:formatCode>"$"#,##0.0,"B"_);\("$"#,##0.0"B"\);"$"#,##0.00_);@_)</c:formatCode>
                <c:ptCount val="11"/>
                <c:pt idx="0">
                  <c:v>10088.015940336567</c:v>
                </c:pt>
                <c:pt idx="1">
                  <c:v>16711.604062604951</c:v>
                </c:pt>
                <c:pt idx="2">
                  <c:v>25702.891747650821</c:v>
                </c:pt>
                <c:pt idx="3">
                  <c:v>53800</c:v>
                </c:pt>
                <c:pt idx="4">
                  <c:v>85800</c:v>
                </c:pt>
                <c:pt idx="5">
                  <c:v>106100</c:v>
                </c:pt>
                <c:pt idx="6">
                  <c:v>137074</c:v>
                </c:pt>
                <c:pt idx="7">
                  <c:v>178987.77124999999</c:v>
                </c:pt>
                <c:pt idx="8">
                  <c:v>222867.38995094484</c:v>
                </c:pt>
                <c:pt idx="9">
                  <c:v>270730.6049826821</c:v>
                </c:pt>
                <c:pt idx="10">
                  <c:v>323953.91751058312</c:v>
                </c:pt>
              </c:numCache>
            </c:numRef>
          </c:val>
          <c:extLst>
            <c:ext xmlns:c16="http://schemas.microsoft.com/office/drawing/2014/chart" uri="{C3380CC4-5D6E-409C-BE32-E72D297353CC}">
              <c16:uniqueId val="{00000000-D527-453A-AB9A-AAD441E12BAD}"/>
            </c:ext>
          </c:extLst>
        </c:ser>
        <c:dLbls>
          <c:showLegendKey val="0"/>
          <c:showVal val="0"/>
          <c:showCatName val="0"/>
          <c:showSerName val="0"/>
          <c:showPercent val="0"/>
          <c:showBubbleSize val="0"/>
        </c:dLbls>
        <c:gapWidth val="20"/>
        <c:overlap val="-27"/>
        <c:axId val="1579622800"/>
        <c:axId val="1579620880"/>
      </c:barChart>
      <c:lineChart>
        <c:grouping val="standard"/>
        <c:varyColors val="0"/>
        <c:ser>
          <c:idx val="1"/>
          <c:order val="1"/>
          <c:tx>
            <c:strRef>
              <c:f>Charts!$CG$120</c:f>
              <c:strCache>
                <c:ptCount val="1"/>
                <c:pt idx="0">
                  <c:v>GPV % GMV</c:v>
                </c:pt>
              </c:strCache>
            </c:strRef>
          </c:tx>
          <c:spPr>
            <a:ln w="28575" cap="rnd">
              <a:solidFill>
                <a:schemeClr val="accent3"/>
              </a:solidFill>
              <a:round/>
            </a:ln>
            <a:effectLst/>
          </c:spPr>
          <c:marker>
            <c:symbol val="none"/>
          </c:marker>
          <c:dLbls>
            <c:dLbl>
              <c:idx val="10"/>
              <c:layout>
                <c:manualLayout>
                  <c:x val="-1.8712615686375944E-2"/>
                  <c:y val="-8.2033463512557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B8-4822-9AF8-A9D02174AF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Charts!$CI$118:$CS$118</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Charts!$CI$120:$CS$120</c:f>
              <c:numCache>
                <c:formatCode>0.0%_);\(0.0%\);0.0%_);@_)</c:formatCode>
                <c:ptCount val="11"/>
                <c:pt idx="0">
                  <c:v>0.38328109605517319</c:v>
                </c:pt>
                <c:pt idx="1">
                  <c:v>0.40657633986414771</c:v>
                </c:pt>
                <c:pt idx="2">
                  <c:v>0.42040465214309908</c:v>
                </c:pt>
                <c:pt idx="3">
                  <c:v>0.44991874576167973</c:v>
                </c:pt>
                <c:pt idx="4">
                  <c:v>0.4892741358161361</c:v>
                </c:pt>
                <c:pt idx="5">
                  <c:v>0.53789560466337949</c:v>
                </c:pt>
                <c:pt idx="6">
                  <c:v>0.58100667585037613</c:v>
                </c:pt>
                <c:pt idx="7">
                  <c:v>0.61593680624409886</c:v>
                </c:pt>
                <c:pt idx="8">
                  <c:v>0.64178794569671227</c:v>
                </c:pt>
                <c:pt idx="9">
                  <c:v>0.6637879456967124</c:v>
                </c:pt>
                <c:pt idx="10">
                  <c:v>0.68178794569671242</c:v>
                </c:pt>
              </c:numCache>
            </c:numRef>
          </c:val>
          <c:smooth val="1"/>
          <c:extLst>
            <c:ext xmlns:c16="http://schemas.microsoft.com/office/drawing/2014/chart" uri="{C3380CC4-5D6E-409C-BE32-E72D297353CC}">
              <c16:uniqueId val="{00000001-D527-453A-AB9A-AAD441E12BAD}"/>
            </c:ext>
          </c:extLst>
        </c:ser>
        <c:dLbls>
          <c:showLegendKey val="0"/>
          <c:showVal val="0"/>
          <c:showCatName val="0"/>
          <c:showSerName val="0"/>
          <c:showPercent val="0"/>
          <c:showBubbleSize val="0"/>
        </c:dLbls>
        <c:marker val="1"/>
        <c:smooth val="0"/>
        <c:axId val="1579621360"/>
        <c:axId val="1579626160"/>
      </c:lineChart>
      <c:catAx>
        <c:axId val="157962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9620880"/>
        <c:crosses val="autoZero"/>
        <c:auto val="1"/>
        <c:lblAlgn val="ctr"/>
        <c:lblOffset val="100"/>
        <c:noMultiLvlLbl val="0"/>
      </c:catAx>
      <c:valAx>
        <c:axId val="1579620880"/>
        <c:scaling>
          <c:orientation val="minMax"/>
          <c:max val="400000"/>
        </c:scaling>
        <c:delete val="0"/>
        <c:axPos val="l"/>
        <c:numFmt formatCode="&quot;$&quot;#,##0,&quot;B&quot;_);\(&quot;$&quot;#,##0&quot;B&quot;\);&quot;$&quot;#,##0.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9622800"/>
        <c:crosses val="autoZero"/>
        <c:crossBetween val="between"/>
      </c:valAx>
      <c:valAx>
        <c:axId val="1579626160"/>
        <c:scaling>
          <c:orientation val="minMax"/>
        </c:scaling>
        <c:delete val="0"/>
        <c:axPos val="r"/>
        <c:numFmt formatCode="0.0%_);\(0.0%\);0.0%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9621360"/>
        <c:crosses val="max"/>
        <c:crossBetween val="between"/>
      </c:valAx>
      <c:catAx>
        <c:axId val="1579621360"/>
        <c:scaling>
          <c:orientation val="minMax"/>
        </c:scaling>
        <c:delete val="1"/>
        <c:axPos val="b"/>
        <c:numFmt formatCode="General" sourceLinked="1"/>
        <c:majorTickMark val="none"/>
        <c:minorTickMark val="none"/>
        <c:tickLblPos val="nextTo"/>
        <c:crossAx val="1579626160"/>
        <c:crosses val="autoZero"/>
        <c:auto val="1"/>
        <c:lblAlgn val="ctr"/>
        <c:lblOffset val="100"/>
        <c:noMultiLvlLbl val="0"/>
      </c:catAx>
      <c:spPr>
        <a:noFill/>
        <a:ln>
          <a:noFill/>
        </a:ln>
        <a:effectLst/>
      </c:spPr>
    </c:plotArea>
    <c:legend>
      <c:legendPos val="b"/>
      <c:layout>
        <c:manualLayout>
          <c:xMode val="edge"/>
          <c:yMode val="edge"/>
          <c:x val="0.1435916447944007"/>
          <c:y val="7.5500145815106459E-2"/>
          <c:w val="0.37948337707786534"/>
          <c:h val="7.7277631962671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50289609321221E-2"/>
          <c:y val="2.1286908673066759E-2"/>
          <c:w val="0.92011360520233476"/>
          <c:h val="0.94216939655651877"/>
        </c:manualLayout>
      </c:layout>
      <c:areaChart>
        <c:grouping val="stacked"/>
        <c:varyColors val="0"/>
        <c:ser>
          <c:idx val="0"/>
          <c:order val="0"/>
          <c:tx>
            <c:strRef>
              <c:f>Charts!$CG$18</c:f>
              <c:strCache>
                <c:ptCount val="1"/>
                <c:pt idx="0">
                  <c:v>Shopify Payments Revenue</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Charts!$CH$17:$CS$17</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Charts!$CH$18:$CS$18</c:f>
              <c:numCache>
                <c:formatCode>"$"#,##0.0,"B"_);\("$"#,##0.0"B"\);"$"#,##0.00_);@_)</c:formatCode>
                <c:ptCount val="12"/>
                <c:pt idx="0">
                  <c:v>0</c:v>
                </c:pt>
                <c:pt idx="1">
                  <c:v>210.69833999999997</c:v>
                </c:pt>
                <c:pt idx="2">
                  <c:v>349.73397499999993</c:v>
                </c:pt>
                <c:pt idx="3">
                  <c:v>533.48123999999996</c:v>
                </c:pt>
                <c:pt idx="4">
                  <c:v>1141.7147099999997</c:v>
                </c:pt>
                <c:pt idx="5">
                  <c:v>1830.9323200000001</c:v>
                </c:pt>
                <c:pt idx="6">
                  <c:v>2273.9940649999999</c:v>
                </c:pt>
                <c:pt idx="7">
                  <c:v>2950.9949999999999</c:v>
                </c:pt>
                <c:pt idx="8">
                  <c:v>3621.371026013484</c:v>
                </c:pt>
                <c:pt idx="9">
                  <c:v>4399.0316333310057</c:v>
                </c:pt>
                <c:pt idx="10">
                  <c:v>5208.4997902188161</c:v>
                </c:pt>
                <c:pt idx="11">
                  <c:v>6070.5550588349233</c:v>
                </c:pt>
              </c:numCache>
            </c:numRef>
          </c:val>
          <c:extLst>
            <c:ext xmlns:c16="http://schemas.microsoft.com/office/drawing/2014/chart" uri="{C3380CC4-5D6E-409C-BE32-E72D297353CC}">
              <c16:uniqueId val="{00000000-AF47-47DE-9B62-026AF8FAF83D}"/>
            </c:ext>
          </c:extLst>
        </c:ser>
        <c:ser>
          <c:idx val="1"/>
          <c:order val="1"/>
          <c:tx>
            <c:strRef>
              <c:f>Charts!$CG$19</c:f>
              <c:strCache>
                <c:ptCount val="1"/>
                <c:pt idx="0">
                  <c:v>3P Transaction Fee Revenue</c:v>
                </c:pt>
              </c:strCache>
            </c:strRef>
          </c:tx>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Charts!$CH$17:$CS$17</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Charts!$CH$19:$CS$19</c:f>
              <c:numCache>
                <c:formatCode>"$"#,##0.0,"B"_);\("$"#,##0.0"B"\);"$"#,##0.00_);@_)</c:formatCode>
                <c:ptCount val="12"/>
                <c:pt idx="0">
                  <c:v>0</c:v>
                </c:pt>
                <c:pt idx="1">
                  <c:v>123.51282</c:v>
                </c:pt>
                <c:pt idx="2">
                  <c:v>194.63455999999999</c:v>
                </c:pt>
                <c:pt idx="3">
                  <c:v>280.77960000000002</c:v>
                </c:pt>
                <c:pt idx="4">
                  <c:v>565.80551999999989</c:v>
                </c:pt>
                <c:pt idx="5">
                  <c:v>850.07571999999982</c:v>
                </c:pt>
                <c:pt idx="6">
                  <c:v>1007.4657249999997</c:v>
                </c:pt>
                <c:pt idx="7">
                  <c:v>1227.4049999999997</c:v>
                </c:pt>
                <c:pt idx="8">
                  <c:v>1446.3878374421106</c:v>
                </c:pt>
                <c:pt idx="9">
                  <c:v>1611.6709586779696</c:v>
                </c:pt>
                <c:pt idx="10">
                  <c:v>1776.6380211175858</c:v>
                </c:pt>
                <c:pt idx="11">
                  <c:v>1958.9573022725331</c:v>
                </c:pt>
              </c:numCache>
            </c:numRef>
          </c:val>
          <c:extLst>
            <c:ext xmlns:c16="http://schemas.microsoft.com/office/drawing/2014/chart" uri="{C3380CC4-5D6E-409C-BE32-E72D297353CC}">
              <c16:uniqueId val="{00000001-AF47-47DE-9B62-026AF8FAF83D}"/>
            </c:ext>
          </c:extLst>
        </c:ser>
        <c:ser>
          <c:idx val="3"/>
          <c:order val="3"/>
          <c:tx>
            <c:strRef>
              <c:f>Charts!$CG$21</c:f>
              <c:strCache>
                <c:ptCount val="1"/>
                <c:pt idx="0">
                  <c:v>Non-Payments Merchant Solution Revenue</c:v>
                </c:pt>
              </c:strCache>
            </c:strRef>
          </c:tx>
          <c:spPr>
            <a:solidFill>
              <a:schemeClr val="accent4"/>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Charts!$CH$17:$CS$17</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Charts!$CH$21:$CS$21</c:f>
              <c:numCache>
                <c:formatCode>"$"#,##0.0,"B"_);\("$"#,##0.0"B"\);"$"#,##0.00_);@_)</c:formatCode>
                <c:ptCount val="12"/>
                <c:pt idx="0">
                  <c:v>200.72399999999999</c:v>
                </c:pt>
                <c:pt idx="1">
                  <c:v>29.061840000000075</c:v>
                </c:pt>
                <c:pt idx="2">
                  <c:v>63.864464999999996</c:v>
                </c:pt>
                <c:pt idx="3">
                  <c:v>121.6711600000001</c:v>
                </c:pt>
                <c:pt idx="4">
                  <c:v>313.2137700000003</c:v>
                </c:pt>
                <c:pt idx="5">
                  <c:v>588.51396000000022</c:v>
                </c:pt>
                <c:pt idx="6">
                  <c:v>830.64521000000013</c:v>
                </c:pt>
                <c:pt idx="7">
                  <c:v>1044.6000000000004</c:v>
                </c:pt>
                <c:pt idx="8">
                  <c:v>1362.0958240444052</c:v>
                </c:pt>
                <c:pt idx="9">
                  <c:v>2020.2785903541571</c:v>
                </c:pt>
                <c:pt idx="10">
                  <c:v>2732.7495346085589</c:v>
                </c:pt>
                <c:pt idx="11">
                  <c:v>3529.4031387450468</c:v>
                </c:pt>
              </c:numCache>
            </c:numRef>
          </c:val>
          <c:extLst>
            <c:ext xmlns:c16="http://schemas.microsoft.com/office/drawing/2014/chart" uri="{C3380CC4-5D6E-409C-BE32-E72D297353CC}">
              <c16:uniqueId val="{00000002-AF47-47DE-9B62-026AF8FAF83D}"/>
            </c:ext>
          </c:extLst>
        </c:ser>
        <c:dLbls>
          <c:showLegendKey val="0"/>
          <c:showVal val="0"/>
          <c:showCatName val="0"/>
          <c:showSerName val="0"/>
          <c:showPercent val="0"/>
          <c:showBubbleSize val="0"/>
        </c:dLbls>
        <c:axId val="693590112"/>
        <c:axId val="693590592"/>
      </c:areaChart>
      <c:lineChart>
        <c:grouping val="standard"/>
        <c:varyColors val="0"/>
        <c:ser>
          <c:idx val="2"/>
          <c:order val="2"/>
          <c:tx>
            <c:strRef>
              <c:f>Charts!$CG$20</c:f>
              <c:strCache>
                <c:ptCount val="1"/>
                <c:pt idx="0">
                  <c:v>Total Payments Revenue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Charts!$CH$17:$CS$17</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Charts!$CH$20:$CS$20</c:f>
              <c:numCache>
                <c:formatCode>"$"#,##0.0,"B"_);\("$"#,##0.0"B"\);"$"#,##0.00_);@_)</c:formatCode>
                <c:ptCount val="12"/>
                <c:pt idx="0">
                  <c:v>0</c:v>
                </c:pt>
                <c:pt idx="1">
                  <c:v>334.21115999999995</c:v>
                </c:pt>
                <c:pt idx="2">
                  <c:v>544.36853499999995</c:v>
                </c:pt>
                <c:pt idx="3">
                  <c:v>814.26083999999992</c:v>
                </c:pt>
                <c:pt idx="4">
                  <c:v>1707.5202299999996</c:v>
                </c:pt>
                <c:pt idx="5">
                  <c:v>2681.0080399999997</c:v>
                </c:pt>
                <c:pt idx="6">
                  <c:v>3281.4597899999994</c:v>
                </c:pt>
                <c:pt idx="7">
                  <c:v>4178.3999999999996</c:v>
                </c:pt>
                <c:pt idx="8">
                  <c:v>5067.7588634555941</c:v>
                </c:pt>
                <c:pt idx="9">
                  <c:v>6010.7025920089754</c:v>
                </c:pt>
                <c:pt idx="10">
                  <c:v>6985.1378113364017</c:v>
                </c:pt>
                <c:pt idx="11">
                  <c:v>8029.5123611074559</c:v>
                </c:pt>
              </c:numCache>
            </c:numRef>
          </c:val>
          <c:smooth val="0"/>
          <c:extLst>
            <c:ext xmlns:c16="http://schemas.microsoft.com/office/drawing/2014/chart" uri="{C3380CC4-5D6E-409C-BE32-E72D297353CC}">
              <c16:uniqueId val="{00000003-AF47-47DE-9B62-026AF8FAF83D}"/>
            </c:ext>
          </c:extLst>
        </c:ser>
        <c:ser>
          <c:idx val="4"/>
          <c:order val="4"/>
          <c:tx>
            <c:strRef>
              <c:f>Charts!$CG$22</c:f>
              <c:strCache>
                <c:ptCount val="1"/>
                <c:pt idx="0">
                  <c:v>Total Merchant Solution Revenues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Charts!$CH$17:$CS$17</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Charts!$CH$22:$CS$22</c:f>
              <c:numCache>
                <c:formatCode>"$"#,##0.0,"B"_);\("$"#,##0.0"B"\);"$"#,##0.00_);@_)</c:formatCode>
                <c:ptCount val="12"/>
                <c:pt idx="0">
                  <c:v>200.72399999999999</c:v>
                </c:pt>
                <c:pt idx="1">
                  <c:v>363.27300000000002</c:v>
                </c:pt>
                <c:pt idx="2">
                  <c:v>608.23299999999995</c:v>
                </c:pt>
                <c:pt idx="3">
                  <c:v>935.93200000000002</c:v>
                </c:pt>
                <c:pt idx="4">
                  <c:v>2020.7339999999999</c:v>
                </c:pt>
                <c:pt idx="5">
                  <c:v>3269.5219999999999</c:v>
                </c:pt>
                <c:pt idx="6">
                  <c:v>4112.1049999999996</c:v>
                </c:pt>
                <c:pt idx="7">
                  <c:v>5223</c:v>
                </c:pt>
                <c:pt idx="8">
                  <c:v>6429.8546874999993</c:v>
                </c:pt>
                <c:pt idx="9">
                  <c:v>8030.9811823631326</c:v>
                </c:pt>
                <c:pt idx="10">
                  <c:v>9717.8873459449605</c:v>
                </c:pt>
                <c:pt idx="11">
                  <c:v>11558.915499852503</c:v>
                </c:pt>
              </c:numCache>
            </c:numRef>
          </c:val>
          <c:smooth val="0"/>
          <c:extLst>
            <c:ext xmlns:c16="http://schemas.microsoft.com/office/drawing/2014/chart" uri="{C3380CC4-5D6E-409C-BE32-E72D297353CC}">
              <c16:uniqueId val="{00000004-AF47-47DE-9B62-026AF8FAF83D}"/>
            </c:ext>
          </c:extLst>
        </c:ser>
        <c:dLbls>
          <c:showLegendKey val="0"/>
          <c:showVal val="0"/>
          <c:showCatName val="0"/>
          <c:showSerName val="0"/>
          <c:showPercent val="0"/>
          <c:showBubbleSize val="0"/>
        </c:dLbls>
        <c:marker val="1"/>
        <c:smooth val="0"/>
        <c:axId val="693590112"/>
        <c:axId val="693590592"/>
      </c:lineChart>
      <c:catAx>
        <c:axId val="693590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3590592"/>
        <c:crosses val="autoZero"/>
        <c:auto val="1"/>
        <c:lblAlgn val="ctr"/>
        <c:lblOffset val="100"/>
        <c:noMultiLvlLbl val="0"/>
      </c:catAx>
      <c:valAx>
        <c:axId val="6935905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quot;B&quot;_);\(&quot;$&quot;#,##0.0&quot;B&quot;\);&quot;$&quot;#,##0.00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3590112"/>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Entry>
      <c:legendEntry>
        <c:idx val="4"/>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7.6296310651334562E-2"/>
          <c:y val="9.7839390557971015E-2"/>
          <c:w val="0.73108530458159249"/>
          <c:h val="0.334000153526783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4444444444445"/>
          <c:y val="0.13166380372494263"/>
          <c:w val="0.84667366579177605"/>
          <c:h val="0.78500269707024528"/>
        </c:manualLayout>
      </c:layout>
      <c:barChart>
        <c:barDir val="col"/>
        <c:grouping val="percentStacked"/>
        <c:varyColors val="0"/>
        <c:ser>
          <c:idx val="0"/>
          <c:order val="0"/>
          <c:tx>
            <c:strRef>
              <c:f>Charts!$CG$25:$CH$25</c:f>
              <c:strCache>
                <c:ptCount val="2"/>
                <c:pt idx="0">
                  <c:v>Shopify Payments Revenue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Charts!$CI$24:$CS$24</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Charts!$CI$25:$CS$25</c:f>
              <c:numCache>
                <c:formatCode>0.0%_);\(0.0%\);0.0%_);@_)</c:formatCode>
                <c:ptCount val="11"/>
                <c:pt idx="0">
                  <c:v>0.57999999999999985</c:v>
                </c:pt>
                <c:pt idx="1">
                  <c:v>0.57499999999999996</c:v>
                </c:pt>
                <c:pt idx="2">
                  <c:v>0.56999999999999995</c:v>
                </c:pt>
                <c:pt idx="3">
                  <c:v>0.56499999999999995</c:v>
                </c:pt>
                <c:pt idx="4">
                  <c:v>0.56000000000000005</c:v>
                </c:pt>
                <c:pt idx="5">
                  <c:v>0.55300000000000005</c:v>
                </c:pt>
                <c:pt idx="6">
                  <c:v>0.56499999999999995</c:v>
                </c:pt>
                <c:pt idx="7">
                  <c:v>0.56321195454908701</c:v>
                </c:pt>
                <c:pt idx="8">
                  <c:v>0.54775768158836369</c:v>
                </c:pt>
                <c:pt idx="9">
                  <c:v>0.53597038170978561</c:v>
                </c:pt>
                <c:pt idx="10">
                  <c:v>0.52518379072088439</c:v>
                </c:pt>
              </c:numCache>
            </c:numRef>
          </c:val>
          <c:extLst>
            <c:ext xmlns:c16="http://schemas.microsoft.com/office/drawing/2014/chart" uri="{C3380CC4-5D6E-409C-BE32-E72D297353CC}">
              <c16:uniqueId val="{00000000-C0DA-47DF-8755-88696DCE6D94}"/>
            </c:ext>
          </c:extLst>
        </c:ser>
        <c:ser>
          <c:idx val="1"/>
          <c:order val="1"/>
          <c:tx>
            <c:strRef>
              <c:f>Charts!$CG$26:$CH$26</c:f>
              <c:strCache>
                <c:ptCount val="2"/>
                <c:pt idx="0">
                  <c:v>3P Transaction Fee Revenue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Charts!$CI$24:$CS$24</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Charts!$CI$26:$CS$26</c:f>
              <c:numCache>
                <c:formatCode>0.0%_);\(0.0%\);0.0%_);@_)</c:formatCode>
                <c:ptCount val="11"/>
                <c:pt idx="0">
                  <c:v>0.33999999999999997</c:v>
                </c:pt>
                <c:pt idx="1">
                  <c:v>0.32</c:v>
                </c:pt>
                <c:pt idx="2">
                  <c:v>0.3</c:v>
                </c:pt>
                <c:pt idx="3">
                  <c:v>0.27999999999999997</c:v>
                </c:pt>
                <c:pt idx="4">
                  <c:v>0.25999999999999995</c:v>
                </c:pt>
                <c:pt idx="5">
                  <c:v>0.24499999999999994</c:v>
                </c:pt>
                <c:pt idx="6">
                  <c:v>0.23499999999999996</c:v>
                </c:pt>
                <c:pt idx="7">
                  <c:v>0.22494875976808157</c:v>
                </c:pt>
                <c:pt idx="8">
                  <c:v>0.20068170029054061</c:v>
                </c:pt>
                <c:pt idx="9">
                  <c:v>0.18282142587904499</c:v>
                </c:pt>
                <c:pt idx="10">
                  <c:v>0.16947587360574876</c:v>
                </c:pt>
              </c:numCache>
            </c:numRef>
          </c:val>
          <c:extLst>
            <c:ext xmlns:c16="http://schemas.microsoft.com/office/drawing/2014/chart" uri="{C3380CC4-5D6E-409C-BE32-E72D297353CC}">
              <c16:uniqueId val="{00000001-C0DA-47DF-8755-88696DCE6D94}"/>
            </c:ext>
          </c:extLst>
        </c:ser>
        <c:ser>
          <c:idx val="3"/>
          <c:order val="3"/>
          <c:tx>
            <c:strRef>
              <c:f>Charts!$CG$28:$CH$28</c:f>
              <c:strCache>
                <c:ptCount val="2"/>
                <c:pt idx="0">
                  <c:v>Non-Payments Merchant Solution Revenue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Charts!$CI$24:$CS$24</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Charts!$CI$28:$CS$28</c:f>
              <c:numCache>
                <c:formatCode>0.0%_);\(0.0%\);0.0%_);@_)</c:formatCode>
                <c:ptCount val="11"/>
                <c:pt idx="0">
                  <c:v>8.0000000000000196E-2</c:v>
                </c:pt>
                <c:pt idx="1">
                  <c:v>0.105</c:v>
                </c:pt>
                <c:pt idx="2">
                  <c:v>0.13000000000000012</c:v>
                </c:pt>
                <c:pt idx="3">
                  <c:v>0.15500000000000017</c:v>
                </c:pt>
                <c:pt idx="4">
                  <c:v>0.18000000000000008</c:v>
                </c:pt>
                <c:pt idx="5">
                  <c:v>0.20200000000000004</c:v>
                </c:pt>
                <c:pt idx="6">
                  <c:v>0.20000000000000007</c:v>
                </c:pt>
                <c:pt idx="7">
                  <c:v>0.21183928568283142</c:v>
                </c:pt>
                <c:pt idx="8">
                  <c:v>0.25156061812109565</c:v>
                </c:pt>
                <c:pt idx="9">
                  <c:v>0.2812081924111694</c:v>
                </c:pt>
                <c:pt idx="10">
                  <c:v>0.30534033567336688</c:v>
                </c:pt>
              </c:numCache>
            </c:numRef>
          </c:val>
          <c:extLst>
            <c:ext xmlns:c16="http://schemas.microsoft.com/office/drawing/2014/chart" uri="{C3380CC4-5D6E-409C-BE32-E72D297353CC}">
              <c16:uniqueId val="{00000003-C0DA-47DF-8755-88696DCE6D94}"/>
            </c:ext>
          </c:extLst>
        </c:ser>
        <c:dLbls>
          <c:showLegendKey val="0"/>
          <c:showVal val="0"/>
          <c:showCatName val="0"/>
          <c:showSerName val="0"/>
          <c:showPercent val="0"/>
          <c:showBubbleSize val="0"/>
        </c:dLbls>
        <c:gapWidth val="20"/>
        <c:overlap val="100"/>
        <c:axId val="432695376"/>
        <c:axId val="432697296"/>
        <c:extLst>
          <c:ext xmlns:c15="http://schemas.microsoft.com/office/drawing/2012/chart" uri="{02D57815-91ED-43cb-92C2-25804820EDAC}">
            <c15:filteredBarSeries>
              <c15:ser>
                <c:idx val="2"/>
                <c:order val="2"/>
                <c:tx>
                  <c:strRef>
                    <c:extLst>
                      <c:ext uri="{02D57815-91ED-43cb-92C2-25804820EDAC}">
                        <c15:formulaRef>
                          <c15:sqref>Charts!$CG$27:$CH$27</c15:sqref>
                        </c15:formulaRef>
                      </c:ext>
                    </c:extLst>
                    <c:strCache>
                      <c:ptCount val="2"/>
                      <c:pt idx="0">
                        <c:v>Total Payments Revenue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Charts!$CI$24:$CS$24</c15:sqref>
                        </c15:formulaRef>
                      </c:ext>
                    </c:extLst>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extLst>
                      <c:ext uri="{02D57815-91ED-43cb-92C2-25804820EDAC}">
                        <c15:formulaRef>
                          <c15:sqref>Charts!$CI$27:$CS$27</c15:sqref>
                        </c15:formulaRef>
                      </c:ext>
                    </c:extLst>
                    <c:numCache>
                      <c:formatCode>0.0%_);\(0.0%\);0.0%_);@_)</c:formatCode>
                      <c:ptCount val="11"/>
                      <c:pt idx="0">
                        <c:v>0.91999999999999982</c:v>
                      </c:pt>
                      <c:pt idx="1">
                        <c:v>0.89500000000000002</c:v>
                      </c:pt>
                      <c:pt idx="2">
                        <c:v>0.86999999999999988</c:v>
                      </c:pt>
                      <c:pt idx="3">
                        <c:v>0.84499999999999986</c:v>
                      </c:pt>
                      <c:pt idx="4">
                        <c:v>0.82</c:v>
                      </c:pt>
                      <c:pt idx="5">
                        <c:v>0.79799999999999993</c:v>
                      </c:pt>
                      <c:pt idx="6">
                        <c:v>0.79999999999999993</c:v>
                      </c:pt>
                      <c:pt idx="7">
                        <c:v>0.78816071431716861</c:v>
                      </c:pt>
                      <c:pt idx="8">
                        <c:v>0.74843938187890435</c:v>
                      </c:pt>
                      <c:pt idx="9">
                        <c:v>0.71879180758883054</c:v>
                      </c:pt>
                      <c:pt idx="10">
                        <c:v>0.69465966432663306</c:v>
                      </c:pt>
                    </c:numCache>
                  </c:numRef>
                </c:val>
                <c:extLst>
                  <c:ext xmlns:c16="http://schemas.microsoft.com/office/drawing/2014/chart" uri="{C3380CC4-5D6E-409C-BE32-E72D297353CC}">
                    <c16:uniqueId val="{00000002-C0DA-47DF-8755-88696DCE6D94}"/>
                  </c:ext>
                </c:extLst>
              </c15:ser>
            </c15:filteredBarSeries>
          </c:ext>
        </c:extLst>
      </c:barChart>
      <c:catAx>
        <c:axId val="432695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697296"/>
        <c:crosses val="autoZero"/>
        <c:auto val="1"/>
        <c:lblAlgn val="ctr"/>
        <c:lblOffset val="100"/>
        <c:noMultiLvlLbl val="0"/>
      </c:catAx>
      <c:valAx>
        <c:axId val="432697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695376"/>
        <c:crosses val="autoZero"/>
        <c:crossBetween val="between"/>
      </c:valAx>
      <c:spPr>
        <a:noFill/>
        <a:ln>
          <a:noFill/>
        </a:ln>
        <a:effectLst/>
      </c:spPr>
    </c:plotArea>
    <c:legend>
      <c:legendPos val="b"/>
      <c:layout>
        <c:manualLayout>
          <c:xMode val="edge"/>
          <c:yMode val="edge"/>
          <c:x val="4.5254087510136022E-2"/>
          <c:y val="1.2648731408573978E-2"/>
          <c:w val="0.90155697643288768"/>
          <c:h val="0.112574982201990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832758958518222E-2"/>
          <c:y val="5.0925925925925923E-2"/>
          <c:w val="0.93461162602683567"/>
          <c:h val="0.85327792359288424"/>
        </c:manualLayout>
      </c:layout>
      <c:lineChart>
        <c:grouping val="standard"/>
        <c:varyColors val="0"/>
        <c:ser>
          <c:idx val="0"/>
          <c:order val="0"/>
          <c:tx>
            <c:strRef>
              <c:f>Charts!$CG$14:$CH$14</c:f>
              <c:strCache>
                <c:ptCount val="2"/>
                <c:pt idx="0">
                  <c:v>Shopify Payments Gross Take Rate </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Charts!$CI$13:$CS$13</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Charts!$CI$14:$CS$14</c:f>
              <c:numCache>
                <c:formatCode>0.0%_);\(0.0%\);0.0%_);@_)</c:formatCode>
                <c:ptCount val="11"/>
                <c:pt idx="0">
                  <c:v>2.0886003872925128E-2</c:v>
                </c:pt>
                <c:pt idx="1">
                  <c:v>2.0927612555313529E-2</c:v>
                </c:pt>
                <c:pt idx="2">
                  <c:v>2.0755689485746628E-2</c:v>
                </c:pt>
                <c:pt idx="3">
                  <c:v>2.1221463011152412E-2</c:v>
                </c:pt>
                <c:pt idx="4">
                  <c:v>2.1339537529137531E-2</c:v>
                </c:pt>
                <c:pt idx="5">
                  <c:v>2.1432554806786051E-2</c:v>
                </c:pt>
                <c:pt idx="6">
                  <c:v>2.1528480966485256E-2</c:v>
                </c:pt>
                <c:pt idx="7">
                  <c:v>2.0232505275208763E-2</c:v>
                </c:pt>
                <c:pt idx="8">
                  <c:v>1.9738336928966024E-2</c:v>
                </c:pt>
                <c:pt idx="9">
                  <c:v>1.9238681162597002E-2</c:v>
                </c:pt>
                <c:pt idx="10">
                  <c:v>1.873894628434801E-2</c:v>
                </c:pt>
              </c:numCache>
            </c:numRef>
          </c:val>
          <c:smooth val="1"/>
          <c:extLst>
            <c:ext xmlns:c16="http://schemas.microsoft.com/office/drawing/2014/chart" uri="{C3380CC4-5D6E-409C-BE32-E72D297353CC}">
              <c16:uniqueId val="{00000000-9A40-43B5-B5C9-065E46AF7DD3}"/>
            </c:ext>
          </c:extLst>
        </c:ser>
        <c:ser>
          <c:idx val="1"/>
          <c:order val="1"/>
          <c:tx>
            <c:strRef>
              <c:f>Charts!$CG$15:$CH$15</c:f>
              <c:strCache>
                <c:ptCount val="2"/>
                <c:pt idx="0">
                  <c:v>3P Pay Take Rate </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Charts!$CI$13:$CS$13</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Charts!$CI$15:$CS$15</c:f>
              <c:numCache>
                <c:formatCode>0.0%_);\(0.0%\);0.0%_);@_)</c:formatCode>
                <c:ptCount val="11"/>
                <c:pt idx="0">
                  <c:v>7.566262466311922E-3</c:v>
                </c:pt>
                <c:pt idx="1">
                  <c:v>7.934479146305129E-3</c:v>
                </c:pt>
                <c:pt idx="2">
                  <c:v>7.8840408121596487E-3</c:v>
                </c:pt>
                <c:pt idx="3">
                  <c:v>8.5027752511654935E-3</c:v>
                </c:pt>
                <c:pt idx="4">
                  <c:v>9.4415110172379382E-3</c:v>
                </c:pt>
                <c:pt idx="5">
                  <c:v>1.0983023038307449E-2</c:v>
                </c:pt>
                <c:pt idx="6">
                  <c:v>1.2393430377457939E-2</c:v>
                </c:pt>
                <c:pt idx="7">
                  <c:v>1.2968613771687554E-2</c:v>
                </c:pt>
                <c:pt idx="8">
                  <c:v>1.2968613771687554E-2</c:v>
                </c:pt>
                <c:pt idx="9">
                  <c:v>1.2968613771687554E-2</c:v>
                </c:pt>
                <c:pt idx="10">
                  <c:v>1.2968613771687554E-2</c:v>
                </c:pt>
              </c:numCache>
            </c:numRef>
          </c:val>
          <c:smooth val="1"/>
          <c:extLst>
            <c:ext xmlns:c16="http://schemas.microsoft.com/office/drawing/2014/chart" uri="{C3380CC4-5D6E-409C-BE32-E72D297353CC}">
              <c16:uniqueId val="{00000001-9A40-43B5-B5C9-065E46AF7DD3}"/>
            </c:ext>
          </c:extLst>
        </c:ser>
        <c:dLbls>
          <c:showLegendKey val="0"/>
          <c:showVal val="0"/>
          <c:showCatName val="0"/>
          <c:showSerName val="0"/>
          <c:showPercent val="0"/>
          <c:showBubbleSize val="0"/>
        </c:dLbls>
        <c:smooth val="0"/>
        <c:axId val="444967888"/>
        <c:axId val="444978448"/>
      </c:lineChart>
      <c:catAx>
        <c:axId val="44496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978448"/>
        <c:crosses val="autoZero"/>
        <c:auto val="1"/>
        <c:lblAlgn val="ctr"/>
        <c:lblOffset val="100"/>
        <c:noMultiLvlLbl val="0"/>
      </c:catAx>
      <c:valAx>
        <c:axId val="444978448"/>
        <c:scaling>
          <c:orientation val="minMax"/>
        </c:scaling>
        <c:delete val="0"/>
        <c:axPos val="l"/>
        <c:numFmt formatCode="0.0%_);\(0.0%\);0.0%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967888"/>
        <c:crosses val="autoZero"/>
        <c:crossBetween val="between"/>
      </c:valAx>
      <c:spPr>
        <a:noFill/>
        <a:ln>
          <a:noFill/>
        </a:ln>
        <a:effectLst/>
      </c:spPr>
    </c:plotArea>
    <c:legend>
      <c:legendPos val="b"/>
      <c:layout>
        <c:manualLayout>
          <c:xMode val="edge"/>
          <c:yMode val="edge"/>
          <c:x val="8.7848473721734752E-2"/>
          <c:y val="0.76156786921007857"/>
          <c:w val="0.87626924759405078"/>
          <c:h val="7.7277631962671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219"/>
        <c:overlap val="-27"/>
        <c:axId val="1144541584"/>
        <c:axId val="1144540624"/>
        <c:extLst>
          <c:ext xmlns:c15="http://schemas.microsoft.com/office/drawing/2012/chart" uri="{02D57815-91ED-43cb-92C2-25804820EDAC}">
            <c15:filteredBarSeries>
              <c15:ser>
                <c:idx val="0"/>
                <c:order val="0"/>
                <c:tx>
                  <c:strRef>
                    <c:extLst>
                      <c:ext uri="{02D57815-91ED-43cb-92C2-25804820EDAC}">
                        <c15:formulaRef>
                          <c15:sqref>Charts!$CG$5</c15:sqref>
                        </c15:formulaRef>
                      </c:ext>
                    </c:extLst>
                    <c:strCache>
                      <c:ptCount val="1"/>
                      <c:pt idx="0">
                        <c:v>Shopify Total Revenue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Charts!$CH$4:$CS$4</c15:sqref>
                        </c15:formulaRef>
                      </c:ext>
                    </c:extLst>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extLst>
                      <c:ext uri="{02D57815-91ED-43cb-92C2-25804820EDAC}">
                        <c15:formulaRef>
                          <c15:sqref>Charts!$CH$5:$CS$5</c15:sqref>
                        </c15:formulaRef>
                      </c:ext>
                    </c:extLst>
                    <c:numCache>
                      <c:formatCode>"$"#,##0.0,"B"_);\("$"#,##0.0"B"\);"$"#,##0.00_);@_)</c:formatCode>
                      <c:ptCount val="12"/>
                      <c:pt idx="0">
                        <c:v>389.33</c:v>
                      </c:pt>
                      <c:pt idx="1">
                        <c:v>673.30399999999997</c:v>
                      </c:pt>
                      <c:pt idx="2">
                        <c:v>1073.2289999999998</c:v>
                      </c:pt>
                      <c:pt idx="3">
                        <c:v>1578.173</c:v>
                      </c:pt>
                      <c:pt idx="4">
                        <c:v>2929.491</c:v>
                      </c:pt>
                      <c:pt idx="5">
                        <c:v>4611.8559999999998</c:v>
                      </c:pt>
                      <c:pt idx="6">
                        <c:v>5599.8640000000005</c:v>
                      </c:pt>
                      <c:pt idx="7">
                        <c:v>7060</c:v>
                      </c:pt>
                      <c:pt idx="8">
                        <c:v>8771.5891937011711</c:v>
                      </c:pt>
                      <c:pt idx="9">
                        <c:v>10796.75648813499</c:v>
                      </c:pt>
                      <c:pt idx="10">
                        <c:v>12923.430702782402</c:v>
                      </c:pt>
                      <c:pt idx="11">
                        <c:v>15238.768381736383</c:v>
                      </c:pt>
                    </c:numCache>
                  </c:numRef>
                </c:val>
                <c:extLst>
                  <c:ext xmlns:c16="http://schemas.microsoft.com/office/drawing/2014/chart" uri="{C3380CC4-5D6E-409C-BE32-E72D297353CC}">
                    <c16:uniqueId val="{00000000-FEA1-4AA4-B51E-F2198393BB5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Charts!$CG$7</c15:sqref>
                        </c15:formulaRef>
                      </c:ext>
                    </c:extLst>
                    <c:strCache>
                      <c:ptCount val="1"/>
                      <c:pt idx="0">
                        <c:v>Gross Merchandise Value (GMV)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Charts!$CH$4:$CS$4</c15:sqref>
                        </c15:formulaRef>
                      </c:ext>
                    </c:extLst>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extLst xmlns:c15="http://schemas.microsoft.com/office/drawing/2012/chart">
                      <c:ext xmlns:c15="http://schemas.microsoft.com/office/drawing/2012/chart" uri="{02D57815-91ED-43cb-92C2-25804820EDAC}">
                        <c15:formulaRef>
                          <c15:sqref>Charts!$CH$7:$CS$7</c15:sqref>
                        </c15:formulaRef>
                      </c:ext>
                    </c:extLst>
                    <c:numCache>
                      <c:formatCode>"$"#,##0.0,"B"_);\("$"#,##0.0"B"\);"$"#,##0.00_);@_)</c:formatCode>
                      <c:ptCount val="12"/>
                      <c:pt idx="0">
                        <c:v>15374.165999999999</c:v>
                      </c:pt>
                      <c:pt idx="1">
                        <c:v>26320.15</c:v>
                      </c:pt>
                      <c:pt idx="2">
                        <c:v>41103.237999999998</c:v>
                      </c:pt>
                      <c:pt idx="3">
                        <c:v>61138.457000000002</c:v>
                      </c:pt>
                      <c:pt idx="4">
                        <c:v>119577.147</c:v>
                      </c:pt>
                      <c:pt idx="5">
                        <c:v>175361.81400000001</c:v>
                      </c:pt>
                      <c:pt idx="6">
                        <c:v>197250.171</c:v>
                      </c:pt>
                      <c:pt idx="7">
                        <c:v>235925</c:v>
                      </c:pt>
                      <c:pt idx="8">
                        <c:v>290594.375</c:v>
                      </c:pt>
                      <c:pt idx="9">
                        <c:v>347260.16816817026</c:v>
                      </c:pt>
                      <c:pt idx="10">
                        <c:v>407857.06751351594</c:v>
                      </c:pt>
                      <c:pt idx="11">
                        <c:v>475153.48365324613</c:v>
                      </c:pt>
                    </c:numCache>
                  </c:numRef>
                </c:val>
                <c:extLst xmlns:c15="http://schemas.microsoft.com/office/drawing/2012/chart">
                  <c:ext xmlns:c16="http://schemas.microsoft.com/office/drawing/2014/chart" uri="{C3380CC4-5D6E-409C-BE32-E72D297353CC}">
                    <c16:uniqueId val="{00000001-FEA1-4AA4-B51E-F2198393BB58}"/>
                  </c:ext>
                </c:extLst>
              </c15:ser>
            </c15:filteredBarSeries>
          </c:ext>
        </c:extLst>
      </c:barChart>
      <c:lineChart>
        <c:grouping val="standard"/>
        <c:varyColors val="0"/>
        <c:ser>
          <c:idx val="2"/>
          <c:order val="2"/>
          <c:tx>
            <c:strRef>
              <c:f>Charts!$CG$9</c:f>
              <c:strCache>
                <c:ptCount val="1"/>
                <c:pt idx="0">
                  <c:v>Shopify total attach rate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Charts!$CH$4:$CS$4</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Charts!$CH$9:$CS$9</c:f>
              <c:numCache>
                <c:formatCode>0.0%_);\(0.0%\);0.0%_);@_)</c:formatCode>
                <c:ptCount val="12"/>
                <c:pt idx="0">
                  <c:v>2.532365007636837E-2</c:v>
                </c:pt>
                <c:pt idx="1">
                  <c:v>2.5581313176406668E-2</c:v>
                </c:pt>
                <c:pt idx="2">
                  <c:v>2.611057065625827E-2</c:v>
                </c:pt>
                <c:pt idx="3">
                  <c:v>2.5813098292618016E-2</c:v>
                </c:pt>
                <c:pt idx="4">
                  <c:v>2.4498753093682692E-2</c:v>
                </c:pt>
                <c:pt idx="5">
                  <c:v>2.629908926466739E-2</c:v>
                </c:pt>
                <c:pt idx="6">
                  <c:v>2.8389653461948078E-2</c:v>
                </c:pt>
                <c:pt idx="7">
                  <c:v>2.9924764225919255E-2</c:v>
                </c:pt>
                <c:pt idx="8">
                  <c:v>3.0184993063617185E-2</c:v>
                </c:pt>
                <c:pt idx="9">
                  <c:v>3.1091260898388911E-2</c:v>
                </c:pt>
                <c:pt idx="10">
                  <c:v>3.168617570260477E-2</c:v>
                </c:pt>
                <c:pt idx="11">
                  <c:v>3.2071254670327148E-2</c:v>
                </c:pt>
              </c:numCache>
            </c:numRef>
          </c:val>
          <c:smooth val="1"/>
          <c:extLst>
            <c:ext xmlns:c16="http://schemas.microsoft.com/office/drawing/2014/chart" uri="{C3380CC4-5D6E-409C-BE32-E72D297353CC}">
              <c16:uniqueId val="{00000002-FEA1-4AA4-B51E-F2198393BB58}"/>
            </c:ext>
          </c:extLst>
        </c:ser>
        <c:dLbls>
          <c:showLegendKey val="0"/>
          <c:showVal val="0"/>
          <c:showCatName val="0"/>
          <c:showSerName val="0"/>
          <c:showPercent val="0"/>
          <c:showBubbleSize val="0"/>
        </c:dLbls>
        <c:marker val="1"/>
        <c:smooth val="0"/>
        <c:axId val="1144535824"/>
        <c:axId val="1144541104"/>
      </c:lineChart>
      <c:catAx>
        <c:axId val="114454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4540624"/>
        <c:crosses val="autoZero"/>
        <c:auto val="1"/>
        <c:lblAlgn val="ctr"/>
        <c:lblOffset val="100"/>
        <c:noMultiLvlLbl val="0"/>
      </c:catAx>
      <c:valAx>
        <c:axId val="11445406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_);\(&quot;$&quot;#,##0&quot;B&quot;\);&quot;$&quot;#,##0.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4541584"/>
        <c:crosses val="autoZero"/>
        <c:crossBetween val="between"/>
      </c:valAx>
      <c:valAx>
        <c:axId val="1144541104"/>
        <c:scaling>
          <c:orientation val="minMax"/>
        </c:scaling>
        <c:delete val="0"/>
        <c:axPos val="r"/>
        <c:numFmt formatCode="0.0%_);\(0.0%\);0.0%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4535824"/>
        <c:crosses val="max"/>
        <c:crossBetween val="between"/>
      </c:valAx>
      <c:catAx>
        <c:axId val="1144535824"/>
        <c:scaling>
          <c:orientation val="minMax"/>
        </c:scaling>
        <c:delete val="1"/>
        <c:axPos val="b"/>
        <c:numFmt formatCode="General" sourceLinked="1"/>
        <c:majorTickMark val="out"/>
        <c:minorTickMark val="none"/>
        <c:tickLblPos val="nextTo"/>
        <c:crossAx val="1144541104"/>
        <c:crosses val="autoZero"/>
        <c:auto val="1"/>
        <c:lblAlgn val="ctr"/>
        <c:lblOffset val="100"/>
        <c:noMultiLvlLbl val="0"/>
      </c:catAx>
      <c:spPr>
        <a:noFill/>
        <a:ln>
          <a:noFill/>
        </a:ln>
        <a:effectLst/>
      </c:spPr>
    </c:plotArea>
    <c:legend>
      <c:legendPos val="b"/>
      <c:layout>
        <c:manualLayout>
          <c:xMode val="edge"/>
          <c:yMode val="edge"/>
          <c:x val="0.28525103376162486"/>
          <c:y val="0.46327804024496938"/>
          <c:w val="0.39958530183727037"/>
          <c:h val="7.7277631962671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Charts!$CG$9</c:f>
              <c:strCache>
                <c:ptCount val="1"/>
                <c:pt idx="0">
                  <c:v>Shopify total attach rate</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Charts!$CH$4:$CS$4</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Charts!$CH$9:$CS$9</c:f>
              <c:numCache>
                <c:formatCode>0.0%_);\(0.0%\);0.0%_);@_)</c:formatCode>
                <c:ptCount val="12"/>
                <c:pt idx="0">
                  <c:v>2.532365007636837E-2</c:v>
                </c:pt>
                <c:pt idx="1">
                  <c:v>2.5581313176406668E-2</c:v>
                </c:pt>
                <c:pt idx="2">
                  <c:v>2.611057065625827E-2</c:v>
                </c:pt>
                <c:pt idx="3">
                  <c:v>2.5813098292618016E-2</c:v>
                </c:pt>
                <c:pt idx="4">
                  <c:v>2.4498753093682692E-2</c:v>
                </c:pt>
                <c:pt idx="5">
                  <c:v>2.629908926466739E-2</c:v>
                </c:pt>
                <c:pt idx="6">
                  <c:v>2.8389653461948078E-2</c:v>
                </c:pt>
                <c:pt idx="7">
                  <c:v>2.9924764225919255E-2</c:v>
                </c:pt>
                <c:pt idx="8">
                  <c:v>3.0184993063617185E-2</c:v>
                </c:pt>
                <c:pt idx="9">
                  <c:v>3.1091260898388911E-2</c:v>
                </c:pt>
                <c:pt idx="10">
                  <c:v>3.168617570260477E-2</c:v>
                </c:pt>
                <c:pt idx="11">
                  <c:v>3.2071254670327148E-2</c:v>
                </c:pt>
              </c:numCache>
            </c:numRef>
          </c:val>
          <c:smooth val="1"/>
          <c:extLst>
            <c:ext xmlns:c16="http://schemas.microsoft.com/office/drawing/2014/chart" uri="{C3380CC4-5D6E-409C-BE32-E72D297353CC}">
              <c16:uniqueId val="{00000000-1D66-4922-98F6-B0A60B332ADF}"/>
            </c:ext>
          </c:extLst>
        </c:ser>
        <c:dLbls>
          <c:showLegendKey val="0"/>
          <c:showVal val="0"/>
          <c:showCatName val="0"/>
          <c:showSerName val="0"/>
          <c:showPercent val="0"/>
          <c:showBubbleSize val="0"/>
        </c:dLbls>
        <c:smooth val="0"/>
        <c:axId val="444977488"/>
        <c:axId val="444966928"/>
      </c:lineChart>
      <c:catAx>
        <c:axId val="44497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966928"/>
        <c:crosses val="autoZero"/>
        <c:auto val="1"/>
        <c:lblAlgn val="ctr"/>
        <c:lblOffset val="100"/>
        <c:noMultiLvlLbl val="0"/>
      </c:catAx>
      <c:valAx>
        <c:axId val="444966928"/>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_);\(0.0%\);0.0%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977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56103491266451E-2"/>
          <c:y val="3.8800705467372132E-2"/>
          <c:w val="0.94778924942782961"/>
          <c:h val="0.89770723104056438"/>
        </c:manualLayout>
      </c:layout>
      <c:lineChart>
        <c:grouping val="standard"/>
        <c:varyColors val="0"/>
        <c:ser>
          <c:idx val="0"/>
          <c:order val="0"/>
          <c:tx>
            <c:strRef>
              <c:f>Charts!$CG$53</c:f>
              <c:strCache>
                <c:ptCount val="1"/>
                <c:pt idx="0">
                  <c:v>Subscription Solutions Gross margin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Charts!$CH$52:$CS$52</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Charts!$CH$53:$CS$53</c:f>
              <c:numCache>
                <c:formatCode>0.0%_);\(0.0%\);0.0%_);@_)</c:formatCode>
                <c:ptCount val="12"/>
                <c:pt idx="0">
                  <c:v>0.79068534405056035</c:v>
                </c:pt>
                <c:pt idx="1">
                  <c:v>0.80238427770126219</c:v>
                </c:pt>
                <c:pt idx="2">
                  <c:v>0.78281533604590159</c:v>
                </c:pt>
                <c:pt idx="3">
                  <c:v>0.80045652644412302</c:v>
                </c:pt>
                <c:pt idx="4">
                  <c:v>0.78703657853529585</c:v>
                </c:pt>
                <c:pt idx="5">
                  <c:v>0.80306615194132025</c:v>
                </c:pt>
                <c:pt idx="6">
                  <c:v>0.77760712588530811</c:v>
                </c:pt>
                <c:pt idx="7">
                  <c:v>0.8072945019052804</c:v>
                </c:pt>
                <c:pt idx="8">
                  <c:v>0.82103765729577738</c:v>
                </c:pt>
                <c:pt idx="9">
                  <c:v>0.82603765729577738</c:v>
                </c:pt>
                <c:pt idx="10">
                  <c:v>0.82803765729577727</c:v>
                </c:pt>
                <c:pt idx="11">
                  <c:v>0.83003765729577716</c:v>
                </c:pt>
              </c:numCache>
            </c:numRef>
          </c:val>
          <c:smooth val="1"/>
          <c:extLst>
            <c:ext xmlns:c16="http://schemas.microsoft.com/office/drawing/2014/chart" uri="{C3380CC4-5D6E-409C-BE32-E72D297353CC}">
              <c16:uniqueId val="{00000000-1D5E-424C-B088-556D82F28A63}"/>
            </c:ext>
          </c:extLst>
        </c:ser>
        <c:ser>
          <c:idx val="1"/>
          <c:order val="1"/>
          <c:tx>
            <c:strRef>
              <c:f>Charts!$CG$54</c:f>
              <c:strCache>
                <c:ptCount val="1"/>
                <c:pt idx="0">
                  <c:v>Merchant Solutions Gross margin</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Charts!$CH$52:$CS$52</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Charts!$CH$54:$CS$54</c:f>
              <c:numCache>
                <c:formatCode>0.0%_);\(0.0%\);0.0%_);@_)</c:formatCode>
                <c:ptCount val="12"/>
                <c:pt idx="0">
                  <c:v>0.30074629839979272</c:v>
                </c:pt>
                <c:pt idx="1">
                  <c:v>0.36195643496764135</c:v>
                </c:pt>
                <c:pt idx="2">
                  <c:v>0.38186188516571778</c:v>
                </c:pt>
                <c:pt idx="3">
                  <c:v>0.37562237427505418</c:v>
                </c:pt>
                <c:pt idx="4">
                  <c:v>0.40890834716494107</c:v>
                </c:pt>
                <c:pt idx="5">
                  <c:v>0.42916395730018031</c:v>
                </c:pt>
                <c:pt idx="6">
                  <c:v>0.38842077232950034</c:v>
                </c:pt>
                <c:pt idx="7">
                  <c:v>0.38904843959410301</c:v>
                </c:pt>
                <c:pt idx="8">
                  <c:v>0.3908696357581653</c:v>
                </c:pt>
                <c:pt idx="9">
                  <c:v>0.39280177202896771</c:v>
                </c:pt>
                <c:pt idx="10">
                  <c:v>0.39330102734359035</c:v>
                </c:pt>
                <c:pt idx="11">
                  <c:v>0.39380052166419682</c:v>
                </c:pt>
              </c:numCache>
            </c:numRef>
          </c:val>
          <c:smooth val="1"/>
          <c:extLst>
            <c:ext xmlns:c16="http://schemas.microsoft.com/office/drawing/2014/chart" uri="{C3380CC4-5D6E-409C-BE32-E72D297353CC}">
              <c16:uniqueId val="{00000001-1D5E-424C-B088-556D82F28A63}"/>
            </c:ext>
          </c:extLst>
        </c:ser>
        <c:ser>
          <c:idx val="2"/>
          <c:order val="2"/>
          <c:tx>
            <c:strRef>
              <c:f>Charts!$CG$55</c:f>
              <c:strCache>
                <c:ptCount val="1"/>
                <c:pt idx="0">
                  <c:v>Total Gross Margin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Charts!$CH$52:$CS$52</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Charts!$CH$55:$CS$55</c:f>
              <c:numCache>
                <c:formatCode>0.0%_);\(0.0%\);0.0%_);@_)</c:formatCode>
                <c:ptCount val="12"/>
                <c:pt idx="0">
                  <c:v>0.53809107954691393</c:v>
                </c:pt>
                <c:pt idx="1">
                  <c:v>0.5647567814835498</c:v>
                </c:pt>
                <c:pt idx="2">
                  <c:v>0.55558226622649964</c:v>
                </c:pt>
                <c:pt idx="3">
                  <c:v>0.54850957404543099</c:v>
                </c:pt>
                <c:pt idx="4">
                  <c:v>0.52620745378634048</c:v>
                </c:pt>
                <c:pt idx="5">
                  <c:v>0.53799251320943231</c:v>
                </c:pt>
                <c:pt idx="6">
                  <c:v>0.4918189084592054</c:v>
                </c:pt>
                <c:pt idx="7">
                  <c:v>0.49787535410764872</c:v>
                </c:pt>
                <c:pt idx="8">
                  <c:v>0.50571077540276699</c:v>
                </c:pt>
                <c:pt idx="9">
                  <c:v>0.50378261283629167</c:v>
                </c:pt>
                <c:pt idx="10">
                  <c:v>0.50113362599072009</c:v>
                </c:pt>
                <c:pt idx="11">
                  <c:v>0.49914292470659571</c:v>
                </c:pt>
              </c:numCache>
            </c:numRef>
          </c:val>
          <c:smooth val="1"/>
          <c:extLst>
            <c:ext xmlns:c16="http://schemas.microsoft.com/office/drawing/2014/chart" uri="{C3380CC4-5D6E-409C-BE32-E72D297353CC}">
              <c16:uniqueId val="{00000002-1D5E-424C-B088-556D82F28A63}"/>
            </c:ext>
          </c:extLst>
        </c:ser>
        <c:dLbls>
          <c:showLegendKey val="0"/>
          <c:showVal val="0"/>
          <c:showCatName val="0"/>
          <c:showSerName val="0"/>
          <c:showPercent val="0"/>
          <c:showBubbleSize val="0"/>
        </c:dLbls>
        <c:smooth val="0"/>
        <c:axId val="1341463440"/>
        <c:axId val="1341452880"/>
      </c:lineChart>
      <c:catAx>
        <c:axId val="134146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452880"/>
        <c:crosses val="autoZero"/>
        <c:auto val="1"/>
        <c:lblAlgn val="ctr"/>
        <c:lblOffset val="100"/>
        <c:noMultiLvlLbl val="0"/>
      </c:catAx>
      <c:valAx>
        <c:axId val="1341452880"/>
        <c:scaling>
          <c:orientation val="minMax"/>
        </c:scaling>
        <c:delete val="0"/>
        <c:axPos val="l"/>
        <c:numFmt formatCode="0.0%_);\(0.0%\);0.0%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463440"/>
        <c:crosses val="autoZero"/>
        <c:crossBetween val="between"/>
      </c:valAx>
      <c:spPr>
        <a:noFill/>
        <a:ln>
          <a:noFill/>
        </a:ln>
        <a:effectLst/>
      </c:spPr>
    </c:plotArea>
    <c:legend>
      <c:legendPos val="b"/>
      <c:layout>
        <c:manualLayout>
          <c:xMode val="edge"/>
          <c:yMode val="edge"/>
          <c:x val="4.0899324583418717E-2"/>
          <c:y val="0.74706901158313299"/>
          <c:w val="0.89999998550127669"/>
          <c:h val="5.88781957810829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657570656230774E-2"/>
          <c:y val="3.9064815715856453E-2"/>
          <c:w val="0.88067647876386024"/>
          <c:h val="0.87679678577940035"/>
        </c:manualLayout>
      </c:layout>
      <c:barChart>
        <c:barDir val="col"/>
        <c:grouping val="clustered"/>
        <c:varyColors val="0"/>
        <c:ser>
          <c:idx val="0"/>
          <c:order val="0"/>
          <c:tx>
            <c:strRef>
              <c:f>Charts!$CG$48</c:f>
              <c:strCache>
                <c:ptCount val="1"/>
                <c:pt idx="0">
                  <c:v>Subscription Solutions Gross Profit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Charts!$CH$4:$CS$4</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Charts!$CH$48:$CS$48</c:f>
              <c:numCache>
                <c:formatCode>"$"#,##0.0,"B"_);\("$"#,##0.0"B"\);"$"#,##0.00_);@_)</c:formatCode>
                <c:ptCount val="12"/>
                <c:pt idx="0">
                  <c:v>149.12799999999999</c:v>
                </c:pt>
                <c:pt idx="1">
                  <c:v>248.76400000000001</c:v>
                </c:pt>
                <c:pt idx="2">
                  <c:v>364.00600000000003</c:v>
                </c:pt>
                <c:pt idx="3">
                  <c:v>514.08600000000001</c:v>
                </c:pt>
                <c:pt idx="4">
                  <c:v>715.22499999999991</c:v>
                </c:pt>
                <c:pt idx="5">
                  <c:v>1077.9830000000002</c:v>
                </c:pt>
                <c:pt idx="6">
                  <c:v>1156.8920000000001</c:v>
                </c:pt>
                <c:pt idx="7">
                  <c:v>1483</c:v>
                </c:pt>
                <c:pt idx="8">
                  <c:v>1922.6522129800942</c:v>
                </c:pt>
                <c:pt idx="9">
                  <c:v>2284.6345541862975</c:v>
                </c:pt>
                <c:pt idx="10">
                  <c:v>2654.3106115557157</c:v>
                </c:pt>
                <c:pt idx="11">
                  <c:v>3054.4164652720096</c:v>
                </c:pt>
              </c:numCache>
            </c:numRef>
          </c:val>
          <c:extLst>
            <c:ext xmlns:c16="http://schemas.microsoft.com/office/drawing/2014/chart" uri="{C3380CC4-5D6E-409C-BE32-E72D297353CC}">
              <c16:uniqueId val="{00000000-9740-453E-B4E4-EF291E71751C}"/>
            </c:ext>
          </c:extLst>
        </c:ser>
        <c:ser>
          <c:idx val="1"/>
          <c:order val="1"/>
          <c:tx>
            <c:strRef>
              <c:f>Charts!$CG$49</c:f>
              <c:strCache>
                <c:ptCount val="1"/>
                <c:pt idx="0">
                  <c:v>Merchant Solutions Gross Profit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Charts!$CH$4:$CS$4</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Charts!$CH$49:$CS$49</c:f>
              <c:numCache>
                <c:formatCode>"$"#,##0.0,"B"_);\("$"#,##0.0"B"\);"$"#,##0.00_);@_)</c:formatCode>
                <c:ptCount val="12"/>
                <c:pt idx="0">
                  <c:v>60.36699999999999</c:v>
                </c:pt>
                <c:pt idx="1">
                  <c:v>131.48899999999998</c:v>
                </c:pt>
                <c:pt idx="2">
                  <c:v>232.261</c:v>
                </c:pt>
                <c:pt idx="3">
                  <c:v>351.55700000000002</c:v>
                </c:pt>
                <c:pt idx="4">
                  <c:v>826.29499999999996</c:v>
                </c:pt>
                <c:pt idx="5">
                  <c:v>1403.1610000000001</c:v>
                </c:pt>
                <c:pt idx="6">
                  <c:v>1597.2269999999999</c:v>
                </c:pt>
                <c:pt idx="7">
                  <c:v>2032</c:v>
                </c:pt>
                <c:pt idx="8">
                  <c:v>2513.2349596810564</c:v>
                </c:pt>
                <c:pt idx="9">
                  <c:v>3154.5836395635329</c:v>
                </c:pt>
                <c:pt idx="10">
                  <c:v>3822.0550767694294</c:v>
                </c:pt>
                <c:pt idx="11">
                  <c:v>4551.9069537142859</c:v>
                </c:pt>
              </c:numCache>
            </c:numRef>
          </c:val>
          <c:extLst>
            <c:ext xmlns:c16="http://schemas.microsoft.com/office/drawing/2014/chart" uri="{C3380CC4-5D6E-409C-BE32-E72D297353CC}">
              <c16:uniqueId val="{00000001-9740-453E-B4E4-EF291E71751C}"/>
            </c:ext>
          </c:extLst>
        </c:ser>
        <c:dLbls>
          <c:showLegendKey val="0"/>
          <c:showVal val="0"/>
          <c:showCatName val="0"/>
          <c:showSerName val="0"/>
          <c:showPercent val="0"/>
          <c:showBubbleSize val="0"/>
        </c:dLbls>
        <c:gapWidth val="20"/>
        <c:axId val="1326694880"/>
        <c:axId val="1326709760"/>
      </c:barChart>
      <c:catAx>
        <c:axId val="132669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6709760"/>
        <c:crosses val="autoZero"/>
        <c:auto val="1"/>
        <c:lblAlgn val="ctr"/>
        <c:lblOffset val="100"/>
        <c:noMultiLvlLbl val="0"/>
      </c:catAx>
      <c:valAx>
        <c:axId val="1326709760"/>
        <c:scaling>
          <c:orientation val="minMax"/>
        </c:scaling>
        <c:delete val="0"/>
        <c:axPos val="l"/>
        <c:numFmt formatCode="&quot;$&quot;#,##0.0,&quot;B&quot;_);\(&quot;$&quot;#,##0.0&quot;B&quot;\);&quot;$&quot;#,##0.00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6694880"/>
        <c:crosses val="autoZero"/>
        <c:crossBetween val="between"/>
      </c:valAx>
      <c:spPr>
        <a:noFill/>
        <a:ln>
          <a:noFill/>
        </a:ln>
        <a:effectLst/>
      </c:spPr>
    </c:plotArea>
    <c:legend>
      <c:legendPos val="b"/>
      <c:layout>
        <c:manualLayout>
          <c:xMode val="edge"/>
          <c:yMode val="edge"/>
          <c:x val="0.15320000389490446"/>
          <c:y val="0.14521932782790675"/>
          <c:w val="0.39027493799844903"/>
          <c:h val="0.144511295520157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Summary!$H$85</c:f>
              <c:strCache>
                <c:ptCount val="1"/>
                <c:pt idx="0">
                  <c:v>SHOP EV/revenue</c:v>
                </c:pt>
              </c:strCache>
            </c:strRef>
          </c:tx>
          <c:spPr>
            <a:ln w="28575" cap="rnd">
              <a:solidFill>
                <a:schemeClr val="accent3"/>
              </a:solidFill>
              <a:round/>
            </a:ln>
            <a:effectLst/>
          </c:spPr>
          <c:marker>
            <c:symbol val="none"/>
          </c:marker>
          <c:cat>
            <c:numRef>
              <c:f>Summary!$B$86:$B$498</c:f>
              <c:numCache>
                <c:formatCode>m/d/yyyy</c:formatCode>
                <c:ptCount val="413"/>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45002</c:v>
                </c:pt>
                <c:pt idx="324">
                  <c:v>45009</c:v>
                </c:pt>
                <c:pt idx="325">
                  <c:v>45016</c:v>
                </c:pt>
                <c:pt idx="326">
                  <c:v>45023</c:v>
                </c:pt>
                <c:pt idx="327">
                  <c:v>45030</c:v>
                </c:pt>
                <c:pt idx="328">
                  <c:v>45037</c:v>
                </c:pt>
                <c:pt idx="329">
                  <c:v>45044</c:v>
                </c:pt>
                <c:pt idx="330">
                  <c:v>45051</c:v>
                </c:pt>
                <c:pt idx="331">
                  <c:v>45058</c:v>
                </c:pt>
                <c:pt idx="332">
                  <c:v>45065</c:v>
                </c:pt>
                <c:pt idx="333">
                  <c:v>45072</c:v>
                </c:pt>
                <c:pt idx="334">
                  <c:v>45079</c:v>
                </c:pt>
                <c:pt idx="335">
                  <c:v>45086</c:v>
                </c:pt>
                <c:pt idx="336">
                  <c:v>45093</c:v>
                </c:pt>
                <c:pt idx="337">
                  <c:v>45100</c:v>
                </c:pt>
                <c:pt idx="338">
                  <c:v>45107</c:v>
                </c:pt>
                <c:pt idx="339">
                  <c:v>45114</c:v>
                </c:pt>
                <c:pt idx="340">
                  <c:v>45121</c:v>
                </c:pt>
                <c:pt idx="341">
                  <c:v>45128</c:v>
                </c:pt>
                <c:pt idx="342">
                  <c:v>45135</c:v>
                </c:pt>
                <c:pt idx="343">
                  <c:v>45142</c:v>
                </c:pt>
                <c:pt idx="344">
                  <c:v>45149</c:v>
                </c:pt>
                <c:pt idx="345">
                  <c:v>45156</c:v>
                </c:pt>
                <c:pt idx="346">
                  <c:v>45163</c:v>
                </c:pt>
                <c:pt idx="347">
                  <c:v>45170</c:v>
                </c:pt>
                <c:pt idx="348">
                  <c:v>45177</c:v>
                </c:pt>
                <c:pt idx="349">
                  <c:v>45184</c:v>
                </c:pt>
                <c:pt idx="350">
                  <c:v>45191</c:v>
                </c:pt>
                <c:pt idx="351">
                  <c:v>45198</c:v>
                </c:pt>
                <c:pt idx="352">
                  <c:v>45205</c:v>
                </c:pt>
                <c:pt idx="353">
                  <c:v>45212</c:v>
                </c:pt>
                <c:pt idx="354">
                  <c:v>45219</c:v>
                </c:pt>
                <c:pt idx="355">
                  <c:v>45226</c:v>
                </c:pt>
                <c:pt idx="356">
                  <c:v>45233</c:v>
                </c:pt>
                <c:pt idx="357">
                  <c:v>45240</c:v>
                </c:pt>
                <c:pt idx="358">
                  <c:v>45247</c:v>
                </c:pt>
                <c:pt idx="359">
                  <c:v>45254</c:v>
                </c:pt>
                <c:pt idx="360">
                  <c:v>45261</c:v>
                </c:pt>
                <c:pt idx="361">
                  <c:v>45268</c:v>
                </c:pt>
                <c:pt idx="362">
                  <c:v>45275</c:v>
                </c:pt>
                <c:pt idx="363">
                  <c:v>45282</c:v>
                </c:pt>
                <c:pt idx="364">
                  <c:v>45289</c:v>
                </c:pt>
                <c:pt idx="365">
                  <c:v>45296</c:v>
                </c:pt>
                <c:pt idx="366">
                  <c:v>45303</c:v>
                </c:pt>
                <c:pt idx="367">
                  <c:v>45310</c:v>
                </c:pt>
                <c:pt idx="368">
                  <c:v>45317</c:v>
                </c:pt>
                <c:pt idx="369">
                  <c:v>45324</c:v>
                </c:pt>
                <c:pt idx="370">
                  <c:v>45331</c:v>
                </c:pt>
                <c:pt idx="371">
                  <c:v>45338</c:v>
                </c:pt>
                <c:pt idx="372">
                  <c:v>45345</c:v>
                </c:pt>
                <c:pt idx="373">
                  <c:v>45352</c:v>
                </c:pt>
                <c:pt idx="374">
                  <c:v>45359</c:v>
                </c:pt>
                <c:pt idx="375">
                  <c:v>45366</c:v>
                </c:pt>
                <c:pt idx="376">
                  <c:v>45373</c:v>
                </c:pt>
                <c:pt idx="377">
                  <c:v>45380</c:v>
                </c:pt>
                <c:pt idx="378">
                  <c:v>45387</c:v>
                </c:pt>
                <c:pt idx="379">
                  <c:v>45394</c:v>
                </c:pt>
                <c:pt idx="380">
                  <c:v>45401</c:v>
                </c:pt>
                <c:pt idx="381">
                  <c:v>45408</c:v>
                </c:pt>
                <c:pt idx="382">
                  <c:v>45415</c:v>
                </c:pt>
                <c:pt idx="383">
                  <c:v>45422</c:v>
                </c:pt>
                <c:pt idx="384">
                  <c:v>45429</c:v>
                </c:pt>
                <c:pt idx="385">
                  <c:v>45436</c:v>
                </c:pt>
                <c:pt idx="386">
                  <c:v>45443</c:v>
                </c:pt>
                <c:pt idx="387">
                  <c:v>45450</c:v>
                </c:pt>
                <c:pt idx="388">
                  <c:v>45457</c:v>
                </c:pt>
                <c:pt idx="389">
                  <c:v>45464</c:v>
                </c:pt>
                <c:pt idx="390">
                  <c:v>45471</c:v>
                </c:pt>
                <c:pt idx="391">
                  <c:v>45478</c:v>
                </c:pt>
                <c:pt idx="392">
                  <c:v>45485</c:v>
                </c:pt>
                <c:pt idx="393">
                  <c:v>45492</c:v>
                </c:pt>
                <c:pt idx="394">
                  <c:v>45499</c:v>
                </c:pt>
                <c:pt idx="395">
                  <c:v>45506</c:v>
                </c:pt>
                <c:pt idx="396">
                  <c:v>45513</c:v>
                </c:pt>
                <c:pt idx="397">
                  <c:v>45520</c:v>
                </c:pt>
                <c:pt idx="398">
                  <c:v>45527</c:v>
                </c:pt>
                <c:pt idx="399">
                  <c:v>45534</c:v>
                </c:pt>
                <c:pt idx="400">
                  <c:v>45541</c:v>
                </c:pt>
                <c:pt idx="401">
                  <c:v>45548</c:v>
                </c:pt>
                <c:pt idx="402">
                  <c:v>45555</c:v>
                </c:pt>
                <c:pt idx="403">
                  <c:v>45562</c:v>
                </c:pt>
                <c:pt idx="404">
                  <c:v>45569</c:v>
                </c:pt>
                <c:pt idx="405">
                  <c:v>45576</c:v>
                </c:pt>
                <c:pt idx="406">
                  <c:v>45583</c:v>
                </c:pt>
                <c:pt idx="407">
                  <c:v>45590</c:v>
                </c:pt>
                <c:pt idx="408">
                  <c:v>45597</c:v>
                </c:pt>
                <c:pt idx="409">
                  <c:v>45604</c:v>
                </c:pt>
                <c:pt idx="410">
                  <c:v>45611</c:v>
                </c:pt>
                <c:pt idx="411">
                  <c:v>45618</c:v>
                </c:pt>
                <c:pt idx="412">
                  <c:v>45625</c:v>
                </c:pt>
              </c:numCache>
            </c:numRef>
          </c:cat>
          <c:val>
            <c:numRef>
              <c:f>Summary!$H$86:$H$498</c:f>
              <c:numCache>
                <c:formatCode>0.0\x_);\(0.0\x\)</c:formatCode>
                <c:ptCount val="413"/>
                <c:pt idx="0">
                  <c:v>6.2716608862213787</c:v>
                </c:pt>
                <c:pt idx="1">
                  <c:v>6.4099472059093081</c:v>
                </c:pt>
                <c:pt idx="2">
                  <c:v>6.6624179790675297</c:v>
                </c:pt>
                <c:pt idx="3">
                  <c:v>6.8330981047791912</c:v>
                </c:pt>
                <c:pt idx="4">
                  <c:v>6.8756048191515529</c:v>
                </c:pt>
                <c:pt idx="5">
                  <c:v>7.2553197699963308</c:v>
                </c:pt>
                <c:pt idx="6">
                  <c:v>7.6130230244236898</c:v>
                </c:pt>
                <c:pt idx="7">
                  <c:v>7.5919971358587954</c:v>
                </c:pt>
                <c:pt idx="8">
                  <c:v>7.3427156940333491</c:v>
                </c:pt>
                <c:pt idx="9">
                  <c:v>7.7994450072161952</c:v>
                </c:pt>
                <c:pt idx="10">
                  <c:v>8.1009519394447906</c:v>
                </c:pt>
                <c:pt idx="11">
                  <c:v>8.3046108543937507</c:v>
                </c:pt>
                <c:pt idx="12">
                  <c:v>8.7816155704016694</c:v>
                </c:pt>
                <c:pt idx="13">
                  <c:v>8.8094699326113144</c:v>
                </c:pt>
                <c:pt idx="14">
                  <c:v>9.0256043188564252</c:v>
                </c:pt>
                <c:pt idx="15">
                  <c:v>9.7316181890105806</c:v>
                </c:pt>
                <c:pt idx="16">
                  <c:v>9.5669284548041382</c:v>
                </c:pt>
                <c:pt idx="17">
                  <c:v>10.23506011254565</c:v>
                </c:pt>
                <c:pt idx="18">
                  <c:v>11.174965458530428</c:v>
                </c:pt>
                <c:pt idx="19">
                  <c:v>10.508015250882078</c:v>
                </c:pt>
                <c:pt idx="20">
                  <c:v>10.673563810011037</c:v>
                </c:pt>
                <c:pt idx="21">
                  <c:v>11.437009007776723</c:v>
                </c:pt>
                <c:pt idx="22">
                  <c:v>10.627751198331509</c:v>
                </c:pt>
                <c:pt idx="23">
                  <c:v>10.001901713614444</c:v>
                </c:pt>
                <c:pt idx="24">
                  <c:v>10.830688274888516</c:v>
                </c:pt>
                <c:pt idx="25">
                  <c:v>9.6101238642409896</c:v>
                </c:pt>
                <c:pt idx="26">
                  <c:v>9.8043235739460606</c:v>
                </c:pt>
                <c:pt idx="27">
                  <c:v>10.169455315373199</c:v>
                </c:pt>
                <c:pt idx="28">
                  <c:v>9.7385450132870197</c:v>
                </c:pt>
                <c:pt idx="29">
                  <c:v>10.108649418714261</c:v>
                </c:pt>
                <c:pt idx="30">
                  <c:v>10.002136504891373</c:v>
                </c:pt>
                <c:pt idx="31">
                  <c:v>9.4112212555650743</c:v>
                </c:pt>
                <c:pt idx="32">
                  <c:v>9.6781767339192548</c:v>
                </c:pt>
                <c:pt idx="33">
                  <c:v>10.662316505494006</c:v>
                </c:pt>
                <c:pt idx="34">
                  <c:v>11.397963753289925</c:v>
                </c:pt>
                <c:pt idx="35">
                  <c:v>11.620702608533435</c:v>
                </c:pt>
                <c:pt idx="36">
                  <c:v>12.287546249522258</c:v>
                </c:pt>
                <c:pt idx="37">
                  <c:v>12.211427952685918</c:v>
                </c:pt>
                <c:pt idx="38">
                  <c:v>12.33591912245234</c:v>
                </c:pt>
                <c:pt idx="39">
                  <c:v>10.133826780207929</c:v>
                </c:pt>
                <c:pt idx="40">
                  <c:v>9.650442363570777</c:v>
                </c:pt>
                <c:pt idx="41">
                  <c:v>10.454743685806301</c:v>
                </c:pt>
                <c:pt idx="42">
                  <c:v>10.970182118600466</c:v>
                </c:pt>
                <c:pt idx="43">
                  <c:v>9.7373801003370666</c:v>
                </c:pt>
                <c:pt idx="44">
                  <c:v>9.8183032255085632</c:v>
                </c:pt>
                <c:pt idx="45">
                  <c:v>10.283701251637863</c:v>
                </c:pt>
                <c:pt idx="46">
                  <c:v>10.961758056900088</c:v>
                </c:pt>
                <c:pt idx="47">
                  <c:v>9.9778473462083728</c:v>
                </c:pt>
                <c:pt idx="48">
                  <c:v>9.6537450845000485</c:v>
                </c:pt>
                <c:pt idx="49">
                  <c:v>10.063284220723295</c:v>
                </c:pt>
                <c:pt idx="50">
                  <c:v>9.8615127521809658</c:v>
                </c:pt>
                <c:pt idx="51">
                  <c:v>9.1710860503359566</c:v>
                </c:pt>
                <c:pt idx="52">
                  <c:v>10.071035166938133</c:v>
                </c:pt>
                <c:pt idx="53">
                  <c:v>10.226787948208644</c:v>
                </c:pt>
                <c:pt idx="54">
                  <c:v>10.425948608180692</c:v>
                </c:pt>
                <c:pt idx="55">
                  <c:v>11.692502042160845</c:v>
                </c:pt>
                <c:pt idx="56">
                  <c:v>11.192187447872476</c:v>
                </c:pt>
                <c:pt idx="57">
                  <c:v>10.58266898231372</c:v>
                </c:pt>
                <c:pt idx="58">
                  <c:v>11.693606594888056</c:v>
                </c:pt>
                <c:pt idx="59">
                  <c:v>11.566161710998358</c:v>
                </c:pt>
                <c:pt idx="60">
                  <c:v>11.465729301895298</c:v>
                </c:pt>
                <c:pt idx="61">
                  <c:v>12.502775088416435</c:v>
                </c:pt>
                <c:pt idx="62">
                  <c:v>12.246799399361834</c:v>
                </c:pt>
                <c:pt idx="63">
                  <c:v>11.662787279389649</c:v>
                </c:pt>
                <c:pt idx="64">
                  <c:v>10.26152277854718</c:v>
                </c:pt>
                <c:pt idx="65">
                  <c:v>9.5158551512894309</c:v>
                </c:pt>
                <c:pt idx="66">
                  <c:v>9.4624874502650549</c:v>
                </c:pt>
                <c:pt idx="67">
                  <c:v>10.256420161706972</c:v>
                </c:pt>
                <c:pt idx="68">
                  <c:v>10.175197584461259</c:v>
                </c:pt>
                <c:pt idx="69">
                  <c:v>10.782395615561182</c:v>
                </c:pt>
                <c:pt idx="70">
                  <c:v>11.453352360027207</c:v>
                </c:pt>
                <c:pt idx="71">
                  <c:v>11.610615044849569</c:v>
                </c:pt>
                <c:pt idx="72">
                  <c:v>11.238999429017721</c:v>
                </c:pt>
                <c:pt idx="73">
                  <c:v>11.793864598309487</c:v>
                </c:pt>
                <c:pt idx="74">
                  <c:v>12.761987770068659</c:v>
                </c:pt>
                <c:pt idx="75">
                  <c:v>13.141778905816981</c:v>
                </c:pt>
                <c:pt idx="76">
                  <c:v>12.557309874792098</c:v>
                </c:pt>
                <c:pt idx="77">
                  <c:v>11.524850517864049</c:v>
                </c:pt>
                <c:pt idx="78">
                  <c:v>12.410392726167627</c:v>
                </c:pt>
                <c:pt idx="79">
                  <c:v>13.150675640562966</c:v>
                </c:pt>
                <c:pt idx="80">
                  <c:v>13.49419085685617</c:v>
                </c:pt>
                <c:pt idx="81">
                  <c:v>12.413040931653155</c:v>
                </c:pt>
                <c:pt idx="82">
                  <c:v>10.639751017455245</c:v>
                </c:pt>
                <c:pt idx="83">
                  <c:v>11.192376560545961</c:v>
                </c:pt>
                <c:pt idx="84">
                  <c:v>10.12967844042444</c:v>
                </c:pt>
                <c:pt idx="85">
                  <c:v>10.3488023269806</c:v>
                </c:pt>
                <c:pt idx="86">
                  <c:v>10.686929111028938</c:v>
                </c:pt>
                <c:pt idx="87">
                  <c:v>10.215714960142845</c:v>
                </c:pt>
                <c:pt idx="88">
                  <c:v>11.292128616834725</c:v>
                </c:pt>
                <c:pt idx="89">
                  <c:v>11.753337839696362</c:v>
                </c:pt>
                <c:pt idx="90">
                  <c:v>11.977594413524216</c:v>
                </c:pt>
                <c:pt idx="91">
                  <c:v>10.399019291576664</c:v>
                </c:pt>
                <c:pt idx="92">
                  <c:v>9.5143046244938123</c:v>
                </c:pt>
                <c:pt idx="93">
                  <c:v>8.8185279831210135</c:v>
                </c:pt>
                <c:pt idx="94">
                  <c:v>9.0148263876622199</c:v>
                </c:pt>
                <c:pt idx="95">
                  <c:v>9.9194199517924666</c:v>
                </c:pt>
                <c:pt idx="96">
                  <c:v>9.5126159058982687</c:v>
                </c:pt>
                <c:pt idx="97">
                  <c:v>10.218222626794256</c:v>
                </c:pt>
                <c:pt idx="98">
                  <c:v>8.9519007501925518</c:v>
                </c:pt>
                <c:pt idx="99">
                  <c:v>10.226168608717867</c:v>
                </c:pt>
                <c:pt idx="100">
                  <c:v>9.745202440799023</c:v>
                </c:pt>
                <c:pt idx="101">
                  <c:v>9.1992193334256669</c:v>
                </c:pt>
                <c:pt idx="102">
                  <c:v>7.8530145611726336</c:v>
                </c:pt>
                <c:pt idx="103">
                  <c:v>8.6122401037968768</c:v>
                </c:pt>
                <c:pt idx="104">
                  <c:v>8.5378889630153338</c:v>
                </c:pt>
                <c:pt idx="105">
                  <c:v>9.2935017187319815</c:v>
                </c:pt>
                <c:pt idx="106">
                  <c:v>9.8699648309078327</c:v>
                </c:pt>
                <c:pt idx="107">
                  <c:v>10.118067799890198</c:v>
                </c:pt>
                <c:pt idx="108">
                  <c:v>10.592780231843435</c:v>
                </c:pt>
                <c:pt idx="109">
                  <c:v>10.898837872305718</c:v>
                </c:pt>
                <c:pt idx="110">
                  <c:v>10.892058563767304</c:v>
                </c:pt>
                <c:pt idx="111">
                  <c:v>11.197689637298344</c:v>
                </c:pt>
                <c:pt idx="112">
                  <c:v>11.65359259573391</c:v>
                </c:pt>
                <c:pt idx="113">
                  <c:v>11.468540898227126</c:v>
                </c:pt>
                <c:pt idx="114">
                  <c:v>12.483734725995397</c:v>
                </c:pt>
                <c:pt idx="115">
                  <c:v>11.933637751708508</c:v>
                </c:pt>
                <c:pt idx="116">
                  <c:v>13.032971643362911</c:v>
                </c:pt>
                <c:pt idx="117">
                  <c:v>12.271247750074361</c:v>
                </c:pt>
                <c:pt idx="118">
                  <c:v>13.444304705918434</c:v>
                </c:pt>
                <c:pt idx="119">
                  <c:v>13.780465257449919</c:v>
                </c:pt>
                <c:pt idx="120">
                  <c:v>13.781686489553296</c:v>
                </c:pt>
                <c:pt idx="121">
                  <c:v>16.232476922469285</c:v>
                </c:pt>
                <c:pt idx="122">
                  <c:v>15.800201286741459</c:v>
                </c:pt>
                <c:pt idx="123">
                  <c:v>16.667455727073918</c:v>
                </c:pt>
                <c:pt idx="124">
                  <c:v>16.727387574401803</c:v>
                </c:pt>
                <c:pt idx="125">
                  <c:v>16.583169436576309</c:v>
                </c:pt>
                <c:pt idx="126">
                  <c:v>18.422487833424416</c:v>
                </c:pt>
                <c:pt idx="127">
                  <c:v>18.325718195658155</c:v>
                </c:pt>
                <c:pt idx="128">
                  <c:v>19.59562412770925</c:v>
                </c:pt>
                <c:pt idx="129">
                  <c:v>17.968814733566894</c:v>
                </c:pt>
                <c:pt idx="130">
                  <c:v>18.721673106986987</c:v>
                </c:pt>
                <c:pt idx="131">
                  <c:v>18.387715873422021</c:v>
                </c:pt>
                <c:pt idx="132">
                  <c:v>19.540278308588306</c:v>
                </c:pt>
                <c:pt idx="133">
                  <c:v>19.843366406808457</c:v>
                </c:pt>
                <c:pt idx="134">
                  <c:v>19.086408029013651</c:v>
                </c:pt>
                <c:pt idx="135">
                  <c:v>21.243416677340974</c:v>
                </c:pt>
                <c:pt idx="136">
                  <c:v>20.447531199285432</c:v>
                </c:pt>
                <c:pt idx="137">
                  <c:v>21.771437001088792</c:v>
                </c:pt>
                <c:pt idx="138">
                  <c:v>21.80830388874455</c:v>
                </c:pt>
                <c:pt idx="139">
                  <c:v>21.384790151835599</c:v>
                </c:pt>
                <c:pt idx="140">
                  <c:v>18.782715740102411</c:v>
                </c:pt>
                <c:pt idx="141">
                  <c:v>17.547144834896873</c:v>
                </c:pt>
                <c:pt idx="142">
                  <c:v>16.685887749315878</c:v>
                </c:pt>
                <c:pt idx="143">
                  <c:v>17.683978337658157</c:v>
                </c:pt>
                <c:pt idx="144">
                  <c:v>17.61531284687813</c:v>
                </c:pt>
                <c:pt idx="145">
                  <c:v>16.60790930393085</c:v>
                </c:pt>
                <c:pt idx="146">
                  <c:v>16.794871946593453</c:v>
                </c:pt>
                <c:pt idx="147">
                  <c:v>16.37979527721679</c:v>
                </c:pt>
                <c:pt idx="148">
                  <c:v>15.231126412519263</c:v>
                </c:pt>
                <c:pt idx="149">
                  <c:v>15.961813035156673</c:v>
                </c:pt>
                <c:pt idx="150">
                  <c:v>15.909333268298742</c:v>
                </c:pt>
                <c:pt idx="151">
                  <c:v>17.035206680804123</c:v>
                </c:pt>
                <c:pt idx="152">
                  <c:v>18.453333250460542</c:v>
                </c:pt>
                <c:pt idx="153">
                  <c:v>19.486365978824644</c:v>
                </c:pt>
                <c:pt idx="154">
                  <c:v>19.612548536561668</c:v>
                </c:pt>
                <c:pt idx="155">
                  <c:v>20.466246273006234</c:v>
                </c:pt>
                <c:pt idx="156">
                  <c:v>20.24140632880011</c:v>
                </c:pt>
                <c:pt idx="157">
                  <c:v>21.416196468827895</c:v>
                </c:pt>
                <c:pt idx="158">
                  <c:v>22.593129064680472</c:v>
                </c:pt>
                <c:pt idx="159">
                  <c:v>23.222379672603559</c:v>
                </c:pt>
                <c:pt idx="160">
                  <c:v>23.076125607818696</c:v>
                </c:pt>
                <c:pt idx="161">
                  <c:v>23.592273517275334</c:v>
                </c:pt>
                <c:pt idx="162">
                  <c:v>25.243676673910336</c:v>
                </c:pt>
                <c:pt idx="163">
                  <c:v>24.559258664097577</c:v>
                </c:pt>
                <c:pt idx="164">
                  <c:v>21.595482943675474</c:v>
                </c:pt>
                <c:pt idx="165">
                  <c:v>21.902181969004875</c:v>
                </c:pt>
                <c:pt idx="166">
                  <c:v>17.804450887776859</c:v>
                </c:pt>
                <c:pt idx="167">
                  <c:v>15.585499069743909</c:v>
                </c:pt>
                <c:pt idx="168">
                  <c:v>19.15686775739735</c:v>
                </c:pt>
                <c:pt idx="169">
                  <c:v>17.274075145793173</c:v>
                </c:pt>
                <c:pt idx="170">
                  <c:v>20.401816541922052</c:v>
                </c:pt>
                <c:pt idx="171">
                  <c:v>29.17864365285601</c:v>
                </c:pt>
                <c:pt idx="172">
                  <c:v>31.741905323644218</c:v>
                </c:pt>
                <c:pt idx="173">
                  <c:v>29.976537868983563</c:v>
                </c:pt>
                <c:pt idx="174">
                  <c:v>33.073328961857733</c:v>
                </c:pt>
                <c:pt idx="175">
                  <c:v>35.647216173407884</c:v>
                </c:pt>
                <c:pt idx="176">
                  <c:v>38.160562663009358</c:v>
                </c:pt>
                <c:pt idx="177">
                  <c:v>34.812798484140629</c:v>
                </c:pt>
                <c:pt idx="178">
                  <c:v>33.200036846718106</c:v>
                </c:pt>
                <c:pt idx="179">
                  <c:v>33.633785161871209</c:v>
                </c:pt>
                <c:pt idx="180">
                  <c:v>39.845169366147303</c:v>
                </c:pt>
                <c:pt idx="181">
                  <c:v>40.914441055423538</c:v>
                </c:pt>
                <c:pt idx="182">
                  <c:v>47.95682121739928</c:v>
                </c:pt>
                <c:pt idx="183">
                  <c:v>47.733267801300308</c:v>
                </c:pt>
                <c:pt idx="184">
                  <c:v>42.348382980652893</c:v>
                </c:pt>
                <c:pt idx="185">
                  <c:v>41.964106892688861</c:v>
                </c:pt>
                <c:pt idx="186">
                  <c:v>40.217172529272489</c:v>
                </c:pt>
                <c:pt idx="187">
                  <c:v>41.180429915117095</c:v>
                </c:pt>
                <c:pt idx="188">
                  <c:v>38.228175279477945</c:v>
                </c:pt>
                <c:pt idx="189">
                  <c:v>39.357383241189197</c:v>
                </c:pt>
                <c:pt idx="190">
                  <c:v>39.968455832291696</c:v>
                </c:pt>
                <c:pt idx="191">
                  <c:v>37.048918210657362</c:v>
                </c:pt>
                <c:pt idx="192">
                  <c:v>34.570615828937989</c:v>
                </c:pt>
                <c:pt idx="193">
                  <c:v>33.869810360781081</c:v>
                </c:pt>
                <c:pt idx="194">
                  <c:v>36.014740089163318</c:v>
                </c:pt>
                <c:pt idx="195">
                  <c:v>38.624427615640116</c:v>
                </c:pt>
                <c:pt idx="196">
                  <c:v>40.98912993592073</c:v>
                </c:pt>
                <c:pt idx="197">
                  <c:v>39.529709555698744</c:v>
                </c:pt>
                <c:pt idx="198">
                  <c:v>37.740025107859125</c:v>
                </c:pt>
                <c:pt idx="199">
                  <c:v>30.839430619752942</c:v>
                </c:pt>
                <c:pt idx="200">
                  <c:v>34.571301837019639</c:v>
                </c:pt>
                <c:pt idx="201">
                  <c:v>30.054442155901679</c:v>
                </c:pt>
                <c:pt idx="202">
                  <c:v>32.274212513830904</c:v>
                </c:pt>
                <c:pt idx="203">
                  <c:v>33.678256911184739</c:v>
                </c:pt>
                <c:pt idx="204">
                  <c:v>34.057427735699278</c:v>
                </c:pt>
                <c:pt idx="205">
                  <c:v>34.0281533659914</c:v>
                </c:pt>
                <c:pt idx="206">
                  <c:v>37.640167437013879</c:v>
                </c:pt>
                <c:pt idx="207">
                  <c:v>39.300651583497654</c:v>
                </c:pt>
                <c:pt idx="208">
                  <c:v>35.518496781060527</c:v>
                </c:pt>
                <c:pt idx="209">
                  <c:v>37.027995021630566</c:v>
                </c:pt>
                <c:pt idx="210">
                  <c:v>36.013008891166784</c:v>
                </c:pt>
                <c:pt idx="211">
                  <c:v>36.654462657212235</c:v>
                </c:pt>
                <c:pt idx="212">
                  <c:v>33.237271291629504</c:v>
                </c:pt>
                <c:pt idx="213">
                  <c:v>38.766734709000787</c:v>
                </c:pt>
                <c:pt idx="214">
                  <c:v>43.625292310242074</c:v>
                </c:pt>
                <c:pt idx="215">
                  <c:v>40.367484846989626</c:v>
                </c:pt>
                <c:pt idx="216">
                  <c:v>35.665926359483088</c:v>
                </c:pt>
                <c:pt idx="217">
                  <c:v>31.140295813337033</c:v>
                </c:pt>
                <c:pt idx="218">
                  <c:v>31.232684971435791</c:v>
                </c:pt>
                <c:pt idx="219">
                  <c:v>30.386945309931484</c:v>
                </c:pt>
                <c:pt idx="220">
                  <c:v>28.634718455245583</c:v>
                </c:pt>
                <c:pt idx="221">
                  <c:v>31.499461925454145</c:v>
                </c:pt>
                <c:pt idx="222">
                  <c:v>33.322198589481246</c:v>
                </c:pt>
                <c:pt idx="223">
                  <c:v>32.567910148594535</c:v>
                </c:pt>
                <c:pt idx="224">
                  <c:v>29.093081362091013</c:v>
                </c:pt>
                <c:pt idx="225">
                  <c:v>29.247522073711242</c:v>
                </c:pt>
                <c:pt idx="226">
                  <c:v>27.175232594206193</c:v>
                </c:pt>
                <c:pt idx="227">
                  <c:v>26.350801355162591</c:v>
                </c:pt>
                <c:pt idx="228">
                  <c:v>29.74025395215499</c:v>
                </c:pt>
                <c:pt idx="229">
                  <c:v>29.914245775879756</c:v>
                </c:pt>
                <c:pt idx="230">
                  <c:v>28.81823548911256</c:v>
                </c:pt>
                <c:pt idx="231">
                  <c:v>29.688608755677155</c:v>
                </c:pt>
                <c:pt idx="232">
                  <c:v>34.970953747261717</c:v>
                </c:pt>
                <c:pt idx="233">
                  <c:v>34.947626110662611</c:v>
                </c:pt>
                <c:pt idx="234">
                  <c:v>34.787830188187527</c:v>
                </c:pt>
                <c:pt idx="235">
                  <c:v>35.290096899652156</c:v>
                </c:pt>
                <c:pt idx="236">
                  <c:v>33.641420676369172</c:v>
                </c:pt>
                <c:pt idx="237">
                  <c:v>38.133737489453495</c:v>
                </c:pt>
                <c:pt idx="238">
                  <c:v>33.307983157414192</c:v>
                </c:pt>
                <c:pt idx="239">
                  <c:v>33.626561080730824</c:v>
                </c:pt>
                <c:pt idx="240">
                  <c:v>32.843185190530185</c:v>
                </c:pt>
                <c:pt idx="241">
                  <c:v>31.596263457628762</c:v>
                </c:pt>
                <c:pt idx="242">
                  <c:v>33.242654542541551</c:v>
                </c:pt>
                <c:pt idx="243">
                  <c:v>33.57612641570622</c:v>
                </c:pt>
                <c:pt idx="244">
                  <c:v>31.832729630704844</c:v>
                </c:pt>
                <c:pt idx="245">
                  <c:v>31.713421612193891</c:v>
                </c:pt>
                <c:pt idx="246">
                  <c:v>30.727805033074514</c:v>
                </c:pt>
                <c:pt idx="247">
                  <c:v>28.570432285899805</c:v>
                </c:pt>
                <c:pt idx="248">
                  <c:v>29.000335332371236</c:v>
                </c:pt>
                <c:pt idx="249">
                  <c:v>29.810701160903598</c:v>
                </c:pt>
                <c:pt idx="250">
                  <c:v>29.796098094686027</c:v>
                </c:pt>
                <c:pt idx="251">
                  <c:v>30.938250535373061</c:v>
                </c:pt>
                <c:pt idx="252">
                  <c:v>32.138118710267541</c:v>
                </c:pt>
                <c:pt idx="253">
                  <c:v>35.08078371126058</c:v>
                </c:pt>
                <c:pt idx="254">
                  <c:v>35.3640665961791</c:v>
                </c:pt>
                <c:pt idx="255">
                  <c:v>32.746040756364792</c:v>
                </c:pt>
                <c:pt idx="256">
                  <c:v>28.939380904838067</c:v>
                </c:pt>
                <c:pt idx="257">
                  <c:v>29.881057578080163</c:v>
                </c:pt>
                <c:pt idx="258">
                  <c:v>26.821580729322772</c:v>
                </c:pt>
                <c:pt idx="259">
                  <c:v>29.145667954877904</c:v>
                </c:pt>
                <c:pt idx="260">
                  <c:v>27.590948260914786</c:v>
                </c:pt>
                <c:pt idx="261">
                  <c:v>22.578536153896355</c:v>
                </c:pt>
                <c:pt idx="262">
                  <c:v>21.574528491115696</c:v>
                </c:pt>
                <c:pt idx="263">
                  <c:v>16.922269326510563</c:v>
                </c:pt>
                <c:pt idx="264">
                  <c:v>16.609753030149523</c:v>
                </c:pt>
                <c:pt idx="265">
                  <c:v>16.57838128556164</c:v>
                </c:pt>
                <c:pt idx="266">
                  <c:v>16.082693480426112</c:v>
                </c:pt>
                <c:pt idx="267">
                  <c:v>12.119941529613531</c:v>
                </c:pt>
                <c:pt idx="268">
                  <c:v>12.447732588948963</c:v>
                </c:pt>
                <c:pt idx="269">
                  <c:v>10.86163090613042</c:v>
                </c:pt>
                <c:pt idx="270">
                  <c:v>9.7231265918215772</c:v>
                </c:pt>
                <c:pt idx="271">
                  <c:v>14.295985463401605</c:v>
                </c:pt>
                <c:pt idx="272">
                  <c:v>12.237620844109451</c:v>
                </c:pt>
                <c:pt idx="273">
                  <c:v>12.359277294335971</c:v>
                </c:pt>
                <c:pt idx="274">
                  <c:v>10.577959109758208</c:v>
                </c:pt>
                <c:pt idx="275">
                  <c:v>10.079907472828024</c:v>
                </c:pt>
                <c:pt idx="276">
                  <c:v>7.7602310493724174</c:v>
                </c:pt>
                <c:pt idx="277">
                  <c:v>7.1173461494980259</c:v>
                </c:pt>
                <c:pt idx="278">
                  <c:v>6.3549920158421331</c:v>
                </c:pt>
                <c:pt idx="279">
                  <c:v>6.8122560944757655</c:v>
                </c:pt>
                <c:pt idx="280">
                  <c:v>6.0367920157578441</c:v>
                </c:pt>
                <c:pt idx="281">
                  <c:v>6.148813771978765</c:v>
                </c:pt>
                <c:pt idx="282">
                  <c:v>5.8310580444062952</c:v>
                </c:pt>
                <c:pt idx="283">
                  <c:v>5.7040501574399931</c:v>
                </c:pt>
                <c:pt idx="284">
                  <c:v>5.0732303462782999</c:v>
                </c:pt>
                <c:pt idx="285">
                  <c:v>6.3565909325540355</c:v>
                </c:pt>
                <c:pt idx="286">
                  <c:v>5.0424026310215817</c:v>
                </c:pt>
                <c:pt idx="287">
                  <c:v>5.8046773686980373</c:v>
                </c:pt>
                <c:pt idx="288">
                  <c:v>4.9889505289305962</c:v>
                </c:pt>
                <c:pt idx="289">
                  <c:v>6.15816792923889</c:v>
                </c:pt>
                <c:pt idx="290">
                  <c:v>6.0209908310429521</c:v>
                </c:pt>
                <c:pt idx="291">
                  <c:v>7.1899611357575388</c:v>
                </c:pt>
                <c:pt idx="292">
                  <c:v>7.1754576658595104</c:v>
                </c:pt>
                <c:pt idx="293">
                  <c:v>5.844452720423245</c:v>
                </c:pt>
                <c:pt idx="294">
                  <c:v>5.4836129220061176</c:v>
                </c:pt>
                <c:pt idx="295">
                  <c:v>5.0052642030100172</c:v>
                </c:pt>
                <c:pt idx="296">
                  <c:v>5.9420084543905265</c:v>
                </c:pt>
                <c:pt idx="297">
                  <c:v>5.3119100979480285</c:v>
                </c:pt>
                <c:pt idx="298">
                  <c:v>4.7080803697453932</c:v>
                </c:pt>
                <c:pt idx="299">
                  <c:v>4.6799233004483138</c:v>
                </c:pt>
                <c:pt idx="300">
                  <c:v>4.7151314208652328</c:v>
                </c:pt>
                <c:pt idx="301">
                  <c:v>4.4761979375680028</c:v>
                </c:pt>
                <c:pt idx="302">
                  <c:v>5.1937788061102994</c:v>
                </c:pt>
                <c:pt idx="303">
                  <c:v>6.0853478359572089</c:v>
                </c:pt>
                <c:pt idx="304">
                  <c:v>5.6667093427733013</c:v>
                </c:pt>
                <c:pt idx="305">
                  <c:v>7.0704134983530809</c:v>
                </c:pt>
                <c:pt idx="306">
                  <c:v>6.4939886229622523</c:v>
                </c:pt>
                <c:pt idx="307">
                  <c:v>6.5099591226101445</c:v>
                </c:pt>
                <c:pt idx="308">
                  <c:v>7.6960017813326056</c:v>
                </c:pt>
                <c:pt idx="309">
                  <c:v>6.7859849985438592</c:v>
                </c:pt>
                <c:pt idx="310">
                  <c:v>6.3235916082055805</c:v>
                </c:pt>
                <c:pt idx="311">
                  <c:v>5.8397195593899749</c:v>
                </c:pt>
                <c:pt idx="312">
                  <c:v>5.9750990460173039</c:v>
                </c:pt>
                <c:pt idx="313">
                  <c:v>6.4167549189526474</c:v>
                </c:pt>
                <c:pt idx="314">
                  <c:v>6.7779813623522713</c:v>
                </c:pt>
                <c:pt idx="315">
                  <c:v>7.0600415908108953</c:v>
                </c:pt>
                <c:pt idx="316">
                  <c:v>8.8171020016180357</c:v>
                </c:pt>
                <c:pt idx="317">
                  <c:v>9.2994194000407404</c:v>
                </c:pt>
                <c:pt idx="318">
                  <c:v>8.3407189193054929</c:v>
                </c:pt>
                <c:pt idx="319">
                  <c:v>7.4699228944641627</c:v>
                </c:pt>
                <c:pt idx="320">
                  <c:v>6.9128090672305378</c:v>
                </c:pt>
                <c:pt idx="321">
                  <c:v>7.3680342153585974</c:v>
                </c:pt>
                <c:pt idx="322">
                  <c:v>6.9842205637884875</c:v>
                </c:pt>
                <c:pt idx="323">
                  <c:v>7.5466485242095596</c:v>
                </c:pt>
                <c:pt idx="324">
                  <c:v>7.5716274974588069</c:v>
                </c:pt>
                <c:pt idx="325">
                  <c:v>8.0826707998816971</c:v>
                </c:pt>
                <c:pt idx="326">
                  <c:v>7.7901205925269288</c:v>
                </c:pt>
                <c:pt idx="327">
                  <c:v>7.7411913150839604</c:v>
                </c:pt>
                <c:pt idx="328">
                  <c:v>8.3735008568286613</c:v>
                </c:pt>
                <c:pt idx="329">
                  <c:v>8.0490111041033536</c:v>
                </c:pt>
                <c:pt idx="330">
                  <c:v>10.653581328744318</c:v>
                </c:pt>
                <c:pt idx="331">
                  <c:v>10.491648187582877</c:v>
                </c:pt>
                <c:pt idx="332">
                  <c:v>10.255371107757506</c:v>
                </c:pt>
                <c:pt idx="333">
                  <c:v>10.049125901303366</c:v>
                </c:pt>
                <c:pt idx="334">
                  <c:v>9.8618654327488446</c:v>
                </c:pt>
                <c:pt idx="335">
                  <c:v>10.3722082288291</c:v>
                </c:pt>
                <c:pt idx="336">
                  <c:v>10.962530509250097</c:v>
                </c:pt>
                <c:pt idx="337">
                  <c:v>10.744255877286239</c:v>
                </c:pt>
                <c:pt idx="338">
                  <c:v>10.786980256570384</c:v>
                </c:pt>
                <c:pt idx="339">
                  <c:v>10.307912078576676</c:v>
                </c:pt>
                <c:pt idx="340">
                  <c:v>11.396780286732499</c:v>
                </c:pt>
                <c:pt idx="341">
                  <c:v>10.897007607251492</c:v>
                </c:pt>
                <c:pt idx="342">
                  <c:v>10.865265094858646</c:v>
                </c:pt>
                <c:pt idx="343">
                  <c:v>9.1484951206292617</c:v>
                </c:pt>
                <c:pt idx="344">
                  <c:v>8.665860958103087</c:v>
                </c:pt>
                <c:pt idx="345">
                  <c:v>8.2610876517540426</c:v>
                </c:pt>
                <c:pt idx="346">
                  <c:v>8.6213333150845024</c:v>
                </c:pt>
                <c:pt idx="347">
                  <c:v>10.444262297469185</c:v>
                </c:pt>
                <c:pt idx="348">
                  <c:v>9.8056864242339721</c:v>
                </c:pt>
                <c:pt idx="349">
                  <c:v>9.7318234821225715</c:v>
                </c:pt>
                <c:pt idx="350">
                  <c:v>8.1403373189467221</c:v>
                </c:pt>
                <c:pt idx="351">
                  <c:v>8.4725858841480655</c:v>
                </c:pt>
                <c:pt idx="352">
                  <c:v>8.2165129641122761</c:v>
                </c:pt>
                <c:pt idx="353">
                  <c:v>7.8894963614578844</c:v>
                </c:pt>
                <c:pt idx="354">
                  <c:v>7.7124409564025358</c:v>
                </c:pt>
                <c:pt idx="355">
                  <c:v>6.9188404367826024</c:v>
                </c:pt>
                <c:pt idx="356">
                  <c:v>9.3381701436686129</c:v>
                </c:pt>
                <c:pt idx="357">
                  <c:v>9.2585096036806931</c:v>
                </c:pt>
                <c:pt idx="358">
                  <c:v>10.374425442110146</c:v>
                </c:pt>
                <c:pt idx="359">
                  <c:v>10.731286762594038</c:v>
                </c:pt>
                <c:pt idx="360">
                  <c:v>11.171931148072625</c:v>
                </c:pt>
                <c:pt idx="361">
                  <c:v>10.92763022610997</c:v>
                </c:pt>
                <c:pt idx="362">
                  <c:v>11.55056282841354</c:v>
                </c:pt>
                <c:pt idx="363">
                  <c:v>11.505017161275783</c:v>
                </c:pt>
                <c:pt idx="364">
                  <c:v>11.674121732582423</c:v>
                </c:pt>
                <c:pt idx="365">
                  <c:v>11.088020321351701</c:v>
                </c:pt>
                <c:pt idx="366">
                  <c:v>12.077489310333664</c:v>
                </c:pt>
                <c:pt idx="367">
                  <c:v>11.791381365578376</c:v>
                </c:pt>
                <c:pt idx="368">
                  <c:v>12.010296207030912</c:v>
                </c:pt>
                <c:pt idx="369">
                  <c:v>12.182973418936552</c:v>
                </c:pt>
                <c:pt idx="370">
                  <c:v>13.283877897512927</c:v>
                </c:pt>
                <c:pt idx="371">
                  <c:v>11.579545623600753</c:v>
                </c:pt>
                <c:pt idx="372">
                  <c:v>10.759339213518508</c:v>
                </c:pt>
                <c:pt idx="373">
                  <c:v>10.7797299680243</c:v>
                </c:pt>
                <c:pt idx="374">
                  <c:v>10.699737035503594</c:v>
                </c:pt>
                <c:pt idx="375">
                  <c:v>10.777106033667623</c:v>
                </c:pt>
                <c:pt idx="376">
                  <c:v>10.931743323166703</c:v>
                </c:pt>
                <c:pt idx="377">
                  <c:v>10.581071964738028</c:v>
                </c:pt>
                <c:pt idx="378">
                  <c:v>10.241772838584804</c:v>
                </c:pt>
                <c:pt idx="379">
                  <c:v>9.4764356018297153</c:v>
                </c:pt>
                <c:pt idx="380">
                  <c:v>9.3909973058023137</c:v>
                </c:pt>
                <c:pt idx="381">
                  <c:v>9.5574807540222508</c:v>
                </c:pt>
                <c:pt idx="382">
                  <c:v>9.9557522675126222</c:v>
                </c:pt>
                <c:pt idx="383">
                  <c:v>7.8024348869388955</c:v>
                </c:pt>
                <c:pt idx="384">
                  <c:v>7.7061428174451114</c:v>
                </c:pt>
                <c:pt idx="385">
                  <c:v>7.4864782985847702</c:v>
                </c:pt>
                <c:pt idx="386">
                  <c:v>7.7663114664989896</c:v>
                </c:pt>
                <c:pt idx="387">
                  <c:v>8.0785826554604494</c:v>
                </c:pt>
                <c:pt idx="388">
                  <c:v>8.8591764914367541</c:v>
                </c:pt>
                <c:pt idx="389">
                  <c:v>8.4760033843315163</c:v>
                </c:pt>
                <c:pt idx="390">
                  <c:v>8.5925478274947089</c:v>
                </c:pt>
                <c:pt idx="391">
                  <c:v>8.7730763722258889</c:v>
                </c:pt>
                <c:pt idx="392">
                  <c:v>8.3800693406357745</c:v>
                </c:pt>
                <c:pt idx="393">
                  <c:v>8.212681081545929</c:v>
                </c:pt>
                <c:pt idx="394">
                  <c:v>7.730764687697417</c:v>
                </c:pt>
                <c:pt idx="395">
                  <c:v>6.9559028894843156</c:v>
                </c:pt>
                <c:pt idx="396">
                  <c:v>8.8467015699941225</c:v>
                </c:pt>
                <c:pt idx="397">
                  <c:v>9.4811784175415852</c:v>
                </c:pt>
                <c:pt idx="398">
                  <c:v>9.6760731944477492</c:v>
                </c:pt>
                <c:pt idx="399">
                  <c:v>9.3705909433122745</c:v>
                </c:pt>
                <c:pt idx="400">
                  <c:v>8.4274792487429693</c:v>
                </c:pt>
                <c:pt idx="401">
                  <c:v>9.0937310346167095</c:v>
                </c:pt>
                <c:pt idx="402">
                  <c:v>9.8657536300652549</c:v>
                </c:pt>
                <c:pt idx="403">
                  <c:v>9.9345660848643149</c:v>
                </c:pt>
                <c:pt idx="404">
                  <c:v>10.316801439211275</c:v>
                </c:pt>
                <c:pt idx="405">
                  <c:v>10.36692980812372</c:v>
                </c:pt>
                <c:pt idx="406">
                  <c:v>10.269653606433442</c:v>
                </c:pt>
                <c:pt idx="407">
                  <c:v>9.7839203008245015</c:v>
                </c:pt>
                <c:pt idx="408">
                  <c:v>9.7448339505667843</c:v>
                </c:pt>
                <c:pt idx="409">
                  <c:v>10.739521818136966</c:v>
                </c:pt>
                <c:pt idx="410">
                  <c:v>13.016785279640747</c:v>
                </c:pt>
                <c:pt idx="411">
                  <c:v>12.766625690224409</c:v>
                </c:pt>
                <c:pt idx="412">
                  <c:v>13.779833089360157</c:v>
                </c:pt>
              </c:numCache>
            </c:numRef>
          </c:val>
          <c:smooth val="0"/>
          <c:extLst>
            <c:ext xmlns:c16="http://schemas.microsoft.com/office/drawing/2014/chart" uri="{C3380CC4-5D6E-409C-BE32-E72D297353CC}">
              <c16:uniqueId val="{00000000-0C61-472C-8756-900BB55EBDA5}"/>
            </c:ext>
          </c:extLst>
        </c:ser>
        <c:ser>
          <c:idx val="1"/>
          <c:order val="1"/>
          <c:tx>
            <c:strRef>
              <c:f>Summary!$I$85</c:f>
              <c:strCache>
                <c:ptCount val="1"/>
                <c:pt idx="0">
                  <c:v>SHOP Mean</c:v>
                </c:pt>
              </c:strCache>
            </c:strRef>
          </c:tx>
          <c:spPr>
            <a:ln w="28575" cap="rnd">
              <a:solidFill>
                <a:schemeClr val="accent3"/>
              </a:solidFill>
              <a:prstDash val="sysDash"/>
              <a:round/>
            </a:ln>
            <a:effectLst/>
          </c:spPr>
          <c:marker>
            <c:symbol val="none"/>
          </c:marker>
          <c:cat>
            <c:numRef>
              <c:f>Summary!$B$86:$B$498</c:f>
              <c:numCache>
                <c:formatCode>m/d/yyyy</c:formatCode>
                <c:ptCount val="413"/>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45002</c:v>
                </c:pt>
                <c:pt idx="324">
                  <c:v>45009</c:v>
                </c:pt>
                <c:pt idx="325">
                  <c:v>45016</c:v>
                </c:pt>
                <c:pt idx="326">
                  <c:v>45023</c:v>
                </c:pt>
                <c:pt idx="327">
                  <c:v>45030</c:v>
                </c:pt>
                <c:pt idx="328">
                  <c:v>45037</c:v>
                </c:pt>
                <c:pt idx="329">
                  <c:v>45044</c:v>
                </c:pt>
                <c:pt idx="330">
                  <c:v>45051</c:v>
                </c:pt>
                <c:pt idx="331">
                  <c:v>45058</c:v>
                </c:pt>
                <c:pt idx="332">
                  <c:v>45065</c:v>
                </c:pt>
                <c:pt idx="333">
                  <c:v>45072</c:v>
                </c:pt>
                <c:pt idx="334">
                  <c:v>45079</c:v>
                </c:pt>
                <c:pt idx="335">
                  <c:v>45086</c:v>
                </c:pt>
                <c:pt idx="336">
                  <c:v>45093</c:v>
                </c:pt>
                <c:pt idx="337">
                  <c:v>45100</c:v>
                </c:pt>
                <c:pt idx="338">
                  <c:v>45107</c:v>
                </c:pt>
                <c:pt idx="339">
                  <c:v>45114</c:v>
                </c:pt>
                <c:pt idx="340">
                  <c:v>45121</c:v>
                </c:pt>
                <c:pt idx="341">
                  <c:v>45128</c:v>
                </c:pt>
                <c:pt idx="342">
                  <c:v>45135</c:v>
                </c:pt>
                <c:pt idx="343">
                  <c:v>45142</c:v>
                </c:pt>
                <c:pt idx="344">
                  <c:v>45149</c:v>
                </c:pt>
                <c:pt idx="345">
                  <c:v>45156</c:v>
                </c:pt>
                <c:pt idx="346">
                  <c:v>45163</c:v>
                </c:pt>
                <c:pt idx="347">
                  <c:v>45170</c:v>
                </c:pt>
                <c:pt idx="348">
                  <c:v>45177</c:v>
                </c:pt>
                <c:pt idx="349">
                  <c:v>45184</c:v>
                </c:pt>
                <c:pt idx="350">
                  <c:v>45191</c:v>
                </c:pt>
                <c:pt idx="351">
                  <c:v>45198</c:v>
                </c:pt>
                <c:pt idx="352">
                  <c:v>45205</c:v>
                </c:pt>
                <c:pt idx="353">
                  <c:v>45212</c:v>
                </c:pt>
                <c:pt idx="354">
                  <c:v>45219</c:v>
                </c:pt>
                <c:pt idx="355">
                  <c:v>45226</c:v>
                </c:pt>
                <c:pt idx="356">
                  <c:v>45233</c:v>
                </c:pt>
                <c:pt idx="357">
                  <c:v>45240</c:v>
                </c:pt>
                <c:pt idx="358">
                  <c:v>45247</c:v>
                </c:pt>
                <c:pt idx="359">
                  <c:v>45254</c:v>
                </c:pt>
                <c:pt idx="360">
                  <c:v>45261</c:v>
                </c:pt>
                <c:pt idx="361">
                  <c:v>45268</c:v>
                </c:pt>
                <c:pt idx="362">
                  <c:v>45275</c:v>
                </c:pt>
                <c:pt idx="363">
                  <c:v>45282</c:v>
                </c:pt>
                <c:pt idx="364">
                  <c:v>45289</c:v>
                </c:pt>
                <c:pt idx="365">
                  <c:v>45296</c:v>
                </c:pt>
                <c:pt idx="366">
                  <c:v>45303</c:v>
                </c:pt>
                <c:pt idx="367">
                  <c:v>45310</c:v>
                </c:pt>
                <c:pt idx="368">
                  <c:v>45317</c:v>
                </c:pt>
                <c:pt idx="369">
                  <c:v>45324</c:v>
                </c:pt>
                <c:pt idx="370">
                  <c:v>45331</c:v>
                </c:pt>
                <c:pt idx="371">
                  <c:v>45338</c:v>
                </c:pt>
                <c:pt idx="372">
                  <c:v>45345</c:v>
                </c:pt>
                <c:pt idx="373">
                  <c:v>45352</c:v>
                </c:pt>
                <c:pt idx="374">
                  <c:v>45359</c:v>
                </c:pt>
                <c:pt idx="375">
                  <c:v>45366</c:v>
                </c:pt>
                <c:pt idx="376">
                  <c:v>45373</c:v>
                </c:pt>
                <c:pt idx="377">
                  <c:v>45380</c:v>
                </c:pt>
                <c:pt idx="378">
                  <c:v>45387</c:v>
                </c:pt>
                <c:pt idx="379">
                  <c:v>45394</c:v>
                </c:pt>
                <c:pt idx="380">
                  <c:v>45401</c:v>
                </c:pt>
                <c:pt idx="381">
                  <c:v>45408</c:v>
                </c:pt>
                <c:pt idx="382">
                  <c:v>45415</c:v>
                </c:pt>
                <c:pt idx="383">
                  <c:v>45422</c:v>
                </c:pt>
                <c:pt idx="384">
                  <c:v>45429</c:v>
                </c:pt>
                <c:pt idx="385">
                  <c:v>45436</c:v>
                </c:pt>
                <c:pt idx="386">
                  <c:v>45443</c:v>
                </c:pt>
                <c:pt idx="387">
                  <c:v>45450</c:v>
                </c:pt>
                <c:pt idx="388">
                  <c:v>45457</c:v>
                </c:pt>
                <c:pt idx="389">
                  <c:v>45464</c:v>
                </c:pt>
                <c:pt idx="390">
                  <c:v>45471</c:v>
                </c:pt>
                <c:pt idx="391">
                  <c:v>45478</c:v>
                </c:pt>
                <c:pt idx="392">
                  <c:v>45485</c:v>
                </c:pt>
                <c:pt idx="393">
                  <c:v>45492</c:v>
                </c:pt>
                <c:pt idx="394">
                  <c:v>45499</c:v>
                </c:pt>
                <c:pt idx="395">
                  <c:v>45506</c:v>
                </c:pt>
                <c:pt idx="396">
                  <c:v>45513</c:v>
                </c:pt>
                <c:pt idx="397">
                  <c:v>45520</c:v>
                </c:pt>
                <c:pt idx="398">
                  <c:v>45527</c:v>
                </c:pt>
                <c:pt idx="399">
                  <c:v>45534</c:v>
                </c:pt>
                <c:pt idx="400">
                  <c:v>45541</c:v>
                </c:pt>
                <c:pt idx="401">
                  <c:v>45548</c:v>
                </c:pt>
                <c:pt idx="402">
                  <c:v>45555</c:v>
                </c:pt>
                <c:pt idx="403">
                  <c:v>45562</c:v>
                </c:pt>
                <c:pt idx="404">
                  <c:v>45569</c:v>
                </c:pt>
                <c:pt idx="405">
                  <c:v>45576</c:v>
                </c:pt>
                <c:pt idx="406">
                  <c:v>45583</c:v>
                </c:pt>
                <c:pt idx="407">
                  <c:v>45590</c:v>
                </c:pt>
                <c:pt idx="408">
                  <c:v>45597</c:v>
                </c:pt>
                <c:pt idx="409">
                  <c:v>45604</c:v>
                </c:pt>
                <c:pt idx="410">
                  <c:v>45611</c:v>
                </c:pt>
                <c:pt idx="411">
                  <c:v>45618</c:v>
                </c:pt>
                <c:pt idx="412">
                  <c:v>45625</c:v>
                </c:pt>
              </c:numCache>
            </c:numRef>
          </c:cat>
          <c:val>
            <c:numRef>
              <c:f>Summary!$I$86:$I$498</c:f>
              <c:numCache>
                <c:formatCode>0.0\x_);\(0.0\x\)</c:formatCode>
                <c:ptCount val="413"/>
                <c:pt idx="0">
                  <c:v>16.147668169398553</c:v>
                </c:pt>
                <c:pt idx="1">
                  <c:v>16.147668169398553</c:v>
                </c:pt>
                <c:pt idx="2">
                  <c:v>16.147668169398553</c:v>
                </c:pt>
                <c:pt idx="3">
                  <c:v>16.147668169398553</c:v>
                </c:pt>
                <c:pt idx="4">
                  <c:v>16.147668169398553</c:v>
                </c:pt>
                <c:pt idx="5">
                  <c:v>16.147668169398553</c:v>
                </c:pt>
                <c:pt idx="6">
                  <c:v>16.147668169398553</c:v>
                </c:pt>
                <c:pt idx="7">
                  <c:v>16.147668169398553</c:v>
                </c:pt>
                <c:pt idx="8">
                  <c:v>16.147668169398553</c:v>
                </c:pt>
                <c:pt idx="9">
                  <c:v>16.147668169398553</c:v>
                </c:pt>
                <c:pt idx="10">
                  <c:v>16.147668169398553</c:v>
                </c:pt>
                <c:pt idx="11">
                  <c:v>16.147668169398553</c:v>
                </c:pt>
                <c:pt idx="12">
                  <c:v>16.147668169398553</c:v>
                </c:pt>
                <c:pt idx="13">
                  <c:v>16.147668169398553</c:v>
                </c:pt>
                <c:pt idx="14">
                  <c:v>16.147668169398553</c:v>
                </c:pt>
                <c:pt idx="15">
                  <c:v>16.147668169398553</c:v>
                </c:pt>
                <c:pt idx="16">
                  <c:v>16.147668169398553</c:v>
                </c:pt>
                <c:pt idx="17">
                  <c:v>16.147668169398553</c:v>
                </c:pt>
                <c:pt idx="18">
                  <c:v>16.147668169398553</c:v>
                </c:pt>
                <c:pt idx="19">
                  <c:v>16.147668169398553</c:v>
                </c:pt>
                <c:pt idx="20">
                  <c:v>16.147668169398553</c:v>
                </c:pt>
                <c:pt idx="21">
                  <c:v>16.147668169398553</c:v>
                </c:pt>
                <c:pt idx="22">
                  <c:v>16.147668169398553</c:v>
                </c:pt>
                <c:pt idx="23">
                  <c:v>16.147668169398553</c:v>
                </c:pt>
                <c:pt idx="24">
                  <c:v>16.147668169398553</c:v>
                </c:pt>
                <c:pt idx="25">
                  <c:v>16.147668169398553</c:v>
                </c:pt>
                <c:pt idx="26">
                  <c:v>16.147668169398553</c:v>
                </c:pt>
                <c:pt idx="27">
                  <c:v>16.147668169398553</c:v>
                </c:pt>
                <c:pt idx="28">
                  <c:v>16.147668169398553</c:v>
                </c:pt>
                <c:pt idx="29">
                  <c:v>16.147668169398553</c:v>
                </c:pt>
                <c:pt idx="30">
                  <c:v>16.147668169398553</c:v>
                </c:pt>
                <c:pt idx="31">
                  <c:v>16.147668169398553</c:v>
                </c:pt>
                <c:pt idx="32">
                  <c:v>16.147668169398553</c:v>
                </c:pt>
                <c:pt idx="33">
                  <c:v>16.147668169398553</c:v>
                </c:pt>
                <c:pt idx="34">
                  <c:v>16.147668169398553</c:v>
                </c:pt>
                <c:pt idx="35">
                  <c:v>16.147668169398553</c:v>
                </c:pt>
                <c:pt idx="36">
                  <c:v>16.147668169398553</c:v>
                </c:pt>
                <c:pt idx="37">
                  <c:v>16.147668169398553</c:v>
                </c:pt>
                <c:pt idx="38">
                  <c:v>16.147668169398553</c:v>
                </c:pt>
                <c:pt idx="39">
                  <c:v>16.147668169398553</c:v>
                </c:pt>
                <c:pt idx="40">
                  <c:v>16.147668169398553</c:v>
                </c:pt>
                <c:pt idx="41">
                  <c:v>16.147668169398553</c:v>
                </c:pt>
                <c:pt idx="42">
                  <c:v>16.147668169398553</c:v>
                </c:pt>
                <c:pt idx="43">
                  <c:v>16.147668169398553</c:v>
                </c:pt>
                <c:pt idx="44">
                  <c:v>16.147668169398553</c:v>
                </c:pt>
                <c:pt idx="45">
                  <c:v>16.147668169398553</c:v>
                </c:pt>
                <c:pt idx="46">
                  <c:v>16.147668169398553</c:v>
                </c:pt>
                <c:pt idx="47">
                  <c:v>16.147668169398553</c:v>
                </c:pt>
                <c:pt idx="48">
                  <c:v>16.147668169398553</c:v>
                </c:pt>
                <c:pt idx="49">
                  <c:v>16.147668169398553</c:v>
                </c:pt>
                <c:pt idx="50">
                  <c:v>16.147668169398553</c:v>
                </c:pt>
                <c:pt idx="51">
                  <c:v>16.147668169398553</c:v>
                </c:pt>
                <c:pt idx="52">
                  <c:v>16.147668169398553</c:v>
                </c:pt>
                <c:pt idx="53">
                  <c:v>16.147668169398553</c:v>
                </c:pt>
                <c:pt idx="54">
                  <c:v>16.147668169398553</c:v>
                </c:pt>
                <c:pt idx="55">
                  <c:v>16.147668169398553</c:v>
                </c:pt>
                <c:pt idx="56">
                  <c:v>16.147668169398553</c:v>
                </c:pt>
                <c:pt idx="57">
                  <c:v>16.147668169398553</c:v>
                </c:pt>
                <c:pt idx="58">
                  <c:v>16.147668169398553</c:v>
                </c:pt>
                <c:pt idx="59">
                  <c:v>16.147668169398553</c:v>
                </c:pt>
                <c:pt idx="60">
                  <c:v>16.147668169398553</c:v>
                </c:pt>
                <c:pt idx="61">
                  <c:v>16.147668169398553</c:v>
                </c:pt>
                <c:pt idx="62">
                  <c:v>16.147668169398553</c:v>
                </c:pt>
                <c:pt idx="63">
                  <c:v>16.147668169398553</c:v>
                </c:pt>
                <c:pt idx="64">
                  <c:v>16.147668169398553</c:v>
                </c:pt>
                <c:pt idx="65">
                  <c:v>16.147668169398553</c:v>
                </c:pt>
                <c:pt idx="66">
                  <c:v>16.147668169398553</c:v>
                </c:pt>
                <c:pt idx="67">
                  <c:v>16.147668169398553</c:v>
                </c:pt>
                <c:pt idx="68">
                  <c:v>16.147668169398553</c:v>
                </c:pt>
                <c:pt idx="69">
                  <c:v>16.147668169398553</c:v>
                </c:pt>
                <c:pt idx="70">
                  <c:v>16.147668169398553</c:v>
                </c:pt>
                <c:pt idx="71">
                  <c:v>16.147668169398553</c:v>
                </c:pt>
                <c:pt idx="72">
                  <c:v>16.147668169398553</c:v>
                </c:pt>
                <c:pt idx="73">
                  <c:v>16.147668169398553</c:v>
                </c:pt>
                <c:pt idx="74">
                  <c:v>16.147668169398553</c:v>
                </c:pt>
                <c:pt idx="75">
                  <c:v>16.147668169398553</c:v>
                </c:pt>
                <c:pt idx="76">
                  <c:v>16.147668169398553</c:v>
                </c:pt>
                <c:pt idx="77">
                  <c:v>16.147668169398553</c:v>
                </c:pt>
                <c:pt idx="78">
                  <c:v>16.147668169398553</c:v>
                </c:pt>
                <c:pt idx="79">
                  <c:v>16.147668169398553</c:v>
                </c:pt>
                <c:pt idx="80">
                  <c:v>16.147668169398553</c:v>
                </c:pt>
                <c:pt idx="81">
                  <c:v>16.147668169398553</c:v>
                </c:pt>
                <c:pt idx="82">
                  <c:v>16.147668169398553</c:v>
                </c:pt>
                <c:pt idx="83">
                  <c:v>16.147668169398553</c:v>
                </c:pt>
                <c:pt idx="84">
                  <c:v>16.147668169398553</c:v>
                </c:pt>
                <c:pt idx="85">
                  <c:v>16.147668169398553</c:v>
                </c:pt>
                <c:pt idx="86">
                  <c:v>16.147668169398553</c:v>
                </c:pt>
                <c:pt idx="87">
                  <c:v>16.147668169398553</c:v>
                </c:pt>
                <c:pt idx="88">
                  <c:v>16.147668169398553</c:v>
                </c:pt>
                <c:pt idx="89">
                  <c:v>16.147668169398553</c:v>
                </c:pt>
                <c:pt idx="90">
                  <c:v>16.147668169398553</c:v>
                </c:pt>
                <c:pt idx="91">
                  <c:v>16.147668169398553</c:v>
                </c:pt>
                <c:pt idx="92">
                  <c:v>16.147668169398553</c:v>
                </c:pt>
                <c:pt idx="93">
                  <c:v>16.147668169398553</c:v>
                </c:pt>
                <c:pt idx="94">
                  <c:v>16.147668169398553</c:v>
                </c:pt>
                <c:pt idx="95">
                  <c:v>16.147668169398553</c:v>
                </c:pt>
                <c:pt idx="96">
                  <c:v>16.147668169398553</c:v>
                </c:pt>
                <c:pt idx="97">
                  <c:v>16.147668169398553</c:v>
                </c:pt>
                <c:pt idx="98">
                  <c:v>16.147668169398553</c:v>
                </c:pt>
                <c:pt idx="99">
                  <c:v>16.147668169398553</c:v>
                </c:pt>
                <c:pt idx="100">
                  <c:v>16.147668169398553</c:v>
                </c:pt>
                <c:pt idx="101">
                  <c:v>16.147668169398553</c:v>
                </c:pt>
                <c:pt idx="102">
                  <c:v>16.147668169398553</c:v>
                </c:pt>
                <c:pt idx="103">
                  <c:v>16.147668169398553</c:v>
                </c:pt>
                <c:pt idx="104">
                  <c:v>16.147668169398553</c:v>
                </c:pt>
                <c:pt idx="105">
                  <c:v>16.147668169398553</c:v>
                </c:pt>
                <c:pt idx="106">
                  <c:v>16.147668169398553</c:v>
                </c:pt>
                <c:pt idx="107">
                  <c:v>16.147668169398553</c:v>
                </c:pt>
                <c:pt idx="108">
                  <c:v>16.147668169398553</c:v>
                </c:pt>
                <c:pt idx="109">
                  <c:v>16.147668169398553</c:v>
                </c:pt>
                <c:pt idx="110">
                  <c:v>16.147668169398553</c:v>
                </c:pt>
                <c:pt idx="111">
                  <c:v>16.147668169398553</c:v>
                </c:pt>
                <c:pt idx="112">
                  <c:v>16.147668169398553</c:v>
                </c:pt>
                <c:pt idx="113">
                  <c:v>16.147668169398553</c:v>
                </c:pt>
                <c:pt idx="114">
                  <c:v>16.147668169398553</c:v>
                </c:pt>
                <c:pt idx="115">
                  <c:v>16.147668169398553</c:v>
                </c:pt>
                <c:pt idx="116">
                  <c:v>16.147668169398553</c:v>
                </c:pt>
                <c:pt idx="117">
                  <c:v>16.147668169398553</c:v>
                </c:pt>
                <c:pt idx="118">
                  <c:v>16.147668169398553</c:v>
                </c:pt>
                <c:pt idx="119">
                  <c:v>16.147668169398553</c:v>
                </c:pt>
                <c:pt idx="120">
                  <c:v>16.147668169398553</c:v>
                </c:pt>
                <c:pt idx="121">
                  <c:v>16.147668169398553</c:v>
                </c:pt>
                <c:pt idx="122">
                  <c:v>16.147668169398553</c:v>
                </c:pt>
                <c:pt idx="123">
                  <c:v>16.147668169398553</c:v>
                </c:pt>
                <c:pt idx="124">
                  <c:v>16.147668169398553</c:v>
                </c:pt>
                <c:pt idx="125">
                  <c:v>16.147668169398553</c:v>
                </c:pt>
                <c:pt idx="126">
                  <c:v>16.147668169398553</c:v>
                </c:pt>
                <c:pt idx="127">
                  <c:v>16.147668169398553</c:v>
                </c:pt>
                <c:pt idx="128">
                  <c:v>16.147668169398553</c:v>
                </c:pt>
                <c:pt idx="129">
                  <c:v>16.147668169398553</c:v>
                </c:pt>
                <c:pt idx="130">
                  <c:v>16.147668169398553</c:v>
                </c:pt>
                <c:pt idx="131">
                  <c:v>16.147668169398553</c:v>
                </c:pt>
                <c:pt idx="132">
                  <c:v>16.147668169398553</c:v>
                </c:pt>
                <c:pt idx="133">
                  <c:v>16.147668169398553</c:v>
                </c:pt>
                <c:pt idx="134">
                  <c:v>16.147668169398553</c:v>
                </c:pt>
                <c:pt idx="135">
                  <c:v>16.147668169398553</c:v>
                </c:pt>
                <c:pt idx="136">
                  <c:v>16.147668169398553</c:v>
                </c:pt>
                <c:pt idx="137">
                  <c:v>16.147668169398553</c:v>
                </c:pt>
                <c:pt idx="138">
                  <c:v>16.147668169398553</c:v>
                </c:pt>
                <c:pt idx="139">
                  <c:v>16.147668169398553</c:v>
                </c:pt>
                <c:pt idx="140">
                  <c:v>16.147668169398553</c:v>
                </c:pt>
                <c:pt idx="141">
                  <c:v>16.147668169398553</c:v>
                </c:pt>
                <c:pt idx="142">
                  <c:v>16.147668169398553</c:v>
                </c:pt>
                <c:pt idx="143">
                  <c:v>16.147668169398553</c:v>
                </c:pt>
                <c:pt idx="144">
                  <c:v>16.147668169398553</c:v>
                </c:pt>
                <c:pt idx="145">
                  <c:v>16.147668169398553</c:v>
                </c:pt>
                <c:pt idx="146">
                  <c:v>16.147668169398553</c:v>
                </c:pt>
                <c:pt idx="147">
                  <c:v>16.147668169398553</c:v>
                </c:pt>
                <c:pt idx="148">
                  <c:v>16.147668169398553</c:v>
                </c:pt>
                <c:pt idx="149">
                  <c:v>16.147668169398553</c:v>
                </c:pt>
                <c:pt idx="150">
                  <c:v>16.147668169398553</c:v>
                </c:pt>
                <c:pt idx="151">
                  <c:v>16.147668169398553</c:v>
                </c:pt>
                <c:pt idx="152">
                  <c:v>16.147668169398553</c:v>
                </c:pt>
                <c:pt idx="153">
                  <c:v>16.147668169398553</c:v>
                </c:pt>
                <c:pt idx="154">
                  <c:v>16.147668169398553</c:v>
                </c:pt>
                <c:pt idx="155">
                  <c:v>16.147668169398553</c:v>
                </c:pt>
                <c:pt idx="156">
                  <c:v>16.147668169398553</c:v>
                </c:pt>
                <c:pt idx="157">
                  <c:v>16.147668169398553</c:v>
                </c:pt>
                <c:pt idx="158">
                  <c:v>16.147668169398553</c:v>
                </c:pt>
                <c:pt idx="159">
                  <c:v>16.147668169398553</c:v>
                </c:pt>
                <c:pt idx="160">
                  <c:v>16.147668169398553</c:v>
                </c:pt>
                <c:pt idx="161">
                  <c:v>16.147668169398553</c:v>
                </c:pt>
                <c:pt idx="162">
                  <c:v>16.147668169398553</c:v>
                </c:pt>
                <c:pt idx="163">
                  <c:v>16.147668169398553</c:v>
                </c:pt>
                <c:pt idx="164">
                  <c:v>16.147668169398553</c:v>
                </c:pt>
                <c:pt idx="165">
                  <c:v>16.147668169398553</c:v>
                </c:pt>
                <c:pt idx="166">
                  <c:v>16.147668169398553</c:v>
                </c:pt>
                <c:pt idx="167">
                  <c:v>16.147668169398553</c:v>
                </c:pt>
                <c:pt idx="168">
                  <c:v>16.147668169398553</c:v>
                </c:pt>
                <c:pt idx="169">
                  <c:v>16.147668169398553</c:v>
                </c:pt>
                <c:pt idx="170">
                  <c:v>16.147668169398553</c:v>
                </c:pt>
                <c:pt idx="171">
                  <c:v>16.147668169398553</c:v>
                </c:pt>
                <c:pt idx="172">
                  <c:v>16.147668169398553</c:v>
                </c:pt>
                <c:pt idx="173">
                  <c:v>16.147668169398553</c:v>
                </c:pt>
                <c:pt idx="174">
                  <c:v>16.147668169398553</c:v>
                </c:pt>
                <c:pt idx="175">
                  <c:v>16.147668169398553</c:v>
                </c:pt>
                <c:pt idx="176">
                  <c:v>16.147668169398553</c:v>
                </c:pt>
                <c:pt idx="177">
                  <c:v>16.147668169398553</c:v>
                </c:pt>
                <c:pt idx="178">
                  <c:v>16.147668169398553</c:v>
                </c:pt>
                <c:pt idx="179">
                  <c:v>16.147668169398553</c:v>
                </c:pt>
                <c:pt idx="180">
                  <c:v>16.147668169398553</c:v>
                </c:pt>
                <c:pt idx="181">
                  <c:v>16.147668169398553</c:v>
                </c:pt>
                <c:pt idx="182">
                  <c:v>16.147668169398553</c:v>
                </c:pt>
                <c:pt idx="183">
                  <c:v>16.147668169398553</c:v>
                </c:pt>
                <c:pt idx="184">
                  <c:v>16.147668169398553</c:v>
                </c:pt>
                <c:pt idx="185">
                  <c:v>16.147668169398553</c:v>
                </c:pt>
                <c:pt idx="186">
                  <c:v>16.147668169398553</c:v>
                </c:pt>
                <c:pt idx="187">
                  <c:v>16.147668169398553</c:v>
                </c:pt>
                <c:pt idx="188">
                  <c:v>16.147668169398553</c:v>
                </c:pt>
                <c:pt idx="189">
                  <c:v>16.147668169398553</c:v>
                </c:pt>
                <c:pt idx="190">
                  <c:v>16.147668169398553</c:v>
                </c:pt>
                <c:pt idx="191">
                  <c:v>16.147668169398553</c:v>
                </c:pt>
                <c:pt idx="192">
                  <c:v>16.147668169398553</c:v>
                </c:pt>
                <c:pt idx="193">
                  <c:v>16.147668169398553</c:v>
                </c:pt>
                <c:pt idx="194">
                  <c:v>16.147668169398553</c:v>
                </c:pt>
                <c:pt idx="195">
                  <c:v>16.147668169398553</c:v>
                </c:pt>
                <c:pt idx="196">
                  <c:v>16.147668169398553</c:v>
                </c:pt>
                <c:pt idx="197">
                  <c:v>16.147668169398553</c:v>
                </c:pt>
                <c:pt idx="198">
                  <c:v>16.147668169398553</c:v>
                </c:pt>
                <c:pt idx="199">
                  <c:v>16.147668169398553</c:v>
                </c:pt>
                <c:pt idx="200">
                  <c:v>16.147668169398553</c:v>
                </c:pt>
                <c:pt idx="201">
                  <c:v>16.147668169398553</c:v>
                </c:pt>
                <c:pt idx="202">
                  <c:v>16.147668169398553</c:v>
                </c:pt>
                <c:pt idx="203">
                  <c:v>16.147668169398553</c:v>
                </c:pt>
                <c:pt idx="204">
                  <c:v>16.147668169398553</c:v>
                </c:pt>
                <c:pt idx="205">
                  <c:v>16.147668169398553</c:v>
                </c:pt>
                <c:pt idx="206">
                  <c:v>16.147668169398553</c:v>
                </c:pt>
                <c:pt idx="207">
                  <c:v>16.147668169398553</c:v>
                </c:pt>
                <c:pt idx="208">
                  <c:v>16.147668169398553</c:v>
                </c:pt>
                <c:pt idx="209">
                  <c:v>16.147668169398553</c:v>
                </c:pt>
                <c:pt idx="210">
                  <c:v>16.147668169398553</c:v>
                </c:pt>
                <c:pt idx="211">
                  <c:v>16.147668169398553</c:v>
                </c:pt>
                <c:pt idx="212">
                  <c:v>16.147668169398553</c:v>
                </c:pt>
                <c:pt idx="213">
                  <c:v>16.147668169398553</c:v>
                </c:pt>
                <c:pt idx="214">
                  <c:v>16.147668169398553</c:v>
                </c:pt>
                <c:pt idx="215">
                  <c:v>16.147668169398553</c:v>
                </c:pt>
                <c:pt idx="216">
                  <c:v>16.147668169398553</c:v>
                </c:pt>
                <c:pt idx="217">
                  <c:v>16.147668169398553</c:v>
                </c:pt>
                <c:pt idx="218">
                  <c:v>16.147668169398553</c:v>
                </c:pt>
                <c:pt idx="219">
                  <c:v>16.147668169398553</c:v>
                </c:pt>
                <c:pt idx="220">
                  <c:v>16.147668169398553</c:v>
                </c:pt>
                <c:pt idx="221">
                  <c:v>16.147668169398553</c:v>
                </c:pt>
                <c:pt idx="222">
                  <c:v>16.147668169398553</c:v>
                </c:pt>
                <c:pt idx="223">
                  <c:v>16.147668169398553</c:v>
                </c:pt>
                <c:pt idx="224">
                  <c:v>16.147668169398553</c:v>
                </c:pt>
                <c:pt idx="225">
                  <c:v>16.147668169398553</c:v>
                </c:pt>
                <c:pt idx="226">
                  <c:v>16.147668169398553</c:v>
                </c:pt>
                <c:pt idx="227">
                  <c:v>16.147668169398553</c:v>
                </c:pt>
                <c:pt idx="228">
                  <c:v>16.147668169398553</c:v>
                </c:pt>
                <c:pt idx="229">
                  <c:v>16.147668169398553</c:v>
                </c:pt>
                <c:pt idx="230">
                  <c:v>16.147668169398553</c:v>
                </c:pt>
                <c:pt idx="231">
                  <c:v>16.147668169398553</c:v>
                </c:pt>
                <c:pt idx="232">
                  <c:v>16.147668169398553</c:v>
                </c:pt>
                <c:pt idx="233">
                  <c:v>16.147668169398553</c:v>
                </c:pt>
                <c:pt idx="234">
                  <c:v>16.147668169398553</c:v>
                </c:pt>
                <c:pt idx="235">
                  <c:v>16.147668169398553</c:v>
                </c:pt>
                <c:pt idx="236">
                  <c:v>16.147668169398553</c:v>
                </c:pt>
                <c:pt idx="237">
                  <c:v>16.147668169398553</c:v>
                </c:pt>
                <c:pt idx="238">
                  <c:v>16.147668169398553</c:v>
                </c:pt>
                <c:pt idx="239">
                  <c:v>16.147668169398553</c:v>
                </c:pt>
                <c:pt idx="240">
                  <c:v>16.147668169398553</c:v>
                </c:pt>
                <c:pt idx="241">
                  <c:v>16.147668169398553</c:v>
                </c:pt>
                <c:pt idx="242">
                  <c:v>16.147668169398553</c:v>
                </c:pt>
                <c:pt idx="243">
                  <c:v>16.147668169398553</c:v>
                </c:pt>
                <c:pt idx="244">
                  <c:v>16.147668169398553</c:v>
                </c:pt>
                <c:pt idx="245">
                  <c:v>16.147668169398553</c:v>
                </c:pt>
                <c:pt idx="246">
                  <c:v>16.147668169398553</c:v>
                </c:pt>
                <c:pt idx="247">
                  <c:v>16.147668169398553</c:v>
                </c:pt>
                <c:pt idx="248">
                  <c:v>16.147668169398553</c:v>
                </c:pt>
                <c:pt idx="249">
                  <c:v>16.147668169398553</c:v>
                </c:pt>
                <c:pt idx="250">
                  <c:v>16.147668169398553</c:v>
                </c:pt>
                <c:pt idx="251">
                  <c:v>16.147668169398553</c:v>
                </c:pt>
                <c:pt idx="252">
                  <c:v>16.147668169398553</c:v>
                </c:pt>
                <c:pt idx="253">
                  <c:v>16.147668169398553</c:v>
                </c:pt>
                <c:pt idx="254">
                  <c:v>16.147668169398553</c:v>
                </c:pt>
                <c:pt idx="255">
                  <c:v>16.147668169398553</c:v>
                </c:pt>
                <c:pt idx="256">
                  <c:v>16.147668169398553</c:v>
                </c:pt>
                <c:pt idx="257">
                  <c:v>16.147668169398553</c:v>
                </c:pt>
                <c:pt idx="258">
                  <c:v>16.147668169398553</c:v>
                </c:pt>
                <c:pt idx="259">
                  <c:v>16.147668169398553</c:v>
                </c:pt>
                <c:pt idx="260">
                  <c:v>16.147668169398553</c:v>
                </c:pt>
                <c:pt idx="261">
                  <c:v>16.147668169398553</c:v>
                </c:pt>
                <c:pt idx="262">
                  <c:v>16.147668169398553</c:v>
                </c:pt>
                <c:pt idx="263">
                  <c:v>16.147668169398553</c:v>
                </c:pt>
                <c:pt idx="264">
                  <c:v>16.147668169398553</c:v>
                </c:pt>
                <c:pt idx="265">
                  <c:v>16.147668169398553</c:v>
                </c:pt>
                <c:pt idx="266">
                  <c:v>16.147668169398553</c:v>
                </c:pt>
                <c:pt idx="267">
                  <c:v>16.147668169398553</c:v>
                </c:pt>
                <c:pt idx="268">
                  <c:v>16.147668169398553</c:v>
                </c:pt>
                <c:pt idx="269">
                  <c:v>16.147668169398553</c:v>
                </c:pt>
                <c:pt idx="270">
                  <c:v>16.147668169398553</c:v>
                </c:pt>
                <c:pt idx="271">
                  <c:v>16.147668169398553</c:v>
                </c:pt>
                <c:pt idx="272">
                  <c:v>16.147668169398553</c:v>
                </c:pt>
                <c:pt idx="273">
                  <c:v>16.147668169398553</c:v>
                </c:pt>
                <c:pt idx="274">
                  <c:v>16.147668169398553</c:v>
                </c:pt>
                <c:pt idx="275">
                  <c:v>16.147668169398553</c:v>
                </c:pt>
                <c:pt idx="276">
                  <c:v>16.147668169398553</c:v>
                </c:pt>
                <c:pt idx="277">
                  <c:v>16.147668169398553</c:v>
                </c:pt>
                <c:pt idx="278">
                  <c:v>16.147668169398553</c:v>
                </c:pt>
                <c:pt idx="279">
                  <c:v>16.147668169398553</c:v>
                </c:pt>
                <c:pt idx="280">
                  <c:v>16.147668169398553</c:v>
                </c:pt>
                <c:pt idx="281">
                  <c:v>16.147668169398553</c:v>
                </c:pt>
                <c:pt idx="282">
                  <c:v>16.147668169398553</c:v>
                </c:pt>
                <c:pt idx="283">
                  <c:v>16.147668169398553</c:v>
                </c:pt>
                <c:pt idx="284">
                  <c:v>16.147668169398553</c:v>
                </c:pt>
                <c:pt idx="285">
                  <c:v>16.147668169398553</c:v>
                </c:pt>
                <c:pt idx="286">
                  <c:v>16.147668169398553</c:v>
                </c:pt>
                <c:pt idx="287">
                  <c:v>16.147668169398553</c:v>
                </c:pt>
                <c:pt idx="288">
                  <c:v>16.147668169398553</c:v>
                </c:pt>
                <c:pt idx="289">
                  <c:v>16.147668169398553</c:v>
                </c:pt>
                <c:pt idx="290">
                  <c:v>16.147668169398553</c:v>
                </c:pt>
                <c:pt idx="291">
                  <c:v>16.147668169398553</c:v>
                </c:pt>
                <c:pt idx="292">
                  <c:v>16.147668169398553</c:v>
                </c:pt>
                <c:pt idx="293">
                  <c:v>16.147668169398553</c:v>
                </c:pt>
                <c:pt idx="294">
                  <c:v>16.147668169398553</c:v>
                </c:pt>
                <c:pt idx="295">
                  <c:v>16.147668169398553</c:v>
                </c:pt>
                <c:pt idx="296">
                  <c:v>16.147668169398553</c:v>
                </c:pt>
                <c:pt idx="297">
                  <c:v>16.147668169398553</c:v>
                </c:pt>
                <c:pt idx="298">
                  <c:v>16.147668169398553</c:v>
                </c:pt>
                <c:pt idx="299">
                  <c:v>16.147668169398553</c:v>
                </c:pt>
                <c:pt idx="300">
                  <c:v>16.147668169398553</c:v>
                </c:pt>
                <c:pt idx="301">
                  <c:v>16.147668169398553</c:v>
                </c:pt>
                <c:pt idx="302">
                  <c:v>16.147668169398553</c:v>
                </c:pt>
                <c:pt idx="303">
                  <c:v>16.147668169398553</c:v>
                </c:pt>
                <c:pt idx="304">
                  <c:v>16.147668169398553</c:v>
                </c:pt>
                <c:pt idx="305">
                  <c:v>16.147668169398553</c:v>
                </c:pt>
                <c:pt idx="306">
                  <c:v>16.147668169398553</c:v>
                </c:pt>
                <c:pt idx="307">
                  <c:v>16.147668169398553</c:v>
                </c:pt>
                <c:pt idx="308">
                  <c:v>16.147668169398553</c:v>
                </c:pt>
                <c:pt idx="309">
                  <c:v>16.147668169398553</c:v>
                </c:pt>
                <c:pt idx="310">
                  <c:v>16.147668169398553</c:v>
                </c:pt>
                <c:pt idx="311">
                  <c:v>16.147668169398553</c:v>
                </c:pt>
                <c:pt idx="312">
                  <c:v>16.147668169398553</c:v>
                </c:pt>
                <c:pt idx="313">
                  <c:v>16.147668169398553</c:v>
                </c:pt>
                <c:pt idx="314">
                  <c:v>16.147668169398553</c:v>
                </c:pt>
                <c:pt idx="315">
                  <c:v>16.147668169398553</c:v>
                </c:pt>
                <c:pt idx="316">
                  <c:v>16.147668169398553</c:v>
                </c:pt>
                <c:pt idx="317">
                  <c:v>16.147668169398553</c:v>
                </c:pt>
                <c:pt idx="318">
                  <c:v>16.147668169398553</c:v>
                </c:pt>
                <c:pt idx="319">
                  <c:v>16.147668169398553</c:v>
                </c:pt>
                <c:pt idx="320">
                  <c:v>16.147668169398553</c:v>
                </c:pt>
                <c:pt idx="321">
                  <c:v>16.147668169398553</c:v>
                </c:pt>
                <c:pt idx="322">
                  <c:v>16.147668169398553</c:v>
                </c:pt>
                <c:pt idx="323">
                  <c:v>16.147668169398553</c:v>
                </c:pt>
                <c:pt idx="324">
                  <c:v>16.147668169398553</c:v>
                </c:pt>
                <c:pt idx="325">
                  <c:v>16.147668169398553</c:v>
                </c:pt>
                <c:pt idx="326">
                  <c:v>16.147668169398553</c:v>
                </c:pt>
                <c:pt idx="327">
                  <c:v>16.147668169398553</c:v>
                </c:pt>
                <c:pt idx="328">
                  <c:v>16.147668169398553</c:v>
                </c:pt>
                <c:pt idx="329">
                  <c:v>16.147668169398553</c:v>
                </c:pt>
                <c:pt idx="330">
                  <c:v>16.147668169398553</c:v>
                </c:pt>
                <c:pt idx="331">
                  <c:v>16.147668169398553</c:v>
                </c:pt>
                <c:pt idx="332">
                  <c:v>16.147668169398553</c:v>
                </c:pt>
                <c:pt idx="333">
                  <c:v>16.147668169398553</c:v>
                </c:pt>
                <c:pt idx="334">
                  <c:v>16.147668169398553</c:v>
                </c:pt>
                <c:pt idx="335">
                  <c:v>16.147668169398553</c:v>
                </c:pt>
                <c:pt idx="336">
                  <c:v>16.147668169398553</c:v>
                </c:pt>
                <c:pt idx="337">
                  <c:v>16.147668169398553</c:v>
                </c:pt>
                <c:pt idx="338">
                  <c:v>16.147668169398553</c:v>
                </c:pt>
                <c:pt idx="339">
                  <c:v>16.147668169398553</c:v>
                </c:pt>
                <c:pt idx="340">
                  <c:v>16.147668169398553</c:v>
                </c:pt>
                <c:pt idx="341">
                  <c:v>16.147668169398553</c:v>
                </c:pt>
                <c:pt idx="342">
                  <c:v>16.147668169398553</c:v>
                </c:pt>
                <c:pt idx="343">
                  <c:v>16.147668169398553</c:v>
                </c:pt>
                <c:pt idx="344">
                  <c:v>16.147668169398553</c:v>
                </c:pt>
                <c:pt idx="345">
                  <c:v>16.147668169398553</c:v>
                </c:pt>
                <c:pt idx="346">
                  <c:v>16.147668169398553</c:v>
                </c:pt>
                <c:pt idx="347">
                  <c:v>16.147668169398553</c:v>
                </c:pt>
                <c:pt idx="348">
                  <c:v>16.147668169398553</c:v>
                </c:pt>
                <c:pt idx="349">
                  <c:v>16.147668169398553</c:v>
                </c:pt>
                <c:pt idx="350">
                  <c:v>16.147668169398553</c:v>
                </c:pt>
                <c:pt idx="351">
                  <c:v>16.147668169398553</c:v>
                </c:pt>
                <c:pt idx="352">
                  <c:v>16.147668169398553</c:v>
                </c:pt>
                <c:pt idx="353">
                  <c:v>16.147668169398553</c:v>
                </c:pt>
                <c:pt idx="354">
                  <c:v>16.147668169398553</c:v>
                </c:pt>
                <c:pt idx="355">
                  <c:v>16.147668169398553</c:v>
                </c:pt>
                <c:pt idx="356">
                  <c:v>16.147668169398553</c:v>
                </c:pt>
                <c:pt idx="357">
                  <c:v>16.147668169398553</c:v>
                </c:pt>
                <c:pt idx="358">
                  <c:v>16.147668169398553</c:v>
                </c:pt>
                <c:pt idx="359">
                  <c:v>16.147668169398553</c:v>
                </c:pt>
                <c:pt idx="360">
                  <c:v>16.147668169398553</c:v>
                </c:pt>
                <c:pt idx="361">
                  <c:v>16.147668169398553</c:v>
                </c:pt>
                <c:pt idx="362">
                  <c:v>16.147668169398553</c:v>
                </c:pt>
                <c:pt idx="363">
                  <c:v>16.147668169398553</c:v>
                </c:pt>
                <c:pt idx="364">
                  <c:v>16.147668169398553</c:v>
                </c:pt>
                <c:pt idx="365">
                  <c:v>16.147668169398553</c:v>
                </c:pt>
                <c:pt idx="366">
                  <c:v>16.147668169398553</c:v>
                </c:pt>
                <c:pt idx="367">
                  <c:v>16.147668169398553</c:v>
                </c:pt>
                <c:pt idx="368">
                  <c:v>16.147668169398553</c:v>
                </c:pt>
                <c:pt idx="369">
                  <c:v>16.147668169398553</c:v>
                </c:pt>
                <c:pt idx="370">
                  <c:v>16.147668169398553</c:v>
                </c:pt>
                <c:pt idx="371">
                  <c:v>16.147668169398553</c:v>
                </c:pt>
                <c:pt idx="372">
                  <c:v>16.147668169398553</c:v>
                </c:pt>
                <c:pt idx="373">
                  <c:v>16.147668169398553</c:v>
                </c:pt>
                <c:pt idx="374">
                  <c:v>16.147668169398553</c:v>
                </c:pt>
                <c:pt idx="375">
                  <c:v>16.147668169398553</c:v>
                </c:pt>
                <c:pt idx="376">
                  <c:v>16.147668169398553</c:v>
                </c:pt>
                <c:pt idx="377">
                  <c:v>16.147668169398553</c:v>
                </c:pt>
                <c:pt idx="378">
                  <c:v>16.147668169398553</c:v>
                </c:pt>
                <c:pt idx="379">
                  <c:v>16.147668169398553</c:v>
                </c:pt>
                <c:pt idx="380">
                  <c:v>16.147668169398553</c:v>
                </c:pt>
                <c:pt idx="381">
                  <c:v>16.147668169398553</c:v>
                </c:pt>
                <c:pt idx="382">
                  <c:v>16.147668169398553</c:v>
                </c:pt>
                <c:pt idx="383">
                  <c:v>16.147668169398553</c:v>
                </c:pt>
                <c:pt idx="384">
                  <c:v>16.147668169398553</c:v>
                </c:pt>
                <c:pt idx="385">
                  <c:v>16.147668169398553</c:v>
                </c:pt>
                <c:pt idx="386">
                  <c:v>16.147668169398553</c:v>
                </c:pt>
                <c:pt idx="387">
                  <c:v>16.147668169398553</c:v>
                </c:pt>
                <c:pt idx="388">
                  <c:v>16.147668169398553</c:v>
                </c:pt>
                <c:pt idx="389">
                  <c:v>16.147668169398553</c:v>
                </c:pt>
                <c:pt idx="390">
                  <c:v>16.147668169398553</c:v>
                </c:pt>
                <c:pt idx="391">
                  <c:v>16.147668169398553</c:v>
                </c:pt>
                <c:pt idx="392">
                  <c:v>16.147668169398553</c:v>
                </c:pt>
                <c:pt idx="393">
                  <c:v>16.147668169398553</c:v>
                </c:pt>
                <c:pt idx="394">
                  <c:v>16.147668169398553</c:v>
                </c:pt>
                <c:pt idx="395">
                  <c:v>16.147668169398553</c:v>
                </c:pt>
                <c:pt idx="396">
                  <c:v>16.147668169398553</c:v>
                </c:pt>
                <c:pt idx="397">
                  <c:v>16.147668169398553</c:v>
                </c:pt>
                <c:pt idx="398">
                  <c:v>16.147668169398553</c:v>
                </c:pt>
                <c:pt idx="399">
                  <c:v>16.147668169398553</c:v>
                </c:pt>
                <c:pt idx="400">
                  <c:v>16.147668169398553</c:v>
                </c:pt>
                <c:pt idx="401">
                  <c:v>16.147668169398553</c:v>
                </c:pt>
                <c:pt idx="402">
                  <c:v>16.147668169398553</c:v>
                </c:pt>
                <c:pt idx="403">
                  <c:v>16.147668169398553</c:v>
                </c:pt>
                <c:pt idx="404">
                  <c:v>16.147668169398553</c:v>
                </c:pt>
                <c:pt idx="405">
                  <c:v>16.147668169398553</c:v>
                </c:pt>
                <c:pt idx="406">
                  <c:v>16.147668169398553</c:v>
                </c:pt>
                <c:pt idx="407">
                  <c:v>16.147668169398553</c:v>
                </c:pt>
                <c:pt idx="408">
                  <c:v>16.147668169398553</c:v>
                </c:pt>
                <c:pt idx="409">
                  <c:v>16.147668169398553</c:v>
                </c:pt>
                <c:pt idx="410">
                  <c:v>16.147668169398553</c:v>
                </c:pt>
                <c:pt idx="411">
                  <c:v>16.147668169398553</c:v>
                </c:pt>
                <c:pt idx="412">
                  <c:v>16.147668169398553</c:v>
                </c:pt>
              </c:numCache>
            </c:numRef>
          </c:val>
          <c:smooth val="0"/>
          <c:extLst>
            <c:ext xmlns:c16="http://schemas.microsoft.com/office/drawing/2014/chart" uri="{C3380CC4-5D6E-409C-BE32-E72D297353CC}">
              <c16:uniqueId val="{00000001-0C61-472C-8756-900BB55EBDA5}"/>
            </c:ext>
          </c:extLst>
        </c:ser>
        <c:ser>
          <c:idx val="2"/>
          <c:order val="2"/>
          <c:tx>
            <c:strRef>
              <c:f>Summary!$J$85</c:f>
              <c:strCache>
                <c:ptCount val="1"/>
                <c:pt idx="0">
                  <c:v>eCom Software EV/Rev</c:v>
                </c:pt>
              </c:strCache>
            </c:strRef>
          </c:tx>
          <c:spPr>
            <a:ln w="28575" cap="rnd">
              <a:solidFill>
                <a:schemeClr val="accent1"/>
              </a:solidFill>
              <a:round/>
            </a:ln>
            <a:effectLst/>
          </c:spPr>
          <c:marker>
            <c:symbol val="none"/>
          </c:marker>
          <c:cat>
            <c:numRef>
              <c:f>Summary!$B$86:$B$498</c:f>
              <c:numCache>
                <c:formatCode>m/d/yyyy</c:formatCode>
                <c:ptCount val="413"/>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45002</c:v>
                </c:pt>
                <c:pt idx="324">
                  <c:v>45009</c:v>
                </c:pt>
                <c:pt idx="325">
                  <c:v>45016</c:v>
                </c:pt>
                <c:pt idx="326">
                  <c:v>45023</c:v>
                </c:pt>
                <c:pt idx="327">
                  <c:v>45030</c:v>
                </c:pt>
                <c:pt idx="328">
                  <c:v>45037</c:v>
                </c:pt>
                <c:pt idx="329">
                  <c:v>45044</c:v>
                </c:pt>
                <c:pt idx="330">
                  <c:v>45051</c:v>
                </c:pt>
                <c:pt idx="331">
                  <c:v>45058</c:v>
                </c:pt>
                <c:pt idx="332">
                  <c:v>45065</c:v>
                </c:pt>
                <c:pt idx="333">
                  <c:v>45072</c:v>
                </c:pt>
                <c:pt idx="334">
                  <c:v>45079</c:v>
                </c:pt>
                <c:pt idx="335">
                  <c:v>45086</c:v>
                </c:pt>
                <c:pt idx="336">
                  <c:v>45093</c:v>
                </c:pt>
                <c:pt idx="337">
                  <c:v>45100</c:v>
                </c:pt>
                <c:pt idx="338">
                  <c:v>45107</c:v>
                </c:pt>
                <c:pt idx="339">
                  <c:v>45114</c:v>
                </c:pt>
                <c:pt idx="340">
                  <c:v>45121</c:v>
                </c:pt>
                <c:pt idx="341">
                  <c:v>45128</c:v>
                </c:pt>
                <c:pt idx="342">
                  <c:v>45135</c:v>
                </c:pt>
                <c:pt idx="343">
                  <c:v>45142</c:v>
                </c:pt>
                <c:pt idx="344">
                  <c:v>45149</c:v>
                </c:pt>
                <c:pt idx="345">
                  <c:v>45156</c:v>
                </c:pt>
                <c:pt idx="346">
                  <c:v>45163</c:v>
                </c:pt>
                <c:pt idx="347">
                  <c:v>45170</c:v>
                </c:pt>
                <c:pt idx="348">
                  <c:v>45177</c:v>
                </c:pt>
                <c:pt idx="349">
                  <c:v>45184</c:v>
                </c:pt>
                <c:pt idx="350">
                  <c:v>45191</c:v>
                </c:pt>
                <c:pt idx="351">
                  <c:v>45198</c:v>
                </c:pt>
                <c:pt idx="352">
                  <c:v>45205</c:v>
                </c:pt>
                <c:pt idx="353">
                  <c:v>45212</c:v>
                </c:pt>
                <c:pt idx="354">
                  <c:v>45219</c:v>
                </c:pt>
                <c:pt idx="355">
                  <c:v>45226</c:v>
                </c:pt>
                <c:pt idx="356">
                  <c:v>45233</c:v>
                </c:pt>
                <c:pt idx="357">
                  <c:v>45240</c:v>
                </c:pt>
                <c:pt idx="358">
                  <c:v>45247</c:v>
                </c:pt>
                <c:pt idx="359">
                  <c:v>45254</c:v>
                </c:pt>
                <c:pt idx="360">
                  <c:v>45261</c:v>
                </c:pt>
                <c:pt idx="361">
                  <c:v>45268</c:v>
                </c:pt>
                <c:pt idx="362">
                  <c:v>45275</c:v>
                </c:pt>
                <c:pt idx="363">
                  <c:v>45282</c:v>
                </c:pt>
                <c:pt idx="364">
                  <c:v>45289</c:v>
                </c:pt>
                <c:pt idx="365">
                  <c:v>45296</c:v>
                </c:pt>
                <c:pt idx="366">
                  <c:v>45303</c:v>
                </c:pt>
                <c:pt idx="367">
                  <c:v>45310</c:v>
                </c:pt>
                <c:pt idx="368">
                  <c:v>45317</c:v>
                </c:pt>
                <c:pt idx="369">
                  <c:v>45324</c:v>
                </c:pt>
                <c:pt idx="370">
                  <c:v>45331</c:v>
                </c:pt>
                <c:pt idx="371">
                  <c:v>45338</c:v>
                </c:pt>
                <c:pt idx="372">
                  <c:v>45345</c:v>
                </c:pt>
                <c:pt idx="373">
                  <c:v>45352</c:v>
                </c:pt>
                <c:pt idx="374">
                  <c:v>45359</c:v>
                </c:pt>
                <c:pt idx="375">
                  <c:v>45366</c:v>
                </c:pt>
                <c:pt idx="376">
                  <c:v>45373</c:v>
                </c:pt>
                <c:pt idx="377">
                  <c:v>45380</c:v>
                </c:pt>
                <c:pt idx="378">
                  <c:v>45387</c:v>
                </c:pt>
                <c:pt idx="379">
                  <c:v>45394</c:v>
                </c:pt>
                <c:pt idx="380">
                  <c:v>45401</c:v>
                </c:pt>
                <c:pt idx="381">
                  <c:v>45408</c:v>
                </c:pt>
                <c:pt idx="382">
                  <c:v>45415</c:v>
                </c:pt>
                <c:pt idx="383">
                  <c:v>45422</c:v>
                </c:pt>
                <c:pt idx="384">
                  <c:v>45429</c:v>
                </c:pt>
                <c:pt idx="385">
                  <c:v>45436</c:v>
                </c:pt>
                <c:pt idx="386">
                  <c:v>45443</c:v>
                </c:pt>
                <c:pt idx="387">
                  <c:v>45450</c:v>
                </c:pt>
                <c:pt idx="388">
                  <c:v>45457</c:v>
                </c:pt>
                <c:pt idx="389">
                  <c:v>45464</c:v>
                </c:pt>
                <c:pt idx="390">
                  <c:v>45471</c:v>
                </c:pt>
                <c:pt idx="391">
                  <c:v>45478</c:v>
                </c:pt>
                <c:pt idx="392">
                  <c:v>45485</c:v>
                </c:pt>
                <c:pt idx="393">
                  <c:v>45492</c:v>
                </c:pt>
                <c:pt idx="394">
                  <c:v>45499</c:v>
                </c:pt>
                <c:pt idx="395">
                  <c:v>45506</c:v>
                </c:pt>
                <c:pt idx="396">
                  <c:v>45513</c:v>
                </c:pt>
                <c:pt idx="397">
                  <c:v>45520</c:v>
                </c:pt>
                <c:pt idx="398">
                  <c:v>45527</c:v>
                </c:pt>
                <c:pt idx="399">
                  <c:v>45534</c:v>
                </c:pt>
                <c:pt idx="400">
                  <c:v>45541</c:v>
                </c:pt>
                <c:pt idx="401">
                  <c:v>45548</c:v>
                </c:pt>
                <c:pt idx="402">
                  <c:v>45555</c:v>
                </c:pt>
                <c:pt idx="403">
                  <c:v>45562</c:v>
                </c:pt>
                <c:pt idx="404">
                  <c:v>45569</c:v>
                </c:pt>
                <c:pt idx="405">
                  <c:v>45576</c:v>
                </c:pt>
                <c:pt idx="406">
                  <c:v>45583</c:v>
                </c:pt>
                <c:pt idx="407">
                  <c:v>45590</c:v>
                </c:pt>
                <c:pt idx="408">
                  <c:v>45597</c:v>
                </c:pt>
                <c:pt idx="409">
                  <c:v>45604</c:v>
                </c:pt>
                <c:pt idx="410">
                  <c:v>45611</c:v>
                </c:pt>
                <c:pt idx="411">
                  <c:v>45618</c:v>
                </c:pt>
                <c:pt idx="412">
                  <c:v>45625</c:v>
                </c:pt>
              </c:numCache>
            </c:numRef>
          </c:cat>
          <c:val>
            <c:numRef>
              <c:f>Summary!$J$86:$J$498</c:f>
              <c:numCache>
                <c:formatCode>0.0\x_);\(0.0\x\)</c:formatCode>
                <c:ptCount val="413"/>
                <c:pt idx="0">
                  <c:v>5.5495051448143347</c:v>
                </c:pt>
                <c:pt idx="1">
                  <c:v>5.6111657887830813</c:v>
                </c:pt>
                <c:pt idx="2">
                  <c:v>5.6831725820061276</c:v>
                </c:pt>
                <c:pt idx="3">
                  <c:v>5.7954294452848458</c:v>
                </c:pt>
                <c:pt idx="4">
                  <c:v>5.7839406396328332</c:v>
                </c:pt>
                <c:pt idx="5">
                  <c:v>5.873151452777817</c:v>
                </c:pt>
                <c:pt idx="6">
                  <c:v>6.0301649067214438</c:v>
                </c:pt>
                <c:pt idx="7">
                  <c:v>6.0317462933415866</c:v>
                </c:pt>
                <c:pt idx="8">
                  <c:v>5.9540027439423806</c:v>
                </c:pt>
                <c:pt idx="9">
                  <c:v>6.088968162535715</c:v>
                </c:pt>
                <c:pt idx="10">
                  <c:v>6.1991029289129305</c:v>
                </c:pt>
                <c:pt idx="11">
                  <c:v>6.1484573063413199</c:v>
                </c:pt>
                <c:pt idx="12">
                  <c:v>6.2854428115777266</c:v>
                </c:pt>
                <c:pt idx="13">
                  <c:v>6.4576384730831764</c:v>
                </c:pt>
                <c:pt idx="14">
                  <c:v>6.3787282536739962</c:v>
                </c:pt>
                <c:pt idx="15">
                  <c:v>6.3408527758454643</c:v>
                </c:pt>
                <c:pt idx="16">
                  <c:v>6.6348193089163416</c:v>
                </c:pt>
                <c:pt idx="17">
                  <c:v>6.4750091907475138</c:v>
                </c:pt>
                <c:pt idx="18">
                  <c:v>6.5611077365165018</c:v>
                </c:pt>
                <c:pt idx="19">
                  <c:v>6.4348606483520827</c:v>
                </c:pt>
                <c:pt idx="20">
                  <c:v>6.6294139103024063</c:v>
                </c:pt>
                <c:pt idx="21">
                  <c:v>6.6601418791706237</c:v>
                </c:pt>
                <c:pt idx="22">
                  <c:v>6.4714580634054526</c:v>
                </c:pt>
                <c:pt idx="23">
                  <c:v>6.3506796055142019</c:v>
                </c:pt>
                <c:pt idx="24">
                  <c:v>6.6334624739036672</c:v>
                </c:pt>
                <c:pt idx="25">
                  <c:v>6.8222096732870856</c:v>
                </c:pt>
                <c:pt idx="26">
                  <c:v>6.8661008809057638</c:v>
                </c:pt>
                <c:pt idx="27">
                  <c:v>7.0419706263946296</c:v>
                </c:pt>
                <c:pt idx="28">
                  <c:v>7.1007550200148586</c:v>
                </c:pt>
                <c:pt idx="29">
                  <c:v>6.9597910223730839</c:v>
                </c:pt>
                <c:pt idx="30">
                  <c:v>6.8151490917935673</c:v>
                </c:pt>
                <c:pt idx="31">
                  <c:v>6.6628456999753478</c:v>
                </c:pt>
                <c:pt idx="32">
                  <c:v>6.7453293911032031</c:v>
                </c:pt>
                <c:pt idx="33">
                  <c:v>6.8745982815490789</c:v>
                </c:pt>
                <c:pt idx="34">
                  <c:v>7.0767739480187348</c:v>
                </c:pt>
                <c:pt idx="35">
                  <c:v>7.0477023050137593</c:v>
                </c:pt>
                <c:pt idx="36">
                  <c:v>7.0961645228997607</c:v>
                </c:pt>
                <c:pt idx="37">
                  <c:v>7.0071197421868137</c:v>
                </c:pt>
                <c:pt idx="38">
                  <c:v>7.0039170307586689</c:v>
                </c:pt>
                <c:pt idx="39">
                  <c:v>7.0736906834610549</c:v>
                </c:pt>
                <c:pt idx="40">
                  <c:v>7.0599789323963149</c:v>
                </c:pt>
                <c:pt idx="41">
                  <c:v>7.3426161490879256</c:v>
                </c:pt>
                <c:pt idx="42">
                  <c:v>7.3637944366665362</c:v>
                </c:pt>
                <c:pt idx="43">
                  <c:v>7.4571736663565655</c:v>
                </c:pt>
                <c:pt idx="44">
                  <c:v>7.2672568033396558</c:v>
                </c:pt>
                <c:pt idx="45">
                  <c:v>7.3936474955745881</c:v>
                </c:pt>
                <c:pt idx="46">
                  <c:v>7.4616686530066403</c:v>
                </c:pt>
                <c:pt idx="47">
                  <c:v>7.2295070569376874</c:v>
                </c:pt>
                <c:pt idx="48">
                  <c:v>7.1101520219328709</c:v>
                </c:pt>
                <c:pt idx="49">
                  <c:v>7.2774677398680065</c:v>
                </c:pt>
                <c:pt idx="50">
                  <c:v>7.2061561716672431</c:v>
                </c:pt>
                <c:pt idx="51">
                  <c:v>7.1522982594578313</c:v>
                </c:pt>
                <c:pt idx="52">
                  <c:v>7.3498833315214416</c:v>
                </c:pt>
                <c:pt idx="53">
                  <c:v>7.5032259977130931</c:v>
                </c:pt>
                <c:pt idx="54">
                  <c:v>7.4714897166562348</c:v>
                </c:pt>
                <c:pt idx="55">
                  <c:v>7.6711003830291418</c:v>
                </c:pt>
                <c:pt idx="56">
                  <c:v>7.44794421587945</c:v>
                </c:pt>
                <c:pt idx="57">
                  <c:v>7.1594783991844411</c:v>
                </c:pt>
                <c:pt idx="58">
                  <c:v>7.8313542921233363</c:v>
                </c:pt>
                <c:pt idx="59">
                  <c:v>7.9290621072987246</c:v>
                </c:pt>
                <c:pt idx="60">
                  <c:v>7.9229009589079897</c:v>
                </c:pt>
                <c:pt idx="61">
                  <c:v>8.3095522635173307</c:v>
                </c:pt>
                <c:pt idx="62">
                  <c:v>8.4101749381644204</c:v>
                </c:pt>
                <c:pt idx="63">
                  <c:v>7.914291305268077</c:v>
                </c:pt>
                <c:pt idx="64">
                  <c:v>7.9417694303196926</c:v>
                </c:pt>
                <c:pt idx="65">
                  <c:v>7.9369441100952045</c:v>
                </c:pt>
                <c:pt idx="66">
                  <c:v>8.1548884198389153</c:v>
                </c:pt>
                <c:pt idx="67">
                  <c:v>8.2791885838816022</c:v>
                </c:pt>
                <c:pt idx="68">
                  <c:v>8.0140254226521037</c:v>
                </c:pt>
                <c:pt idx="69">
                  <c:v>8.2738897286940034</c:v>
                </c:pt>
                <c:pt idx="70">
                  <c:v>8.6011304808407125</c:v>
                </c:pt>
                <c:pt idx="71">
                  <c:v>8.5822192697082151</c:v>
                </c:pt>
                <c:pt idx="72">
                  <c:v>8.5965843731291276</c:v>
                </c:pt>
                <c:pt idx="73">
                  <c:v>8.8074960365502726</c:v>
                </c:pt>
                <c:pt idx="74">
                  <c:v>9.0247262836030586</c:v>
                </c:pt>
                <c:pt idx="75">
                  <c:v>9.1997158483867771</c:v>
                </c:pt>
                <c:pt idx="76">
                  <c:v>8.9545888770966933</c:v>
                </c:pt>
                <c:pt idx="77">
                  <c:v>8.9458244221651544</c:v>
                </c:pt>
                <c:pt idx="78">
                  <c:v>9.2208667315354571</c:v>
                </c:pt>
                <c:pt idx="79">
                  <c:v>9.5362705099054441</c:v>
                </c:pt>
                <c:pt idx="80">
                  <c:v>9.5125466554616001</c:v>
                </c:pt>
                <c:pt idx="81">
                  <c:v>9.3811862696504562</c:v>
                </c:pt>
                <c:pt idx="82">
                  <c:v>9.3679632678063562</c:v>
                </c:pt>
                <c:pt idx="83">
                  <c:v>9.5357177558446722</c:v>
                </c:pt>
                <c:pt idx="84">
                  <c:v>9.2981771097798429</c:v>
                </c:pt>
                <c:pt idx="85">
                  <c:v>9.7378159613452038</c:v>
                </c:pt>
                <c:pt idx="86">
                  <c:v>9.8899389167099176</c:v>
                </c:pt>
                <c:pt idx="87">
                  <c:v>9.7447239135060677</c:v>
                </c:pt>
                <c:pt idx="88">
                  <c:v>10.167449347971669</c:v>
                </c:pt>
                <c:pt idx="89">
                  <c:v>9.8380181641972708</c:v>
                </c:pt>
                <c:pt idx="90">
                  <c:v>10.057658989621777</c:v>
                </c:pt>
                <c:pt idx="91">
                  <c:v>9.6103322399444018</c:v>
                </c:pt>
                <c:pt idx="92">
                  <c:v>8.968964343245414</c:v>
                </c:pt>
                <c:pt idx="93">
                  <c:v>8.7452821636761762</c:v>
                </c:pt>
                <c:pt idx="94">
                  <c:v>8.5873357033778372</c:v>
                </c:pt>
                <c:pt idx="95">
                  <c:v>9.162151436646905</c:v>
                </c:pt>
                <c:pt idx="96">
                  <c:v>8.9031943456822571</c:v>
                </c:pt>
                <c:pt idx="97">
                  <c:v>8.6944353767219393</c:v>
                </c:pt>
                <c:pt idx="98">
                  <c:v>8.1925261691367623</c:v>
                </c:pt>
                <c:pt idx="99">
                  <c:v>8.9293958412699261</c:v>
                </c:pt>
                <c:pt idx="100">
                  <c:v>8.600109236094351</c:v>
                </c:pt>
                <c:pt idx="101">
                  <c:v>8.382631368443791</c:v>
                </c:pt>
                <c:pt idx="102">
                  <c:v>7.7387456188293582</c:v>
                </c:pt>
                <c:pt idx="103">
                  <c:v>8.1913514852610749</c:v>
                </c:pt>
                <c:pt idx="104">
                  <c:v>8.2646164896649399</c:v>
                </c:pt>
                <c:pt idx="105">
                  <c:v>8.7319181802513093</c:v>
                </c:pt>
                <c:pt idx="106">
                  <c:v>9.0352906714016061</c:v>
                </c:pt>
                <c:pt idx="107">
                  <c:v>9.0309210479689117</c:v>
                </c:pt>
                <c:pt idx="108">
                  <c:v>9.201346920183191</c:v>
                </c:pt>
                <c:pt idx="109">
                  <c:v>9.4310622567949896</c:v>
                </c:pt>
                <c:pt idx="110">
                  <c:v>9.7047415890062716</c:v>
                </c:pt>
                <c:pt idx="111">
                  <c:v>9.6905725698721632</c:v>
                </c:pt>
                <c:pt idx="112">
                  <c:v>9.7060072909100086</c:v>
                </c:pt>
                <c:pt idx="113">
                  <c:v>9.3951460424247077</c:v>
                </c:pt>
                <c:pt idx="114">
                  <c:v>9.5716797386237502</c:v>
                </c:pt>
                <c:pt idx="115">
                  <c:v>9.6962468182919075</c:v>
                </c:pt>
                <c:pt idx="116">
                  <c:v>9.7011255108747001</c:v>
                </c:pt>
                <c:pt idx="117">
                  <c:v>9.8218463526281958</c:v>
                </c:pt>
                <c:pt idx="118">
                  <c:v>9.9769303685613551</c:v>
                </c:pt>
                <c:pt idx="119">
                  <c:v>9.7990175796080674</c:v>
                </c:pt>
                <c:pt idx="120">
                  <c:v>10.36161288327123</c:v>
                </c:pt>
                <c:pt idx="121">
                  <c:v>10.368440984890306</c:v>
                </c:pt>
                <c:pt idx="122">
                  <c:v>10.215416006803991</c:v>
                </c:pt>
                <c:pt idx="123">
                  <c:v>10.06002855901453</c:v>
                </c:pt>
                <c:pt idx="124">
                  <c:v>9.9275641856832113</c:v>
                </c:pt>
                <c:pt idx="125">
                  <c:v>9.8586134534514525</c:v>
                </c:pt>
                <c:pt idx="126">
                  <c:v>10.277302764314042</c:v>
                </c:pt>
                <c:pt idx="127">
                  <c:v>10.009253691307661</c:v>
                </c:pt>
                <c:pt idx="128">
                  <c:v>10.432616937111797</c:v>
                </c:pt>
                <c:pt idx="129">
                  <c:v>10.158204564932166</c:v>
                </c:pt>
                <c:pt idx="130">
                  <c:v>10.422078986866966</c:v>
                </c:pt>
                <c:pt idx="131">
                  <c:v>10.526470988737135</c:v>
                </c:pt>
                <c:pt idx="132">
                  <c:v>10.387488020799257</c:v>
                </c:pt>
                <c:pt idx="133">
                  <c:v>10.515817420665286</c:v>
                </c:pt>
                <c:pt idx="134">
                  <c:v>10.042940520325459</c:v>
                </c:pt>
                <c:pt idx="135">
                  <c:v>9.8962164003934561</c:v>
                </c:pt>
                <c:pt idx="136">
                  <c:v>9.7097967161122032</c:v>
                </c:pt>
                <c:pt idx="137">
                  <c:v>9.6226198686581021</c:v>
                </c:pt>
                <c:pt idx="138">
                  <c:v>9.6312138950108697</c:v>
                </c:pt>
                <c:pt idx="139">
                  <c:v>9.5910661917164415</c:v>
                </c:pt>
                <c:pt idx="140">
                  <c:v>9.0778425493974471</c:v>
                </c:pt>
                <c:pt idx="141">
                  <c:v>9.0958653617541021</c:v>
                </c:pt>
                <c:pt idx="142">
                  <c:v>8.8636903926474595</c:v>
                </c:pt>
                <c:pt idx="143">
                  <c:v>8.8903757001862349</c:v>
                </c:pt>
                <c:pt idx="144">
                  <c:v>8.9280768966893955</c:v>
                </c:pt>
                <c:pt idx="145">
                  <c:v>8.6851792119872027</c:v>
                </c:pt>
                <c:pt idx="146">
                  <c:v>8.908301718012174</c:v>
                </c:pt>
                <c:pt idx="147">
                  <c:v>9.165217478378576</c:v>
                </c:pt>
                <c:pt idx="148">
                  <c:v>9.2411380684629822</c:v>
                </c:pt>
                <c:pt idx="149">
                  <c:v>9.3555336367453776</c:v>
                </c:pt>
                <c:pt idx="150">
                  <c:v>9.280933883907128</c:v>
                </c:pt>
                <c:pt idx="151">
                  <c:v>9.3410662808843981</c:v>
                </c:pt>
                <c:pt idx="152">
                  <c:v>9.2046432250910062</c:v>
                </c:pt>
                <c:pt idx="153">
                  <c:v>9.3449732079842427</c:v>
                </c:pt>
                <c:pt idx="154">
                  <c:v>9.4318102978007889</c:v>
                </c:pt>
                <c:pt idx="155">
                  <c:v>9.5140955618849468</c:v>
                </c:pt>
                <c:pt idx="156">
                  <c:v>9.7173537456481078</c:v>
                </c:pt>
                <c:pt idx="157">
                  <c:v>10.160394232199829</c:v>
                </c:pt>
                <c:pt idx="158">
                  <c:v>10.326162186384035</c:v>
                </c:pt>
                <c:pt idx="159">
                  <c:v>10.28475845279662</c:v>
                </c:pt>
                <c:pt idx="160">
                  <c:v>10.079256387752341</c:v>
                </c:pt>
                <c:pt idx="161">
                  <c:v>10.283208242665053</c:v>
                </c:pt>
                <c:pt idx="162">
                  <c:v>10.604782534327146</c:v>
                </c:pt>
                <c:pt idx="163">
                  <c:v>10.341947665379418</c:v>
                </c:pt>
                <c:pt idx="164">
                  <c:v>9.5108013599632493</c:v>
                </c:pt>
                <c:pt idx="165">
                  <c:v>9.3948169427877595</c:v>
                </c:pt>
                <c:pt idx="166">
                  <c:v>8.7282953696712777</c:v>
                </c:pt>
                <c:pt idx="167">
                  <c:v>7.6913293299142351</c:v>
                </c:pt>
                <c:pt idx="168">
                  <c:v>8.3043120253942018</c:v>
                </c:pt>
                <c:pt idx="169">
                  <c:v>8.1300161550830961</c:v>
                </c:pt>
                <c:pt idx="170">
                  <c:v>9.0231515102171613</c:v>
                </c:pt>
                <c:pt idx="171">
                  <c:v>9.6670146730049247</c:v>
                </c:pt>
                <c:pt idx="172">
                  <c:v>9.7042929281762937</c:v>
                </c:pt>
                <c:pt idx="173">
                  <c:v>9.5241291051519088</c:v>
                </c:pt>
                <c:pt idx="174">
                  <c:v>10.392933127749789</c:v>
                </c:pt>
                <c:pt idx="175">
                  <c:v>10.861109829159897</c:v>
                </c:pt>
                <c:pt idx="176">
                  <c:v>11.090954856538398</c:v>
                </c:pt>
                <c:pt idx="177">
                  <c:v>11.260705579210954</c:v>
                </c:pt>
                <c:pt idx="178">
                  <c:v>11.055375538615447</c:v>
                </c:pt>
                <c:pt idx="179">
                  <c:v>11.062805676874586</c:v>
                </c:pt>
                <c:pt idx="180">
                  <c:v>11.566139446869105</c:v>
                </c:pt>
                <c:pt idx="181">
                  <c:v>11.515199513704744</c:v>
                </c:pt>
                <c:pt idx="182">
                  <c:v>12.06362126555589</c:v>
                </c:pt>
                <c:pt idx="183">
                  <c:v>12.460394029210631</c:v>
                </c:pt>
                <c:pt idx="184">
                  <c:v>11.637966070168057</c:v>
                </c:pt>
                <c:pt idx="185">
                  <c:v>11.706921985372656</c:v>
                </c:pt>
                <c:pt idx="186">
                  <c:v>12.133051876171518</c:v>
                </c:pt>
                <c:pt idx="187">
                  <c:v>12.18295033238512</c:v>
                </c:pt>
                <c:pt idx="188">
                  <c:v>11.90887179334562</c:v>
                </c:pt>
                <c:pt idx="189">
                  <c:v>12.255164463400291</c:v>
                </c:pt>
                <c:pt idx="190">
                  <c:v>20.557758450706572</c:v>
                </c:pt>
                <c:pt idx="191">
                  <c:v>18.177472257406752</c:v>
                </c:pt>
                <c:pt idx="192">
                  <c:v>15.949668293374614</c:v>
                </c:pt>
                <c:pt idx="193">
                  <c:v>15.368093274598861</c:v>
                </c:pt>
                <c:pt idx="194">
                  <c:v>15.752942101945067</c:v>
                </c:pt>
                <c:pt idx="195">
                  <c:v>14.129719502527252</c:v>
                </c:pt>
                <c:pt idx="196">
                  <c:v>15.4295371133554</c:v>
                </c:pt>
                <c:pt idx="197">
                  <c:v>15.441386612391122</c:v>
                </c:pt>
                <c:pt idx="198">
                  <c:v>14.438799579708679</c:v>
                </c:pt>
                <c:pt idx="199">
                  <c:v>12.878583406449971</c:v>
                </c:pt>
                <c:pt idx="200">
                  <c:v>14.062131243661142</c:v>
                </c:pt>
                <c:pt idx="201">
                  <c:v>12.72096392498525</c:v>
                </c:pt>
                <c:pt idx="202">
                  <c:v>12.830498713992116</c:v>
                </c:pt>
                <c:pt idx="203">
                  <c:v>13.495619700883216</c:v>
                </c:pt>
                <c:pt idx="204">
                  <c:v>13.390193917079756</c:v>
                </c:pt>
                <c:pt idx="205">
                  <c:v>12.994256336715926</c:v>
                </c:pt>
                <c:pt idx="206">
                  <c:v>13.202293789416606</c:v>
                </c:pt>
                <c:pt idx="207">
                  <c:v>13.156825553249428</c:v>
                </c:pt>
                <c:pt idx="208">
                  <c:v>13.708083654683987</c:v>
                </c:pt>
                <c:pt idx="209">
                  <c:v>13.500011779760852</c:v>
                </c:pt>
                <c:pt idx="210">
                  <c:v>12.835309943998118</c:v>
                </c:pt>
                <c:pt idx="211">
                  <c:v>13.598486295844589</c:v>
                </c:pt>
                <c:pt idx="212">
                  <c:v>13.948764937534557</c:v>
                </c:pt>
                <c:pt idx="213">
                  <c:v>14.663814400913481</c:v>
                </c:pt>
                <c:pt idx="214">
                  <c:v>14.252376981730436</c:v>
                </c:pt>
                <c:pt idx="215">
                  <c:v>14.18961621812889</c:v>
                </c:pt>
                <c:pt idx="216">
                  <c:v>12.705665626491971</c:v>
                </c:pt>
                <c:pt idx="217">
                  <c:v>12.217199355241744</c:v>
                </c:pt>
                <c:pt idx="218">
                  <c:v>12.074568345065201</c:v>
                </c:pt>
                <c:pt idx="219">
                  <c:v>11.736295550372434</c:v>
                </c:pt>
                <c:pt idx="220">
                  <c:v>11.853626648418702</c:v>
                </c:pt>
                <c:pt idx="221">
                  <c:v>12.477842488984825</c:v>
                </c:pt>
                <c:pt idx="222">
                  <c:v>12.649497553589676</c:v>
                </c:pt>
                <c:pt idx="223">
                  <c:v>12.875407982158622</c:v>
                </c:pt>
                <c:pt idx="224">
                  <c:v>12.506329107697205</c:v>
                </c:pt>
                <c:pt idx="225">
                  <c:v>13.019952187578548</c:v>
                </c:pt>
                <c:pt idx="226">
                  <c:v>11.961426443816976</c:v>
                </c:pt>
                <c:pt idx="227">
                  <c:v>11.27311542064775</c:v>
                </c:pt>
                <c:pt idx="228">
                  <c:v>11.683070391302913</c:v>
                </c:pt>
                <c:pt idx="229">
                  <c:v>12.048489176762866</c:v>
                </c:pt>
                <c:pt idx="230">
                  <c:v>12.006070450208933</c:v>
                </c:pt>
                <c:pt idx="231">
                  <c:v>12.64071775387246</c:v>
                </c:pt>
                <c:pt idx="232">
                  <c:v>13.026294909918596</c:v>
                </c:pt>
                <c:pt idx="233">
                  <c:v>13.12748091495382</c:v>
                </c:pt>
                <c:pt idx="234">
                  <c:v>13.522608960511091</c:v>
                </c:pt>
                <c:pt idx="235">
                  <c:v>13.833532758658039</c:v>
                </c:pt>
                <c:pt idx="236">
                  <c:v>13.07495123302713</c:v>
                </c:pt>
                <c:pt idx="237">
                  <c:v>13.711983202669513</c:v>
                </c:pt>
                <c:pt idx="238">
                  <c:v>13.341487775448032</c:v>
                </c:pt>
                <c:pt idx="239">
                  <c:v>12.697906004459218</c:v>
                </c:pt>
                <c:pt idx="240">
                  <c:v>12.228469222635217</c:v>
                </c:pt>
                <c:pt idx="241">
                  <c:v>11.926844371301335</c:v>
                </c:pt>
                <c:pt idx="242">
                  <c:v>12.35440120214858</c:v>
                </c:pt>
                <c:pt idx="243">
                  <c:v>12.500601980058129</c:v>
                </c:pt>
                <c:pt idx="244">
                  <c:v>12.042978163294626</c:v>
                </c:pt>
                <c:pt idx="245">
                  <c:v>12.084582508960438</c:v>
                </c:pt>
                <c:pt idx="246">
                  <c:v>11.751085408054427</c:v>
                </c:pt>
                <c:pt idx="247">
                  <c:v>11.048867880871958</c:v>
                </c:pt>
                <c:pt idx="248">
                  <c:v>10.936846541713573</c:v>
                </c:pt>
                <c:pt idx="249">
                  <c:v>11.431727582318716</c:v>
                </c:pt>
                <c:pt idx="250">
                  <c:v>11.541761397452882</c:v>
                </c:pt>
                <c:pt idx="251">
                  <c:v>11.437305351096612</c:v>
                </c:pt>
                <c:pt idx="252">
                  <c:v>12.230441903470942</c:v>
                </c:pt>
                <c:pt idx="253">
                  <c:v>12.180540927814528</c:v>
                </c:pt>
                <c:pt idx="254">
                  <c:v>11.810804404500475</c:v>
                </c:pt>
                <c:pt idx="255">
                  <c:v>11.383723812548469</c:v>
                </c:pt>
                <c:pt idx="256">
                  <c:v>10.550022778073169</c:v>
                </c:pt>
                <c:pt idx="257">
                  <c:v>10.742351662040823</c:v>
                </c:pt>
                <c:pt idx="258">
                  <c:v>10.114041620871166</c:v>
                </c:pt>
                <c:pt idx="259">
                  <c:v>10.479225883341089</c:v>
                </c:pt>
                <c:pt idx="260">
                  <c:v>10.325385884763852</c:v>
                </c:pt>
                <c:pt idx="261">
                  <c:v>9.4674327341586526</c:v>
                </c:pt>
                <c:pt idx="262">
                  <c:v>9.243898845998201</c:v>
                </c:pt>
                <c:pt idx="263">
                  <c:v>8.6987746110169013</c:v>
                </c:pt>
                <c:pt idx="264">
                  <c:v>8.7647092677172775</c:v>
                </c:pt>
                <c:pt idx="265">
                  <c:v>8.8006448480762316</c:v>
                </c:pt>
                <c:pt idx="266">
                  <c:v>8.4999370265055862</c:v>
                </c:pt>
                <c:pt idx="267">
                  <c:v>7.8284131954366432</c:v>
                </c:pt>
                <c:pt idx="268">
                  <c:v>8.0509374424338151</c:v>
                </c:pt>
                <c:pt idx="269">
                  <c:v>7.6756846435391033</c:v>
                </c:pt>
                <c:pt idx="270">
                  <c:v>7.2363671529354567</c:v>
                </c:pt>
                <c:pt idx="271">
                  <c:v>7.896909578805416</c:v>
                </c:pt>
                <c:pt idx="272">
                  <c:v>7.7015568335206943</c:v>
                </c:pt>
                <c:pt idx="273">
                  <c:v>8.072850696157678</c:v>
                </c:pt>
                <c:pt idx="274">
                  <c:v>7.6918067723371708</c:v>
                </c:pt>
                <c:pt idx="275">
                  <c:v>7.4626492792959622</c:v>
                </c:pt>
                <c:pt idx="276">
                  <c:v>7.0177468590100558</c:v>
                </c:pt>
                <c:pt idx="277">
                  <c:v>6.5953063791169697</c:v>
                </c:pt>
                <c:pt idx="278">
                  <c:v>6.4219329630790467</c:v>
                </c:pt>
                <c:pt idx="279">
                  <c:v>6.2758438912111485</c:v>
                </c:pt>
                <c:pt idx="280">
                  <c:v>6.2576314879441455</c:v>
                </c:pt>
                <c:pt idx="281">
                  <c:v>6.591745362625069</c:v>
                </c:pt>
                <c:pt idx="282">
                  <c:v>6.5625758740486289</c:v>
                </c:pt>
                <c:pt idx="283">
                  <c:v>6.2121245777283827</c:v>
                </c:pt>
                <c:pt idx="284">
                  <c:v>5.7888670286164006</c:v>
                </c:pt>
                <c:pt idx="285">
                  <c:v>6.3590106698278133</c:v>
                </c:pt>
                <c:pt idx="286">
                  <c:v>6.1256823515591483</c:v>
                </c:pt>
                <c:pt idx="287">
                  <c:v>6.4057565665911342</c:v>
                </c:pt>
                <c:pt idx="288">
                  <c:v>6.1790288846859092</c:v>
                </c:pt>
                <c:pt idx="289">
                  <c:v>6.444278518177363</c:v>
                </c:pt>
                <c:pt idx="290">
                  <c:v>6.4732930238972353</c:v>
                </c:pt>
                <c:pt idx="291">
                  <c:v>6.9289181182473243</c:v>
                </c:pt>
                <c:pt idx="292">
                  <c:v>7.164295306938059</c:v>
                </c:pt>
                <c:pt idx="293">
                  <c:v>6.881583347630726</c:v>
                </c:pt>
                <c:pt idx="294">
                  <c:v>6.3601983184411353</c:v>
                </c:pt>
                <c:pt idx="295">
                  <c:v>6.0402173240031045</c:v>
                </c:pt>
                <c:pt idx="296">
                  <c:v>6.4347341890995979</c:v>
                </c:pt>
                <c:pt idx="297">
                  <c:v>5.7822163217874376</c:v>
                </c:pt>
                <c:pt idx="298">
                  <c:v>5.574522995636201</c:v>
                </c:pt>
                <c:pt idx="299">
                  <c:v>5.5491386137413707</c:v>
                </c:pt>
                <c:pt idx="300">
                  <c:v>5.7195401075345051</c:v>
                </c:pt>
                <c:pt idx="301">
                  <c:v>5.4486453671770176</c:v>
                </c:pt>
                <c:pt idx="302">
                  <c:v>5.8066472448638615</c:v>
                </c:pt>
                <c:pt idx="303">
                  <c:v>6.262012046380665</c:v>
                </c:pt>
                <c:pt idx="304">
                  <c:v>5.3075516732278478</c:v>
                </c:pt>
                <c:pt idx="305">
                  <c:v>5.9613432171567888</c:v>
                </c:pt>
                <c:pt idx="306">
                  <c:v>5.8236164490229747</c:v>
                </c:pt>
                <c:pt idx="307">
                  <c:v>5.9323215240186862</c:v>
                </c:pt>
                <c:pt idx="308">
                  <c:v>6.0545889971272482</c:v>
                </c:pt>
                <c:pt idx="309">
                  <c:v>5.7992282529143644</c:v>
                </c:pt>
                <c:pt idx="310">
                  <c:v>5.8472501537245991</c:v>
                </c:pt>
                <c:pt idx="311">
                  <c:v>5.8145927088751179</c:v>
                </c:pt>
                <c:pt idx="312">
                  <c:v>5.8967900030082978</c:v>
                </c:pt>
                <c:pt idx="313">
                  <c:v>5.879084074702412</c:v>
                </c:pt>
                <c:pt idx="314">
                  <c:v>6.1970438356217672</c:v>
                </c:pt>
                <c:pt idx="315">
                  <c:v>6.321613457072222</c:v>
                </c:pt>
                <c:pt idx="316">
                  <c:v>6.5716612607173301</c:v>
                </c:pt>
                <c:pt idx="317">
                  <c:v>6.6169513286837569</c:v>
                </c:pt>
                <c:pt idx="318">
                  <c:v>6.4257835636351315</c:v>
                </c:pt>
                <c:pt idx="319">
                  <c:v>6.2766181672567543</c:v>
                </c:pt>
                <c:pt idx="320">
                  <c:v>5.9843940197873051</c:v>
                </c:pt>
                <c:pt idx="321">
                  <c:v>6.239255639438106</c:v>
                </c:pt>
                <c:pt idx="322">
                  <c:v>5.8576213478508699</c:v>
                </c:pt>
                <c:pt idx="323">
                  <c:v>6.0496678449076748</c:v>
                </c:pt>
                <c:pt idx="324">
                  <c:v>6.2696447806703182</c:v>
                </c:pt>
                <c:pt idx="325">
                  <c:v>6.4202328453331887</c:v>
                </c:pt>
                <c:pt idx="326">
                  <c:v>6.308269792729738</c:v>
                </c:pt>
                <c:pt idx="327">
                  <c:v>6.2930246871851701</c:v>
                </c:pt>
                <c:pt idx="328">
                  <c:v>6.3325918522713209</c:v>
                </c:pt>
                <c:pt idx="329">
                  <c:v>6.2671705761134531</c:v>
                </c:pt>
                <c:pt idx="330">
                  <c:v>6.0155560900566272</c:v>
                </c:pt>
                <c:pt idx="331">
                  <c:v>6.0031552654943914</c:v>
                </c:pt>
                <c:pt idx="332">
                  <c:v>6.2365779000903698</c:v>
                </c:pt>
                <c:pt idx="333">
                  <c:v>6.4182572108548896</c:v>
                </c:pt>
                <c:pt idx="334">
                  <c:v>6.5520776887087377</c:v>
                </c:pt>
                <c:pt idx="335">
                  <c:v>6.5068871045519536</c:v>
                </c:pt>
                <c:pt idx="336">
                  <c:v>6.7492736017033907</c:v>
                </c:pt>
                <c:pt idx="337">
                  <c:v>6.5892308041013017</c:v>
                </c:pt>
                <c:pt idx="338">
                  <c:v>6.7302950360686467</c:v>
                </c:pt>
                <c:pt idx="339">
                  <c:v>6.6343680925732533</c:v>
                </c:pt>
                <c:pt idx="340">
                  <c:v>6.8131573544443986</c:v>
                </c:pt>
                <c:pt idx="341">
                  <c:v>6.8182316313656388</c:v>
                </c:pt>
                <c:pt idx="342">
                  <c:v>6.80156594210536</c:v>
                </c:pt>
                <c:pt idx="343">
                  <c:v>6.7764033239436792</c:v>
                </c:pt>
                <c:pt idx="344">
                  <c:v>6.6150204853765224</c:v>
                </c:pt>
                <c:pt idx="345">
                  <c:v>6.505065732250249</c:v>
                </c:pt>
                <c:pt idx="346">
                  <c:v>6.6566542650995402</c:v>
                </c:pt>
                <c:pt idx="347">
                  <c:v>6.8712018094421188</c:v>
                </c:pt>
                <c:pt idx="348">
                  <c:v>6.8582980613600739</c:v>
                </c:pt>
                <c:pt idx="349">
                  <c:v>6.6265646801864628</c:v>
                </c:pt>
                <c:pt idx="350">
                  <c:v>6.4334986985651703</c:v>
                </c:pt>
                <c:pt idx="351">
                  <c:v>6.3943917851204617</c:v>
                </c:pt>
                <c:pt idx="352">
                  <c:v>6.5010989499591139</c:v>
                </c:pt>
                <c:pt idx="353">
                  <c:v>6.4875228576683668</c:v>
                </c:pt>
                <c:pt idx="354">
                  <c:v>6.4699583725201633</c:v>
                </c:pt>
                <c:pt idx="355">
                  <c:v>6.0872077022880751</c:v>
                </c:pt>
                <c:pt idx="356">
                  <c:v>6.5927804721105732</c:v>
                </c:pt>
                <c:pt idx="357">
                  <c:v>6.7521898571304417</c:v>
                </c:pt>
                <c:pt idx="358">
                  <c:v>6.9210909953907453</c:v>
                </c:pt>
                <c:pt idx="359">
                  <c:v>7.0055152024124068</c:v>
                </c:pt>
                <c:pt idx="360">
                  <c:v>7.2843873539533988</c:v>
                </c:pt>
                <c:pt idx="361">
                  <c:v>7.1606045864583239</c:v>
                </c:pt>
                <c:pt idx="362">
                  <c:v>7.1271070943964387</c:v>
                </c:pt>
                <c:pt idx="363">
                  <c:v>7.2623371436998037</c:v>
                </c:pt>
                <c:pt idx="364">
                  <c:v>7.2415747775542378</c:v>
                </c:pt>
                <c:pt idx="365">
                  <c:v>6.8683338010905786</c:v>
                </c:pt>
                <c:pt idx="366">
                  <c:v>7.201151088280672</c:v>
                </c:pt>
                <c:pt idx="367">
                  <c:v>7.3159323691379434</c:v>
                </c:pt>
                <c:pt idx="368">
                  <c:v>7.2889634019431435</c:v>
                </c:pt>
                <c:pt idx="369">
                  <c:v>7.3321729608025157</c:v>
                </c:pt>
                <c:pt idx="370">
                  <c:v>7.3870233667415208</c:v>
                </c:pt>
                <c:pt idx="371">
                  <c:v>6.9991739003297626</c:v>
                </c:pt>
                <c:pt idx="372">
                  <c:v>7.1080357257752302</c:v>
                </c:pt>
                <c:pt idx="373">
                  <c:v>7.2779527680467728</c:v>
                </c:pt>
                <c:pt idx="374">
                  <c:v>7.0910023926318573</c:v>
                </c:pt>
                <c:pt idx="375">
                  <c:v>6.8077204879850148</c:v>
                </c:pt>
                <c:pt idx="376">
                  <c:v>6.9122138861753868</c:v>
                </c:pt>
                <c:pt idx="377">
                  <c:v>6.793772032656169</c:v>
                </c:pt>
                <c:pt idx="378">
                  <c:v>6.7103418142255178</c:v>
                </c:pt>
                <c:pt idx="379">
                  <c:v>6.5364282828259981</c:v>
                </c:pt>
                <c:pt idx="380">
                  <c:v>6.320474876319655</c:v>
                </c:pt>
                <c:pt idx="381">
                  <c:v>6.3241400246773907</c:v>
                </c:pt>
                <c:pt idx="382">
                  <c:v>6.2369584947872569</c:v>
                </c:pt>
                <c:pt idx="383">
                  <c:v>6.3831977326569875</c:v>
                </c:pt>
                <c:pt idx="384">
                  <c:v>6.5007318241582013</c:v>
                </c:pt>
                <c:pt idx="385">
                  <c:v>6.6268501097637014</c:v>
                </c:pt>
                <c:pt idx="386">
                  <c:v>6.335105047253065</c:v>
                </c:pt>
                <c:pt idx="387">
                  <c:v>6.524062009972682</c:v>
                </c:pt>
                <c:pt idx="388">
                  <c:v>6.6264222376774606</c:v>
                </c:pt>
                <c:pt idx="389">
                  <c:v>6.6605590565271813</c:v>
                </c:pt>
                <c:pt idx="390">
                  <c:v>6.7816548518916173</c:v>
                </c:pt>
                <c:pt idx="391">
                  <c:v>6.8499134169702032</c:v>
                </c:pt>
                <c:pt idx="392">
                  <c:v>6.81190329439585</c:v>
                </c:pt>
                <c:pt idx="393">
                  <c:v>6.7397337547461476</c:v>
                </c:pt>
                <c:pt idx="394">
                  <c:v>6.8103658460285414</c:v>
                </c:pt>
                <c:pt idx="395">
                  <c:v>6.6287629762954845</c:v>
                </c:pt>
                <c:pt idx="396">
                  <c:v>6.6337464907713466</c:v>
                </c:pt>
                <c:pt idx="397">
                  <c:v>6.8404871316523943</c:v>
                </c:pt>
                <c:pt idx="398">
                  <c:v>6.8555017962756741</c:v>
                </c:pt>
                <c:pt idx="399">
                  <c:v>6.9100932989351342</c:v>
                </c:pt>
                <c:pt idx="400">
                  <c:v>6.6650620816417474</c:v>
                </c:pt>
                <c:pt idx="401">
                  <c:v>6.6428982562588601</c:v>
                </c:pt>
                <c:pt idx="402">
                  <c:v>6.6899551299963411</c:v>
                </c:pt>
                <c:pt idx="403">
                  <c:v>6.8136026221555825</c:v>
                </c:pt>
                <c:pt idx="404">
                  <c:v>6.6503733072033349</c:v>
                </c:pt>
                <c:pt idx="405">
                  <c:v>6.6837434863490204</c:v>
                </c:pt>
                <c:pt idx="406">
                  <c:v>6.7298110344248938</c:v>
                </c:pt>
                <c:pt idx="407">
                  <c:v>6.5253461220662814</c:v>
                </c:pt>
                <c:pt idx="408">
                  <c:v>6.4910671894268708</c:v>
                </c:pt>
                <c:pt idx="409">
                  <c:v>6.8520294427035466</c:v>
                </c:pt>
                <c:pt idx="410">
                  <c:v>6.9103179354272726</c:v>
                </c:pt>
                <c:pt idx="411">
                  <c:v>7.2641419773110938</c:v>
                </c:pt>
                <c:pt idx="412">
                  <c:v>7.3465545209136387</c:v>
                </c:pt>
              </c:numCache>
            </c:numRef>
          </c:val>
          <c:smooth val="0"/>
          <c:extLst>
            <c:ext xmlns:c16="http://schemas.microsoft.com/office/drawing/2014/chart" uri="{C3380CC4-5D6E-409C-BE32-E72D297353CC}">
              <c16:uniqueId val="{00000002-0C61-472C-8756-900BB55EBDA5}"/>
            </c:ext>
          </c:extLst>
        </c:ser>
        <c:ser>
          <c:idx val="3"/>
          <c:order val="3"/>
          <c:tx>
            <c:strRef>
              <c:f>Summary!$K$85</c:f>
              <c:strCache>
                <c:ptCount val="1"/>
                <c:pt idx="0">
                  <c:v>eCom software mean</c:v>
                </c:pt>
              </c:strCache>
            </c:strRef>
          </c:tx>
          <c:spPr>
            <a:ln w="28575" cap="rnd">
              <a:solidFill>
                <a:schemeClr val="accent1">
                  <a:lumMod val="75000"/>
                </a:schemeClr>
              </a:solidFill>
              <a:prstDash val="dash"/>
              <a:round/>
            </a:ln>
            <a:effectLst/>
          </c:spPr>
          <c:marker>
            <c:symbol val="none"/>
          </c:marker>
          <c:cat>
            <c:numRef>
              <c:f>Summary!$B$86:$B$498</c:f>
              <c:numCache>
                <c:formatCode>m/d/yyyy</c:formatCode>
                <c:ptCount val="413"/>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45002</c:v>
                </c:pt>
                <c:pt idx="324">
                  <c:v>45009</c:v>
                </c:pt>
                <c:pt idx="325">
                  <c:v>45016</c:v>
                </c:pt>
                <c:pt idx="326">
                  <c:v>45023</c:v>
                </c:pt>
                <c:pt idx="327">
                  <c:v>45030</c:v>
                </c:pt>
                <c:pt idx="328">
                  <c:v>45037</c:v>
                </c:pt>
                <c:pt idx="329">
                  <c:v>45044</c:v>
                </c:pt>
                <c:pt idx="330">
                  <c:v>45051</c:v>
                </c:pt>
                <c:pt idx="331">
                  <c:v>45058</c:v>
                </c:pt>
                <c:pt idx="332">
                  <c:v>45065</c:v>
                </c:pt>
                <c:pt idx="333">
                  <c:v>45072</c:v>
                </c:pt>
                <c:pt idx="334">
                  <c:v>45079</c:v>
                </c:pt>
                <c:pt idx="335">
                  <c:v>45086</c:v>
                </c:pt>
                <c:pt idx="336">
                  <c:v>45093</c:v>
                </c:pt>
                <c:pt idx="337">
                  <c:v>45100</c:v>
                </c:pt>
                <c:pt idx="338">
                  <c:v>45107</c:v>
                </c:pt>
                <c:pt idx="339">
                  <c:v>45114</c:v>
                </c:pt>
                <c:pt idx="340">
                  <c:v>45121</c:v>
                </c:pt>
                <c:pt idx="341">
                  <c:v>45128</c:v>
                </c:pt>
                <c:pt idx="342">
                  <c:v>45135</c:v>
                </c:pt>
                <c:pt idx="343">
                  <c:v>45142</c:v>
                </c:pt>
                <c:pt idx="344">
                  <c:v>45149</c:v>
                </c:pt>
                <c:pt idx="345">
                  <c:v>45156</c:v>
                </c:pt>
                <c:pt idx="346">
                  <c:v>45163</c:v>
                </c:pt>
                <c:pt idx="347">
                  <c:v>45170</c:v>
                </c:pt>
                <c:pt idx="348">
                  <c:v>45177</c:v>
                </c:pt>
                <c:pt idx="349">
                  <c:v>45184</c:v>
                </c:pt>
                <c:pt idx="350">
                  <c:v>45191</c:v>
                </c:pt>
                <c:pt idx="351">
                  <c:v>45198</c:v>
                </c:pt>
                <c:pt idx="352">
                  <c:v>45205</c:v>
                </c:pt>
                <c:pt idx="353">
                  <c:v>45212</c:v>
                </c:pt>
                <c:pt idx="354">
                  <c:v>45219</c:v>
                </c:pt>
                <c:pt idx="355">
                  <c:v>45226</c:v>
                </c:pt>
                <c:pt idx="356">
                  <c:v>45233</c:v>
                </c:pt>
                <c:pt idx="357">
                  <c:v>45240</c:v>
                </c:pt>
                <c:pt idx="358">
                  <c:v>45247</c:v>
                </c:pt>
                <c:pt idx="359">
                  <c:v>45254</c:v>
                </c:pt>
                <c:pt idx="360">
                  <c:v>45261</c:v>
                </c:pt>
                <c:pt idx="361">
                  <c:v>45268</c:v>
                </c:pt>
                <c:pt idx="362">
                  <c:v>45275</c:v>
                </c:pt>
                <c:pt idx="363">
                  <c:v>45282</c:v>
                </c:pt>
                <c:pt idx="364">
                  <c:v>45289</c:v>
                </c:pt>
                <c:pt idx="365">
                  <c:v>45296</c:v>
                </c:pt>
                <c:pt idx="366">
                  <c:v>45303</c:v>
                </c:pt>
                <c:pt idx="367">
                  <c:v>45310</c:v>
                </c:pt>
                <c:pt idx="368">
                  <c:v>45317</c:v>
                </c:pt>
                <c:pt idx="369">
                  <c:v>45324</c:v>
                </c:pt>
                <c:pt idx="370">
                  <c:v>45331</c:v>
                </c:pt>
                <c:pt idx="371">
                  <c:v>45338</c:v>
                </c:pt>
                <c:pt idx="372">
                  <c:v>45345</c:v>
                </c:pt>
                <c:pt idx="373">
                  <c:v>45352</c:v>
                </c:pt>
                <c:pt idx="374">
                  <c:v>45359</c:v>
                </c:pt>
                <c:pt idx="375">
                  <c:v>45366</c:v>
                </c:pt>
                <c:pt idx="376">
                  <c:v>45373</c:v>
                </c:pt>
                <c:pt idx="377">
                  <c:v>45380</c:v>
                </c:pt>
                <c:pt idx="378">
                  <c:v>45387</c:v>
                </c:pt>
                <c:pt idx="379">
                  <c:v>45394</c:v>
                </c:pt>
                <c:pt idx="380">
                  <c:v>45401</c:v>
                </c:pt>
                <c:pt idx="381">
                  <c:v>45408</c:v>
                </c:pt>
                <c:pt idx="382">
                  <c:v>45415</c:v>
                </c:pt>
                <c:pt idx="383">
                  <c:v>45422</c:v>
                </c:pt>
                <c:pt idx="384">
                  <c:v>45429</c:v>
                </c:pt>
                <c:pt idx="385">
                  <c:v>45436</c:v>
                </c:pt>
                <c:pt idx="386">
                  <c:v>45443</c:v>
                </c:pt>
                <c:pt idx="387">
                  <c:v>45450</c:v>
                </c:pt>
                <c:pt idx="388">
                  <c:v>45457</c:v>
                </c:pt>
                <c:pt idx="389">
                  <c:v>45464</c:v>
                </c:pt>
                <c:pt idx="390">
                  <c:v>45471</c:v>
                </c:pt>
                <c:pt idx="391">
                  <c:v>45478</c:v>
                </c:pt>
                <c:pt idx="392">
                  <c:v>45485</c:v>
                </c:pt>
                <c:pt idx="393">
                  <c:v>45492</c:v>
                </c:pt>
                <c:pt idx="394">
                  <c:v>45499</c:v>
                </c:pt>
                <c:pt idx="395">
                  <c:v>45506</c:v>
                </c:pt>
                <c:pt idx="396">
                  <c:v>45513</c:v>
                </c:pt>
                <c:pt idx="397">
                  <c:v>45520</c:v>
                </c:pt>
                <c:pt idx="398">
                  <c:v>45527</c:v>
                </c:pt>
                <c:pt idx="399">
                  <c:v>45534</c:v>
                </c:pt>
                <c:pt idx="400">
                  <c:v>45541</c:v>
                </c:pt>
                <c:pt idx="401">
                  <c:v>45548</c:v>
                </c:pt>
                <c:pt idx="402">
                  <c:v>45555</c:v>
                </c:pt>
                <c:pt idx="403">
                  <c:v>45562</c:v>
                </c:pt>
                <c:pt idx="404">
                  <c:v>45569</c:v>
                </c:pt>
                <c:pt idx="405">
                  <c:v>45576</c:v>
                </c:pt>
                <c:pt idx="406">
                  <c:v>45583</c:v>
                </c:pt>
                <c:pt idx="407">
                  <c:v>45590</c:v>
                </c:pt>
                <c:pt idx="408">
                  <c:v>45597</c:v>
                </c:pt>
                <c:pt idx="409">
                  <c:v>45604</c:v>
                </c:pt>
                <c:pt idx="410">
                  <c:v>45611</c:v>
                </c:pt>
                <c:pt idx="411">
                  <c:v>45618</c:v>
                </c:pt>
                <c:pt idx="412">
                  <c:v>45625</c:v>
                </c:pt>
              </c:numCache>
            </c:numRef>
          </c:cat>
          <c:val>
            <c:numRef>
              <c:f>Summary!$K$86:$K$498</c:f>
              <c:numCache>
                <c:formatCode>0.0\x_);\(0.0\x\)</c:formatCode>
                <c:ptCount val="413"/>
                <c:pt idx="0">
                  <c:v>8.670924022399463</c:v>
                </c:pt>
                <c:pt idx="1">
                  <c:v>8.670924022399463</c:v>
                </c:pt>
                <c:pt idx="2">
                  <c:v>8.670924022399463</c:v>
                </c:pt>
                <c:pt idx="3">
                  <c:v>8.670924022399463</c:v>
                </c:pt>
                <c:pt idx="4">
                  <c:v>8.670924022399463</c:v>
                </c:pt>
                <c:pt idx="5">
                  <c:v>8.670924022399463</c:v>
                </c:pt>
                <c:pt idx="6">
                  <c:v>8.670924022399463</c:v>
                </c:pt>
                <c:pt idx="7">
                  <c:v>8.670924022399463</c:v>
                </c:pt>
                <c:pt idx="8">
                  <c:v>8.670924022399463</c:v>
                </c:pt>
                <c:pt idx="9">
                  <c:v>8.670924022399463</c:v>
                </c:pt>
                <c:pt idx="10">
                  <c:v>8.670924022399463</c:v>
                </c:pt>
                <c:pt idx="11">
                  <c:v>8.670924022399463</c:v>
                </c:pt>
                <c:pt idx="12">
                  <c:v>8.670924022399463</c:v>
                </c:pt>
                <c:pt idx="13">
                  <c:v>8.670924022399463</c:v>
                </c:pt>
                <c:pt idx="14">
                  <c:v>8.670924022399463</c:v>
                </c:pt>
                <c:pt idx="15">
                  <c:v>8.670924022399463</c:v>
                </c:pt>
                <c:pt idx="16">
                  <c:v>8.670924022399463</c:v>
                </c:pt>
                <c:pt idx="17">
                  <c:v>8.670924022399463</c:v>
                </c:pt>
                <c:pt idx="18">
                  <c:v>8.670924022399463</c:v>
                </c:pt>
                <c:pt idx="19">
                  <c:v>8.670924022399463</c:v>
                </c:pt>
                <c:pt idx="20">
                  <c:v>8.670924022399463</c:v>
                </c:pt>
                <c:pt idx="21">
                  <c:v>8.670924022399463</c:v>
                </c:pt>
                <c:pt idx="22">
                  <c:v>8.670924022399463</c:v>
                </c:pt>
                <c:pt idx="23">
                  <c:v>8.670924022399463</c:v>
                </c:pt>
                <c:pt idx="24">
                  <c:v>8.670924022399463</c:v>
                </c:pt>
                <c:pt idx="25">
                  <c:v>8.670924022399463</c:v>
                </c:pt>
                <c:pt idx="26">
                  <c:v>8.670924022399463</c:v>
                </c:pt>
                <c:pt idx="27">
                  <c:v>8.670924022399463</c:v>
                </c:pt>
                <c:pt idx="28">
                  <c:v>8.670924022399463</c:v>
                </c:pt>
                <c:pt idx="29">
                  <c:v>8.670924022399463</c:v>
                </c:pt>
                <c:pt idx="30">
                  <c:v>8.670924022399463</c:v>
                </c:pt>
                <c:pt idx="31">
                  <c:v>8.670924022399463</c:v>
                </c:pt>
                <c:pt idx="32">
                  <c:v>8.670924022399463</c:v>
                </c:pt>
                <c:pt idx="33">
                  <c:v>8.670924022399463</c:v>
                </c:pt>
                <c:pt idx="34">
                  <c:v>8.670924022399463</c:v>
                </c:pt>
                <c:pt idx="35">
                  <c:v>8.670924022399463</c:v>
                </c:pt>
                <c:pt idx="36">
                  <c:v>8.670924022399463</c:v>
                </c:pt>
                <c:pt idx="37">
                  <c:v>8.670924022399463</c:v>
                </c:pt>
                <c:pt idx="38">
                  <c:v>8.670924022399463</c:v>
                </c:pt>
                <c:pt idx="39">
                  <c:v>8.670924022399463</c:v>
                </c:pt>
                <c:pt idx="40">
                  <c:v>8.670924022399463</c:v>
                </c:pt>
                <c:pt idx="41">
                  <c:v>8.670924022399463</c:v>
                </c:pt>
                <c:pt idx="42">
                  <c:v>8.670924022399463</c:v>
                </c:pt>
                <c:pt idx="43">
                  <c:v>8.670924022399463</c:v>
                </c:pt>
                <c:pt idx="44">
                  <c:v>8.670924022399463</c:v>
                </c:pt>
                <c:pt idx="45">
                  <c:v>8.670924022399463</c:v>
                </c:pt>
                <c:pt idx="46">
                  <c:v>8.670924022399463</c:v>
                </c:pt>
                <c:pt idx="47">
                  <c:v>8.670924022399463</c:v>
                </c:pt>
                <c:pt idx="48">
                  <c:v>8.670924022399463</c:v>
                </c:pt>
                <c:pt idx="49">
                  <c:v>8.670924022399463</c:v>
                </c:pt>
                <c:pt idx="50">
                  <c:v>8.670924022399463</c:v>
                </c:pt>
                <c:pt idx="51">
                  <c:v>8.670924022399463</c:v>
                </c:pt>
                <c:pt idx="52">
                  <c:v>8.670924022399463</c:v>
                </c:pt>
                <c:pt idx="53">
                  <c:v>8.670924022399463</c:v>
                </c:pt>
                <c:pt idx="54">
                  <c:v>8.670924022399463</c:v>
                </c:pt>
                <c:pt idx="55">
                  <c:v>8.670924022399463</c:v>
                </c:pt>
                <c:pt idx="56">
                  <c:v>8.670924022399463</c:v>
                </c:pt>
                <c:pt idx="57">
                  <c:v>8.670924022399463</c:v>
                </c:pt>
                <c:pt idx="58">
                  <c:v>8.670924022399463</c:v>
                </c:pt>
                <c:pt idx="59">
                  <c:v>8.670924022399463</c:v>
                </c:pt>
                <c:pt idx="60">
                  <c:v>8.670924022399463</c:v>
                </c:pt>
                <c:pt idx="61">
                  <c:v>8.670924022399463</c:v>
                </c:pt>
                <c:pt idx="62">
                  <c:v>8.670924022399463</c:v>
                </c:pt>
                <c:pt idx="63">
                  <c:v>8.670924022399463</c:v>
                </c:pt>
                <c:pt idx="64">
                  <c:v>8.670924022399463</c:v>
                </c:pt>
                <c:pt idx="65">
                  <c:v>8.670924022399463</c:v>
                </c:pt>
                <c:pt idx="66">
                  <c:v>8.670924022399463</c:v>
                </c:pt>
                <c:pt idx="67">
                  <c:v>8.670924022399463</c:v>
                </c:pt>
                <c:pt idx="68">
                  <c:v>8.670924022399463</c:v>
                </c:pt>
                <c:pt idx="69">
                  <c:v>8.670924022399463</c:v>
                </c:pt>
                <c:pt idx="70">
                  <c:v>8.670924022399463</c:v>
                </c:pt>
                <c:pt idx="71">
                  <c:v>8.670924022399463</c:v>
                </c:pt>
                <c:pt idx="72">
                  <c:v>8.670924022399463</c:v>
                </c:pt>
                <c:pt idx="73">
                  <c:v>8.670924022399463</c:v>
                </c:pt>
                <c:pt idx="74">
                  <c:v>8.670924022399463</c:v>
                </c:pt>
                <c:pt idx="75">
                  <c:v>8.670924022399463</c:v>
                </c:pt>
                <c:pt idx="76">
                  <c:v>8.670924022399463</c:v>
                </c:pt>
                <c:pt idx="77">
                  <c:v>8.670924022399463</c:v>
                </c:pt>
                <c:pt idx="78">
                  <c:v>8.670924022399463</c:v>
                </c:pt>
                <c:pt idx="79">
                  <c:v>8.670924022399463</c:v>
                </c:pt>
                <c:pt idx="80">
                  <c:v>8.670924022399463</c:v>
                </c:pt>
                <c:pt idx="81">
                  <c:v>8.670924022399463</c:v>
                </c:pt>
                <c:pt idx="82">
                  <c:v>8.670924022399463</c:v>
                </c:pt>
                <c:pt idx="83">
                  <c:v>8.670924022399463</c:v>
                </c:pt>
                <c:pt idx="84">
                  <c:v>8.670924022399463</c:v>
                </c:pt>
                <c:pt idx="85">
                  <c:v>8.670924022399463</c:v>
                </c:pt>
                <c:pt idx="86">
                  <c:v>8.670924022399463</c:v>
                </c:pt>
                <c:pt idx="87">
                  <c:v>8.670924022399463</c:v>
                </c:pt>
                <c:pt idx="88">
                  <c:v>8.670924022399463</c:v>
                </c:pt>
                <c:pt idx="89">
                  <c:v>8.670924022399463</c:v>
                </c:pt>
                <c:pt idx="90">
                  <c:v>8.670924022399463</c:v>
                </c:pt>
                <c:pt idx="91">
                  <c:v>8.670924022399463</c:v>
                </c:pt>
                <c:pt idx="92">
                  <c:v>8.670924022399463</c:v>
                </c:pt>
                <c:pt idx="93">
                  <c:v>8.670924022399463</c:v>
                </c:pt>
                <c:pt idx="94">
                  <c:v>8.670924022399463</c:v>
                </c:pt>
                <c:pt idx="95">
                  <c:v>8.670924022399463</c:v>
                </c:pt>
                <c:pt idx="96">
                  <c:v>8.670924022399463</c:v>
                </c:pt>
                <c:pt idx="97">
                  <c:v>8.670924022399463</c:v>
                </c:pt>
                <c:pt idx="98">
                  <c:v>8.670924022399463</c:v>
                </c:pt>
                <c:pt idx="99">
                  <c:v>8.670924022399463</c:v>
                </c:pt>
                <c:pt idx="100">
                  <c:v>8.670924022399463</c:v>
                </c:pt>
                <c:pt idx="101">
                  <c:v>8.670924022399463</c:v>
                </c:pt>
                <c:pt idx="102">
                  <c:v>8.670924022399463</c:v>
                </c:pt>
                <c:pt idx="103">
                  <c:v>8.670924022399463</c:v>
                </c:pt>
                <c:pt idx="104">
                  <c:v>8.670924022399463</c:v>
                </c:pt>
                <c:pt idx="105">
                  <c:v>8.670924022399463</c:v>
                </c:pt>
                <c:pt idx="106">
                  <c:v>8.670924022399463</c:v>
                </c:pt>
                <c:pt idx="107">
                  <c:v>8.670924022399463</c:v>
                </c:pt>
                <c:pt idx="108">
                  <c:v>8.670924022399463</c:v>
                </c:pt>
                <c:pt idx="109">
                  <c:v>8.670924022399463</c:v>
                </c:pt>
                <c:pt idx="110">
                  <c:v>8.670924022399463</c:v>
                </c:pt>
                <c:pt idx="111">
                  <c:v>8.670924022399463</c:v>
                </c:pt>
                <c:pt idx="112">
                  <c:v>8.670924022399463</c:v>
                </c:pt>
                <c:pt idx="113">
                  <c:v>8.670924022399463</c:v>
                </c:pt>
                <c:pt idx="114">
                  <c:v>8.670924022399463</c:v>
                </c:pt>
                <c:pt idx="115">
                  <c:v>8.670924022399463</c:v>
                </c:pt>
                <c:pt idx="116">
                  <c:v>8.670924022399463</c:v>
                </c:pt>
                <c:pt idx="117">
                  <c:v>8.670924022399463</c:v>
                </c:pt>
                <c:pt idx="118">
                  <c:v>8.670924022399463</c:v>
                </c:pt>
                <c:pt idx="119">
                  <c:v>8.670924022399463</c:v>
                </c:pt>
                <c:pt idx="120">
                  <c:v>8.670924022399463</c:v>
                </c:pt>
                <c:pt idx="121">
                  <c:v>8.670924022399463</c:v>
                </c:pt>
                <c:pt idx="122">
                  <c:v>8.670924022399463</c:v>
                </c:pt>
                <c:pt idx="123">
                  <c:v>8.670924022399463</c:v>
                </c:pt>
                <c:pt idx="124">
                  <c:v>8.670924022399463</c:v>
                </c:pt>
                <c:pt idx="125">
                  <c:v>8.670924022399463</c:v>
                </c:pt>
                <c:pt idx="126">
                  <c:v>8.670924022399463</c:v>
                </c:pt>
                <c:pt idx="127">
                  <c:v>8.670924022399463</c:v>
                </c:pt>
                <c:pt idx="128">
                  <c:v>8.670924022399463</c:v>
                </c:pt>
                <c:pt idx="129">
                  <c:v>8.670924022399463</c:v>
                </c:pt>
                <c:pt idx="130">
                  <c:v>8.670924022399463</c:v>
                </c:pt>
                <c:pt idx="131">
                  <c:v>8.670924022399463</c:v>
                </c:pt>
                <c:pt idx="132">
                  <c:v>8.670924022399463</c:v>
                </c:pt>
                <c:pt idx="133">
                  <c:v>8.670924022399463</c:v>
                </c:pt>
                <c:pt idx="134">
                  <c:v>8.670924022399463</c:v>
                </c:pt>
                <c:pt idx="135">
                  <c:v>8.670924022399463</c:v>
                </c:pt>
                <c:pt idx="136">
                  <c:v>8.670924022399463</c:v>
                </c:pt>
                <c:pt idx="137">
                  <c:v>8.670924022399463</c:v>
                </c:pt>
                <c:pt idx="138">
                  <c:v>8.670924022399463</c:v>
                </c:pt>
                <c:pt idx="139">
                  <c:v>8.670924022399463</c:v>
                </c:pt>
                <c:pt idx="140">
                  <c:v>8.670924022399463</c:v>
                </c:pt>
                <c:pt idx="141">
                  <c:v>8.670924022399463</c:v>
                </c:pt>
                <c:pt idx="142">
                  <c:v>8.670924022399463</c:v>
                </c:pt>
                <c:pt idx="143">
                  <c:v>8.670924022399463</c:v>
                </c:pt>
                <c:pt idx="144">
                  <c:v>8.670924022399463</c:v>
                </c:pt>
                <c:pt idx="145">
                  <c:v>8.670924022399463</c:v>
                </c:pt>
                <c:pt idx="146">
                  <c:v>8.670924022399463</c:v>
                </c:pt>
                <c:pt idx="147">
                  <c:v>8.670924022399463</c:v>
                </c:pt>
                <c:pt idx="148">
                  <c:v>8.670924022399463</c:v>
                </c:pt>
                <c:pt idx="149">
                  <c:v>8.670924022399463</c:v>
                </c:pt>
                <c:pt idx="150">
                  <c:v>8.670924022399463</c:v>
                </c:pt>
                <c:pt idx="151">
                  <c:v>8.670924022399463</c:v>
                </c:pt>
                <c:pt idx="152">
                  <c:v>8.670924022399463</c:v>
                </c:pt>
                <c:pt idx="153">
                  <c:v>8.670924022399463</c:v>
                </c:pt>
                <c:pt idx="154">
                  <c:v>8.670924022399463</c:v>
                </c:pt>
                <c:pt idx="155">
                  <c:v>8.670924022399463</c:v>
                </c:pt>
                <c:pt idx="156">
                  <c:v>8.670924022399463</c:v>
                </c:pt>
                <c:pt idx="157">
                  <c:v>8.670924022399463</c:v>
                </c:pt>
                <c:pt idx="158">
                  <c:v>8.670924022399463</c:v>
                </c:pt>
                <c:pt idx="159">
                  <c:v>8.670924022399463</c:v>
                </c:pt>
                <c:pt idx="160">
                  <c:v>8.670924022399463</c:v>
                </c:pt>
                <c:pt idx="161">
                  <c:v>8.670924022399463</c:v>
                </c:pt>
                <c:pt idx="162">
                  <c:v>8.670924022399463</c:v>
                </c:pt>
                <c:pt idx="163">
                  <c:v>8.670924022399463</c:v>
                </c:pt>
                <c:pt idx="164">
                  <c:v>8.670924022399463</c:v>
                </c:pt>
                <c:pt idx="165">
                  <c:v>8.670924022399463</c:v>
                </c:pt>
                <c:pt idx="166">
                  <c:v>8.670924022399463</c:v>
                </c:pt>
                <c:pt idx="167">
                  <c:v>8.670924022399463</c:v>
                </c:pt>
                <c:pt idx="168">
                  <c:v>8.670924022399463</c:v>
                </c:pt>
                <c:pt idx="169">
                  <c:v>8.670924022399463</c:v>
                </c:pt>
                <c:pt idx="170">
                  <c:v>8.670924022399463</c:v>
                </c:pt>
                <c:pt idx="171">
                  <c:v>8.670924022399463</c:v>
                </c:pt>
                <c:pt idx="172">
                  <c:v>8.670924022399463</c:v>
                </c:pt>
                <c:pt idx="173">
                  <c:v>8.670924022399463</c:v>
                </c:pt>
                <c:pt idx="174">
                  <c:v>8.670924022399463</c:v>
                </c:pt>
                <c:pt idx="175">
                  <c:v>8.670924022399463</c:v>
                </c:pt>
                <c:pt idx="176">
                  <c:v>8.670924022399463</c:v>
                </c:pt>
                <c:pt idx="177">
                  <c:v>8.670924022399463</c:v>
                </c:pt>
                <c:pt idx="178">
                  <c:v>8.670924022399463</c:v>
                </c:pt>
                <c:pt idx="179">
                  <c:v>8.670924022399463</c:v>
                </c:pt>
                <c:pt idx="180">
                  <c:v>8.670924022399463</c:v>
                </c:pt>
                <c:pt idx="181">
                  <c:v>8.670924022399463</c:v>
                </c:pt>
                <c:pt idx="182">
                  <c:v>8.670924022399463</c:v>
                </c:pt>
                <c:pt idx="183">
                  <c:v>8.670924022399463</c:v>
                </c:pt>
                <c:pt idx="184">
                  <c:v>8.670924022399463</c:v>
                </c:pt>
                <c:pt idx="185">
                  <c:v>8.670924022399463</c:v>
                </c:pt>
                <c:pt idx="186">
                  <c:v>8.670924022399463</c:v>
                </c:pt>
                <c:pt idx="187">
                  <c:v>8.670924022399463</c:v>
                </c:pt>
                <c:pt idx="188">
                  <c:v>8.670924022399463</c:v>
                </c:pt>
                <c:pt idx="189">
                  <c:v>8.670924022399463</c:v>
                </c:pt>
                <c:pt idx="190">
                  <c:v>8.670924022399463</c:v>
                </c:pt>
                <c:pt idx="191">
                  <c:v>8.670924022399463</c:v>
                </c:pt>
                <c:pt idx="192">
                  <c:v>8.670924022399463</c:v>
                </c:pt>
                <c:pt idx="193">
                  <c:v>8.670924022399463</c:v>
                </c:pt>
                <c:pt idx="194">
                  <c:v>8.670924022399463</c:v>
                </c:pt>
                <c:pt idx="195">
                  <c:v>8.670924022399463</c:v>
                </c:pt>
                <c:pt idx="196">
                  <c:v>8.670924022399463</c:v>
                </c:pt>
                <c:pt idx="197">
                  <c:v>8.670924022399463</c:v>
                </c:pt>
                <c:pt idx="198">
                  <c:v>8.670924022399463</c:v>
                </c:pt>
                <c:pt idx="199">
                  <c:v>8.670924022399463</c:v>
                </c:pt>
                <c:pt idx="200">
                  <c:v>8.670924022399463</c:v>
                </c:pt>
                <c:pt idx="201">
                  <c:v>8.670924022399463</c:v>
                </c:pt>
                <c:pt idx="202">
                  <c:v>8.670924022399463</c:v>
                </c:pt>
                <c:pt idx="203">
                  <c:v>8.670924022399463</c:v>
                </c:pt>
                <c:pt idx="204">
                  <c:v>8.670924022399463</c:v>
                </c:pt>
                <c:pt idx="205">
                  <c:v>8.670924022399463</c:v>
                </c:pt>
                <c:pt idx="206">
                  <c:v>8.670924022399463</c:v>
                </c:pt>
                <c:pt idx="207">
                  <c:v>8.670924022399463</c:v>
                </c:pt>
                <c:pt idx="208">
                  <c:v>8.670924022399463</c:v>
                </c:pt>
                <c:pt idx="209">
                  <c:v>8.670924022399463</c:v>
                </c:pt>
                <c:pt idx="210">
                  <c:v>8.670924022399463</c:v>
                </c:pt>
                <c:pt idx="211">
                  <c:v>8.670924022399463</c:v>
                </c:pt>
                <c:pt idx="212">
                  <c:v>8.670924022399463</c:v>
                </c:pt>
                <c:pt idx="213">
                  <c:v>8.670924022399463</c:v>
                </c:pt>
                <c:pt idx="214">
                  <c:v>8.670924022399463</c:v>
                </c:pt>
                <c:pt idx="215">
                  <c:v>8.670924022399463</c:v>
                </c:pt>
                <c:pt idx="216">
                  <c:v>8.670924022399463</c:v>
                </c:pt>
                <c:pt idx="217">
                  <c:v>8.670924022399463</c:v>
                </c:pt>
                <c:pt idx="218">
                  <c:v>8.670924022399463</c:v>
                </c:pt>
                <c:pt idx="219">
                  <c:v>8.670924022399463</c:v>
                </c:pt>
                <c:pt idx="220">
                  <c:v>8.670924022399463</c:v>
                </c:pt>
                <c:pt idx="221">
                  <c:v>8.670924022399463</c:v>
                </c:pt>
                <c:pt idx="222">
                  <c:v>8.670924022399463</c:v>
                </c:pt>
                <c:pt idx="223">
                  <c:v>8.670924022399463</c:v>
                </c:pt>
                <c:pt idx="224">
                  <c:v>8.670924022399463</c:v>
                </c:pt>
                <c:pt idx="225">
                  <c:v>8.670924022399463</c:v>
                </c:pt>
                <c:pt idx="226">
                  <c:v>8.670924022399463</c:v>
                </c:pt>
                <c:pt idx="227">
                  <c:v>8.670924022399463</c:v>
                </c:pt>
                <c:pt idx="228">
                  <c:v>8.670924022399463</c:v>
                </c:pt>
                <c:pt idx="229">
                  <c:v>8.670924022399463</c:v>
                </c:pt>
                <c:pt idx="230">
                  <c:v>8.670924022399463</c:v>
                </c:pt>
                <c:pt idx="231">
                  <c:v>8.670924022399463</c:v>
                </c:pt>
                <c:pt idx="232">
                  <c:v>8.670924022399463</c:v>
                </c:pt>
                <c:pt idx="233">
                  <c:v>8.670924022399463</c:v>
                </c:pt>
                <c:pt idx="234">
                  <c:v>8.670924022399463</c:v>
                </c:pt>
                <c:pt idx="235">
                  <c:v>8.670924022399463</c:v>
                </c:pt>
                <c:pt idx="236">
                  <c:v>8.670924022399463</c:v>
                </c:pt>
                <c:pt idx="237">
                  <c:v>8.670924022399463</c:v>
                </c:pt>
                <c:pt idx="238">
                  <c:v>8.670924022399463</c:v>
                </c:pt>
                <c:pt idx="239">
                  <c:v>8.670924022399463</c:v>
                </c:pt>
                <c:pt idx="240">
                  <c:v>8.670924022399463</c:v>
                </c:pt>
                <c:pt idx="241">
                  <c:v>8.670924022399463</c:v>
                </c:pt>
                <c:pt idx="242">
                  <c:v>8.670924022399463</c:v>
                </c:pt>
                <c:pt idx="243">
                  <c:v>8.670924022399463</c:v>
                </c:pt>
                <c:pt idx="244">
                  <c:v>8.670924022399463</c:v>
                </c:pt>
                <c:pt idx="245">
                  <c:v>8.670924022399463</c:v>
                </c:pt>
                <c:pt idx="246">
                  <c:v>8.670924022399463</c:v>
                </c:pt>
                <c:pt idx="247">
                  <c:v>8.670924022399463</c:v>
                </c:pt>
                <c:pt idx="248">
                  <c:v>8.670924022399463</c:v>
                </c:pt>
                <c:pt idx="249">
                  <c:v>8.670924022399463</c:v>
                </c:pt>
                <c:pt idx="250">
                  <c:v>8.670924022399463</c:v>
                </c:pt>
                <c:pt idx="251">
                  <c:v>8.670924022399463</c:v>
                </c:pt>
                <c:pt idx="252">
                  <c:v>8.670924022399463</c:v>
                </c:pt>
                <c:pt idx="253">
                  <c:v>8.670924022399463</c:v>
                </c:pt>
                <c:pt idx="254">
                  <c:v>8.670924022399463</c:v>
                </c:pt>
                <c:pt idx="255">
                  <c:v>8.670924022399463</c:v>
                </c:pt>
                <c:pt idx="256">
                  <c:v>8.670924022399463</c:v>
                </c:pt>
                <c:pt idx="257">
                  <c:v>8.670924022399463</c:v>
                </c:pt>
                <c:pt idx="258">
                  <c:v>8.670924022399463</c:v>
                </c:pt>
                <c:pt idx="259">
                  <c:v>8.670924022399463</c:v>
                </c:pt>
                <c:pt idx="260">
                  <c:v>8.670924022399463</c:v>
                </c:pt>
                <c:pt idx="261">
                  <c:v>8.670924022399463</c:v>
                </c:pt>
                <c:pt idx="262">
                  <c:v>8.670924022399463</c:v>
                </c:pt>
                <c:pt idx="263">
                  <c:v>8.670924022399463</c:v>
                </c:pt>
                <c:pt idx="264">
                  <c:v>8.670924022399463</c:v>
                </c:pt>
                <c:pt idx="265">
                  <c:v>8.670924022399463</c:v>
                </c:pt>
                <c:pt idx="266">
                  <c:v>8.670924022399463</c:v>
                </c:pt>
                <c:pt idx="267">
                  <c:v>8.670924022399463</c:v>
                </c:pt>
                <c:pt idx="268">
                  <c:v>8.670924022399463</c:v>
                </c:pt>
                <c:pt idx="269">
                  <c:v>8.670924022399463</c:v>
                </c:pt>
                <c:pt idx="270">
                  <c:v>8.670924022399463</c:v>
                </c:pt>
                <c:pt idx="271">
                  <c:v>8.670924022399463</c:v>
                </c:pt>
                <c:pt idx="272">
                  <c:v>8.670924022399463</c:v>
                </c:pt>
                <c:pt idx="273">
                  <c:v>8.670924022399463</c:v>
                </c:pt>
                <c:pt idx="274">
                  <c:v>8.670924022399463</c:v>
                </c:pt>
                <c:pt idx="275">
                  <c:v>8.670924022399463</c:v>
                </c:pt>
                <c:pt idx="276">
                  <c:v>8.670924022399463</c:v>
                </c:pt>
                <c:pt idx="277">
                  <c:v>8.670924022399463</c:v>
                </c:pt>
                <c:pt idx="278">
                  <c:v>8.670924022399463</c:v>
                </c:pt>
                <c:pt idx="279">
                  <c:v>8.670924022399463</c:v>
                </c:pt>
                <c:pt idx="280">
                  <c:v>8.670924022399463</c:v>
                </c:pt>
                <c:pt idx="281">
                  <c:v>8.670924022399463</c:v>
                </c:pt>
                <c:pt idx="282">
                  <c:v>8.670924022399463</c:v>
                </c:pt>
                <c:pt idx="283">
                  <c:v>8.670924022399463</c:v>
                </c:pt>
                <c:pt idx="284">
                  <c:v>8.670924022399463</c:v>
                </c:pt>
                <c:pt idx="285">
                  <c:v>8.670924022399463</c:v>
                </c:pt>
                <c:pt idx="286">
                  <c:v>8.670924022399463</c:v>
                </c:pt>
                <c:pt idx="287">
                  <c:v>8.670924022399463</c:v>
                </c:pt>
                <c:pt idx="288">
                  <c:v>8.670924022399463</c:v>
                </c:pt>
                <c:pt idx="289">
                  <c:v>8.670924022399463</c:v>
                </c:pt>
                <c:pt idx="290">
                  <c:v>8.670924022399463</c:v>
                </c:pt>
                <c:pt idx="291">
                  <c:v>8.670924022399463</c:v>
                </c:pt>
                <c:pt idx="292">
                  <c:v>8.670924022399463</c:v>
                </c:pt>
                <c:pt idx="293">
                  <c:v>8.670924022399463</c:v>
                </c:pt>
                <c:pt idx="294">
                  <c:v>8.670924022399463</c:v>
                </c:pt>
                <c:pt idx="295">
                  <c:v>8.670924022399463</c:v>
                </c:pt>
                <c:pt idx="296">
                  <c:v>8.670924022399463</c:v>
                </c:pt>
                <c:pt idx="297">
                  <c:v>8.670924022399463</c:v>
                </c:pt>
                <c:pt idx="298">
                  <c:v>8.670924022399463</c:v>
                </c:pt>
                <c:pt idx="299">
                  <c:v>8.670924022399463</c:v>
                </c:pt>
                <c:pt idx="300">
                  <c:v>8.670924022399463</c:v>
                </c:pt>
                <c:pt idx="301">
                  <c:v>8.670924022399463</c:v>
                </c:pt>
                <c:pt idx="302">
                  <c:v>8.670924022399463</c:v>
                </c:pt>
                <c:pt idx="303">
                  <c:v>8.670924022399463</c:v>
                </c:pt>
                <c:pt idx="304">
                  <c:v>8.670924022399463</c:v>
                </c:pt>
                <c:pt idx="305">
                  <c:v>8.670924022399463</c:v>
                </c:pt>
                <c:pt idx="306">
                  <c:v>8.670924022399463</c:v>
                </c:pt>
                <c:pt idx="307">
                  <c:v>8.670924022399463</c:v>
                </c:pt>
                <c:pt idx="308">
                  <c:v>8.670924022399463</c:v>
                </c:pt>
                <c:pt idx="309">
                  <c:v>8.670924022399463</c:v>
                </c:pt>
                <c:pt idx="310">
                  <c:v>8.670924022399463</c:v>
                </c:pt>
                <c:pt idx="311">
                  <c:v>8.670924022399463</c:v>
                </c:pt>
                <c:pt idx="312">
                  <c:v>8.670924022399463</c:v>
                </c:pt>
                <c:pt idx="313">
                  <c:v>8.670924022399463</c:v>
                </c:pt>
                <c:pt idx="314">
                  <c:v>8.670924022399463</c:v>
                </c:pt>
                <c:pt idx="315">
                  <c:v>8.670924022399463</c:v>
                </c:pt>
                <c:pt idx="316">
                  <c:v>8.670924022399463</c:v>
                </c:pt>
                <c:pt idx="317">
                  <c:v>8.670924022399463</c:v>
                </c:pt>
                <c:pt idx="318">
                  <c:v>8.670924022399463</c:v>
                </c:pt>
                <c:pt idx="319">
                  <c:v>8.670924022399463</c:v>
                </c:pt>
                <c:pt idx="320">
                  <c:v>8.670924022399463</c:v>
                </c:pt>
                <c:pt idx="321">
                  <c:v>8.670924022399463</c:v>
                </c:pt>
                <c:pt idx="322">
                  <c:v>8.670924022399463</c:v>
                </c:pt>
                <c:pt idx="323">
                  <c:v>8.670924022399463</c:v>
                </c:pt>
                <c:pt idx="324">
                  <c:v>8.670924022399463</c:v>
                </c:pt>
                <c:pt idx="325">
                  <c:v>8.670924022399463</c:v>
                </c:pt>
                <c:pt idx="326">
                  <c:v>8.670924022399463</c:v>
                </c:pt>
                <c:pt idx="327">
                  <c:v>8.670924022399463</c:v>
                </c:pt>
                <c:pt idx="328">
                  <c:v>8.670924022399463</c:v>
                </c:pt>
                <c:pt idx="329">
                  <c:v>8.670924022399463</c:v>
                </c:pt>
                <c:pt idx="330">
                  <c:v>8.670924022399463</c:v>
                </c:pt>
                <c:pt idx="331">
                  <c:v>8.670924022399463</c:v>
                </c:pt>
                <c:pt idx="332">
                  <c:v>8.670924022399463</c:v>
                </c:pt>
                <c:pt idx="333">
                  <c:v>8.670924022399463</c:v>
                </c:pt>
                <c:pt idx="334">
                  <c:v>8.670924022399463</c:v>
                </c:pt>
                <c:pt idx="335">
                  <c:v>8.670924022399463</c:v>
                </c:pt>
                <c:pt idx="336">
                  <c:v>8.670924022399463</c:v>
                </c:pt>
                <c:pt idx="337">
                  <c:v>8.670924022399463</c:v>
                </c:pt>
                <c:pt idx="338">
                  <c:v>8.670924022399463</c:v>
                </c:pt>
                <c:pt idx="339">
                  <c:v>8.670924022399463</c:v>
                </c:pt>
                <c:pt idx="340">
                  <c:v>8.670924022399463</c:v>
                </c:pt>
                <c:pt idx="341">
                  <c:v>8.670924022399463</c:v>
                </c:pt>
                <c:pt idx="342">
                  <c:v>8.670924022399463</c:v>
                </c:pt>
                <c:pt idx="343">
                  <c:v>8.670924022399463</c:v>
                </c:pt>
                <c:pt idx="344">
                  <c:v>8.670924022399463</c:v>
                </c:pt>
                <c:pt idx="345">
                  <c:v>8.670924022399463</c:v>
                </c:pt>
                <c:pt idx="346">
                  <c:v>8.670924022399463</c:v>
                </c:pt>
                <c:pt idx="347">
                  <c:v>8.670924022399463</c:v>
                </c:pt>
                <c:pt idx="348">
                  <c:v>8.670924022399463</c:v>
                </c:pt>
                <c:pt idx="349">
                  <c:v>8.670924022399463</c:v>
                </c:pt>
                <c:pt idx="350">
                  <c:v>8.670924022399463</c:v>
                </c:pt>
                <c:pt idx="351">
                  <c:v>8.670924022399463</c:v>
                </c:pt>
                <c:pt idx="352">
                  <c:v>8.670924022399463</c:v>
                </c:pt>
                <c:pt idx="353">
                  <c:v>8.670924022399463</c:v>
                </c:pt>
                <c:pt idx="354">
                  <c:v>8.670924022399463</c:v>
                </c:pt>
                <c:pt idx="355">
                  <c:v>8.670924022399463</c:v>
                </c:pt>
                <c:pt idx="356">
                  <c:v>8.670924022399463</c:v>
                </c:pt>
                <c:pt idx="357">
                  <c:v>8.670924022399463</c:v>
                </c:pt>
                <c:pt idx="358">
                  <c:v>8.670924022399463</c:v>
                </c:pt>
                <c:pt idx="359">
                  <c:v>8.670924022399463</c:v>
                </c:pt>
                <c:pt idx="360">
                  <c:v>8.670924022399463</c:v>
                </c:pt>
                <c:pt idx="361">
                  <c:v>8.670924022399463</c:v>
                </c:pt>
                <c:pt idx="362">
                  <c:v>8.670924022399463</c:v>
                </c:pt>
                <c:pt idx="363">
                  <c:v>8.670924022399463</c:v>
                </c:pt>
                <c:pt idx="364">
                  <c:v>8.670924022399463</c:v>
                </c:pt>
                <c:pt idx="365">
                  <c:v>8.670924022399463</c:v>
                </c:pt>
                <c:pt idx="366">
                  <c:v>8.670924022399463</c:v>
                </c:pt>
                <c:pt idx="367">
                  <c:v>8.670924022399463</c:v>
                </c:pt>
                <c:pt idx="368">
                  <c:v>8.670924022399463</c:v>
                </c:pt>
                <c:pt idx="369">
                  <c:v>8.670924022399463</c:v>
                </c:pt>
                <c:pt idx="370">
                  <c:v>8.670924022399463</c:v>
                </c:pt>
                <c:pt idx="371">
                  <c:v>8.670924022399463</c:v>
                </c:pt>
                <c:pt idx="372">
                  <c:v>8.670924022399463</c:v>
                </c:pt>
                <c:pt idx="373">
                  <c:v>8.670924022399463</c:v>
                </c:pt>
                <c:pt idx="374">
                  <c:v>8.670924022399463</c:v>
                </c:pt>
                <c:pt idx="375">
                  <c:v>8.670924022399463</c:v>
                </c:pt>
                <c:pt idx="376">
                  <c:v>8.670924022399463</c:v>
                </c:pt>
                <c:pt idx="377">
                  <c:v>8.670924022399463</c:v>
                </c:pt>
                <c:pt idx="378">
                  <c:v>8.670924022399463</c:v>
                </c:pt>
                <c:pt idx="379">
                  <c:v>8.670924022399463</c:v>
                </c:pt>
                <c:pt idx="380">
                  <c:v>8.670924022399463</c:v>
                </c:pt>
                <c:pt idx="381">
                  <c:v>8.670924022399463</c:v>
                </c:pt>
                <c:pt idx="382">
                  <c:v>8.670924022399463</c:v>
                </c:pt>
                <c:pt idx="383">
                  <c:v>8.670924022399463</c:v>
                </c:pt>
                <c:pt idx="384">
                  <c:v>8.670924022399463</c:v>
                </c:pt>
                <c:pt idx="385">
                  <c:v>8.670924022399463</c:v>
                </c:pt>
                <c:pt idx="386">
                  <c:v>8.670924022399463</c:v>
                </c:pt>
                <c:pt idx="387">
                  <c:v>8.670924022399463</c:v>
                </c:pt>
                <c:pt idx="388">
                  <c:v>8.670924022399463</c:v>
                </c:pt>
                <c:pt idx="389">
                  <c:v>8.670924022399463</c:v>
                </c:pt>
                <c:pt idx="390">
                  <c:v>8.670924022399463</c:v>
                </c:pt>
                <c:pt idx="391">
                  <c:v>8.670924022399463</c:v>
                </c:pt>
                <c:pt idx="392">
                  <c:v>8.670924022399463</c:v>
                </c:pt>
                <c:pt idx="393">
                  <c:v>8.670924022399463</c:v>
                </c:pt>
                <c:pt idx="394">
                  <c:v>8.670924022399463</c:v>
                </c:pt>
                <c:pt idx="395">
                  <c:v>8.670924022399463</c:v>
                </c:pt>
                <c:pt idx="396">
                  <c:v>8.670924022399463</c:v>
                </c:pt>
                <c:pt idx="397">
                  <c:v>8.670924022399463</c:v>
                </c:pt>
                <c:pt idx="398">
                  <c:v>8.670924022399463</c:v>
                </c:pt>
                <c:pt idx="399">
                  <c:v>8.670924022399463</c:v>
                </c:pt>
                <c:pt idx="400">
                  <c:v>8.670924022399463</c:v>
                </c:pt>
                <c:pt idx="401">
                  <c:v>8.670924022399463</c:v>
                </c:pt>
                <c:pt idx="402">
                  <c:v>8.670924022399463</c:v>
                </c:pt>
                <c:pt idx="403">
                  <c:v>8.670924022399463</c:v>
                </c:pt>
                <c:pt idx="404">
                  <c:v>8.670924022399463</c:v>
                </c:pt>
                <c:pt idx="405">
                  <c:v>8.670924022399463</c:v>
                </c:pt>
                <c:pt idx="406">
                  <c:v>8.670924022399463</c:v>
                </c:pt>
                <c:pt idx="407">
                  <c:v>8.670924022399463</c:v>
                </c:pt>
                <c:pt idx="408">
                  <c:v>8.670924022399463</c:v>
                </c:pt>
                <c:pt idx="409">
                  <c:v>8.670924022399463</c:v>
                </c:pt>
                <c:pt idx="410">
                  <c:v>8.670924022399463</c:v>
                </c:pt>
                <c:pt idx="411">
                  <c:v>8.670924022399463</c:v>
                </c:pt>
                <c:pt idx="412">
                  <c:v>8.670924022399463</c:v>
                </c:pt>
              </c:numCache>
            </c:numRef>
          </c:val>
          <c:smooth val="0"/>
          <c:extLst>
            <c:ext xmlns:c16="http://schemas.microsoft.com/office/drawing/2014/chart" uri="{C3380CC4-5D6E-409C-BE32-E72D297353CC}">
              <c16:uniqueId val="{00000003-0C61-472C-8756-900BB55EBDA5}"/>
            </c:ext>
          </c:extLst>
        </c:ser>
        <c:dLbls>
          <c:showLegendKey val="0"/>
          <c:showVal val="0"/>
          <c:showCatName val="0"/>
          <c:showSerName val="0"/>
          <c:showPercent val="0"/>
          <c:showBubbleSize val="0"/>
        </c:dLbls>
        <c:smooth val="0"/>
        <c:axId val="1683816912"/>
        <c:axId val="1683822672"/>
      </c:lineChart>
      <c:dateAx>
        <c:axId val="1683816912"/>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822672"/>
        <c:crosses val="autoZero"/>
        <c:auto val="1"/>
        <c:lblOffset val="100"/>
        <c:baseTimeUnit val="days"/>
        <c:majorUnit val="1"/>
        <c:majorTimeUnit val="years"/>
      </c:dateAx>
      <c:valAx>
        <c:axId val="1683822672"/>
        <c:scaling>
          <c:orientation val="minMax"/>
        </c:scaling>
        <c:delete val="0"/>
        <c:axPos val="l"/>
        <c:majorGridlines>
          <c:spPr>
            <a:ln w="9525" cap="flat" cmpd="sng" algn="ctr">
              <a:solidFill>
                <a:schemeClr val="tx1">
                  <a:lumMod val="15000"/>
                  <a:lumOff val="85000"/>
                </a:schemeClr>
              </a:solidFill>
              <a:round/>
            </a:ln>
            <a:effectLst/>
          </c:spPr>
        </c:majorGridlines>
        <c:numFmt formatCode="0\x;\(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381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26099880122948E-2"/>
          <c:y val="5.8422818104298738E-2"/>
          <c:w val="0.93512288758885986"/>
          <c:h val="0.82665290952330739"/>
        </c:manualLayout>
      </c:layout>
      <c:barChart>
        <c:barDir val="col"/>
        <c:grouping val="clustered"/>
        <c:varyColors val="0"/>
        <c:ser>
          <c:idx val="0"/>
          <c:order val="0"/>
          <c:tx>
            <c:strRef>
              <c:f>Charts!$CG$75</c:f>
              <c:strCache>
                <c:ptCount val="1"/>
                <c:pt idx="0">
                  <c:v>Free Cash Flow</c:v>
                </c:pt>
              </c:strCache>
            </c:strRef>
          </c:tx>
          <c:spPr>
            <a:solidFill>
              <a:schemeClr val="accent1"/>
            </a:solidFill>
            <a:ln>
              <a:noFill/>
            </a:ln>
            <a:effectLst/>
          </c:spPr>
          <c:invertIfNegative val="0"/>
          <c:dLbls>
            <c:numFmt formatCode="&quot;$&quot;0.0,&quot;B&quot;;\(&quot;$&quot;0.0,&quot;B&quot;\);&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Charts!$CH$74:$CS$74</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Charts!$CH$75:$CS$75</c:f>
              <c:numCache>
                <c:formatCode>0.0,"B";\(0.0,"B"\);"-"</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Charts!$CG$76</c:f>
              <c:strCache>
                <c:ptCount val="1"/>
                <c:pt idx="0">
                  <c:v>FCF Margin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Charts!$CH$74:$CS$74</c:f>
              <c:strCache>
                <c:ptCount val="12"/>
                <c:pt idx="0">
                  <c:v>2016A </c:v>
                </c:pt>
                <c:pt idx="1">
                  <c:v>2017A </c:v>
                </c:pt>
                <c:pt idx="2">
                  <c:v>2018A </c:v>
                </c:pt>
                <c:pt idx="3">
                  <c:v>2019A </c:v>
                </c:pt>
                <c:pt idx="4">
                  <c:v>2020A </c:v>
                </c:pt>
                <c:pt idx="5">
                  <c:v>2021A </c:v>
                </c:pt>
                <c:pt idx="6">
                  <c:v>2022A </c:v>
                </c:pt>
                <c:pt idx="7">
                  <c:v>2023A </c:v>
                </c:pt>
                <c:pt idx="8">
                  <c:v>2024E </c:v>
                </c:pt>
                <c:pt idx="9">
                  <c:v>2025E </c:v>
                </c:pt>
                <c:pt idx="10">
                  <c:v>2026E </c:v>
                </c:pt>
                <c:pt idx="11">
                  <c:v>2027E </c:v>
                </c:pt>
              </c:strCache>
            </c:strRef>
          </c:cat>
          <c:val>
            <c:numRef>
              <c:f>Charts!$CH$76:$CS$76</c:f>
              <c:numCache>
                <c:formatCode>0.0%_);\(0.0%\);0.0%_);@_)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1-95CD-4672-A3EA-DF62D571BBDA}"/>
            </c:ext>
          </c:extLst>
        </c:ser>
        <c:dLbls>
          <c:showLegendKey val="0"/>
          <c:showVal val="0"/>
          <c:showCatName val="0"/>
          <c:showSerName val="0"/>
          <c:showPercent val="0"/>
          <c:showBubbleSize val="0"/>
        </c:dLbls>
        <c:marker val="1"/>
        <c:smooth val="0"/>
        <c:axId val="1316696208"/>
        <c:axId val="1316699568"/>
      </c:lineChart>
      <c:catAx>
        <c:axId val="965551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max val="3500"/>
          <c:min val="-500"/>
        </c:scaling>
        <c:delete val="0"/>
        <c:axPos val="l"/>
        <c:numFmt formatCode="&quot;$&quot;0,&quot;B&quot;;\(&quot;$&quot;0,&quot;B&quot;\);&quot;-&quot;"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316699568"/>
        <c:scaling>
          <c:orientation val="minMax"/>
        </c:scaling>
        <c:delete val="0"/>
        <c:axPos val="r"/>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96208"/>
        <c:crosses val="max"/>
        <c:crossBetween val="between"/>
      </c:valAx>
      <c:catAx>
        <c:axId val="1316696208"/>
        <c:scaling>
          <c:orientation val="minMax"/>
        </c:scaling>
        <c:delete val="1"/>
        <c:axPos val="b"/>
        <c:numFmt formatCode="General" sourceLinked="1"/>
        <c:majorTickMark val="none"/>
        <c:minorTickMark val="none"/>
        <c:tickLblPos val="nextTo"/>
        <c:crossAx val="1316699568"/>
        <c:crosses val="autoZero"/>
        <c:auto val="1"/>
        <c:lblAlgn val="ctr"/>
        <c:lblOffset val="100"/>
        <c:noMultiLvlLbl val="0"/>
      </c:catAx>
      <c:spPr>
        <a:noFill/>
        <a:ln>
          <a:noFill/>
        </a:ln>
        <a:effectLst/>
      </c:spPr>
    </c:plotArea>
    <c:legend>
      <c:legendPos val="b"/>
      <c:layout>
        <c:manualLayout>
          <c:xMode val="edge"/>
          <c:yMode val="edge"/>
          <c:x val="0.10442462512424075"/>
          <c:y val="5.6248585954518884E-2"/>
          <c:w val="0.5261185886826516"/>
          <c:h val="8.8653803609835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Charts!$CG$7</c:f>
              <c:strCache>
                <c:ptCount val="1"/>
                <c:pt idx="0">
                  <c:v>Gross Merchandise Value (GMV)</c:v>
                </c:pt>
              </c:strCache>
            </c:strRef>
          </c:tx>
          <c:spPr>
            <a:solidFill>
              <a:schemeClr val="accent1"/>
            </a:solidFill>
            <a:ln>
              <a:noFill/>
            </a:ln>
            <a:effectLst/>
          </c:spPr>
          <c:invertIfNegative val="0"/>
          <c:dLbls>
            <c:numFmt formatCode="&quot;$&quot;#,##0,&quot;B&quot;_);\(&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Charts!$CH$4:$CS$4</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Charts!$CH$7:$CS$7</c:f>
              <c:numCache>
                <c:formatCode>"$"#,##0.0,"B"_);\("$"#,##0.0"B"\);"$"#,##0.00_);@_)</c:formatCode>
                <c:ptCount val="12"/>
                <c:pt idx="0">
                  <c:v>15374.165999999999</c:v>
                </c:pt>
                <c:pt idx="1">
                  <c:v>26320.15</c:v>
                </c:pt>
                <c:pt idx="2">
                  <c:v>41103.237999999998</c:v>
                </c:pt>
                <c:pt idx="3">
                  <c:v>61138.457000000002</c:v>
                </c:pt>
                <c:pt idx="4">
                  <c:v>119577.147</c:v>
                </c:pt>
                <c:pt idx="5">
                  <c:v>175361.81400000001</c:v>
                </c:pt>
                <c:pt idx="6">
                  <c:v>197250.171</c:v>
                </c:pt>
                <c:pt idx="7">
                  <c:v>235925</c:v>
                </c:pt>
                <c:pt idx="8">
                  <c:v>290594.375</c:v>
                </c:pt>
                <c:pt idx="9">
                  <c:v>347260.16816817026</c:v>
                </c:pt>
                <c:pt idx="10">
                  <c:v>407857.06751351594</c:v>
                </c:pt>
                <c:pt idx="11">
                  <c:v>475153.48365324613</c:v>
                </c:pt>
              </c:numCache>
            </c:numRef>
          </c:val>
          <c:extLst>
            <c:ext xmlns:c16="http://schemas.microsoft.com/office/drawing/2014/chart" uri="{C3380CC4-5D6E-409C-BE32-E72D297353CC}">
              <c16:uniqueId val="{00000000-1082-4143-84FD-82BA6A4B0919}"/>
            </c:ext>
          </c:extLst>
        </c:ser>
        <c:dLbls>
          <c:showLegendKey val="0"/>
          <c:showVal val="0"/>
          <c:showCatName val="0"/>
          <c:showSerName val="0"/>
          <c:showPercent val="0"/>
          <c:showBubbleSize val="0"/>
        </c:dLbls>
        <c:gapWidth val="20"/>
        <c:axId val="2007434799"/>
        <c:axId val="2007436239"/>
      </c:barChart>
      <c:lineChart>
        <c:grouping val="standard"/>
        <c:varyColors val="0"/>
        <c:ser>
          <c:idx val="1"/>
          <c:order val="1"/>
          <c:tx>
            <c:strRef>
              <c:f>Charts!$CG$8</c:f>
              <c:strCache>
                <c:ptCount val="1"/>
                <c:pt idx="0">
                  <c:v>y/y growth</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Charts!$CH$4:$CS$4</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Charts!$CH$8:$CS$8</c:f>
              <c:numCache>
                <c:formatCode>0.0%_);\(0.0%\);0.0%_);@_)</c:formatCode>
                <c:ptCount val="12"/>
                <c:pt idx="1">
                  <c:v>0.71197253886812484</c:v>
                </c:pt>
                <c:pt idx="2">
                  <c:v>0.56166427622942861</c:v>
                </c:pt>
                <c:pt idx="3">
                  <c:v>0.48743651290927503</c:v>
                </c:pt>
                <c:pt idx="4">
                  <c:v>0.9558417543969091</c:v>
                </c:pt>
                <c:pt idx="5">
                  <c:v>0.4665161228507988</c:v>
                </c:pt>
                <c:pt idx="6">
                  <c:v>0.12481826288589826</c:v>
                </c:pt>
                <c:pt idx="7">
                  <c:v>0.19606993902175129</c:v>
                </c:pt>
                <c:pt idx="8">
                  <c:v>0.23172353502172305</c:v>
                </c:pt>
                <c:pt idx="9">
                  <c:v>0.19499962161404616</c:v>
                </c:pt>
                <c:pt idx="10">
                  <c:v>0.17449999999999988</c:v>
                </c:pt>
                <c:pt idx="11">
                  <c:v>0.16500000000000026</c:v>
                </c:pt>
              </c:numCache>
            </c:numRef>
          </c:val>
          <c:smooth val="1"/>
          <c:extLst>
            <c:ext xmlns:c16="http://schemas.microsoft.com/office/drawing/2014/chart" uri="{C3380CC4-5D6E-409C-BE32-E72D297353CC}">
              <c16:uniqueId val="{00000000-9143-498B-8596-1BC536ABC785}"/>
            </c:ext>
          </c:extLst>
        </c:ser>
        <c:dLbls>
          <c:showLegendKey val="0"/>
          <c:showVal val="0"/>
          <c:showCatName val="0"/>
          <c:showSerName val="0"/>
          <c:showPercent val="0"/>
          <c:showBubbleSize val="0"/>
        </c:dLbls>
        <c:marker val="1"/>
        <c:smooth val="0"/>
        <c:axId val="586415567"/>
        <c:axId val="586414607"/>
      </c:lineChart>
      <c:catAx>
        <c:axId val="2007434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7436239"/>
        <c:crosses val="autoZero"/>
        <c:auto val="1"/>
        <c:lblAlgn val="ctr"/>
        <c:lblOffset val="100"/>
        <c:noMultiLvlLbl val="0"/>
      </c:catAx>
      <c:valAx>
        <c:axId val="2007436239"/>
        <c:scaling>
          <c:orientation val="minMax"/>
        </c:scaling>
        <c:delete val="0"/>
        <c:axPos val="l"/>
        <c:numFmt formatCode="&quot;$&quot;#,##0,&quot;B&quot;_);\(&quot;$&quot;#,##0&quot;B&quot;\);&quot;$&quot;#,##0_);@_)" sourceLinked="0"/>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7434799"/>
        <c:crosses val="autoZero"/>
        <c:crossBetween val="between"/>
      </c:valAx>
      <c:valAx>
        <c:axId val="586414607"/>
        <c:scaling>
          <c:orientation val="minMax"/>
        </c:scaling>
        <c:delete val="0"/>
        <c:axPos val="r"/>
        <c:numFmt formatCode="&quot;$&quot;#,##0.0,&quot;B&quot;_);\(&quot;$&quot;#,##0.0&quot;B&quot;\);&quot;$&quot;#,##0.00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6415567"/>
        <c:crosses val="max"/>
        <c:crossBetween val="between"/>
      </c:valAx>
      <c:catAx>
        <c:axId val="586415567"/>
        <c:scaling>
          <c:orientation val="minMax"/>
        </c:scaling>
        <c:delete val="1"/>
        <c:axPos val="b"/>
        <c:numFmt formatCode="General" sourceLinked="1"/>
        <c:majorTickMark val="out"/>
        <c:minorTickMark val="none"/>
        <c:tickLblPos val="nextTo"/>
        <c:crossAx val="58641460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Charts!$Z$79:$AN$79</c:f>
              <c:strCache>
                <c:ptCount val="15"/>
                <c:pt idx="0">
                  <c:v>1Q21A</c:v>
                </c:pt>
                <c:pt idx="1">
                  <c:v>2Q21A</c:v>
                </c:pt>
                <c:pt idx="2">
                  <c:v>3Q21A</c:v>
                </c:pt>
                <c:pt idx="3">
                  <c:v>4Q21A</c:v>
                </c:pt>
                <c:pt idx="4">
                  <c:v>1Q22A</c:v>
                </c:pt>
                <c:pt idx="5">
                  <c:v>2Q22A</c:v>
                </c:pt>
                <c:pt idx="6">
                  <c:v>3Q22A</c:v>
                </c:pt>
                <c:pt idx="7">
                  <c:v>4Q22A</c:v>
                </c:pt>
                <c:pt idx="8">
                  <c:v>1Q23A</c:v>
                </c:pt>
                <c:pt idx="9">
                  <c:v>2Q23A</c:v>
                </c:pt>
                <c:pt idx="10">
                  <c:v>3Q23A</c:v>
                </c:pt>
                <c:pt idx="11">
                  <c:v>4Q23A</c:v>
                </c:pt>
                <c:pt idx="12">
                  <c:v>1Q24A</c:v>
                </c:pt>
                <c:pt idx="13">
                  <c:v>2Q24A</c:v>
                </c:pt>
                <c:pt idx="14">
                  <c:v>3Q24A</c:v>
                </c:pt>
              </c:strCache>
            </c:strRef>
          </c:cat>
          <c:val>
            <c:numRef>
              <c:f>Charts!$Z$80:$AN$80</c:f>
              <c:numCache>
                <c:formatCode>0.0%_);\(0.0%\);0.0%_);@_)</c:formatCode>
                <c:ptCount val="15"/>
                <c:pt idx="0">
                  <c:v>0.21</c:v>
                </c:pt>
                <c:pt idx="1">
                  <c:v>0.22</c:v>
                </c:pt>
                <c:pt idx="2">
                  <c:v>0.23</c:v>
                </c:pt>
                <c:pt idx="3">
                  <c:v>0.24</c:v>
                </c:pt>
                <c:pt idx="4">
                  <c:v>0.3</c:v>
                </c:pt>
                <c:pt idx="5">
                  <c:v>0.31</c:v>
                </c:pt>
                <c:pt idx="6">
                  <c:v>0.33</c:v>
                </c:pt>
                <c:pt idx="7">
                  <c:v>0.34</c:v>
                </c:pt>
                <c:pt idx="8">
                  <c:v>0.34</c:v>
                </c:pt>
                <c:pt idx="9">
                  <c:v>0.28999999999999998</c:v>
                </c:pt>
                <c:pt idx="10">
                  <c:v>0.31</c:v>
                </c:pt>
                <c:pt idx="11">
                  <c:v>0.31</c:v>
                </c:pt>
                <c:pt idx="12">
                  <c:v>0.32</c:v>
                </c:pt>
                <c:pt idx="13">
                  <c:v>0.31</c:v>
                </c:pt>
                <c:pt idx="14">
                  <c:v>0.31</c:v>
                </c:pt>
              </c:numCache>
            </c:numRef>
          </c:val>
          <c:smooth val="0"/>
          <c:extLst>
            <c:ext xmlns:c16="http://schemas.microsoft.com/office/drawing/2014/chart" uri="{C3380CC4-5D6E-409C-BE32-E72D297353CC}">
              <c16:uniqueId val="{00000000-2C58-4E54-8A69-94E508F5EC31}"/>
            </c:ext>
          </c:extLst>
        </c:ser>
        <c:dLbls>
          <c:showLegendKey val="0"/>
          <c:showVal val="0"/>
          <c:showCatName val="0"/>
          <c:showSerName val="0"/>
          <c:showPercent val="0"/>
          <c:showBubbleSize val="0"/>
        </c:dLbls>
        <c:smooth val="0"/>
        <c:axId val="799829151"/>
        <c:axId val="799830111"/>
      </c:lineChart>
      <c:catAx>
        <c:axId val="799829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830111"/>
        <c:crosses val="autoZero"/>
        <c:auto val="1"/>
        <c:lblAlgn val="ctr"/>
        <c:lblOffset val="100"/>
        <c:noMultiLvlLbl val="0"/>
      </c:catAx>
      <c:valAx>
        <c:axId val="799830111"/>
        <c:scaling>
          <c:orientation val="minMax"/>
        </c:scaling>
        <c:delete val="0"/>
        <c:axPos val="l"/>
        <c:majorGridlines>
          <c:spPr>
            <a:ln w="9525" cap="flat" cmpd="sng" algn="ctr">
              <a:solidFill>
                <a:schemeClr val="tx1">
                  <a:lumMod val="15000"/>
                  <a:lumOff val="85000"/>
                </a:schemeClr>
              </a:solidFill>
              <a:round/>
            </a:ln>
            <a:effectLst/>
          </c:spPr>
        </c:majorGridlines>
        <c:numFmt formatCode="0.0%_);\(0.0%\);0.0%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8291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Charts!$CG$151</c:f>
              <c:strCache>
                <c:ptCount val="1"/>
                <c:pt idx="0">
                  <c:v>Shopify Payments Revenue</c:v>
                </c:pt>
              </c:strCache>
            </c:strRef>
          </c:tx>
          <c:spPr>
            <a:solidFill>
              <a:schemeClr val="accent1"/>
            </a:solidFill>
            <a:ln>
              <a:noFill/>
            </a:ln>
            <a:effectLst/>
          </c:spP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Charts!$CI$150:$CS$150</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Charts!$CI$151:$CS$151</c:f>
              <c:numCache>
                <c:formatCode>0.0%_);\(0.0%\);0.0%_);@_)</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0-2EF4-4F08-877E-DDA0A7054956}"/>
            </c:ext>
          </c:extLst>
        </c:ser>
        <c:ser>
          <c:idx val="1"/>
          <c:order val="1"/>
          <c:tx>
            <c:strRef>
              <c:f>Charts!$CG$152</c:f>
              <c:strCache>
                <c:ptCount val="1"/>
                <c:pt idx="0">
                  <c:v>3P Transaction Fee Revenue</c:v>
                </c:pt>
              </c:strCache>
            </c:strRef>
          </c:tx>
          <c:spPr>
            <a:solidFill>
              <a:schemeClr val="accent2"/>
            </a:solidFill>
            <a:ln>
              <a:noFill/>
            </a:ln>
            <a:effectLst/>
          </c:spP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Charts!$CI$150:$CS$150</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Charts!$CI$152:$CS$152</c:f>
              <c:numCache>
                <c:formatCode>0.0%_);\(0.0%\);0.0%_);@_)</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1-2EF4-4F08-877E-DDA0A7054956}"/>
            </c:ext>
          </c:extLst>
        </c:ser>
        <c:ser>
          <c:idx val="2"/>
          <c:order val="2"/>
          <c:tx>
            <c:strRef>
              <c:f>Charts!$CG$153</c:f>
              <c:strCache>
                <c:ptCount val="1"/>
                <c:pt idx="0">
                  <c:v>Other Merchants Solutions Revenue</c:v>
                </c:pt>
              </c:strCache>
            </c:strRef>
          </c:tx>
          <c:spPr>
            <a:solidFill>
              <a:schemeClr val="accent3"/>
            </a:solidFill>
            <a:ln>
              <a:noFill/>
            </a:ln>
            <a:effectLst/>
          </c:spP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Charts!$CI$150:$CS$150</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Charts!$CI$153:$CS$153</c:f>
              <c:numCache>
                <c:formatCode>0.0%_);\(0.0%\);0.0%_);@_)</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2-2EF4-4F08-877E-DDA0A7054956}"/>
            </c:ext>
          </c:extLst>
        </c:ser>
        <c:dLbls>
          <c:showLegendKey val="0"/>
          <c:showVal val="0"/>
          <c:showCatName val="0"/>
          <c:showSerName val="0"/>
          <c:showPercent val="0"/>
          <c:showBubbleSize val="0"/>
        </c:dLbls>
        <c:axId val="80160944"/>
        <c:axId val="80156144"/>
      </c:areaChart>
      <c:catAx>
        <c:axId val="80160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156144"/>
        <c:crosses val="autoZero"/>
        <c:auto val="1"/>
        <c:lblAlgn val="ctr"/>
        <c:lblOffset val="100"/>
        <c:noMultiLvlLbl val="0"/>
      </c:catAx>
      <c:valAx>
        <c:axId val="80156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1609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Charts!$CG$157</c:f>
              <c:strCache>
                <c:ptCount val="1"/>
                <c:pt idx="0">
                  <c:v>Shopify Payments Revenue</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Charts!$CM$156:$CS$156</c:f>
              <c:strCache>
                <c:ptCount val="7"/>
                <c:pt idx="0">
                  <c:v>2021A</c:v>
                </c:pt>
                <c:pt idx="1">
                  <c:v>2022A</c:v>
                </c:pt>
                <c:pt idx="2">
                  <c:v>2023A</c:v>
                </c:pt>
                <c:pt idx="3">
                  <c:v>2024E</c:v>
                </c:pt>
                <c:pt idx="4">
                  <c:v>2025E</c:v>
                </c:pt>
                <c:pt idx="5">
                  <c:v>2026E</c:v>
                </c:pt>
                <c:pt idx="6">
                  <c:v>2027E</c:v>
                </c:pt>
              </c:strCache>
            </c:strRef>
          </c:cat>
          <c:val>
            <c:numRef>
              <c:f>Charts!$CM$157:$CS$157</c:f>
              <c:numCache>
                <c:formatCode>0.0%_);\(0.0%\);0.0%_);@_)</c:formatCode>
                <c:ptCount val="7"/>
                <c:pt idx="0">
                  <c:v>0.60366885349143007</c:v>
                </c:pt>
                <c:pt idx="1">
                  <c:v>0.24198695940874515</c:v>
                </c:pt>
                <c:pt idx="2">
                  <c:v>0.29771446874906426</c:v>
                </c:pt>
                <c:pt idx="3">
                  <c:v>0.22716948893965738</c:v>
                </c:pt>
                <c:pt idx="4">
                  <c:v>0.21474204154485488</c:v>
                </c:pt>
                <c:pt idx="5">
                  <c:v>0.18401053330795669</c:v>
                </c:pt>
                <c:pt idx="6">
                  <c:v>0.16550932194237289</c:v>
                </c:pt>
              </c:numCache>
            </c:numRef>
          </c:val>
          <c:smooth val="1"/>
          <c:extLst>
            <c:ext xmlns:c16="http://schemas.microsoft.com/office/drawing/2014/chart" uri="{C3380CC4-5D6E-409C-BE32-E72D297353CC}">
              <c16:uniqueId val="{00000000-1C17-41BE-8A6E-FFAF7C44F53A}"/>
            </c:ext>
          </c:extLst>
        </c:ser>
        <c:ser>
          <c:idx val="1"/>
          <c:order val="1"/>
          <c:tx>
            <c:strRef>
              <c:f>Charts!$CG$158</c:f>
              <c:strCache>
                <c:ptCount val="1"/>
                <c:pt idx="0">
                  <c:v>3P Transaction Fee Revenue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Charts!$CM$156:$CS$156</c:f>
              <c:strCache>
                <c:ptCount val="7"/>
                <c:pt idx="0">
                  <c:v>2021A</c:v>
                </c:pt>
                <c:pt idx="1">
                  <c:v>2022A</c:v>
                </c:pt>
                <c:pt idx="2">
                  <c:v>2023A</c:v>
                </c:pt>
                <c:pt idx="3">
                  <c:v>2024E</c:v>
                </c:pt>
                <c:pt idx="4">
                  <c:v>2025E</c:v>
                </c:pt>
                <c:pt idx="5">
                  <c:v>2026E</c:v>
                </c:pt>
                <c:pt idx="6">
                  <c:v>2027E</c:v>
                </c:pt>
              </c:strCache>
            </c:strRef>
          </c:cat>
          <c:val>
            <c:numRef>
              <c:f>Charts!$CM$158:$CS$158</c:f>
              <c:numCache>
                <c:formatCode>0.0%_);\(0.0%\);0.0%_);@_)</c:formatCode>
                <c:ptCount val="7"/>
                <c:pt idx="0">
                  <c:v>0.50241680215491713</c:v>
                </c:pt>
                <c:pt idx="1">
                  <c:v>0.18514821832577444</c:v>
                </c:pt>
                <c:pt idx="2">
                  <c:v>0.21830943678009507</c:v>
                </c:pt>
                <c:pt idx="3">
                  <c:v>0.17841123137196835</c:v>
                </c:pt>
                <c:pt idx="4">
                  <c:v>0.11427303034306258</c:v>
                </c:pt>
                <c:pt idx="5">
                  <c:v>0.10235778063218093</c:v>
                </c:pt>
                <c:pt idx="6">
                  <c:v>0.10262038692623499</c:v>
                </c:pt>
              </c:numCache>
            </c:numRef>
          </c:val>
          <c:smooth val="1"/>
          <c:extLst>
            <c:ext xmlns:c16="http://schemas.microsoft.com/office/drawing/2014/chart" uri="{C3380CC4-5D6E-409C-BE32-E72D297353CC}">
              <c16:uniqueId val="{00000001-1C17-41BE-8A6E-FFAF7C44F53A}"/>
            </c:ext>
          </c:extLst>
        </c:ser>
        <c:ser>
          <c:idx val="2"/>
          <c:order val="2"/>
          <c:tx>
            <c:strRef>
              <c:f>Charts!$CG$159</c:f>
              <c:strCache>
                <c:ptCount val="1"/>
                <c:pt idx="0">
                  <c:v>Other Merchants Solutions Revenue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Charts!$CM$156:$CS$156</c:f>
              <c:strCache>
                <c:ptCount val="7"/>
                <c:pt idx="0">
                  <c:v>2021A</c:v>
                </c:pt>
                <c:pt idx="1">
                  <c:v>2022A</c:v>
                </c:pt>
                <c:pt idx="2">
                  <c:v>2023A</c:v>
                </c:pt>
                <c:pt idx="3">
                  <c:v>2024E</c:v>
                </c:pt>
                <c:pt idx="4">
                  <c:v>2025E</c:v>
                </c:pt>
                <c:pt idx="5">
                  <c:v>2026E</c:v>
                </c:pt>
                <c:pt idx="6">
                  <c:v>2027E</c:v>
                </c:pt>
              </c:strCache>
            </c:strRef>
          </c:cat>
          <c:val>
            <c:numRef>
              <c:f>Charts!$CM$159:$CS$159</c:f>
              <c:numCache>
                <c:formatCode>0.0%_);\(0.0%\);0.0%_);@_)</c:formatCode>
                <c:ptCount val="7"/>
                <c:pt idx="0">
                  <c:v>0.87895302304237632</c:v>
                </c:pt>
                <c:pt idx="1">
                  <c:v>0.41142821828729481</c:v>
                </c:pt>
                <c:pt idx="2">
                  <c:v>0.25757662528385628</c:v>
                </c:pt>
                <c:pt idx="3">
                  <c:v>0.30394009577293124</c:v>
                </c:pt>
                <c:pt idx="4">
                  <c:v>0.48321326201224468</c:v>
                </c:pt>
                <c:pt idx="5">
                  <c:v>0.35265975081659651</c:v>
                </c:pt>
                <c:pt idx="6">
                  <c:v>0.29152090012178888</c:v>
                </c:pt>
              </c:numCache>
            </c:numRef>
          </c:val>
          <c:smooth val="1"/>
          <c:extLst>
            <c:ext xmlns:c16="http://schemas.microsoft.com/office/drawing/2014/chart" uri="{C3380CC4-5D6E-409C-BE32-E72D297353CC}">
              <c16:uniqueId val="{00000002-1C17-41BE-8A6E-FFAF7C44F53A}"/>
            </c:ext>
          </c:extLst>
        </c:ser>
        <c:dLbls>
          <c:showLegendKey val="0"/>
          <c:showVal val="0"/>
          <c:showCatName val="0"/>
          <c:showSerName val="0"/>
          <c:showPercent val="0"/>
          <c:showBubbleSize val="0"/>
        </c:dLbls>
        <c:smooth val="0"/>
        <c:axId val="395304208"/>
        <c:axId val="395301328"/>
      </c:lineChart>
      <c:catAx>
        <c:axId val="39530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301328"/>
        <c:crosses val="autoZero"/>
        <c:auto val="1"/>
        <c:lblAlgn val="ctr"/>
        <c:lblOffset val="100"/>
        <c:noMultiLvlLbl val="0"/>
      </c:catAx>
      <c:valAx>
        <c:axId val="395301328"/>
        <c:scaling>
          <c:orientation val="minMax"/>
        </c:scaling>
        <c:delete val="0"/>
        <c:axPos val="l"/>
        <c:majorGridlines>
          <c:spPr>
            <a:ln w="9525" cap="flat" cmpd="sng" algn="ctr">
              <a:solidFill>
                <a:schemeClr val="tx1">
                  <a:lumMod val="15000"/>
                  <a:lumOff val="85000"/>
                </a:schemeClr>
              </a:solidFill>
              <a:round/>
            </a:ln>
            <a:effectLst/>
          </c:spPr>
        </c:majorGridlines>
        <c:numFmt formatCode="0.0%_);\(0.0%\);0.0%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304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Charts!$CG$58</c:f>
              <c:strCache>
                <c:ptCount val="1"/>
                <c:pt idx="0">
                  <c:v>Selling and Marketing </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Charts!$CH$59:$CS$59</c:f>
              <c:numCache>
                <c:formatCode>0.0%_);\(0.0%\);0.0%_);@_)</c:formatCode>
                <c:ptCount val="12"/>
                <c:pt idx="0">
                  <c:v>0.33188811548044078</c:v>
                </c:pt>
                <c:pt idx="1">
                  <c:v>0.33520371184487247</c:v>
                </c:pt>
                <c:pt idx="2">
                  <c:v>0.32618294883943694</c:v>
                </c:pt>
                <c:pt idx="3">
                  <c:v>0.29961290682326969</c:v>
                </c:pt>
                <c:pt idx="4">
                  <c:v>0.20551283482352395</c:v>
                </c:pt>
                <c:pt idx="5">
                  <c:v>0.19548680617955116</c:v>
                </c:pt>
                <c:pt idx="6">
                  <c:v>0.21973569358112977</c:v>
                </c:pt>
                <c:pt idx="7">
                  <c:v>0.17280453257790368</c:v>
                </c:pt>
                <c:pt idx="8">
                  <c:v>0.16193251117923399</c:v>
                </c:pt>
                <c:pt idx="9">
                  <c:v>0.15411161137488472</c:v>
                </c:pt>
                <c:pt idx="10">
                  <c:v>0.14710462509509281</c:v>
                </c:pt>
                <c:pt idx="11">
                  <c:v>0.13909903302395007</c:v>
                </c:pt>
              </c:numCache>
            </c:numRef>
          </c:val>
          <c:extLst>
            <c:ext xmlns:c16="http://schemas.microsoft.com/office/drawing/2014/chart" uri="{C3380CC4-5D6E-409C-BE32-E72D297353CC}">
              <c16:uniqueId val="{00000000-1EFB-4F0A-B4F4-FCFFEC922AC9}"/>
            </c:ext>
          </c:extLst>
        </c:ser>
        <c:ser>
          <c:idx val="1"/>
          <c:order val="1"/>
          <c:tx>
            <c:strRef>
              <c:f>Charts!$CG$60</c:f>
              <c:strCache>
                <c:ptCount val="1"/>
                <c:pt idx="0">
                  <c:v>Research and Development</c:v>
                </c:pt>
              </c:strCache>
            </c:strRef>
          </c:tx>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Charts!$CH$61:$CS$61</c:f>
              <c:numCache>
                <c:formatCode>0.0%_);\(0.0%\);0.0%_);@_)</c:formatCode>
                <c:ptCount val="12"/>
                <c:pt idx="0">
                  <c:v>0.19093314155086949</c:v>
                </c:pt>
                <c:pt idx="1">
                  <c:v>0.20198454190083531</c:v>
                </c:pt>
                <c:pt idx="2">
                  <c:v>0.21493455730324101</c:v>
                </c:pt>
                <c:pt idx="3">
                  <c:v>0.22495315786038667</c:v>
                </c:pt>
                <c:pt idx="4">
                  <c:v>0.18847199052668193</c:v>
                </c:pt>
                <c:pt idx="5">
                  <c:v>0.1852579525466537</c:v>
                </c:pt>
                <c:pt idx="6">
                  <c:v>0.26844116214250913</c:v>
                </c:pt>
                <c:pt idx="7">
                  <c:v>0.24504249291784702</c:v>
                </c:pt>
                <c:pt idx="8">
                  <c:v>0.15466436109212137</c:v>
                </c:pt>
                <c:pt idx="9">
                  <c:v>0.14479319071822735</c:v>
                </c:pt>
                <c:pt idx="10">
                  <c:v>0.13478263998159287</c:v>
                </c:pt>
                <c:pt idx="11">
                  <c:v>0.12477419059940081</c:v>
                </c:pt>
              </c:numCache>
            </c:numRef>
          </c:val>
          <c:extLst>
            <c:ext xmlns:c16="http://schemas.microsoft.com/office/drawing/2014/chart" uri="{C3380CC4-5D6E-409C-BE32-E72D297353CC}">
              <c16:uniqueId val="{00000001-1EFB-4F0A-B4F4-FCFFEC922AC9}"/>
            </c:ext>
          </c:extLst>
        </c:ser>
        <c:ser>
          <c:idx val="2"/>
          <c:order val="2"/>
          <c:tx>
            <c:strRef>
              <c:f>Charts!$CG$62</c:f>
              <c:strCache>
                <c:ptCount val="1"/>
                <c:pt idx="0">
                  <c:v>General and Administrative</c:v>
                </c:pt>
              </c:strCache>
            </c:strRef>
          </c:tx>
          <c:spPr>
            <a:solidFill>
              <a:schemeClr val="accent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Charts!$CH$63:$CS$63</c:f>
              <c:numCache>
                <c:formatCode>0.0%_);\(0.0%\);0.0%_);@_)</c:formatCode>
                <c:ptCount val="12"/>
                <c:pt idx="0">
                  <c:v>0.11072868774561426</c:v>
                </c:pt>
                <c:pt idx="1">
                  <c:v>0.10057715385620761</c:v>
                </c:pt>
                <c:pt idx="2">
                  <c:v>0.10011283705527901</c:v>
                </c:pt>
                <c:pt idx="3">
                  <c:v>9.7432284039835934E-2</c:v>
                </c:pt>
                <c:pt idx="4">
                  <c:v>8.37493612371569E-2</c:v>
                </c:pt>
                <c:pt idx="5">
                  <c:v>8.1278340000208144E-2</c:v>
                </c:pt>
                <c:pt idx="6">
                  <c:v>0.12638967660643188</c:v>
                </c:pt>
                <c:pt idx="7">
                  <c:v>6.9546742209631723E-2</c:v>
                </c:pt>
                <c:pt idx="8">
                  <c:v>4.5883536016817564E-2</c:v>
                </c:pt>
                <c:pt idx="9">
                  <c:v>4.0978225176869248E-2</c:v>
                </c:pt>
                <c:pt idx="10">
                  <c:v>3.8975051944453082E-2</c:v>
                </c:pt>
                <c:pt idx="11">
                  <c:v>3.6972596649377604E-2</c:v>
                </c:pt>
              </c:numCache>
            </c:numRef>
          </c:val>
          <c:extLst>
            <c:ext xmlns:c16="http://schemas.microsoft.com/office/drawing/2014/chart" uri="{C3380CC4-5D6E-409C-BE32-E72D297353CC}">
              <c16:uniqueId val="{00000002-1EFB-4F0A-B4F4-FCFFEC922AC9}"/>
            </c:ext>
          </c:extLst>
        </c:ser>
        <c:ser>
          <c:idx val="3"/>
          <c:order val="3"/>
          <c:tx>
            <c:strRef>
              <c:f>Charts!$CG$64</c:f>
              <c:strCache>
                <c:ptCount val="1"/>
                <c:pt idx="0">
                  <c:v>Transaction and loan losses</c:v>
                </c:pt>
              </c:strCache>
            </c:strRef>
          </c:tx>
          <c:spPr>
            <a:solidFill>
              <a:schemeClr val="accent4"/>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Charts!$CH$65:$CS$65</c:f>
              <c:numCache>
                <c:formatCode>0.0%_);\(0.0%\);0.0%_);@_)</c:formatCode>
                <c:ptCount val="12"/>
                <c:pt idx="0">
                  <c:v>0</c:v>
                </c:pt>
                <c:pt idx="1">
                  <c:v>0</c:v>
                </c:pt>
                <c:pt idx="2">
                  <c:v>0</c:v>
                </c:pt>
                <c:pt idx="3">
                  <c:v>1.5948188189761198E-2</c:v>
                </c:pt>
                <c:pt idx="4">
                  <c:v>1.7698979105926591E-2</c:v>
                </c:pt>
                <c:pt idx="5">
                  <c:v>1.7718896687147215E-2</c:v>
                </c:pt>
                <c:pt idx="6">
                  <c:v>2.4095049451200955E-2</c:v>
                </c:pt>
                <c:pt idx="7">
                  <c:v>2.1529745042492918E-2</c:v>
                </c:pt>
                <c:pt idx="8">
                  <c:v>2.5483320624845828E-2</c:v>
                </c:pt>
                <c:pt idx="9">
                  <c:v>2.6827012025901945E-2</c:v>
                </c:pt>
                <c:pt idx="10">
                  <c:v>2.6827012025901945E-2</c:v>
                </c:pt>
                <c:pt idx="11">
                  <c:v>2.6827012025901941E-2</c:v>
                </c:pt>
              </c:numCache>
            </c:numRef>
          </c:val>
          <c:extLst>
            <c:ext xmlns:c16="http://schemas.microsoft.com/office/drawing/2014/chart" uri="{C3380CC4-5D6E-409C-BE32-E72D297353CC}">
              <c16:uniqueId val="{00000003-1EFB-4F0A-B4F4-FCFFEC922AC9}"/>
            </c:ext>
          </c:extLst>
        </c:ser>
        <c:dLbls>
          <c:showLegendKey val="0"/>
          <c:showVal val="0"/>
          <c:showCatName val="0"/>
          <c:showSerName val="0"/>
          <c:showPercent val="0"/>
          <c:showBubbleSize val="0"/>
        </c:dLbls>
        <c:axId val="126832816"/>
        <c:axId val="126825616"/>
      </c:areaChart>
      <c:lineChart>
        <c:grouping val="standard"/>
        <c:varyColors val="0"/>
        <c:ser>
          <c:idx val="4"/>
          <c:order val="4"/>
          <c:tx>
            <c:strRef>
              <c:f>Charts!$CG$67</c:f>
              <c:strCache>
                <c:ptCount val="1"/>
                <c:pt idx="0">
                  <c:v>Opex % revenue</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Charts!$CH$67:$CS$67</c:f>
              <c:numCache>
                <c:formatCode>0.0%_);\(0.0%\);0.0%_);@_)</c:formatCode>
                <c:ptCount val="12"/>
                <c:pt idx="0">
                  <c:v>0.6335499447769245</c:v>
                </c:pt>
                <c:pt idx="1">
                  <c:v>0.63776540760191536</c:v>
                </c:pt>
                <c:pt idx="2">
                  <c:v>0.64123034319795691</c:v>
                </c:pt>
                <c:pt idx="3">
                  <c:v>0.63794653691325343</c:v>
                </c:pt>
                <c:pt idx="4">
                  <c:v>0.49543316569328938</c:v>
                </c:pt>
                <c:pt idx="5">
                  <c:v>0.47974199541356022</c:v>
                </c:pt>
                <c:pt idx="6">
                  <c:v>0.63866158178127175</c:v>
                </c:pt>
                <c:pt idx="7">
                  <c:v>0.5089235127478754</c:v>
                </c:pt>
                <c:pt idx="8">
                  <c:v>0.38796372891301872</c:v>
                </c:pt>
                <c:pt idx="9">
                  <c:v>0.36671003929588325</c:v>
                </c:pt>
                <c:pt idx="10">
                  <c:v>0.3476893290470407</c:v>
                </c:pt>
                <c:pt idx="11">
                  <c:v>0.32767283229863037</c:v>
                </c:pt>
              </c:numCache>
            </c:numRef>
          </c:val>
          <c:smooth val="0"/>
          <c:extLst>
            <c:ext xmlns:c16="http://schemas.microsoft.com/office/drawing/2014/chart" uri="{C3380CC4-5D6E-409C-BE32-E72D297353CC}">
              <c16:uniqueId val="{00000004-1EFB-4F0A-B4F4-FCFFEC922AC9}"/>
            </c:ext>
          </c:extLst>
        </c:ser>
        <c:dLbls>
          <c:showLegendKey val="0"/>
          <c:showVal val="0"/>
          <c:showCatName val="0"/>
          <c:showSerName val="0"/>
          <c:showPercent val="0"/>
          <c:showBubbleSize val="0"/>
        </c:dLbls>
        <c:marker val="1"/>
        <c:smooth val="0"/>
        <c:axId val="126832816"/>
        <c:axId val="126825616"/>
      </c:lineChart>
      <c:catAx>
        <c:axId val="126832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825616"/>
        <c:crosses val="autoZero"/>
        <c:auto val="1"/>
        <c:lblAlgn val="ctr"/>
        <c:lblOffset val="100"/>
        <c:noMultiLvlLbl val="0"/>
      </c:catAx>
      <c:valAx>
        <c:axId val="126825616"/>
        <c:scaling>
          <c:orientation val="minMax"/>
        </c:scaling>
        <c:delete val="0"/>
        <c:axPos val="l"/>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832816"/>
        <c:crosses val="autoZero"/>
        <c:crossBetween val="between"/>
      </c:valAx>
      <c:spPr>
        <a:noFill/>
        <a:ln>
          <a:noFill/>
        </a:ln>
        <a:effectLst/>
      </c:spPr>
    </c:plotArea>
    <c:legend>
      <c:legendPos val="b"/>
      <c:legendEntry>
        <c:idx val="4"/>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4.809617517952193E-2"/>
          <c:y val="0.85801884579189247"/>
          <c:w val="0.8367091364208149"/>
          <c:h val="0.119494396164148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Charts!$CG$167</c:f>
              <c:strCache>
                <c:ptCount val="1"/>
                <c:pt idx="0">
                  <c:v>Salesforce Marketing and Commerce segment y/y growth</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Charts!$CH$166:$CO$166</c:f>
              <c:strCache>
                <c:ptCount val="8"/>
                <c:pt idx="0">
                  <c:v>CY16</c:v>
                </c:pt>
                <c:pt idx="1">
                  <c:v>CY17</c:v>
                </c:pt>
                <c:pt idx="2">
                  <c:v>CY18</c:v>
                </c:pt>
                <c:pt idx="3">
                  <c:v>CY19</c:v>
                </c:pt>
                <c:pt idx="4">
                  <c:v>CY20</c:v>
                </c:pt>
                <c:pt idx="5">
                  <c:v>CY21</c:v>
                </c:pt>
                <c:pt idx="6">
                  <c:v>CY22</c:v>
                </c:pt>
                <c:pt idx="7">
                  <c:v>CY23</c:v>
                </c:pt>
              </c:strCache>
            </c:strRef>
          </c:cat>
          <c:val>
            <c:numRef>
              <c:f>Charts!$CH$167:$CO$167</c:f>
              <c:numCache>
                <c:formatCode>0.0%</c:formatCode>
                <c:ptCount val="8"/>
                <c:pt idx="0">
                  <c:v>0.42684607999999996</c:v>
                </c:pt>
                <c:pt idx="1">
                  <c:v>0.44637314000000006</c:v>
                </c:pt>
                <c:pt idx="2">
                  <c:v>0.40603003999999998</c:v>
                </c:pt>
                <c:pt idx="3">
                  <c:v>0.32033718</c:v>
                </c:pt>
                <c:pt idx="4">
                  <c:v>0.25019953</c:v>
                </c:pt>
                <c:pt idx="5">
                  <c:v>0.24545164</c:v>
                </c:pt>
                <c:pt idx="6">
                  <c:v>0.1573552</c:v>
                </c:pt>
                <c:pt idx="7">
                  <c:v>8.7688219999999997E-2</c:v>
                </c:pt>
              </c:numCache>
            </c:numRef>
          </c:val>
          <c:smooth val="1"/>
          <c:extLst>
            <c:ext xmlns:c16="http://schemas.microsoft.com/office/drawing/2014/chart" uri="{C3380CC4-5D6E-409C-BE32-E72D297353CC}">
              <c16:uniqueId val="{00000000-0017-43BE-93D3-4D2F87411AAE}"/>
            </c:ext>
          </c:extLst>
        </c:ser>
        <c:dLbls>
          <c:showLegendKey val="0"/>
          <c:showVal val="0"/>
          <c:showCatName val="0"/>
          <c:showSerName val="0"/>
          <c:showPercent val="0"/>
          <c:showBubbleSize val="0"/>
        </c:dLbls>
        <c:smooth val="0"/>
        <c:axId val="658916896"/>
        <c:axId val="658916416"/>
      </c:lineChart>
      <c:catAx>
        <c:axId val="65891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916416"/>
        <c:crosses val="autoZero"/>
        <c:auto val="1"/>
        <c:lblAlgn val="ctr"/>
        <c:lblOffset val="100"/>
        <c:noMultiLvlLbl val="0"/>
      </c:catAx>
      <c:valAx>
        <c:axId val="658916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9168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6224598399323E-2"/>
          <c:y val="4.4145422669511943E-2"/>
          <c:w val="0.87964757639362623"/>
          <c:h val="0.92267377796653605"/>
        </c:manualLayout>
      </c:layout>
      <c:lineChart>
        <c:grouping val="standard"/>
        <c:varyColors val="0"/>
        <c:ser>
          <c:idx val="0"/>
          <c:order val="0"/>
          <c:tx>
            <c:strRef>
              <c:f>Charts!$CG$167</c:f>
              <c:strCache>
                <c:ptCount val="1"/>
                <c:pt idx="0">
                  <c:v>Salesforce Marketing and Commerce segment y/y growth</c:v>
                </c:pt>
              </c:strCache>
            </c:strRef>
          </c:tx>
          <c:spPr>
            <a:ln w="28575" cap="rnd">
              <a:solidFill>
                <a:schemeClr val="accent1">
                  <a:lumMod val="75000"/>
                </a:schemeClr>
              </a:solidFill>
              <a:round/>
            </a:ln>
            <a:effectLst/>
          </c:spPr>
          <c:marker>
            <c:symbol val="none"/>
          </c:marker>
          <c:cat>
            <c:strRef>
              <c:f>Charts!$CH$166:$CR$166</c:f>
              <c:strCache>
                <c:ptCount val="11"/>
                <c:pt idx="0">
                  <c:v>CY16</c:v>
                </c:pt>
                <c:pt idx="1">
                  <c:v>CY17</c:v>
                </c:pt>
                <c:pt idx="2">
                  <c:v>CY18</c:v>
                </c:pt>
                <c:pt idx="3">
                  <c:v>CY19</c:v>
                </c:pt>
                <c:pt idx="4">
                  <c:v>CY20</c:v>
                </c:pt>
                <c:pt idx="5">
                  <c:v>CY21</c:v>
                </c:pt>
                <c:pt idx="6">
                  <c:v>CY22</c:v>
                </c:pt>
                <c:pt idx="7">
                  <c:v>CY23</c:v>
                </c:pt>
                <c:pt idx="8">
                  <c:v>CY24</c:v>
                </c:pt>
                <c:pt idx="9">
                  <c:v>CY25</c:v>
                </c:pt>
                <c:pt idx="10">
                  <c:v>CY26</c:v>
                </c:pt>
              </c:strCache>
            </c:strRef>
          </c:cat>
          <c:val>
            <c:numRef>
              <c:f>Charts!$CH$167:$CR$167</c:f>
              <c:numCache>
                <c:formatCode>0.0%</c:formatCode>
                <c:ptCount val="11"/>
                <c:pt idx="0">
                  <c:v>0.42684607999999996</c:v>
                </c:pt>
                <c:pt idx="1">
                  <c:v>0.44637314000000006</c:v>
                </c:pt>
                <c:pt idx="2">
                  <c:v>0.40603003999999998</c:v>
                </c:pt>
                <c:pt idx="3">
                  <c:v>0.32033718</c:v>
                </c:pt>
                <c:pt idx="4">
                  <c:v>0.25019953</c:v>
                </c:pt>
                <c:pt idx="5">
                  <c:v>0.24545164</c:v>
                </c:pt>
                <c:pt idx="6">
                  <c:v>0.1573552</c:v>
                </c:pt>
                <c:pt idx="7">
                  <c:v>8.7688219999999997E-2</c:v>
                </c:pt>
              </c:numCache>
            </c:numRef>
          </c:val>
          <c:smooth val="1"/>
          <c:extLst>
            <c:ext xmlns:c16="http://schemas.microsoft.com/office/drawing/2014/chart" uri="{C3380CC4-5D6E-409C-BE32-E72D297353CC}">
              <c16:uniqueId val="{00000000-C77C-4F43-8C69-174DC021B51E}"/>
            </c:ext>
          </c:extLst>
        </c:ser>
        <c:ser>
          <c:idx val="1"/>
          <c:order val="1"/>
          <c:tx>
            <c:strRef>
              <c:f>Charts!$CG$168</c:f>
              <c:strCache>
                <c:ptCount val="1"/>
                <c:pt idx="0">
                  <c:v>Adobe Digital Experience segment y/y growth</c:v>
                </c:pt>
              </c:strCache>
            </c:strRef>
          </c:tx>
          <c:spPr>
            <a:ln w="28575" cap="rnd">
              <a:solidFill>
                <a:schemeClr val="accent2"/>
              </a:solidFill>
              <a:round/>
            </a:ln>
            <a:effectLst/>
          </c:spPr>
          <c:marker>
            <c:symbol val="none"/>
          </c:marker>
          <c:cat>
            <c:strRef>
              <c:f>Charts!$CH$166:$CR$166</c:f>
              <c:strCache>
                <c:ptCount val="11"/>
                <c:pt idx="0">
                  <c:v>CY16</c:v>
                </c:pt>
                <c:pt idx="1">
                  <c:v>CY17</c:v>
                </c:pt>
                <c:pt idx="2">
                  <c:v>CY18</c:v>
                </c:pt>
                <c:pt idx="3">
                  <c:v>CY19</c:v>
                </c:pt>
                <c:pt idx="4">
                  <c:v>CY20</c:v>
                </c:pt>
                <c:pt idx="5">
                  <c:v>CY21</c:v>
                </c:pt>
                <c:pt idx="6">
                  <c:v>CY22</c:v>
                </c:pt>
                <c:pt idx="7">
                  <c:v>CY23</c:v>
                </c:pt>
                <c:pt idx="8">
                  <c:v>CY24</c:v>
                </c:pt>
                <c:pt idx="9">
                  <c:v>CY25</c:v>
                </c:pt>
                <c:pt idx="10">
                  <c:v>CY26</c:v>
                </c:pt>
              </c:strCache>
            </c:strRef>
          </c:cat>
          <c:val>
            <c:numRef>
              <c:f>Charts!$CH$168:$CR$168</c:f>
              <c:numCache>
                <c:formatCode>0.0%_);\(0.0%\);0%_);@_)</c:formatCode>
                <c:ptCount val="11"/>
                <c:pt idx="0">
                  <c:v>0.15092669</c:v>
                </c:pt>
                <c:pt idx="1">
                  <c:v>0.22080522999999999</c:v>
                </c:pt>
                <c:pt idx="2">
                  <c:v>0.15269257</c:v>
                </c:pt>
                <c:pt idx="3">
                  <c:v>0.31198992000000003</c:v>
                </c:pt>
                <c:pt idx="4">
                  <c:v>-2.5316489999999997E-2</c:v>
                </c:pt>
                <c:pt idx="5">
                  <c:v>0.23743998999999999</c:v>
                </c:pt>
                <c:pt idx="6">
                  <c:v>0.14352211000000001</c:v>
                </c:pt>
                <c:pt idx="7">
                  <c:v>0.10651289</c:v>
                </c:pt>
                <c:pt idx="8">
                  <c:v>0.09</c:v>
                </c:pt>
                <c:pt idx="9">
                  <c:v>9.9000000000000005E-2</c:v>
                </c:pt>
                <c:pt idx="10">
                  <c:v>9.6000000000000002E-2</c:v>
                </c:pt>
              </c:numCache>
            </c:numRef>
          </c:val>
          <c:smooth val="1"/>
          <c:extLst>
            <c:ext xmlns:c16="http://schemas.microsoft.com/office/drawing/2014/chart" uri="{C3380CC4-5D6E-409C-BE32-E72D297353CC}">
              <c16:uniqueId val="{00000001-C77C-4F43-8C69-174DC021B51E}"/>
            </c:ext>
          </c:extLst>
        </c:ser>
        <c:ser>
          <c:idx val="2"/>
          <c:order val="2"/>
          <c:tx>
            <c:strRef>
              <c:f>Charts!$CG$169</c:f>
              <c:strCache>
                <c:ptCount val="1"/>
                <c:pt idx="0">
                  <c:v>BigCommerce sales growth y/y</c:v>
                </c:pt>
              </c:strCache>
            </c:strRef>
          </c:tx>
          <c:spPr>
            <a:ln w="28575" cap="rnd">
              <a:solidFill>
                <a:schemeClr val="accent3"/>
              </a:solidFill>
              <a:round/>
            </a:ln>
            <a:effectLst/>
          </c:spPr>
          <c:marker>
            <c:symbol val="none"/>
          </c:marker>
          <c:cat>
            <c:strRef>
              <c:f>Charts!$CH$166:$CR$166</c:f>
              <c:strCache>
                <c:ptCount val="11"/>
                <c:pt idx="0">
                  <c:v>CY16</c:v>
                </c:pt>
                <c:pt idx="1">
                  <c:v>CY17</c:v>
                </c:pt>
                <c:pt idx="2">
                  <c:v>CY18</c:v>
                </c:pt>
                <c:pt idx="3">
                  <c:v>CY19</c:v>
                </c:pt>
                <c:pt idx="4">
                  <c:v>CY20</c:v>
                </c:pt>
                <c:pt idx="5">
                  <c:v>CY21</c:v>
                </c:pt>
                <c:pt idx="6">
                  <c:v>CY22</c:v>
                </c:pt>
                <c:pt idx="7">
                  <c:v>CY23</c:v>
                </c:pt>
                <c:pt idx="8">
                  <c:v>CY24</c:v>
                </c:pt>
                <c:pt idx="9">
                  <c:v>CY25</c:v>
                </c:pt>
                <c:pt idx="10">
                  <c:v>CY26</c:v>
                </c:pt>
              </c:strCache>
            </c:strRef>
          </c:cat>
          <c:val>
            <c:numRef>
              <c:f>Charts!$CH$169:$CR$169</c:f>
              <c:numCache>
                <c:formatCode>General</c:formatCode>
                <c:ptCount val="11"/>
                <c:pt idx="3" formatCode="0.0%">
                  <c:v>0.22027495999999999</c:v>
                </c:pt>
                <c:pt idx="4" formatCode="0.0%">
                  <c:v>0.35917862</c:v>
                </c:pt>
                <c:pt idx="5" formatCode="0.0%">
                  <c:v>0.44292110000000001</c:v>
                </c:pt>
                <c:pt idx="6" formatCode="0.0%">
                  <c:v>0.26935942000000002</c:v>
                </c:pt>
                <c:pt idx="7" formatCode="0.0%">
                  <c:v>0.10864103999999999</c:v>
                </c:pt>
                <c:pt idx="8" formatCode="0.0%">
                  <c:v>7.5999999999999998E-2</c:v>
                </c:pt>
                <c:pt idx="9" formatCode="0.0%">
                  <c:v>5.1999999999999998E-2</c:v>
                </c:pt>
                <c:pt idx="10" formatCode="0.0%">
                  <c:v>7.2999999999999995E-2</c:v>
                </c:pt>
              </c:numCache>
            </c:numRef>
          </c:val>
          <c:smooth val="1"/>
          <c:extLst>
            <c:ext xmlns:c16="http://schemas.microsoft.com/office/drawing/2014/chart" uri="{C3380CC4-5D6E-409C-BE32-E72D297353CC}">
              <c16:uniqueId val="{00000002-C77C-4F43-8C69-174DC021B51E}"/>
            </c:ext>
          </c:extLst>
        </c:ser>
        <c:ser>
          <c:idx val="3"/>
          <c:order val="3"/>
          <c:tx>
            <c:strRef>
              <c:f>Charts!$CG$170</c:f>
              <c:strCache>
                <c:ptCount val="1"/>
                <c:pt idx="0">
                  <c:v>SHOP revenue growth</c:v>
                </c:pt>
              </c:strCache>
            </c:strRef>
          </c:tx>
          <c:spPr>
            <a:ln w="28575" cap="rnd">
              <a:solidFill>
                <a:sysClr val="windowText" lastClr="000000"/>
              </a:solidFill>
              <a:round/>
            </a:ln>
            <a:effectLst/>
          </c:spPr>
          <c:marker>
            <c:symbol val="none"/>
          </c:marker>
          <c:cat>
            <c:strRef>
              <c:f>Charts!$CH$166:$CR$166</c:f>
              <c:strCache>
                <c:ptCount val="11"/>
                <c:pt idx="0">
                  <c:v>CY16</c:v>
                </c:pt>
                <c:pt idx="1">
                  <c:v>CY17</c:v>
                </c:pt>
                <c:pt idx="2">
                  <c:v>CY18</c:v>
                </c:pt>
                <c:pt idx="3">
                  <c:v>CY19</c:v>
                </c:pt>
                <c:pt idx="4">
                  <c:v>CY20</c:v>
                </c:pt>
                <c:pt idx="5">
                  <c:v>CY21</c:v>
                </c:pt>
                <c:pt idx="6">
                  <c:v>CY22</c:v>
                </c:pt>
                <c:pt idx="7">
                  <c:v>CY23</c:v>
                </c:pt>
                <c:pt idx="8">
                  <c:v>CY24</c:v>
                </c:pt>
                <c:pt idx="9">
                  <c:v>CY25</c:v>
                </c:pt>
                <c:pt idx="10">
                  <c:v>CY26</c:v>
                </c:pt>
              </c:strCache>
            </c:strRef>
          </c:cat>
          <c:val>
            <c:numRef>
              <c:f>Charts!$CH$170:$CR$170</c:f>
              <c:numCache>
                <c:formatCode>0.0%</c:formatCode>
                <c:ptCount val="11"/>
                <c:pt idx="0">
                  <c:v>0.89701461265975735</c:v>
                </c:pt>
                <c:pt idx="1">
                  <c:v>0.72939151876300312</c:v>
                </c:pt>
                <c:pt idx="2">
                  <c:v>0.59397389589249405</c:v>
                </c:pt>
                <c:pt idx="3">
                  <c:v>0.47049045450691351</c:v>
                </c:pt>
                <c:pt idx="4">
                  <c:v>0.856254669164914</c:v>
                </c:pt>
                <c:pt idx="5">
                  <c:v>0.57428577182862139</c:v>
                </c:pt>
                <c:pt idx="6">
                  <c:v>0.21423218764853047</c:v>
                </c:pt>
                <c:pt idx="7">
                  <c:v>0.26074490380480664</c:v>
                </c:pt>
                <c:pt idx="8">
                  <c:v>0.24243472998600146</c:v>
                </c:pt>
                <c:pt idx="9">
                  <c:v>0.23087803700247167</c:v>
                </c:pt>
                <c:pt idx="10">
                  <c:v>0.19697343521496502</c:v>
                </c:pt>
              </c:numCache>
            </c:numRef>
          </c:val>
          <c:smooth val="1"/>
          <c:extLst>
            <c:ext xmlns:c16="http://schemas.microsoft.com/office/drawing/2014/chart" uri="{C3380CC4-5D6E-409C-BE32-E72D297353CC}">
              <c16:uniqueId val="{00000003-C77C-4F43-8C69-174DC021B51E}"/>
            </c:ext>
          </c:extLst>
        </c:ser>
        <c:ser>
          <c:idx val="4"/>
          <c:order val="4"/>
          <c:tx>
            <c:strRef>
              <c:f>Charts!$CG$171</c:f>
              <c:strCache>
                <c:ptCount val="1"/>
                <c:pt idx="0">
                  <c:v>GDDY revenue growth</c:v>
                </c:pt>
              </c:strCache>
            </c:strRef>
          </c:tx>
          <c:spPr>
            <a:ln w="28575" cap="rnd">
              <a:solidFill>
                <a:schemeClr val="accent5"/>
              </a:solidFill>
              <a:round/>
            </a:ln>
            <a:effectLst/>
          </c:spPr>
          <c:marker>
            <c:symbol val="none"/>
          </c:marker>
          <c:cat>
            <c:strRef>
              <c:f>Charts!$CH$166:$CR$166</c:f>
              <c:strCache>
                <c:ptCount val="11"/>
                <c:pt idx="0">
                  <c:v>CY16</c:v>
                </c:pt>
                <c:pt idx="1">
                  <c:v>CY17</c:v>
                </c:pt>
                <c:pt idx="2">
                  <c:v>CY18</c:v>
                </c:pt>
                <c:pt idx="3">
                  <c:v>CY19</c:v>
                </c:pt>
                <c:pt idx="4">
                  <c:v>CY20</c:v>
                </c:pt>
                <c:pt idx="5">
                  <c:v>CY21</c:v>
                </c:pt>
                <c:pt idx="6">
                  <c:v>CY22</c:v>
                </c:pt>
                <c:pt idx="7">
                  <c:v>CY23</c:v>
                </c:pt>
                <c:pt idx="8">
                  <c:v>CY24</c:v>
                </c:pt>
                <c:pt idx="9">
                  <c:v>CY25</c:v>
                </c:pt>
                <c:pt idx="10">
                  <c:v>CY26</c:v>
                </c:pt>
              </c:strCache>
            </c:strRef>
          </c:cat>
          <c:val>
            <c:numRef>
              <c:f>Charts!$CH$171:$CR$171</c:f>
              <c:numCache>
                <c:formatCode>0.0%</c:formatCode>
                <c:ptCount val="11"/>
                <c:pt idx="0">
                  <c:v>0.14969201999999998</c:v>
                </c:pt>
                <c:pt idx="1">
                  <c:v>0.20737057</c:v>
                </c:pt>
                <c:pt idx="2">
                  <c:v>0.19322299999999998</c:v>
                </c:pt>
                <c:pt idx="3">
                  <c:v>0.12121551999999999</c:v>
                </c:pt>
                <c:pt idx="4">
                  <c:v>0.11025496999999999</c:v>
                </c:pt>
                <c:pt idx="5">
                  <c:v>0.15407365000000001</c:v>
                </c:pt>
                <c:pt idx="6">
                  <c:v>6.8346989999999996E-2</c:v>
                </c:pt>
                <c:pt idx="7">
                  <c:v>3.7151200000000002E-2</c:v>
                </c:pt>
                <c:pt idx="8">
                  <c:v>7.1999999999999995E-2</c:v>
                </c:pt>
                <c:pt idx="9">
                  <c:v>7.2999999999999995E-2</c:v>
                </c:pt>
                <c:pt idx="10">
                  <c:v>7.1999999999999995E-2</c:v>
                </c:pt>
              </c:numCache>
            </c:numRef>
          </c:val>
          <c:smooth val="1"/>
          <c:extLst>
            <c:ext xmlns:c16="http://schemas.microsoft.com/office/drawing/2014/chart" uri="{C3380CC4-5D6E-409C-BE32-E72D297353CC}">
              <c16:uniqueId val="{00000004-C77C-4F43-8C69-174DC021B51E}"/>
            </c:ext>
          </c:extLst>
        </c:ser>
        <c:ser>
          <c:idx val="5"/>
          <c:order val="5"/>
          <c:tx>
            <c:strRef>
              <c:f>Charts!$CG$172</c:f>
              <c:strCache>
                <c:ptCount val="1"/>
                <c:pt idx="0">
                  <c:v>WIX revenue growth</c:v>
                </c:pt>
              </c:strCache>
            </c:strRef>
          </c:tx>
          <c:spPr>
            <a:ln w="28575" cap="rnd">
              <a:solidFill>
                <a:schemeClr val="accent6"/>
              </a:solidFill>
              <a:round/>
            </a:ln>
            <a:effectLst/>
          </c:spPr>
          <c:marker>
            <c:symbol val="none"/>
          </c:marker>
          <c:cat>
            <c:strRef>
              <c:f>Charts!$CH$166:$CR$166</c:f>
              <c:strCache>
                <c:ptCount val="11"/>
                <c:pt idx="0">
                  <c:v>CY16</c:v>
                </c:pt>
                <c:pt idx="1">
                  <c:v>CY17</c:v>
                </c:pt>
                <c:pt idx="2">
                  <c:v>CY18</c:v>
                </c:pt>
                <c:pt idx="3">
                  <c:v>CY19</c:v>
                </c:pt>
                <c:pt idx="4">
                  <c:v>CY20</c:v>
                </c:pt>
                <c:pt idx="5">
                  <c:v>CY21</c:v>
                </c:pt>
                <c:pt idx="6">
                  <c:v>CY22</c:v>
                </c:pt>
                <c:pt idx="7">
                  <c:v>CY23</c:v>
                </c:pt>
                <c:pt idx="8">
                  <c:v>CY24</c:v>
                </c:pt>
                <c:pt idx="9">
                  <c:v>CY25</c:v>
                </c:pt>
                <c:pt idx="10">
                  <c:v>CY26</c:v>
                </c:pt>
              </c:strCache>
            </c:strRef>
          </c:cat>
          <c:val>
            <c:numRef>
              <c:f>Charts!$CH$172:$CR$172</c:f>
              <c:numCache>
                <c:formatCode>0.0%</c:formatCode>
                <c:ptCount val="11"/>
                <c:pt idx="0">
                  <c:v>0.42544144</c:v>
                </c:pt>
                <c:pt idx="1">
                  <c:v>0.46718922000000002</c:v>
                </c:pt>
                <c:pt idx="2">
                  <c:v>0.41835743000000003</c:v>
                </c:pt>
                <c:pt idx="3">
                  <c:v>0.26069734999999999</c:v>
                </c:pt>
                <c:pt idx="4">
                  <c:v>0.29336814999999999</c:v>
                </c:pt>
                <c:pt idx="5">
                  <c:v>0.28982074999999996</c:v>
                </c:pt>
                <c:pt idx="6">
                  <c:v>9.2945589999999995E-2</c:v>
                </c:pt>
                <c:pt idx="7">
                  <c:v>0.12538970000000002</c:v>
                </c:pt>
                <c:pt idx="8">
                  <c:v>0.128</c:v>
                </c:pt>
                <c:pt idx="9">
                  <c:v>0.14699999999999999</c:v>
                </c:pt>
                <c:pt idx="10">
                  <c:v>0.13</c:v>
                </c:pt>
              </c:numCache>
            </c:numRef>
          </c:val>
          <c:smooth val="1"/>
          <c:extLst>
            <c:ext xmlns:c16="http://schemas.microsoft.com/office/drawing/2014/chart" uri="{C3380CC4-5D6E-409C-BE32-E72D297353CC}">
              <c16:uniqueId val="{00000005-C77C-4F43-8C69-174DC021B51E}"/>
            </c:ext>
          </c:extLst>
        </c:ser>
        <c:dLbls>
          <c:showLegendKey val="0"/>
          <c:showVal val="0"/>
          <c:showCatName val="0"/>
          <c:showSerName val="0"/>
          <c:showPercent val="0"/>
          <c:showBubbleSize val="0"/>
        </c:dLbls>
        <c:smooth val="0"/>
        <c:axId val="751154944"/>
        <c:axId val="751159744"/>
      </c:lineChart>
      <c:catAx>
        <c:axId val="7511549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59744"/>
        <c:crosses val="autoZero"/>
        <c:auto val="1"/>
        <c:lblAlgn val="ctr"/>
        <c:lblOffset val="100"/>
        <c:noMultiLvlLbl val="0"/>
      </c:catAx>
      <c:valAx>
        <c:axId val="751159744"/>
        <c:scaling>
          <c:orientation val="minMax"/>
          <c:max val="1.2"/>
          <c:min val="-0.1"/>
        </c:scaling>
        <c:delete val="0"/>
        <c:axPos val="l"/>
        <c:numFmt formatCode="0%_);\(0%\);0%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54944"/>
        <c:crosses val="autoZero"/>
        <c:crossBetween val="between"/>
      </c:valAx>
      <c:spPr>
        <a:noFill/>
        <a:ln>
          <a:noFill/>
        </a:ln>
        <a:effectLst/>
      </c:spPr>
    </c:plotArea>
    <c:legend>
      <c:legendPos val="b"/>
      <c:layout>
        <c:manualLayout>
          <c:xMode val="edge"/>
          <c:yMode val="edge"/>
          <c:x val="7.713702465440854E-2"/>
          <c:y val="2.2341312689581514E-4"/>
          <c:w val="0.89384595116022569"/>
          <c:h val="0.261934353196877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9841696773446039E-2"/>
          <c:y val="3.5591719390945138E-2"/>
          <c:w val="0.94011039319629419"/>
          <c:h val="0.88148282111952969"/>
        </c:manualLayout>
      </c:layout>
      <c:barChart>
        <c:barDir val="col"/>
        <c:grouping val="clustered"/>
        <c:varyColors val="0"/>
        <c:ser>
          <c:idx val="0"/>
          <c:order val="0"/>
          <c:tx>
            <c:strRef>
              <c:f>Charts!$CG$176</c:f>
              <c:strCache>
                <c:ptCount val="1"/>
                <c:pt idx="0">
                  <c:v>GMV per merchant</c:v>
                </c:pt>
              </c:strCache>
            </c:strRef>
          </c:tx>
          <c:spPr>
            <a:solidFill>
              <a:srgbClr val="F19375">
                <a:lumMod val="40000"/>
                <a:lumOff val="60000"/>
              </a:srgbClr>
            </a:solidFill>
            <a:ln>
              <a:noFill/>
            </a:ln>
            <a:effectLst/>
          </c:spPr>
          <c:invertIfNegative val="0"/>
          <c:dLbls>
            <c:numFmt formatCode="&quot;$&quot;0.0,&quot;k&quot;;\(&quot;$&quot;0.0,&quot;k&quot;\);&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Charts!$CH$175:$CS$175</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Charts!$CH$176:$CS$176</c:f>
              <c:numCache>
                <c:formatCode>"$"#,##0_);[Red]\("$"#,##0\)</c:formatCode>
                <c:ptCount val="12"/>
                <c:pt idx="0">
                  <c:v>40726.267549668875</c:v>
                </c:pt>
                <c:pt idx="1">
                  <c:v>43218.637110016418</c:v>
                </c:pt>
                <c:pt idx="2">
                  <c:v>50125.9</c:v>
                </c:pt>
                <c:pt idx="3">
                  <c:v>61138.457000000002</c:v>
                </c:pt>
                <c:pt idx="4">
                  <c:v>68368.866209262429</c:v>
                </c:pt>
                <c:pt idx="5">
                  <c:v>85003.302956858941</c:v>
                </c:pt>
                <c:pt idx="6">
                  <c:v>80696.778709622187</c:v>
                </c:pt>
                <c:pt idx="7">
                  <c:v>77211.216574722072</c:v>
                </c:pt>
                <c:pt idx="8">
                  <c:v>86158.508774884365</c:v>
                </c:pt>
                <c:pt idx="9">
                  <c:v>93276.121577561731</c:v>
                </c:pt>
                <c:pt idx="10">
                  <c:v>99249.434141700753</c:v>
                </c:pt>
                <c:pt idx="11">
                  <c:v>104751.07851803761</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Charts!$CG$177</c:f>
              <c:strCache>
                <c:ptCount val="1"/>
                <c:pt idx="0">
                  <c:v>y/y % growth</c:v>
                </c:pt>
              </c:strCache>
            </c:strRef>
          </c:tx>
          <c:spPr>
            <a:ln w="28575" cap="rnd">
              <a:solidFill>
                <a:srgbClr val="00C99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Charts!$CH$175:$CS$175</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Charts!$CH$177:$CS$177</c:f>
              <c:numCache>
                <c:formatCode>0%</c:formatCode>
                <c:ptCount val="12"/>
                <c:pt idx="1">
                  <c:v>6.1198084437958933E-2</c:v>
                </c:pt>
                <c:pt idx="2">
                  <c:v>0.15982139539478313</c:v>
                </c:pt>
                <c:pt idx="3">
                  <c:v>0.21969794058560543</c:v>
                </c:pt>
                <c:pt idx="4">
                  <c:v>0.11826286700795263</c:v>
                </c:pt>
                <c:pt idx="5">
                  <c:v>0.24330426508291181</c:v>
                </c:pt>
                <c:pt idx="6">
                  <c:v>-5.0663022464226048E-2</c:v>
                </c:pt>
                <c:pt idx="7">
                  <c:v>-4.3193324326395999E-2</c:v>
                </c:pt>
                <c:pt idx="8">
                  <c:v>0.11588073076796346</c:v>
                </c:pt>
                <c:pt idx="9">
                  <c:v>8.2610677736708826E-2</c:v>
                </c:pt>
                <c:pt idx="10">
                  <c:v>6.4039032317312339E-2</c:v>
                </c:pt>
                <c:pt idx="11">
                  <c:v>5.5432501191714945E-2</c:v>
                </c:pt>
              </c:numCache>
            </c:numRef>
          </c:val>
          <c:smooth val="1"/>
          <c:extLst>
            <c:ext xmlns:c16="http://schemas.microsoft.com/office/drawing/2014/chart" uri="{C3380CC4-5D6E-409C-BE32-E72D297353CC}">
              <c16:uniqueId val="{00000001-95CD-4672-A3EA-DF62D571BBDA}"/>
            </c:ext>
          </c:extLst>
        </c:ser>
        <c:dLbls>
          <c:showLegendKey val="0"/>
          <c:showVal val="0"/>
          <c:showCatName val="0"/>
          <c:showSerName val="0"/>
          <c:showPercent val="0"/>
          <c:showBubbleSize val="0"/>
        </c:dLbls>
        <c:marker val="1"/>
        <c:smooth val="0"/>
        <c:axId val="1316696208"/>
        <c:axId val="1316699568"/>
      </c:lineChart>
      <c:catAx>
        <c:axId val="965551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scaling>
        <c:delete val="0"/>
        <c:axPos val="l"/>
        <c:numFmt formatCode="&quot;$&quot;0,&quot;k&quot;;\(&quot;$&quot;0,&quot;k&quot;\);&quot;-&quot;"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316699568"/>
        <c:scaling>
          <c:orientation val="minMax"/>
        </c:scaling>
        <c:delete val="0"/>
        <c:axPos val="r"/>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96208"/>
        <c:crosses val="max"/>
        <c:crossBetween val="between"/>
      </c:valAx>
      <c:catAx>
        <c:axId val="1316696208"/>
        <c:scaling>
          <c:orientation val="minMax"/>
        </c:scaling>
        <c:delete val="1"/>
        <c:axPos val="b"/>
        <c:numFmt formatCode="General" sourceLinked="1"/>
        <c:majorTickMark val="none"/>
        <c:minorTickMark val="none"/>
        <c:tickLblPos val="nextTo"/>
        <c:crossAx val="1316699568"/>
        <c:crosses val="autoZero"/>
        <c:auto val="1"/>
        <c:lblAlgn val="ctr"/>
        <c:lblOffset val="100"/>
        <c:noMultiLvlLbl val="0"/>
      </c:catAx>
      <c:spPr>
        <a:noFill/>
        <a:ln>
          <a:noFill/>
        </a:ln>
        <a:effectLst/>
      </c:spPr>
    </c:plotArea>
    <c:legend>
      <c:legendPos val="b"/>
      <c:layout>
        <c:manualLayout>
          <c:xMode val="edge"/>
          <c:yMode val="edge"/>
          <c:x val="0.11831342957130359"/>
          <c:y val="2.8470764071157773E-2"/>
          <c:w val="0.66222965879265094"/>
          <c:h val="8.86538036098359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23488850749596E-2"/>
          <c:y val="5.2346957281585414E-2"/>
          <c:w val="0.9395302229850081"/>
          <c:h val="0.84918380714136898"/>
        </c:manualLayout>
      </c:layout>
      <c:lineChart>
        <c:grouping val="standard"/>
        <c:varyColors val="0"/>
        <c:ser>
          <c:idx val="0"/>
          <c:order val="0"/>
          <c:tx>
            <c:strRef>
              <c:f>Charts!$E$83</c:f>
              <c:strCache>
                <c:ptCount val="1"/>
                <c:pt idx="0">
                  <c:v>Overall GMV growth</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Charts!$AD$82:$AN$82</c:f>
              <c:strCache>
                <c:ptCount val="11"/>
                <c:pt idx="0">
                  <c:v>1Q22A</c:v>
                </c:pt>
                <c:pt idx="1">
                  <c:v>2Q22A</c:v>
                </c:pt>
                <c:pt idx="2">
                  <c:v>3Q22A</c:v>
                </c:pt>
                <c:pt idx="3">
                  <c:v>4Q22A</c:v>
                </c:pt>
                <c:pt idx="4">
                  <c:v>1Q23A</c:v>
                </c:pt>
                <c:pt idx="5">
                  <c:v>2Q23A</c:v>
                </c:pt>
                <c:pt idx="6">
                  <c:v>3Q23A</c:v>
                </c:pt>
                <c:pt idx="7">
                  <c:v>4Q23A</c:v>
                </c:pt>
                <c:pt idx="8">
                  <c:v>1Q24A</c:v>
                </c:pt>
                <c:pt idx="9">
                  <c:v>2Q24A</c:v>
                </c:pt>
                <c:pt idx="10">
                  <c:v>3Q24A</c:v>
                </c:pt>
              </c:strCache>
            </c:strRef>
          </c:cat>
          <c:val>
            <c:numRef>
              <c:f>Charts!$AD$83:$AN$83</c:f>
              <c:numCache>
                <c:formatCode>0.0%</c:formatCode>
                <c:ptCount val="11"/>
                <c:pt idx="0">
                  <c:v>0.15672166080995353</c:v>
                </c:pt>
                <c:pt idx="1">
                  <c:v>0.11036918571877075</c:v>
                </c:pt>
                <c:pt idx="2">
                  <c:v>0.10618947249056432</c:v>
                </c:pt>
                <c:pt idx="3">
                  <c:v>0.12844768516531557</c:v>
                </c:pt>
                <c:pt idx="4">
                  <c:v>0.14814942386973029</c:v>
                </c:pt>
                <c:pt idx="5">
                  <c:v>0.17395395739772312</c:v>
                </c:pt>
                <c:pt idx="6">
                  <c:v>0.21645021645021645</c:v>
                </c:pt>
                <c:pt idx="7">
                  <c:v>0.23155737704918034</c:v>
                </c:pt>
                <c:pt idx="8">
                  <c:v>0.22691532258064506</c:v>
                </c:pt>
                <c:pt idx="9">
                  <c:v>0.22263636363636374</c:v>
                </c:pt>
                <c:pt idx="10">
                  <c:v>0.24048042704626327</c:v>
                </c:pt>
              </c:numCache>
            </c:numRef>
          </c:val>
          <c:smooth val="1"/>
          <c:extLst>
            <c:ext xmlns:c16="http://schemas.microsoft.com/office/drawing/2014/chart" uri="{C3380CC4-5D6E-409C-BE32-E72D297353CC}">
              <c16:uniqueId val="{00000000-62F3-42C7-A30C-9AAFBD0DB2B0}"/>
            </c:ext>
          </c:extLst>
        </c:ser>
        <c:ser>
          <c:idx val="1"/>
          <c:order val="1"/>
          <c:tx>
            <c:strRef>
              <c:f>Charts!$E$84</c:f>
              <c:strCache>
                <c:ptCount val="1"/>
                <c:pt idx="0">
                  <c:v>Offline GMV growth</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Charts!$AD$82:$AN$82</c:f>
              <c:strCache>
                <c:ptCount val="11"/>
                <c:pt idx="0">
                  <c:v>1Q22A</c:v>
                </c:pt>
                <c:pt idx="1">
                  <c:v>2Q22A</c:v>
                </c:pt>
                <c:pt idx="2">
                  <c:v>3Q22A</c:v>
                </c:pt>
                <c:pt idx="3">
                  <c:v>4Q22A</c:v>
                </c:pt>
                <c:pt idx="4">
                  <c:v>1Q23A</c:v>
                </c:pt>
                <c:pt idx="5">
                  <c:v>2Q23A</c:v>
                </c:pt>
                <c:pt idx="6">
                  <c:v>3Q23A</c:v>
                </c:pt>
                <c:pt idx="7">
                  <c:v>4Q23A</c:v>
                </c:pt>
                <c:pt idx="8">
                  <c:v>1Q24A</c:v>
                </c:pt>
                <c:pt idx="9">
                  <c:v>2Q24A</c:v>
                </c:pt>
                <c:pt idx="10">
                  <c:v>3Q24A</c:v>
                </c:pt>
              </c:strCache>
            </c:strRef>
          </c:cat>
          <c:val>
            <c:numRef>
              <c:f>Charts!$AD$84:$AN$84</c:f>
              <c:numCache>
                <c:formatCode>0.0%</c:formatCode>
                <c:ptCount val="11"/>
                <c:pt idx="0">
                  <c:v>0.8</c:v>
                </c:pt>
                <c:pt idx="1">
                  <c:v>0.47</c:v>
                </c:pt>
                <c:pt idx="2">
                  <c:v>0.35</c:v>
                </c:pt>
                <c:pt idx="3">
                  <c:v>0.25</c:v>
                </c:pt>
                <c:pt idx="4">
                  <c:v>0.31</c:v>
                </c:pt>
                <c:pt idx="5">
                  <c:v>0.23</c:v>
                </c:pt>
                <c:pt idx="6">
                  <c:v>0.26</c:v>
                </c:pt>
                <c:pt idx="7">
                  <c:v>0.28000000000000003</c:v>
                </c:pt>
                <c:pt idx="8">
                  <c:v>0.32</c:v>
                </c:pt>
                <c:pt idx="9">
                  <c:v>0.27</c:v>
                </c:pt>
                <c:pt idx="10">
                  <c:v>0.27</c:v>
                </c:pt>
              </c:numCache>
            </c:numRef>
          </c:val>
          <c:smooth val="1"/>
          <c:extLst>
            <c:ext xmlns:c16="http://schemas.microsoft.com/office/drawing/2014/chart" uri="{C3380CC4-5D6E-409C-BE32-E72D297353CC}">
              <c16:uniqueId val="{00000001-62F3-42C7-A30C-9AAFBD0DB2B0}"/>
            </c:ext>
          </c:extLst>
        </c:ser>
        <c:dLbls>
          <c:showLegendKey val="0"/>
          <c:showVal val="0"/>
          <c:showCatName val="0"/>
          <c:showSerName val="0"/>
          <c:showPercent val="0"/>
          <c:showBubbleSize val="0"/>
        </c:dLbls>
        <c:smooth val="0"/>
        <c:axId val="751162624"/>
        <c:axId val="751155904"/>
      </c:lineChart>
      <c:catAx>
        <c:axId val="75116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55904"/>
        <c:crosses val="autoZero"/>
        <c:auto val="1"/>
        <c:lblAlgn val="ctr"/>
        <c:lblOffset val="100"/>
        <c:noMultiLvlLbl val="0"/>
      </c:catAx>
      <c:valAx>
        <c:axId val="751155904"/>
        <c:scaling>
          <c:orientation val="minMax"/>
        </c:scaling>
        <c:delete val="0"/>
        <c:axPos val="l"/>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2624"/>
        <c:crosses val="autoZero"/>
        <c:crossBetween val="between"/>
      </c:valAx>
      <c:spPr>
        <a:noFill/>
        <a:ln>
          <a:noFill/>
        </a:ln>
        <a:effectLst/>
      </c:spPr>
    </c:plotArea>
    <c:legend>
      <c:legendPos val="b"/>
      <c:layout>
        <c:manualLayout>
          <c:xMode val="edge"/>
          <c:yMode val="edge"/>
          <c:x val="0.2943332849979115"/>
          <c:y val="8.3014705110891637E-2"/>
          <c:w val="0.68069880034368646"/>
          <c:h val="7.94339783837417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240601710320083E-2"/>
          <c:y val="5.0925925925925923E-2"/>
          <c:w val="0.92720379609858994"/>
          <c:h val="0.843166067670579"/>
        </c:manualLayout>
      </c:layout>
      <c:lineChart>
        <c:grouping val="standard"/>
        <c:varyColors val="0"/>
        <c:ser>
          <c:idx val="0"/>
          <c:order val="0"/>
          <c:tx>
            <c:strRef>
              <c:f>TAM!$B$53</c:f>
              <c:strCache>
                <c:ptCount val="1"/>
                <c:pt idx="0">
                  <c:v>SHOP North America GMV (est'd) as a % of NA eCommerce sales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TAM!$C$52:$N$52</c15:sqref>
                  </c15:fullRef>
                </c:ext>
              </c:extLst>
              <c:f>TAM!$E$52:$N$52</c:f>
              <c:strCache>
                <c:ptCount val="10"/>
                <c:pt idx="0">
                  <c:v>2018A </c:v>
                </c:pt>
                <c:pt idx="1">
                  <c:v>2019A </c:v>
                </c:pt>
                <c:pt idx="2">
                  <c:v>2020A </c:v>
                </c:pt>
                <c:pt idx="3">
                  <c:v>2021A </c:v>
                </c:pt>
                <c:pt idx="4">
                  <c:v>2022A </c:v>
                </c:pt>
                <c:pt idx="5">
                  <c:v>2023A </c:v>
                </c:pt>
                <c:pt idx="6">
                  <c:v>2024E </c:v>
                </c:pt>
                <c:pt idx="7">
                  <c:v>2025E </c:v>
                </c:pt>
                <c:pt idx="8">
                  <c:v>2026E </c:v>
                </c:pt>
                <c:pt idx="9">
                  <c:v>2027E </c:v>
                </c:pt>
              </c:strCache>
            </c:strRef>
          </c:cat>
          <c:val>
            <c:numRef>
              <c:extLst>
                <c:ext xmlns:c15="http://schemas.microsoft.com/office/drawing/2012/chart" uri="{02D57815-91ED-43cb-92C2-25804820EDAC}">
                  <c15:fullRef>
                    <c15:sqref>TAM!$C$53:$N$53</c15:sqref>
                  </c15:fullRef>
                </c:ext>
              </c:extLst>
              <c:f>TAM!$E$53:$N$53</c:f>
              <c:numCache>
                <c:formatCode>0.0%_);\(0.0%\);0.0%_);@_)</c:formatCode>
                <c:ptCount val="10"/>
                <c:pt idx="0">
                  <c:v>5.6076709306783629E-2</c:v>
                </c:pt>
                <c:pt idx="1">
                  <c:v>7.1771896036520025E-2</c:v>
                </c:pt>
                <c:pt idx="2">
                  <c:v>0.10318066487561353</c:v>
                </c:pt>
                <c:pt idx="3">
                  <c:v>0.11785418028104581</c:v>
                </c:pt>
                <c:pt idx="4">
                  <c:v>0.11960401867573771</c:v>
                </c:pt>
                <c:pt idx="5">
                  <c:v>0.12981150356393314</c:v>
                </c:pt>
                <c:pt idx="6">
                  <c:v>0.14392395544079947</c:v>
                </c:pt>
                <c:pt idx="7">
                  <c:v>0.15546430727613453</c:v>
                </c:pt>
                <c:pt idx="8">
                  <c:v>0.16576155978273599</c:v>
                </c:pt>
                <c:pt idx="9">
                  <c:v>0.17516553824439696</c:v>
                </c:pt>
              </c:numCache>
            </c:numRef>
          </c:val>
          <c:smooth val="1"/>
          <c:extLst>
            <c:ext xmlns:c16="http://schemas.microsoft.com/office/drawing/2014/chart" uri="{C3380CC4-5D6E-409C-BE32-E72D297353CC}">
              <c16:uniqueId val="{00000000-7BC8-41A5-8946-0E41211E2363}"/>
            </c:ext>
          </c:extLst>
        </c:ser>
        <c:ser>
          <c:idx val="1"/>
          <c:order val="1"/>
          <c:tx>
            <c:strRef>
              <c:f>TAM!$B$54</c:f>
              <c:strCache>
                <c:ptCount val="1"/>
                <c:pt idx="0">
                  <c:v>SHOP North America GMV (est'd) as a % of NA retail sales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TAM!$C$52:$N$52</c15:sqref>
                  </c15:fullRef>
                </c:ext>
              </c:extLst>
              <c:f>TAM!$E$52:$N$52</c:f>
              <c:strCache>
                <c:ptCount val="10"/>
                <c:pt idx="0">
                  <c:v>2018A </c:v>
                </c:pt>
                <c:pt idx="1">
                  <c:v>2019A </c:v>
                </c:pt>
                <c:pt idx="2">
                  <c:v>2020A </c:v>
                </c:pt>
                <c:pt idx="3">
                  <c:v>2021A </c:v>
                </c:pt>
                <c:pt idx="4">
                  <c:v>2022A </c:v>
                </c:pt>
                <c:pt idx="5">
                  <c:v>2023A </c:v>
                </c:pt>
                <c:pt idx="6">
                  <c:v>2024E </c:v>
                </c:pt>
                <c:pt idx="7">
                  <c:v>2025E </c:v>
                </c:pt>
                <c:pt idx="8">
                  <c:v>2026E </c:v>
                </c:pt>
                <c:pt idx="9">
                  <c:v>2027E </c:v>
                </c:pt>
              </c:strCache>
            </c:strRef>
          </c:cat>
          <c:val>
            <c:numRef>
              <c:extLst>
                <c:ext xmlns:c15="http://schemas.microsoft.com/office/drawing/2012/chart" uri="{02D57815-91ED-43cb-92C2-25804820EDAC}">
                  <c15:fullRef>
                    <c15:sqref>TAM!$C$54:$N$54</c15:sqref>
                  </c15:fullRef>
                </c:ext>
              </c:extLst>
              <c:f>TAM!$E$54:$N$54</c:f>
              <c:numCache>
                <c:formatCode>0.0%_);\(0.0%\);0.0%_);@_)</c:formatCode>
                <c:ptCount val="10"/>
                <c:pt idx="0">
                  <c:v>5.0884486959574225E-3</c:v>
                </c:pt>
                <c:pt idx="1">
                  <c:v>7.2662545096076146E-3</c:v>
                </c:pt>
                <c:pt idx="2">
                  <c:v>1.3535643276637425E-2</c:v>
                </c:pt>
                <c:pt idx="3">
                  <c:v>1.6541692409217192E-2</c:v>
                </c:pt>
                <c:pt idx="4">
                  <c:v>1.6948727838530367E-2</c:v>
                </c:pt>
                <c:pt idx="5">
                  <c:v>1.9254477941672218E-2</c:v>
                </c:pt>
                <c:pt idx="6">
                  <c:v>2.2176007809751375E-2</c:v>
                </c:pt>
                <c:pt idx="7">
                  <c:v>2.484741413548433E-2</c:v>
                </c:pt>
                <c:pt idx="8">
                  <c:v>2.7407697464319685E-2</c:v>
                </c:pt>
                <c:pt idx="9">
                  <c:v>2.9942705075130922E-2</c:v>
                </c:pt>
              </c:numCache>
            </c:numRef>
          </c:val>
          <c:smooth val="1"/>
          <c:extLst>
            <c:ext xmlns:c16="http://schemas.microsoft.com/office/drawing/2014/chart" uri="{C3380CC4-5D6E-409C-BE32-E72D297353CC}">
              <c16:uniqueId val="{00000001-7BC8-41A5-8946-0E41211E2363}"/>
            </c:ext>
          </c:extLst>
        </c:ser>
        <c:dLbls>
          <c:showLegendKey val="0"/>
          <c:showVal val="0"/>
          <c:showCatName val="0"/>
          <c:showSerName val="0"/>
          <c:showPercent val="0"/>
          <c:showBubbleSize val="0"/>
        </c:dLbls>
        <c:smooth val="0"/>
        <c:axId val="559080543"/>
        <c:axId val="559089183"/>
      </c:lineChart>
      <c:catAx>
        <c:axId val="559080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9089183"/>
        <c:crosses val="autoZero"/>
        <c:auto val="1"/>
        <c:lblAlgn val="ctr"/>
        <c:lblOffset val="100"/>
        <c:noMultiLvlLbl val="0"/>
      </c:catAx>
      <c:valAx>
        <c:axId val="559089183"/>
        <c:scaling>
          <c:orientation val="minMax"/>
        </c:scaling>
        <c:delete val="0"/>
        <c:axPos val="l"/>
        <c:numFmt formatCode="0.0%_);\(0.0%\);0.0%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9080543"/>
        <c:crosses val="autoZero"/>
        <c:crossBetween val="between"/>
      </c:valAx>
      <c:spPr>
        <a:noFill/>
        <a:ln>
          <a:noFill/>
        </a:ln>
        <a:effectLst/>
      </c:spPr>
    </c:plotArea>
    <c:legend>
      <c:legendPos val="b"/>
      <c:layout>
        <c:manualLayout>
          <c:xMode val="edge"/>
          <c:yMode val="edge"/>
          <c:x val="2.2359232570224E-2"/>
          <c:y val="2.8315106445027733E-2"/>
          <c:w val="0.66545856128650227"/>
          <c:h val="0.236224898138072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54687210873571E-2"/>
          <c:y val="5.0791190037218999E-2"/>
          <c:w val="0.87719172416152358"/>
          <c:h val="0.86609595353824087"/>
        </c:manualLayout>
      </c:layout>
      <c:lineChart>
        <c:grouping val="standard"/>
        <c:varyColors val="0"/>
        <c:ser>
          <c:idx val="0"/>
          <c:order val="0"/>
          <c:tx>
            <c:strRef>
              <c:f>Charts!$CG$183</c:f>
              <c:strCache>
                <c:ptCount val="1"/>
                <c:pt idx="0">
                  <c:v>Subscription solutions revenue growth y/y</c:v>
                </c:pt>
              </c:strCache>
            </c:strRef>
          </c:tx>
          <c:spPr>
            <a:ln w="28575" cap="rnd">
              <a:solidFill>
                <a:schemeClr val="accent1"/>
              </a:solidFill>
              <a:round/>
            </a:ln>
            <a:effectLst/>
          </c:spPr>
          <c:marker>
            <c:symbol val="none"/>
          </c:marker>
          <c:cat>
            <c:strRef>
              <c:f>Charts!$CI$182:$CS$182</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Charts!$CI$183:$CS$183</c:f>
              <c:numCache>
                <c:formatCode>0.0%_);\(0.0%\);0.0%_);@_)</c:formatCode>
                <c:ptCount val="11"/>
                <c:pt idx="0">
                  <c:v>0.64380242410103605</c:v>
                </c:pt>
                <c:pt idx="1">
                  <c:v>0.49983711306288714</c:v>
                </c:pt>
                <c:pt idx="2">
                  <c:v>0.38117532193825321</c:v>
                </c:pt>
                <c:pt idx="3">
                  <c:v>0.41497817797368919</c:v>
                </c:pt>
                <c:pt idx="4">
                  <c:v>0.47710994248187366</c:v>
                </c:pt>
                <c:pt idx="5">
                  <c:v>0.10833741825804899</c:v>
                </c:pt>
                <c:pt idx="6">
                  <c:v>0.23474299264867504</c:v>
                </c:pt>
                <c:pt idx="7">
                  <c:v>0.27476021023471531</c:v>
                </c:pt>
                <c:pt idx="8">
                  <c:v>0.18107979296874976</c:v>
                </c:pt>
                <c:pt idx="9">
                  <c:v>0.15900353515624976</c:v>
                </c:pt>
                <c:pt idx="10">
                  <c:v>0.14796540624999954</c:v>
                </c:pt>
              </c:numCache>
            </c:numRef>
          </c:val>
          <c:smooth val="1"/>
          <c:extLst>
            <c:ext xmlns:c16="http://schemas.microsoft.com/office/drawing/2014/chart" uri="{C3380CC4-5D6E-409C-BE32-E72D297353CC}">
              <c16:uniqueId val="{00000000-FC1A-406A-95E8-12898D3BE143}"/>
            </c:ext>
          </c:extLst>
        </c:ser>
        <c:ser>
          <c:idx val="1"/>
          <c:order val="1"/>
          <c:tx>
            <c:strRef>
              <c:f>Charts!$CG$184</c:f>
              <c:strCache>
                <c:ptCount val="1"/>
                <c:pt idx="0">
                  <c:v>Merchant solutions revenue growth y/y </c:v>
                </c:pt>
              </c:strCache>
            </c:strRef>
          </c:tx>
          <c:spPr>
            <a:ln w="28575" cap="rnd">
              <a:solidFill>
                <a:schemeClr val="accent2"/>
              </a:solidFill>
              <a:round/>
            </a:ln>
            <a:effectLst/>
          </c:spPr>
          <c:marker>
            <c:symbol val="none"/>
          </c:marker>
          <c:cat>
            <c:strRef>
              <c:f>Charts!$CI$182:$CS$182</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Charts!$CI$184:$CS$184</c:f>
              <c:numCache>
                <c:formatCode>0.0%_);\(0.0%\);0.0%_);@_)</c:formatCode>
                <c:ptCount val="11"/>
                <c:pt idx="0">
                  <c:v>0.80981347521970481</c:v>
                </c:pt>
                <c:pt idx="1">
                  <c:v>0.67431380807271646</c:v>
                </c:pt>
                <c:pt idx="2">
                  <c:v>0.53877214817347974</c:v>
                </c:pt>
                <c:pt idx="3">
                  <c:v>1.1590607009910974</c:v>
                </c:pt>
                <c:pt idx="4">
                  <c:v>0.61798732539760315</c:v>
                </c:pt>
                <c:pt idx="5">
                  <c:v>0.25770831332531174</c:v>
                </c:pt>
                <c:pt idx="6">
                  <c:v>0.27015239153669479</c:v>
                </c:pt>
                <c:pt idx="7">
                  <c:v>0.23106541977790518</c:v>
                </c:pt>
                <c:pt idx="8">
                  <c:v>0.24901441365009602</c:v>
                </c:pt>
                <c:pt idx="9">
                  <c:v>0.21004982146969153</c:v>
                </c:pt>
                <c:pt idx="10">
                  <c:v>0.18944736529342032</c:v>
                </c:pt>
              </c:numCache>
            </c:numRef>
          </c:val>
          <c:smooth val="1"/>
          <c:extLst>
            <c:ext xmlns:c16="http://schemas.microsoft.com/office/drawing/2014/chart" uri="{C3380CC4-5D6E-409C-BE32-E72D297353CC}">
              <c16:uniqueId val="{00000001-FC1A-406A-95E8-12898D3BE143}"/>
            </c:ext>
          </c:extLst>
        </c:ser>
        <c:ser>
          <c:idx val="2"/>
          <c:order val="2"/>
          <c:tx>
            <c:strRef>
              <c:f>Charts!$CG$185</c:f>
              <c:strCache>
                <c:ptCount val="1"/>
                <c:pt idx="0">
                  <c:v>Total revenue growth y/y</c:v>
                </c:pt>
              </c:strCache>
            </c:strRef>
          </c:tx>
          <c:spPr>
            <a:ln w="28575" cap="rnd">
              <a:solidFill>
                <a:schemeClr val="accent3"/>
              </a:solidFill>
              <a:round/>
            </a:ln>
            <a:effectLst/>
          </c:spPr>
          <c:marker>
            <c:symbol val="none"/>
          </c:marker>
          <c:cat>
            <c:strRef>
              <c:f>Charts!$CI$182:$CS$182</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Charts!$CI$185:$CS$185</c:f>
              <c:numCache>
                <c:formatCode>0.0%_);\(0.0%\);0.0%_);@_)</c:formatCode>
                <c:ptCount val="11"/>
                <c:pt idx="0">
                  <c:v>0.72939151876300312</c:v>
                </c:pt>
                <c:pt idx="1">
                  <c:v>0.59397389589249405</c:v>
                </c:pt>
                <c:pt idx="2">
                  <c:v>0.47049045450691351</c:v>
                </c:pt>
                <c:pt idx="3">
                  <c:v>0.856254669164914</c:v>
                </c:pt>
                <c:pt idx="4">
                  <c:v>0.57428577182862139</c:v>
                </c:pt>
                <c:pt idx="5">
                  <c:v>0.21423218764853047</c:v>
                </c:pt>
                <c:pt idx="6">
                  <c:v>0.26074490380480664</c:v>
                </c:pt>
                <c:pt idx="7">
                  <c:v>0.24243472998600146</c:v>
                </c:pt>
                <c:pt idx="8">
                  <c:v>0.23087803700247167</c:v>
                </c:pt>
                <c:pt idx="9">
                  <c:v>0.19697343521496502</c:v>
                </c:pt>
                <c:pt idx="10">
                  <c:v>0.17915813008193648</c:v>
                </c:pt>
              </c:numCache>
            </c:numRef>
          </c:val>
          <c:smooth val="1"/>
          <c:extLst>
            <c:ext xmlns:c16="http://schemas.microsoft.com/office/drawing/2014/chart" uri="{C3380CC4-5D6E-409C-BE32-E72D297353CC}">
              <c16:uniqueId val="{00000002-FC1A-406A-95E8-12898D3BE143}"/>
            </c:ext>
          </c:extLst>
        </c:ser>
        <c:dLbls>
          <c:showLegendKey val="0"/>
          <c:showVal val="0"/>
          <c:showCatName val="0"/>
          <c:showSerName val="0"/>
          <c:showPercent val="0"/>
          <c:showBubbleSize val="0"/>
        </c:dLbls>
        <c:smooth val="0"/>
        <c:axId val="118577119"/>
        <c:axId val="118574719"/>
      </c:lineChart>
      <c:catAx>
        <c:axId val="11857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574719"/>
        <c:crosses val="autoZero"/>
        <c:auto val="1"/>
        <c:lblAlgn val="ctr"/>
        <c:lblOffset val="100"/>
        <c:noMultiLvlLbl val="0"/>
      </c:catAx>
      <c:valAx>
        <c:axId val="118574719"/>
        <c:scaling>
          <c:orientation val="minMax"/>
        </c:scaling>
        <c:delete val="0"/>
        <c:axPos val="l"/>
        <c:numFmt formatCode="0%_);\(0%\);0%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577119"/>
        <c:crosses val="autoZero"/>
        <c:crossBetween val="between"/>
      </c:valAx>
      <c:spPr>
        <a:noFill/>
        <a:ln>
          <a:noFill/>
        </a:ln>
        <a:effectLst/>
      </c:spPr>
    </c:plotArea>
    <c:legend>
      <c:legendPos val="b"/>
      <c:layout>
        <c:manualLayout>
          <c:xMode val="edge"/>
          <c:yMode val="edge"/>
          <c:x val="0.48052871943909276"/>
          <c:y val="0.1108036896872797"/>
          <c:w val="0.49314784924918481"/>
          <c:h val="0.22429345891639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386179723284"/>
          <c:y val="5.3533539318027928E-2"/>
          <c:w val="0.85949493563552681"/>
          <c:h val="0.85886612361610815"/>
        </c:manualLayout>
      </c:layout>
      <c:lineChart>
        <c:grouping val="standard"/>
        <c:varyColors val="0"/>
        <c:ser>
          <c:idx val="0"/>
          <c:order val="0"/>
          <c:tx>
            <c:strRef>
              <c:f>Charts!$CG$183</c:f>
              <c:strCache>
                <c:ptCount val="1"/>
                <c:pt idx="0">
                  <c:v>Subscription solutions revenue growth y/y</c:v>
                </c:pt>
              </c:strCache>
            </c:strRef>
          </c:tx>
          <c:spPr>
            <a:ln w="28575" cap="rnd">
              <a:solidFill>
                <a:schemeClr val="accent1"/>
              </a:solidFill>
              <a:round/>
            </a:ln>
            <a:effectLst/>
          </c:spPr>
          <c:marker>
            <c:symbol val="none"/>
          </c:marker>
          <c:cat>
            <c:strRef>
              <c:f>Charts!$CI$182:$CS$182</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Charts!$CI$183:$CS$183</c:f>
              <c:numCache>
                <c:formatCode>0.0%_);\(0.0%\);0.0%_);@_)</c:formatCode>
                <c:ptCount val="11"/>
                <c:pt idx="0">
                  <c:v>0.64380242410103605</c:v>
                </c:pt>
                <c:pt idx="1">
                  <c:v>0.49983711306288714</c:v>
                </c:pt>
                <c:pt idx="2">
                  <c:v>0.38117532193825321</c:v>
                </c:pt>
                <c:pt idx="3">
                  <c:v>0.41497817797368919</c:v>
                </c:pt>
                <c:pt idx="4">
                  <c:v>0.47710994248187366</c:v>
                </c:pt>
                <c:pt idx="5">
                  <c:v>0.10833741825804899</c:v>
                </c:pt>
                <c:pt idx="6">
                  <c:v>0.23474299264867504</c:v>
                </c:pt>
                <c:pt idx="7">
                  <c:v>0.27476021023471531</c:v>
                </c:pt>
                <c:pt idx="8">
                  <c:v>0.18107979296874976</c:v>
                </c:pt>
                <c:pt idx="9">
                  <c:v>0.15900353515624976</c:v>
                </c:pt>
                <c:pt idx="10">
                  <c:v>0.14796540624999954</c:v>
                </c:pt>
              </c:numCache>
            </c:numRef>
          </c:val>
          <c:smooth val="1"/>
          <c:extLst>
            <c:ext xmlns:c16="http://schemas.microsoft.com/office/drawing/2014/chart" uri="{C3380CC4-5D6E-409C-BE32-E72D297353CC}">
              <c16:uniqueId val="{00000000-2BEA-4419-B03D-9AC5ACC61346}"/>
            </c:ext>
          </c:extLst>
        </c:ser>
        <c:ser>
          <c:idx val="1"/>
          <c:order val="1"/>
          <c:tx>
            <c:strRef>
              <c:f>Charts!$CG$184</c:f>
              <c:strCache>
                <c:ptCount val="1"/>
                <c:pt idx="0">
                  <c:v>Merchant solutions revenue growth y/y </c:v>
                </c:pt>
              </c:strCache>
            </c:strRef>
          </c:tx>
          <c:spPr>
            <a:ln w="28575" cap="rnd">
              <a:solidFill>
                <a:schemeClr val="accent2"/>
              </a:solidFill>
              <a:round/>
            </a:ln>
            <a:effectLst/>
          </c:spPr>
          <c:marker>
            <c:symbol val="none"/>
          </c:marker>
          <c:cat>
            <c:strRef>
              <c:f>Charts!$CI$182:$CS$182</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Charts!$CI$184:$CS$184</c:f>
              <c:numCache>
                <c:formatCode>0.0%_);\(0.0%\);0.0%_);@_)</c:formatCode>
                <c:ptCount val="11"/>
                <c:pt idx="0">
                  <c:v>0.80981347521970481</c:v>
                </c:pt>
                <c:pt idx="1">
                  <c:v>0.67431380807271646</c:v>
                </c:pt>
                <c:pt idx="2">
                  <c:v>0.53877214817347974</c:v>
                </c:pt>
                <c:pt idx="3">
                  <c:v>1.1590607009910974</c:v>
                </c:pt>
                <c:pt idx="4">
                  <c:v>0.61798732539760315</c:v>
                </c:pt>
                <c:pt idx="5">
                  <c:v>0.25770831332531174</c:v>
                </c:pt>
                <c:pt idx="6">
                  <c:v>0.27015239153669479</c:v>
                </c:pt>
                <c:pt idx="7">
                  <c:v>0.23106541977790518</c:v>
                </c:pt>
                <c:pt idx="8">
                  <c:v>0.24901441365009602</c:v>
                </c:pt>
                <c:pt idx="9">
                  <c:v>0.21004982146969153</c:v>
                </c:pt>
                <c:pt idx="10">
                  <c:v>0.18944736529342032</c:v>
                </c:pt>
              </c:numCache>
            </c:numRef>
          </c:val>
          <c:smooth val="1"/>
          <c:extLst>
            <c:ext xmlns:c16="http://schemas.microsoft.com/office/drawing/2014/chart" uri="{C3380CC4-5D6E-409C-BE32-E72D297353CC}">
              <c16:uniqueId val="{00000001-2BEA-4419-B03D-9AC5ACC61346}"/>
            </c:ext>
          </c:extLst>
        </c:ser>
        <c:ser>
          <c:idx val="2"/>
          <c:order val="2"/>
          <c:tx>
            <c:strRef>
              <c:f>Charts!$CG$185</c:f>
              <c:strCache>
                <c:ptCount val="1"/>
                <c:pt idx="0">
                  <c:v>Total revenue growth y/y</c:v>
                </c:pt>
              </c:strCache>
            </c:strRef>
          </c:tx>
          <c:spPr>
            <a:ln w="28575" cap="rnd">
              <a:solidFill>
                <a:schemeClr val="accent3"/>
              </a:solidFill>
              <a:round/>
            </a:ln>
            <a:effectLst/>
          </c:spPr>
          <c:marker>
            <c:symbol val="none"/>
          </c:marker>
          <c:cat>
            <c:strRef>
              <c:f>Charts!$CI$182:$CS$182</c:f>
              <c:strCache>
                <c:ptCount val="11"/>
                <c:pt idx="0">
                  <c:v>2017A</c:v>
                </c:pt>
                <c:pt idx="1">
                  <c:v>2018A</c:v>
                </c:pt>
                <c:pt idx="2">
                  <c:v>2019A</c:v>
                </c:pt>
                <c:pt idx="3">
                  <c:v>2020A</c:v>
                </c:pt>
                <c:pt idx="4">
                  <c:v>2021A</c:v>
                </c:pt>
                <c:pt idx="5">
                  <c:v>2022A</c:v>
                </c:pt>
                <c:pt idx="6">
                  <c:v>2023A</c:v>
                </c:pt>
                <c:pt idx="7">
                  <c:v>2024E</c:v>
                </c:pt>
                <c:pt idx="8">
                  <c:v>2025E</c:v>
                </c:pt>
                <c:pt idx="9">
                  <c:v>2026E</c:v>
                </c:pt>
                <c:pt idx="10">
                  <c:v>2027E</c:v>
                </c:pt>
              </c:strCache>
            </c:strRef>
          </c:cat>
          <c:val>
            <c:numRef>
              <c:f>Charts!$CI$185:$CS$185</c:f>
              <c:numCache>
                <c:formatCode>0.0%_);\(0.0%\);0.0%_);@_)</c:formatCode>
                <c:ptCount val="11"/>
                <c:pt idx="0">
                  <c:v>0.72939151876300312</c:v>
                </c:pt>
                <c:pt idx="1">
                  <c:v>0.59397389589249405</c:v>
                </c:pt>
                <c:pt idx="2">
                  <c:v>0.47049045450691351</c:v>
                </c:pt>
                <c:pt idx="3">
                  <c:v>0.856254669164914</c:v>
                </c:pt>
                <c:pt idx="4">
                  <c:v>0.57428577182862139</c:v>
                </c:pt>
                <c:pt idx="5">
                  <c:v>0.21423218764853047</c:v>
                </c:pt>
                <c:pt idx="6">
                  <c:v>0.26074490380480664</c:v>
                </c:pt>
                <c:pt idx="7">
                  <c:v>0.24243472998600146</c:v>
                </c:pt>
                <c:pt idx="8">
                  <c:v>0.23087803700247167</c:v>
                </c:pt>
                <c:pt idx="9">
                  <c:v>0.19697343521496502</c:v>
                </c:pt>
                <c:pt idx="10">
                  <c:v>0.17915813008193648</c:v>
                </c:pt>
              </c:numCache>
            </c:numRef>
          </c:val>
          <c:smooth val="1"/>
          <c:extLst>
            <c:ext xmlns:c16="http://schemas.microsoft.com/office/drawing/2014/chart" uri="{C3380CC4-5D6E-409C-BE32-E72D297353CC}">
              <c16:uniqueId val="{00000002-2BEA-4419-B03D-9AC5ACC61346}"/>
            </c:ext>
          </c:extLst>
        </c:ser>
        <c:dLbls>
          <c:showLegendKey val="0"/>
          <c:showVal val="0"/>
          <c:showCatName val="0"/>
          <c:showSerName val="0"/>
          <c:showPercent val="0"/>
          <c:showBubbleSize val="0"/>
        </c:dLbls>
        <c:smooth val="0"/>
        <c:axId val="2093792191"/>
        <c:axId val="2093792671"/>
      </c:lineChart>
      <c:catAx>
        <c:axId val="209379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792671"/>
        <c:crosses val="autoZero"/>
        <c:auto val="1"/>
        <c:lblAlgn val="ctr"/>
        <c:lblOffset val="100"/>
        <c:noMultiLvlLbl val="0"/>
      </c:catAx>
      <c:valAx>
        <c:axId val="2093792671"/>
        <c:scaling>
          <c:orientation val="minMax"/>
          <c:max val="1.2"/>
        </c:scaling>
        <c:delete val="0"/>
        <c:axPos val="l"/>
        <c:numFmt formatCode="0%_);\(0%\);0%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792191"/>
        <c:crosses val="autoZero"/>
        <c:crossBetween val="between"/>
      </c:valAx>
      <c:spPr>
        <a:noFill/>
        <a:ln>
          <a:noFill/>
        </a:ln>
        <a:effectLst/>
      </c:spPr>
    </c:plotArea>
    <c:legend>
      <c:legendPos val="b"/>
      <c:layout>
        <c:manualLayout>
          <c:xMode val="edge"/>
          <c:yMode val="edge"/>
          <c:x val="0.48120391041388633"/>
          <c:y val="7.2527024474062673E-2"/>
          <c:w val="0.51879608958611356"/>
          <c:h val="0.236403649784122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86133438855537E-2"/>
          <c:y val="5.0925925925925923E-2"/>
          <c:w val="0.95181247271589309"/>
          <c:h val="0.86185373722697922"/>
        </c:manualLayout>
      </c:layout>
      <c:lineChart>
        <c:grouping val="standard"/>
        <c:varyColors val="0"/>
        <c:ser>
          <c:idx val="0"/>
          <c:order val="0"/>
          <c:tx>
            <c:strRef>
              <c:f>Charts!$CG$55</c:f>
              <c:strCache>
                <c:ptCount val="1"/>
                <c:pt idx="0">
                  <c:v>Total Gross Margin</c:v>
                </c:pt>
              </c:strCache>
            </c:strRef>
          </c:tx>
          <c:spPr>
            <a:ln w="28575" cap="rnd">
              <a:solidFill>
                <a:sysClr val="windowText" lastClr="00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Charts!$CH$55:$CS$55</c:f>
              <c:numCache>
                <c:formatCode>0.0%_);\(0.0%\);0.0%_);@_)</c:formatCode>
                <c:ptCount val="12"/>
                <c:pt idx="0">
                  <c:v>0.53809107954691393</c:v>
                </c:pt>
                <c:pt idx="1">
                  <c:v>0.5647567814835498</c:v>
                </c:pt>
                <c:pt idx="2">
                  <c:v>0.55558226622649964</c:v>
                </c:pt>
                <c:pt idx="3">
                  <c:v>0.54850957404543099</c:v>
                </c:pt>
                <c:pt idx="4">
                  <c:v>0.52620745378634048</c:v>
                </c:pt>
                <c:pt idx="5">
                  <c:v>0.53799251320943231</c:v>
                </c:pt>
                <c:pt idx="6">
                  <c:v>0.4918189084592054</c:v>
                </c:pt>
                <c:pt idx="7">
                  <c:v>0.49787535410764872</c:v>
                </c:pt>
                <c:pt idx="8">
                  <c:v>0.50571077540276699</c:v>
                </c:pt>
                <c:pt idx="9">
                  <c:v>0.50378261283629167</c:v>
                </c:pt>
                <c:pt idx="10">
                  <c:v>0.50113362599072009</c:v>
                </c:pt>
                <c:pt idx="11">
                  <c:v>0.49914292470659571</c:v>
                </c:pt>
              </c:numCache>
            </c:numRef>
          </c:val>
          <c:smooth val="1"/>
          <c:extLst>
            <c:ext xmlns:c16="http://schemas.microsoft.com/office/drawing/2014/chart" uri="{C3380CC4-5D6E-409C-BE32-E72D297353CC}">
              <c16:uniqueId val="{00000000-D93B-44D5-9F62-D1A9712930C9}"/>
            </c:ext>
          </c:extLst>
        </c:ser>
        <c:ser>
          <c:idx val="1"/>
          <c:order val="1"/>
          <c:tx>
            <c:strRef>
              <c:f>Charts!$CG$67</c:f>
              <c:strCache>
                <c:ptCount val="1"/>
                <c:pt idx="0">
                  <c:v>Opex % revenue</c:v>
                </c:pt>
              </c:strCache>
            </c:strRef>
          </c:tx>
          <c:spPr>
            <a:ln w="28575" cap="rnd">
              <a:solidFill>
                <a:schemeClr val="accent2"/>
              </a:solidFill>
              <a:round/>
            </a:ln>
            <a:effectLst/>
          </c:spPr>
          <c:marker>
            <c:symbol val="none"/>
          </c:marker>
          <c:dLbls>
            <c:dLbl>
              <c:idx val="4"/>
              <c:layout>
                <c:manualLayout>
                  <c:x val="-5.7145888013998301E-2"/>
                  <c:y val="4.4444444444444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3B-44D5-9F62-D1A9712930C9}"/>
                </c:ext>
              </c:extLst>
            </c:dLbl>
            <c:dLbl>
              <c:idx val="5"/>
              <c:layout>
                <c:manualLayout>
                  <c:x val="-5.7145888013998253E-2"/>
                  <c:y val="3.51851851851852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3B-44D5-9F62-D1A9712930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Charts!$CH$67:$CS$67</c:f>
              <c:numCache>
                <c:formatCode>0.0%_);\(0.0%\);0.0%_);@_)</c:formatCode>
                <c:ptCount val="12"/>
                <c:pt idx="0">
                  <c:v>0.6335499447769245</c:v>
                </c:pt>
                <c:pt idx="1">
                  <c:v>0.63776540760191536</c:v>
                </c:pt>
                <c:pt idx="2">
                  <c:v>0.64123034319795691</c:v>
                </c:pt>
                <c:pt idx="3">
                  <c:v>0.63794653691325343</c:v>
                </c:pt>
                <c:pt idx="4">
                  <c:v>0.49543316569328938</c:v>
                </c:pt>
                <c:pt idx="5">
                  <c:v>0.47974199541356022</c:v>
                </c:pt>
                <c:pt idx="6">
                  <c:v>0.63866158178127175</c:v>
                </c:pt>
                <c:pt idx="7">
                  <c:v>0.5089235127478754</c:v>
                </c:pt>
                <c:pt idx="8">
                  <c:v>0.38796372891301872</c:v>
                </c:pt>
                <c:pt idx="9">
                  <c:v>0.36671003929588325</c:v>
                </c:pt>
                <c:pt idx="10">
                  <c:v>0.3476893290470407</c:v>
                </c:pt>
                <c:pt idx="11">
                  <c:v>0.32767283229863037</c:v>
                </c:pt>
              </c:numCache>
            </c:numRef>
          </c:val>
          <c:smooth val="1"/>
          <c:extLst>
            <c:ext xmlns:c16="http://schemas.microsoft.com/office/drawing/2014/chart" uri="{C3380CC4-5D6E-409C-BE32-E72D297353CC}">
              <c16:uniqueId val="{00000003-D93B-44D5-9F62-D1A9712930C9}"/>
            </c:ext>
          </c:extLst>
        </c:ser>
        <c:ser>
          <c:idx val="2"/>
          <c:order val="2"/>
          <c:tx>
            <c:strRef>
              <c:f>Charts!$CG$76</c:f>
              <c:strCache>
                <c:ptCount val="1"/>
                <c:pt idx="0">
                  <c:v>FCF Margin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Charts!$CH$76:$CS$76</c:f>
              <c:numCache>
                <c:formatCode>0.0%_);\(0.0%\);0.0%_);@_)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extLst>
            <c:ext xmlns:c16="http://schemas.microsoft.com/office/drawing/2014/chart" uri="{C3380CC4-5D6E-409C-BE32-E72D297353CC}">
              <c16:uniqueId val="{00000004-D93B-44D5-9F62-D1A9712930C9}"/>
            </c:ext>
          </c:extLst>
        </c:ser>
        <c:dLbls>
          <c:showLegendKey val="0"/>
          <c:showVal val="0"/>
          <c:showCatName val="0"/>
          <c:showSerName val="0"/>
          <c:showPercent val="0"/>
          <c:showBubbleSize val="0"/>
        </c:dLbls>
        <c:smooth val="0"/>
        <c:axId val="1555449407"/>
        <c:axId val="1555449887"/>
      </c:lineChart>
      <c:catAx>
        <c:axId val="15554494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5449887"/>
        <c:crosses val="autoZero"/>
        <c:auto val="1"/>
        <c:lblAlgn val="ctr"/>
        <c:lblOffset val="100"/>
        <c:noMultiLvlLbl val="0"/>
      </c:catAx>
      <c:valAx>
        <c:axId val="1555449887"/>
        <c:scaling>
          <c:orientation val="minMax"/>
        </c:scaling>
        <c:delete val="0"/>
        <c:axPos val="l"/>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5449407"/>
        <c:crosses val="autoZero"/>
        <c:crossBetween val="between"/>
      </c:valAx>
      <c:spPr>
        <a:noFill/>
        <a:ln>
          <a:noFill/>
        </a:ln>
        <a:effectLst/>
      </c:spPr>
    </c:plotArea>
    <c:legend>
      <c:legendPos val="b"/>
      <c:layout>
        <c:manualLayout>
          <c:xMode val="edge"/>
          <c:yMode val="edge"/>
          <c:x val="4.7145243659402501E-2"/>
          <c:y val="0.42263467900072865"/>
          <c:w val="0.56255044356938178"/>
          <c:h val="7.7277631962671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Charts!$E$87</c:f>
              <c:strCache>
                <c:ptCount val="1"/>
                <c:pt idx="0">
                  <c:v>B2B GMV growth</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Charts!$AI$86:$AN$86</c:f>
              <c:strCache>
                <c:ptCount val="6"/>
                <c:pt idx="0">
                  <c:v>2Q23A</c:v>
                </c:pt>
                <c:pt idx="1">
                  <c:v>3Q23A</c:v>
                </c:pt>
                <c:pt idx="2">
                  <c:v>4Q23A</c:v>
                </c:pt>
                <c:pt idx="3">
                  <c:v>1Q24A</c:v>
                </c:pt>
                <c:pt idx="4">
                  <c:v>2Q24A</c:v>
                </c:pt>
                <c:pt idx="5">
                  <c:v>3Q24A</c:v>
                </c:pt>
              </c:strCache>
            </c:strRef>
          </c:cat>
          <c:val>
            <c:numRef>
              <c:f>Charts!$AI$87:$AN$87</c:f>
              <c:numCache>
                <c:formatCode>0%</c:formatCode>
                <c:ptCount val="6"/>
                <c:pt idx="0">
                  <c:v>0.61</c:v>
                </c:pt>
                <c:pt idx="1">
                  <c:v>1</c:v>
                </c:pt>
                <c:pt idx="2">
                  <c:v>1.5</c:v>
                </c:pt>
                <c:pt idx="3">
                  <c:v>1.3</c:v>
                </c:pt>
                <c:pt idx="4">
                  <c:v>1.4</c:v>
                </c:pt>
                <c:pt idx="5">
                  <c:v>1.45</c:v>
                </c:pt>
              </c:numCache>
            </c:numRef>
          </c:val>
          <c:smooth val="1"/>
          <c:extLst>
            <c:ext xmlns:c16="http://schemas.microsoft.com/office/drawing/2014/chart" uri="{C3380CC4-5D6E-409C-BE32-E72D297353CC}">
              <c16:uniqueId val="{00000000-DC28-47CE-BE9B-0C249ACA2C2D}"/>
            </c:ext>
          </c:extLst>
        </c:ser>
        <c:ser>
          <c:idx val="1"/>
          <c:order val="1"/>
          <c:tx>
            <c:strRef>
              <c:f>Charts!$E$88</c:f>
              <c:strCache>
                <c:ptCount val="1"/>
                <c:pt idx="0">
                  <c:v>Overal GMV growth</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Charts!$AI$86:$AN$86</c:f>
              <c:strCache>
                <c:ptCount val="6"/>
                <c:pt idx="0">
                  <c:v>2Q23A</c:v>
                </c:pt>
                <c:pt idx="1">
                  <c:v>3Q23A</c:v>
                </c:pt>
                <c:pt idx="2">
                  <c:v>4Q23A</c:v>
                </c:pt>
                <c:pt idx="3">
                  <c:v>1Q24A</c:v>
                </c:pt>
                <c:pt idx="4">
                  <c:v>2Q24A</c:v>
                </c:pt>
                <c:pt idx="5">
                  <c:v>3Q24A</c:v>
                </c:pt>
              </c:strCache>
            </c:strRef>
          </c:cat>
          <c:val>
            <c:numRef>
              <c:f>Charts!$AI$88:$AN$88</c:f>
              <c:numCache>
                <c:formatCode>0%</c:formatCode>
                <c:ptCount val="6"/>
                <c:pt idx="0">
                  <c:v>0.17395395739772312</c:v>
                </c:pt>
                <c:pt idx="1">
                  <c:v>0.21645021645021645</c:v>
                </c:pt>
                <c:pt idx="2">
                  <c:v>0.23155737704918034</c:v>
                </c:pt>
                <c:pt idx="3">
                  <c:v>0.22691532258064506</c:v>
                </c:pt>
                <c:pt idx="4">
                  <c:v>0.22263636363636374</c:v>
                </c:pt>
                <c:pt idx="5">
                  <c:v>0.24048042704626327</c:v>
                </c:pt>
              </c:numCache>
            </c:numRef>
          </c:val>
          <c:smooth val="0"/>
          <c:extLst>
            <c:ext xmlns:c16="http://schemas.microsoft.com/office/drawing/2014/chart" uri="{C3380CC4-5D6E-409C-BE32-E72D297353CC}">
              <c16:uniqueId val="{00000001-DC28-47CE-BE9B-0C249ACA2C2D}"/>
            </c:ext>
          </c:extLst>
        </c:ser>
        <c:dLbls>
          <c:showLegendKey val="0"/>
          <c:showVal val="0"/>
          <c:showCatName val="0"/>
          <c:showSerName val="0"/>
          <c:showPercent val="0"/>
          <c:showBubbleSize val="0"/>
        </c:dLbls>
        <c:smooth val="0"/>
        <c:axId val="1846987440"/>
        <c:axId val="1846994160"/>
      </c:lineChart>
      <c:catAx>
        <c:axId val="184698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6994160"/>
        <c:crosses val="autoZero"/>
        <c:auto val="1"/>
        <c:lblAlgn val="ctr"/>
        <c:lblOffset val="100"/>
        <c:noMultiLvlLbl val="0"/>
      </c:catAx>
      <c:valAx>
        <c:axId val="1846994160"/>
        <c:scaling>
          <c:orientation val="minMax"/>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6987440"/>
        <c:crosses val="autoZero"/>
        <c:crossBetween val="between"/>
      </c:valAx>
      <c:spPr>
        <a:noFill/>
        <a:ln>
          <a:noFill/>
        </a:ln>
        <a:effectLst/>
      </c:spPr>
    </c:plotArea>
    <c:legend>
      <c:legendPos val="t"/>
      <c:layout>
        <c:manualLayout>
          <c:xMode val="edge"/>
          <c:yMode val="edge"/>
          <c:x val="0.36095511180240686"/>
          <c:y val="0.48186729715373183"/>
          <c:w val="0.55459954949822976"/>
          <c:h val="7.88560171290916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Charts!$AE$91</c:f>
              <c:strCache>
                <c:ptCount val="1"/>
                <c:pt idx="0">
                  <c:v>Standard revenue % subscription solutions revenue</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Charts!$AF$90:$AN$90</c:f>
              <c:strCache>
                <c:ptCount val="9"/>
                <c:pt idx="0">
                  <c:v>3Q22A</c:v>
                </c:pt>
                <c:pt idx="1">
                  <c:v>4Q22A</c:v>
                </c:pt>
                <c:pt idx="2">
                  <c:v>1Q23A</c:v>
                </c:pt>
                <c:pt idx="3">
                  <c:v>2Q23A</c:v>
                </c:pt>
                <c:pt idx="4">
                  <c:v>3Q23A</c:v>
                </c:pt>
                <c:pt idx="5">
                  <c:v>4Q23A</c:v>
                </c:pt>
                <c:pt idx="6">
                  <c:v>1Q24A</c:v>
                </c:pt>
                <c:pt idx="7">
                  <c:v>2Q24A</c:v>
                </c:pt>
                <c:pt idx="8">
                  <c:v>3Q24A</c:v>
                </c:pt>
              </c:strCache>
            </c:strRef>
          </c:cat>
          <c:val>
            <c:numRef>
              <c:f>Charts!$AF$91:$AN$91</c:f>
              <c:numCache>
                <c:formatCode>0%_);\(0%\);0%_);@_)</c:formatCode>
                <c:ptCount val="9"/>
                <c:pt idx="0">
                  <c:v>0.57999999999999996</c:v>
                </c:pt>
                <c:pt idx="1">
                  <c:v>0.54</c:v>
                </c:pt>
                <c:pt idx="2">
                  <c:v>0.59</c:v>
                </c:pt>
                <c:pt idx="3">
                  <c:v>0.59</c:v>
                </c:pt>
                <c:pt idx="4">
                  <c:v>0.6</c:v>
                </c:pt>
                <c:pt idx="5">
                  <c:v>0.56000000000000005</c:v>
                </c:pt>
                <c:pt idx="6">
                  <c:v>0.6</c:v>
                </c:pt>
                <c:pt idx="7">
                  <c:v>0.6</c:v>
                </c:pt>
                <c:pt idx="8">
                  <c:v>0.58660000000000001</c:v>
                </c:pt>
              </c:numCache>
            </c:numRef>
          </c:val>
          <c:extLst>
            <c:ext xmlns:c16="http://schemas.microsoft.com/office/drawing/2014/chart" uri="{C3380CC4-5D6E-409C-BE32-E72D297353CC}">
              <c16:uniqueId val="{00000000-DE19-4506-BFDD-2C255C9756F7}"/>
            </c:ext>
          </c:extLst>
        </c:ser>
        <c:ser>
          <c:idx val="1"/>
          <c:order val="1"/>
          <c:tx>
            <c:strRef>
              <c:f>Charts!$AE$92</c:f>
              <c:strCache>
                <c:ptCount val="1"/>
                <c:pt idx="0">
                  <c:v>Plus revenue % subscription solutions revenue</c:v>
                </c:pt>
              </c:strCache>
            </c:strRef>
          </c:tx>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Charts!$AF$90:$AN$90</c:f>
              <c:strCache>
                <c:ptCount val="9"/>
                <c:pt idx="0">
                  <c:v>3Q22A</c:v>
                </c:pt>
                <c:pt idx="1">
                  <c:v>4Q22A</c:v>
                </c:pt>
                <c:pt idx="2">
                  <c:v>1Q23A</c:v>
                </c:pt>
                <c:pt idx="3">
                  <c:v>2Q23A</c:v>
                </c:pt>
                <c:pt idx="4">
                  <c:v>3Q23A</c:v>
                </c:pt>
                <c:pt idx="5">
                  <c:v>4Q23A</c:v>
                </c:pt>
                <c:pt idx="6">
                  <c:v>1Q24A</c:v>
                </c:pt>
                <c:pt idx="7">
                  <c:v>2Q24A</c:v>
                </c:pt>
                <c:pt idx="8">
                  <c:v>3Q24A</c:v>
                </c:pt>
              </c:strCache>
            </c:strRef>
          </c:cat>
          <c:val>
            <c:numRef>
              <c:f>Charts!$AF$92:$AN$92</c:f>
              <c:numCache>
                <c:formatCode>0%_);\(0%\);0%_);@_)</c:formatCode>
                <c:ptCount val="9"/>
                <c:pt idx="0">
                  <c:v>0.27</c:v>
                </c:pt>
                <c:pt idx="1">
                  <c:v>0.27</c:v>
                </c:pt>
                <c:pt idx="2">
                  <c:v>0.3</c:v>
                </c:pt>
                <c:pt idx="3">
                  <c:v>0.27</c:v>
                </c:pt>
                <c:pt idx="4">
                  <c:v>0.26</c:v>
                </c:pt>
                <c:pt idx="5">
                  <c:v>0.25</c:v>
                </c:pt>
                <c:pt idx="6">
                  <c:v>0.27</c:v>
                </c:pt>
                <c:pt idx="7">
                  <c:v>0.26</c:v>
                </c:pt>
                <c:pt idx="8">
                  <c:v>0.2666</c:v>
                </c:pt>
              </c:numCache>
            </c:numRef>
          </c:val>
          <c:extLst>
            <c:ext xmlns:c16="http://schemas.microsoft.com/office/drawing/2014/chart" uri="{C3380CC4-5D6E-409C-BE32-E72D297353CC}">
              <c16:uniqueId val="{00000001-DE19-4506-BFDD-2C255C9756F7}"/>
            </c:ext>
          </c:extLst>
        </c:ser>
        <c:ser>
          <c:idx val="2"/>
          <c:order val="2"/>
          <c:tx>
            <c:strRef>
              <c:f>Charts!$AE$93</c:f>
              <c:strCache>
                <c:ptCount val="1"/>
                <c:pt idx="0">
                  <c:v>Apps, Themes, Domains, Plus Platform Fees % SS revenue</c:v>
                </c:pt>
              </c:strCache>
            </c:strRef>
          </c:tx>
          <c:spPr>
            <a:solidFill>
              <a:schemeClr val="accent3"/>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Charts!$AF$90:$AN$90</c:f>
              <c:strCache>
                <c:ptCount val="9"/>
                <c:pt idx="0">
                  <c:v>3Q22A</c:v>
                </c:pt>
                <c:pt idx="1">
                  <c:v>4Q22A</c:v>
                </c:pt>
                <c:pt idx="2">
                  <c:v>1Q23A</c:v>
                </c:pt>
                <c:pt idx="3">
                  <c:v>2Q23A</c:v>
                </c:pt>
                <c:pt idx="4">
                  <c:v>3Q23A</c:v>
                </c:pt>
                <c:pt idx="5">
                  <c:v>4Q23A</c:v>
                </c:pt>
                <c:pt idx="6">
                  <c:v>1Q24A</c:v>
                </c:pt>
                <c:pt idx="7">
                  <c:v>2Q24A</c:v>
                </c:pt>
                <c:pt idx="8">
                  <c:v>3Q24A</c:v>
                </c:pt>
              </c:strCache>
            </c:strRef>
          </c:cat>
          <c:val>
            <c:numRef>
              <c:f>Charts!$AF$93:$AN$93</c:f>
              <c:numCache>
                <c:formatCode>0%_);\(0%\);0%_);@_)</c:formatCode>
                <c:ptCount val="9"/>
                <c:pt idx="0">
                  <c:v>0.15</c:v>
                </c:pt>
                <c:pt idx="1">
                  <c:v>0.19</c:v>
                </c:pt>
                <c:pt idx="2">
                  <c:v>0.11</c:v>
                </c:pt>
                <c:pt idx="3">
                  <c:v>0.14000000000000001</c:v>
                </c:pt>
                <c:pt idx="4">
                  <c:v>0.14000000000000001</c:v>
                </c:pt>
                <c:pt idx="5">
                  <c:v>0.18</c:v>
                </c:pt>
                <c:pt idx="6">
                  <c:v>0.13</c:v>
                </c:pt>
                <c:pt idx="7">
                  <c:v>0.14000000000000001</c:v>
                </c:pt>
                <c:pt idx="8">
                  <c:v>0.14660000000000001</c:v>
                </c:pt>
              </c:numCache>
            </c:numRef>
          </c:val>
          <c:extLst>
            <c:ext xmlns:c16="http://schemas.microsoft.com/office/drawing/2014/chart" uri="{C3380CC4-5D6E-409C-BE32-E72D297353CC}">
              <c16:uniqueId val="{00000003-DE19-4506-BFDD-2C255C9756F7}"/>
            </c:ext>
          </c:extLst>
        </c:ser>
        <c:dLbls>
          <c:showLegendKey val="0"/>
          <c:showVal val="0"/>
          <c:showCatName val="0"/>
          <c:showSerName val="0"/>
          <c:showPercent val="0"/>
          <c:showBubbleSize val="0"/>
        </c:dLbls>
        <c:axId val="1508043215"/>
        <c:axId val="1508043695"/>
      </c:areaChart>
      <c:catAx>
        <c:axId val="150804321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043695"/>
        <c:crosses val="autoZero"/>
        <c:auto val="1"/>
        <c:lblAlgn val="ctr"/>
        <c:lblOffset val="100"/>
        <c:noMultiLvlLbl val="0"/>
      </c:catAx>
      <c:valAx>
        <c:axId val="1508043695"/>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_);\(0%\);0%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043215"/>
        <c:crosses val="autoZero"/>
        <c:crossBetween val="midCat"/>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95785936415613"/>
          <c:y val="1.9490537248358183E-2"/>
          <c:w val="0.88254057833084809"/>
          <c:h val="0.89935733820414498"/>
        </c:manualLayout>
      </c:layout>
      <c:barChart>
        <c:barDir val="col"/>
        <c:grouping val="stacked"/>
        <c:varyColors val="0"/>
        <c:ser>
          <c:idx val="0"/>
          <c:order val="0"/>
          <c:tx>
            <c:strRef>
              <c:f>Charts!$AE$96</c:f>
              <c:strCache>
                <c:ptCount val="1"/>
                <c:pt idx="0">
                  <c:v>Standard revenue</c:v>
                </c:pt>
              </c:strCache>
            </c:strRef>
          </c:tx>
          <c:spPr>
            <a:solidFill>
              <a:schemeClr val="accent1"/>
            </a:solidFill>
            <a:ln>
              <a:noFill/>
            </a:ln>
            <a:effectLst/>
          </c:spPr>
          <c:invertIfNegative val="0"/>
          <c:cat>
            <c:strRef>
              <c:f>Charts!$AF$95:$AN$95</c:f>
              <c:strCache>
                <c:ptCount val="9"/>
                <c:pt idx="0">
                  <c:v>3Q22A</c:v>
                </c:pt>
                <c:pt idx="1">
                  <c:v>4Q22A</c:v>
                </c:pt>
                <c:pt idx="2">
                  <c:v>1Q23A</c:v>
                </c:pt>
                <c:pt idx="3">
                  <c:v>2Q23A</c:v>
                </c:pt>
                <c:pt idx="4">
                  <c:v>3Q23A</c:v>
                </c:pt>
                <c:pt idx="5">
                  <c:v>4Q23A</c:v>
                </c:pt>
                <c:pt idx="6">
                  <c:v>1Q24A</c:v>
                </c:pt>
                <c:pt idx="7">
                  <c:v>2Q24A</c:v>
                </c:pt>
                <c:pt idx="8">
                  <c:v>3Q24A</c:v>
                </c:pt>
              </c:strCache>
            </c:strRef>
          </c:cat>
          <c:val>
            <c:numRef>
              <c:f>Charts!$AF$96:$AN$96</c:f>
              <c:numCache>
                <c:formatCode>"$"#,##0.0_);\("$"#,##0.0\);"$"#,##0.0_);@_)</c:formatCode>
                <c:ptCount val="9"/>
                <c:pt idx="0">
                  <c:v>218.25457999999998</c:v>
                </c:pt>
                <c:pt idx="1">
                  <c:v>216.13716000000002</c:v>
                </c:pt>
                <c:pt idx="2">
                  <c:v>225.38</c:v>
                </c:pt>
                <c:pt idx="3">
                  <c:v>261.95999999999998</c:v>
                </c:pt>
                <c:pt idx="4">
                  <c:v>291.59999999999997</c:v>
                </c:pt>
                <c:pt idx="5">
                  <c:v>294</c:v>
                </c:pt>
                <c:pt idx="6">
                  <c:v>306.59999999999997</c:v>
                </c:pt>
                <c:pt idx="7">
                  <c:v>337.8</c:v>
                </c:pt>
                <c:pt idx="8">
                  <c:v>358.54397</c:v>
                </c:pt>
              </c:numCache>
            </c:numRef>
          </c:val>
          <c:extLst>
            <c:ext xmlns:c16="http://schemas.microsoft.com/office/drawing/2014/chart" uri="{C3380CC4-5D6E-409C-BE32-E72D297353CC}">
              <c16:uniqueId val="{00000000-66D7-4C31-A978-6B2688F9F913}"/>
            </c:ext>
          </c:extLst>
        </c:ser>
        <c:ser>
          <c:idx val="1"/>
          <c:order val="1"/>
          <c:tx>
            <c:strRef>
              <c:f>Charts!$AE$97</c:f>
              <c:strCache>
                <c:ptCount val="1"/>
                <c:pt idx="0">
                  <c:v>Plus revenue</c:v>
                </c:pt>
              </c:strCache>
            </c:strRef>
          </c:tx>
          <c:spPr>
            <a:solidFill>
              <a:schemeClr val="accent2"/>
            </a:solidFill>
            <a:ln>
              <a:noFill/>
            </a:ln>
            <a:effectLst/>
          </c:spPr>
          <c:invertIfNegative val="0"/>
          <c:cat>
            <c:strRef>
              <c:f>Charts!$AF$95:$AN$95</c:f>
              <c:strCache>
                <c:ptCount val="9"/>
                <c:pt idx="0">
                  <c:v>3Q22A</c:v>
                </c:pt>
                <c:pt idx="1">
                  <c:v>4Q22A</c:v>
                </c:pt>
                <c:pt idx="2">
                  <c:v>1Q23A</c:v>
                </c:pt>
                <c:pt idx="3">
                  <c:v>2Q23A</c:v>
                </c:pt>
                <c:pt idx="4">
                  <c:v>3Q23A</c:v>
                </c:pt>
                <c:pt idx="5">
                  <c:v>4Q23A</c:v>
                </c:pt>
                <c:pt idx="6">
                  <c:v>1Q24A</c:v>
                </c:pt>
                <c:pt idx="7">
                  <c:v>2Q24A</c:v>
                </c:pt>
                <c:pt idx="8">
                  <c:v>3Q24A</c:v>
                </c:pt>
              </c:strCache>
            </c:strRef>
          </c:cat>
          <c:val>
            <c:numRef>
              <c:f>Charts!$AF$97:$AN$97</c:f>
              <c:numCache>
                <c:formatCode>"$"#,##0.0_);\("$"#,##0.0\);"$"#,##0.0_);@_)</c:formatCode>
                <c:ptCount val="9"/>
                <c:pt idx="0">
                  <c:v>101.60127</c:v>
                </c:pt>
                <c:pt idx="1">
                  <c:v>108.06858000000001</c:v>
                </c:pt>
                <c:pt idx="2">
                  <c:v>114.6</c:v>
                </c:pt>
                <c:pt idx="3">
                  <c:v>119.88000000000001</c:v>
                </c:pt>
                <c:pt idx="4">
                  <c:v>126.36</c:v>
                </c:pt>
                <c:pt idx="5">
                  <c:v>131.25</c:v>
                </c:pt>
                <c:pt idx="6">
                  <c:v>137.97</c:v>
                </c:pt>
                <c:pt idx="7">
                  <c:v>146.38</c:v>
                </c:pt>
                <c:pt idx="8">
                  <c:v>163.34396999999998</c:v>
                </c:pt>
              </c:numCache>
            </c:numRef>
          </c:val>
          <c:extLst>
            <c:ext xmlns:c16="http://schemas.microsoft.com/office/drawing/2014/chart" uri="{C3380CC4-5D6E-409C-BE32-E72D297353CC}">
              <c16:uniqueId val="{00000001-66D7-4C31-A978-6B2688F9F913}"/>
            </c:ext>
          </c:extLst>
        </c:ser>
        <c:ser>
          <c:idx val="2"/>
          <c:order val="2"/>
          <c:tx>
            <c:strRef>
              <c:f>Charts!$AE$98</c:f>
              <c:strCache>
                <c:ptCount val="1"/>
                <c:pt idx="0">
                  <c:v>Apps, Themes, Domains, and Plus Platform Fees</c:v>
                </c:pt>
              </c:strCache>
            </c:strRef>
          </c:tx>
          <c:spPr>
            <a:solidFill>
              <a:schemeClr val="accent3"/>
            </a:solidFill>
            <a:ln>
              <a:noFill/>
            </a:ln>
            <a:effectLst/>
          </c:spPr>
          <c:invertIfNegative val="0"/>
          <c:cat>
            <c:strRef>
              <c:f>Charts!$AF$95:$AN$95</c:f>
              <c:strCache>
                <c:ptCount val="9"/>
                <c:pt idx="0">
                  <c:v>3Q22A</c:v>
                </c:pt>
                <c:pt idx="1">
                  <c:v>4Q22A</c:v>
                </c:pt>
                <c:pt idx="2">
                  <c:v>1Q23A</c:v>
                </c:pt>
                <c:pt idx="3">
                  <c:v>2Q23A</c:v>
                </c:pt>
                <c:pt idx="4">
                  <c:v>3Q23A</c:v>
                </c:pt>
                <c:pt idx="5">
                  <c:v>4Q23A</c:v>
                </c:pt>
                <c:pt idx="6">
                  <c:v>1Q24A</c:v>
                </c:pt>
                <c:pt idx="7">
                  <c:v>2Q24A</c:v>
                </c:pt>
                <c:pt idx="8">
                  <c:v>3Q24A</c:v>
                </c:pt>
              </c:strCache>
            </c:strRef>
          </c:cat>
          <c:val>
            <c:numRef>
              <c:f>Charts!$AF$98:$AN$98</c:f>
              <c:numCache>
                <c:formatCode>"$"#,##0.0_);\("$"#,##0.0\);"$"#,##0.0_);@_)</c:formatCode>
                <c:ptCount val="9"/>
                <c:pt idx="0">
                  <c:v>56.445149999999998</c:v>
                </c:pt>
                <c:pt idx="1">
                  <c:v>76.048259999999999</c:v>
                </c:pt>
                <c:pt idx="2">
                  <c:v>42.02</c:v>
                </c:pt>
                <c:pt idx="3">
                  <c:v>62.160000000000004</c:v>
                </c:pt>
                <c:pt idx="4">
                  <c:v>68.040000000000006</c:v>
                </c:pt>
                <c:pt idx="5">
                  <c:v>94.5</c:v>
                </c:pt>
                <c:pt idx="6">
                  <c:v>66.430000000000007</c:v>
                </c:pt>
                <c:pt idx="7">
                  <c:v>78.820000000000007</c:v>
                </c:pt>
                <c:pt idx="8">
                  <c:v>90.144397000000012</c:v>
                </c:pt>
              </c:numCache>
            </c:numRef>
          </c:val>
          <c:extLst>
            <c:ext xmlns:c16="http://schemas.microsoft.com/office/drawing/2014/chart" uri="{C3380CC4-5D6E-409C-BE32-E72D297353CC}">
              <c16:uniqueId val="{00000002-66D7-4C31-A978-6B2688F9F913}"/>
            </c:ext>
          </c:extLst>
        </c:ser>
        <c:dLbls>
          <c:showLegendKey val="0"/>
          <c:showVal val="0"/>
          <c:showCatName val="0"/>
          <c:showSerName val="0"/>
          <c:showPercent val="0"/>
          <c:showBubbleSize val="0"/>
        </c:dLbls>
        <c:gapWidth val="40"/>
        <c:overlap val="100"/>
        <c:axId val="1886126207"/>
        <c:axId val="1886140127"/>
      </c:barChart>
      <c:lineChart>
        <c:grouping val="standard"/>
        <c:varyColors val="0"/>
        <c:ser>
          <c:idx val="3"/>
          <c:order val="3"/>
          <c:tx>
            <c:strRef>
              <c:f>Charts!$AE$99</c:f>
              <c:strCache>
                <c:ptCount val="1"/>
                <c:pt idx="0">
                  <c:v>Subscription solutions revenue</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Charts!$AF$95:$AN$95</c:f>
              <c:strCache>
                <c:ptCount val="9"/>
                <c:pt idx="0">
                  <c:v>3Q22A</c:v>
                </c:pt>
                <c:pt idx="1">
                  <c:v>4Q22A</c:v>
                </c:pt>
                <c:pt idx="2">
                  <c:v>1Q23A</c:v>
                </c:pt>
                <c:pt idx="3">
                  <c:v>2Q23A</c:v>
                </c:pt>
                <c:pt idx="4">
                  <c:v>3Q23A</c:v>
                </c:pt>
                <c:pt idx="5">
                  <c:v>4Q23A</c:v>
                </c:pt>
                <c:pt idx="6">
                  <c:v>1Q24A</c:v>
                </c:pt>
                <c:pt idx="7">
                  <c:v>2Q24A</c:v>
                </c:pt>
                <c:pt idx="8">
                  <c:v>3Q24A</c:v>
                </c:pt>
              </c:strCache>
            </c:strRef>
          </c:cat>
          <c:val>
            <c:numRef>
              <c:f>Charts!$AF$99:$AN$99</c:f>
              <c:numCache>
                <c:formatCode>"$"#,##0.0_);\("$"#,##0.0\);"$"#,##0.0_);@_)</c:formatCode>
                <c:ptCount val="9"/>
                <c:pt idx="0">
                  <c:v>376.30099999999999</c:v>
                </c:pt>
                <c:pt idx="1">
                  <c:v>400.25400000000002</c:v>
                </c:pt>
                <c:pt idx="2">
                  <c:v>382</c:v>
                </c:pt>
                <c:pt idx="3">
                  <c:v>444</c:v>
                </c:pt>
                <c:pt idx="4">
                  <c:v>486</c:v>
                </c:pt>
                <c:pt idx="5">
                  <c:v>525</c:v>
                </c:pt>
                <c:pt idx="6">
                  <c:v>511</c:v>
                </c:pt>
                <c:pt idx="7">
                  <c:v>563</c:v>
                </c:pt>
                <c:pt idx="8">
                  <c:v>610</c:v>
                </c:pt>
              </c:numCache>
            </c:numRef>
          </c:val>
          <c:smooth val="0"/>
          <c:extLst>
            <c:ext xmlns:c16="http://schemas.microsoft.com/office/drawing/2014/chart" uri="{C3380CC4-5D6E-409C-BE32-E72D297353CC}">
              <c16:uniqueId val="{00000003-66D7-4C31-A978-6B2688F9F913}"/>
            </c:ext>
          </c:extLst>
        </c:ser>
        <c:dLbls>
          <c:showLegendKey val="0"/>
          <c:showVal val="0"/>
          <c:showCatName val="0"/>
          <c:showSerName val="0"/>
          <c:showPercent val="0"/>
          <c:showBubbleSize val="0"/>
        </c:dLbls>
        <c:marker val="1"/>
        <c:smooth val="0"/>
        <c:axId val="1886126207"/>
        <c:axId val="1886140127"/>
      </c:lineChart>
      <c:catAx>
        <c:axId val="188612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140127"/>
        <c:crosses val="autoZero"/>
        <c:auto val="1"/>
        <c:lblAlgn val="ctr"/>
        <c:lblOffset val="100"/>
        <c:noMultiLvlLbl val="0"/>
      </c:catAx>
      <c:valAx>
        <c:axId val="1886140127"/>
        <c:scaling>
          <c:orientation val="minMax"/>
        </c:scaling>
        <c:delete val="0"/>
        <c:axPos val="l"/>
        <c:numFmt formatCode="&quot;$&quot;#,##0_);\(&quot;$&quot;#,##0\);&quot;$&quot;#,##0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6126207"/>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9.0227675872601734E-2"/>
          <c:y val="0"/>
          <c:w val="0.56547440944881888"/>
          <c:h val="0.302351360687268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Charts!$AD$106</c:f>
              <c:strCache>
                <c:ptCount val="1"/>
                <c:pt idx="0">
                  <c:v>Shop Pay GMV</c:v>
                </c:pt>
              </c:strCache>
            </c:strRef>
          </c:tx>
          <c:spPr>
            <a:solidFill>
              <a:schemeClr val="accent1"/>
            </a:solidFill>
            <a:ln>
              <a:noFill/>
            </a:ln>
            <a:effectLst/>
          </c:spPr>
          <c:invertIfNegative val="0"/>
          <c:dLbls>
            <c:numFmt formatCode="&quot;$&quot;#,##0.0,&quot;B&quot;;\(&quot;$&quot;#,##0.0,&quot;B&quot;\);&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Charts!$AE$105:$AN$105</c:f>
              <c:strCache>
                <c:ptCount val="10"/>
                <c:pt idx="0">
                  <c:v>2Q22A</c:v>
                </c:pt>
                <c:pt idx="1">
                  <c:v>3Q22A</c:v>
                </c:pt>
                <c:pt idx="2">
                  <c:v>4Q22A</c:v>
                </c:pt>
                <c:pt idx="3">
                  <c:v>1Q23A</c:v>
                </c:pt>
                <c:pt idx="4">
                  <c:v>2Q23A</c:v>
                </c:pt>
                <c:pt idx="5">
                  <c:v>3Q23A</c:v>
                </c:pt>
                <c:pt idx="6">
                  <c:v>4Q23A</c:v>
                </c:pt>
                <c:pt idx="7">
                  <c:v>1Q24A</c:v>
                </c:pt>
                <c:pt idx="8">
                  <c:v>2Q24A</c:v>
                </c:pt>
                <c:pt idx="9">
                  <c:v>3Q24A</c:v>
                </c:pt>
              </c:strCache>
            </c:strRef>
          </c:cat>
          <c:val>
            <c:numRef>
              <c:f>Charts!$AE$106:$AN$106</c:f>
              <c:numCache>
                <c:formatCode>"$"#,##0_);\("$"#,##0\);"$"#,##0_);@_)</c:formatCode>
                <c:ptCount val="10"/>
                <c:pt idx="0">
                  <c:v>8029.1970802919705</c:v>
                </c:pt>
                <c:pt idx="1">
                  <c:v>8000</c:v>
                </c:pt>
                <c:pt idx="2">
                  <c:v>11392.405063291139</c:v>
                </c:pt>
                <c:pt idx="3">
                  <c:v>8974.3589743589746</c:v>
                </c:pt>
                <c:pt idx="4">
                  <c:v>11000</c:v>
                </c:pt>
                <c:pt idx="5">
                  <c:v>12000</c:v>
                </c:pt>
                <c:pt idx="6">
                  <c:v>18000</c:v>
                </c:pt>
                <c:pt idx="7">
                  <c:v>14000</c:v>
                </c:pt>
                <c:pt idx="8">
                  <c:v>16000</c:v>
                </c:pt>
                <c:pt idx="9">
                  <c:v>17000</c:v>
                </c:pt>
              </c:numCache>
            </c:numRef>
          </c:val>
          <c:extLst>
            <c:ext xmlns:c16="http://schemas.microsoft.com/office/drawing/2014/chart" uri="{C3380CC4-5D6E-409C-BE32-E72D297353CC}">
              <c16:uniqueId val="{00000000-4F38-49AA-B0D7-B8F0F9C293E9}"/>
            </c:ext>
          </c:extLst>
        </c:ser>
        <c:dLbls>
          <c:showLegendKey val="0"/>
          <c:showVal val="0"/>
          <c:showCatName val="0"/>
          <c:showSerName val="0"/>
          <c:showPercent val="0"/>
          <c:showBubbleSize val="0"/>
        </c:dLbls>
        <c:gapWidth val="25"/>
        <c:overlap val="-27"/>
        <c:axId val="1156243824"/>
        <c:axId val="1156242864"/>
      </c:barChart>
      <c:catAx>
        <c:axId val="115624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242864"/>
        <c:crosses val="autoZero"/>
        <c:auto val="1"/>
        <c:lblAlgn val="ctr"/>
        <c:lblOffset val="100"/>
        <c:noMultiLvlLbl val="0"/>
      </c:catAx>
      <c:valAx>
        <c:axId val="1156242864"/>
        <c:scaling>
          <c:orientation val="minMax"/>
        </c:scaling>
        <c:delete val="0"/>
        <c:axPos val="l"/>
        <c:numFmt formatCode="&quot;$&quot;#,##0,&quot;B&quot;_);\(&quot;$&quot;#,##0&quot;B&quot;\);&quot;$&quot;#,##0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6243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Charts!$CI$190</c:f>
              <c:strCache>
                <c:ptCount val="1"/>
                <c:pt idx="0">
                  <c:v>3P transaction fee y/y revenue growth</c:v>
                </c:pt>
              </c:strCache>
            </c:strRef>
          </c:tx>
          <c:spPr>
            <a:ln w="28575" cap="rnd">
              <a:solidFill>
                <a:schemeClr val="accent1"/>
              </a:solidFill>
              <a:round/>
            </a:ln>
            <a:effectLst/>
          </c:spPr>
          <c:marker>
            <c:symbol val="none"/>
          </c:marker>
          <c:cat>
            <c:strRef>
              <c:f>Charts!$CJ$189:$CS$189</c:f>
              <c:strCache>
                <c:ptCount val="10"/>
                <c:pt idx="0">
                  <c:v>2018A</c:v>
                </c:pt>
                <c:pt idx="1">
                  <c:v>2019A</c:v>
                </c:pt>
                <c:pt idx="2">
                  <c:v>2020A</c:v>
                </c:pt>
                <c:pt idx="3">
                  <c:v>2021A</c:v>
                </c:pt>
                <c:pt idx="4">
                  <c:v>2022A</c:v>
                </c:pt>
                <c:pt idx="5">
                  <c:v>2023A</c:v>
                </c:pt>
                <c:pt idx="6">
                  <c:v>2024E</c:v>
                </c:pt>
                <c:pt idx="7">
                  <c:v>2025E</c:v>
                </c:pt>
                <c:pt idx="8">
                  <c:v>2026E</c:v>
                </c:pt>
                <c:pt idx="9">
                  <c:v>2027E</c:v>
                </c:pt>
              </c:strCache>
            </c:strRef>
          </c:cat>
          <c:val>
            <c:numRef>
              <c:f>Charts!$CJ$190:$CS$190</c:f>
              <c:numCache>
                <c:formatCode>0.0%_);\(0.0%\);0.0%_);@_)</c:formatCode>
                <c:ptCount val="10"/>
                <c:pt idx="0">
                  <c:v>0.57582476053902742</c:v>
                </c:pt>
                <c:pt idx="1">
                  <c:v>0.44259888891263732</c:v>
                </c:pt>
                <c:pt idx="2">
                  <c:v>1.0151233209250239</c:v>
                </c:pt>
                <c:pt idx="3">
                  <c:v>0.50241680215491713</c:v>
                </c:pt>
                <c:pt idx="4">
                  <c:v>0.18514821832577444</c:v>
                </c:pt>
                <c:pt idx="5">
                  <c:v>0.21830943678009507</c:v>
                </c:pt>
                <c:pt idx="6">
                  <c:v>0.17841123137196835</c:v>
                </c:pt>
                <c:pt idx="7">
                  <c:v>0.11427303034306258</c:v>
                </c:pt>
                <c:pt idx="8">
                  <c:v>0.10235778063218093</c:v>
                </c:pt>
                <c:pt idx="9">
                  <c:v>0.10262038692623499</c:v>
                </c:pt>
              </c:numCache>
            </c:numRef>
          </c:val>
          <c:smooth val="1"/>
          <c:extLst>
            <c:ext xmlns:c16="http://schemas.microsoft.com/office/drawing/2014/chart" uri="{C3380CC4-5D6E-409C-BE32-E72D297353CC}">
              <c16:uniqueId val="{00000000-FC1A-406A-95E8-12898D3BE143}"/>
            </c:ext>
          </c:extLst>
        </c:ser>
        <c:ser>
          <c:idx val="1"/>
          <c:order val="1"/>
          <c:tx>
            <c:strRef>
              <c:f>Charts!$CI$191</c:f>
              <c:strCache>
                <c:ptCount val="1"/>
                <c:pt idx="0">
                  <c:v>Merchant solutions y/y revenue growth</c:v>
                </c:pt>
              </c:strCache>
            </c:strRef>
          </c:tx>
          <c:spPr>
            <a:ln w="28575" cap="rnd">
              <a:solidFill>
                <a:schemeClr val="accent2"/>
              </a:solidFill>
              <a:round/>
            </a:ln>
            <a:effectLst/>
          </c:spPr>
          <c:marker>
            <c:symbol val="none"/>
          </c:marker>
          <c:cat>
            <c:strRef>
              <c:f>Charts!$CJ$189:$CS$189</c:f>
              <c:strCache>
                <c:ptCount val="10"/>
                <c:pt idx="0">
                  <c:v>2018A</c:v>
                </c:pt>
                <c:pt idx="1">
                  <c:v>2019A</c:v>
                </c:pt>
                <c:pt idx="2">
                  <c:v>2020A</c:v>
                </c:pt>
                <c:pt idx="3">
                  <c:v>2021A</c:v>
                </c:pt>
                <c:pt idx="4">
                  <c:v>2022A</c:v>
                </c:pt>
                <c:pt idx="5">
                  <c:v>2023A</c:v>
                </c:pt>
                <c:pt idx="6">
                  <c:v>2024E</c:v>
                </c:pt>
                <c:pt idx="7">
                  <c:v>2025E</c:v>
                </c:pt>
                <c:pt idx="8">
                  <c:v>2026E</c:v>
                </c:pt>
                <c:pt idx="9">
                  <c:v>2027E</c:v>
                </c:pt>
              </c:strCache>
            </c:strRef>
          </c:cat>
          <c:val>
            <c:numRef>
              <c:f>Charts!$CJ$191:$CS$191</c:f>
              <c:numCache>
                <c:formatCode>0.0%_);\(0.0%\);0.0%_);@_)</c:formatCode>
                <c:ptCount val="10"/>
                <c:pt idx="0">
                  <c:v>0.67431380807271646</c:v>
                </c:pt>
                <c:pt idx="1">
                  <c:v>0.53877214817347974</c:v>
                </c:pt>
                <c:pt idx="2">
                  <c:v>1.1590607009910974</c:v>
                </c:pt>
                <c:pt idx="3">
                  <c:v>0.61798732539760315</c:v>
                </c:pt>
                <c:pt idx="4">
                  <c:v>0.25770831332531174</c:v>
                </c:pt>
                <c:pt idx="5">
                  <c:v>0.27015239153669479</c:v>
                </c:pt>
                <c:pt idx="6">
                  <c:v>0.23106541977790518</c:v>
                </c:pt>
                <c:pt idx="7">
                  <c:v>0.24901441365009602</c:v>
                </c:pt>
                <c:pt idx="8">
                  <c:v>0.21004982146969153</c:v>
                </c:pt>
                <c:pt idx="9">
                  <c:v>0.18944736529342032</c:v>
                </c:pt>
              </c:numCache>
            </c:numRef>
          </c:val>
          <c:smooth val="1"/>
          <c:extLst>
            <c:ext xmlns:c16="http://schemas.microsoft.com/office/drawing/2014/chart" uri="{C3380CC4-5D6E-409C-BE32-E72D297353CC}">
              <c16:uniqueId val="{00000001-FC1A-406A-95E8-12898D3BE143}"/>
            </c:ext>
          </c:extLst>
        </c:ser>
        <c:ser>
          <c:idx val="2"/>
          <c:order val="2"/>
          <c:tx>
            <c:strRef>
              <c:f>Charts!$CI$192</c:f>
              <c:strCache>
                <c:ptCount val="1"/>
                <c:pt idx="0">
                  <c:v>GMV y/y growth</c:v>
                </c:pt>
              </c:strCache>
            </c:strRef>
          </c:tx>
          <c:spPr>
            <a:ln w="28575" cap="rnd">
              <a:solidFill>
                <a:schemeClr val="accent3"/>
              </a:solidFill>
              <a:round/>
            </a:ln>
            <a:effectLst/>
          </c:spPr>
          <c:marker>
            <c:symbol val="none"/>
          </c:marker>
          <c:cat>
            <c:strRef>
              <c:f>Charts!$CJ$189:$CS$189</c:f>
              <c:strCache>
                <c:ptCount val="10"/>
                <c:pt idx="0">
                  <c:v>2018A</c:v>
                </c:pt>
                <c:pt idx="1">
                  <c:v>2019A</c:v>
                </c:pt>
                <c:pt idx="2">
                  <c:v>2020A</c:v>
                </c:pt>
                <c:pt idx="3">
                  <c:v>2021A</c:v>
                </c:pt>
                <c:pt idx="4">
                  <c:v>2022A</c:v>
                </c:pt>
                <c:pt idx="5">
                  <c:v>2023A</c:v>
                </c:pt>
                <c:pt idx="6">
                  <c:v>2024E</c:v>
                </c:pt>
                <c:pt idx="7">
                  <c:v>2025E</c:v>
                </c:pt>
                <c:pt idx="8">
                  <c:v>2026E</c:v>
                </c:pt>
                <c:pt idx="9">
                  <c:v>2027E</c:v>
                </c:pt>
              </c:strCache>
            </c:strRef>
          </c:cat>
          <c:val>
            <c:numRef>
              <c:f>Charts!$CJ$192:$CS$192</c:f>
              <c:numCache>
                <c:formatCode>0.0%_);\(0.0%\);0.0%_);@_)</c:formatCode>
                <c:ptCount val="10"/>
                <c:pt idx="0">
                  <c:v>0.56166427622942861</c:v>
                </c:pt>
                <c:pt idx="1">
                  <c:v>0.48743651290927503</c:v>
                </c:pt>
                <c:pt idx="2">
                  <c:v>0.9558417543969091</c:v>
                </c:pt>
                <c:pt idx="3">
                  <c:v>0.4665161228507988</c:v>
                </c:pt>
                <c:pt idx="4">
                  <c:v>0.12481826288589826</c:v>
                </c:pt>
                <c:pt idx="5">
                  <c:v>0.19606993902175129</c:v>
                </c:pt>
                <c:pt idx="6">
                  <c:v>0.23172353502172305</c:v>
                </c:pt>
                <c:pt idx="7">
                  <c:v>0.19499962161404616</c:v>
                </c:pt>
                <c:pt idx="8">
                  <c:v>0.17449999999999988</c:v>
                </c:pt>
                <c:pt idx="9">
                  <c:v>0.16500000000000026</c:v>
                </c:pt>
              </c:numCache>
            </c:numRef>
          </c:val>
          <c:smooth val="1"/>
          <c:extLst>
            <c:ext xmlns:c16="http://schemas.microsoft.com/office/drawing/2014/chart" uri="{C3380CC4-5D6E-409C-BE32-E72D297353CC}">
              <c16:uniqueId val="{00000002-FC1A-406A-95E8-12898D3BE143}"/>
            </c:ext>
          </c:extLst>
        </c:ser>
        <c:dLbls>
          <c:showLegendKey val="0"/>
          <c:showVal val="0"/>
          <c:showCatName val="0"/>
          <c:showSerName val="0"/>
          <c:showPercent val="0"/>
          <c:showBubbleSize val="0"/>
        </c:dLbls>
        <c:smooth val="0"/>
        <c:axId val="118577119"/>
        <c:axId val="118574719"/>
      </c:lineChart>
      <c:catAx>
        <c:axId val="118577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574719"/>
        <c:crosses val="autoZero"/>
        <c:auto val="1"/>
        <c:lblAlgn val="ctr"/>
        <c:lblOffset val="100"/>
        <c:noMultiLvlLbl val="0"/>
      </c:catAx>
      <c:valAx>
        <c:axId val="118574719"/>
        <c:scaling>
          <c:orientation val="minMax"/>
        </c:scaling>
        <c:delete val="0"/>
        <c:axPos val="l"/>
        <c:numFmt formatCode="0%_);\(0%\);0%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577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Charts!$CG$198</c:f>
              <c:strCache>
                <c:ptCount val="1"/>
                <c:pt idx="0">
                  <c:v>Number of App Store partners</c:v>
                </c:pt>
              </c:strCache>
            </c:strRef>
          </c:tx>
          <c:spPr>
            <a:solidFill>
              <a:schemeClr val="accent1"/>
            </a:solidFill>
            <a:ln>
              <a:noFill/>
            </a:ln>
            <a:effectLst/>
          </c:spPr>
          <c:invertIfNegative val="0"/>
          <c:dLbls>
            <c:numFmt formatCode="#,##0_);\(#,##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Charts!$CH$197:$CO$197</c:f>
              <c:strCache>
                <c:ptCount val="8"/>
                <c:pt idx="0">
                  <c:v>2016A</c:v>
                </c:pt>
                <c:pt idx="1">
                  <c:v>2017A</c:v>
                </c:pt>
                <c:pt idx="2">
                  <c:v>2018A</c:v>
                </c:pt>
                <c:pt idx="3">
                  <c:v>2019A</c:v>
                </c:pt>
                <c:pt idx="4">
                  <c:v>2020A</c:v>
                </c:pt>
                <c:pt idx="5">
                  <c:v>2021A</c:v>
                </c:pt>
                <c:pt idx="6">
                  <c:v>2022A</c:v>
                </c:pt>
                <c:pt idx="7">
                  <c:v>2023A</c:v>
                </c:pt>
              </c:strCache>
            </c:strRef>
          </c:cat>
          <c:val>
            <c:numRef>
              <c:f>Charts!$CH$198:$CO$198</c:f>
              <c:numCache>
                <c:formatCode>General</c:formatCode>
                <c:ptCount val="8"/>
                <c:pt idx="0">
                  <c:v>1400</c:v>
                </c:pt>
                <c:pt idx="1">
                  <c:v>2300</c:v>
                </c:pt>
                <c:pt idx="2">
                  <c:v>2500</c:v>
                </c:pt>
                <c:pt idx="3">
                  <c:v>3700</c:v>
                </c:pt>
                <c:pt idx="4">
                  <c:v>6000</c:v>
                </c:pt>
                <c:pt idx="5">
                  <c:v>8000</c:v>
                </c:pt>
                <c:pt idx="6">
                  <c:v>10000</c:v>
                </c:pt>
                <c:pt idx="7">
                  <c:v>13000</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Charts!$CG$199</c:f>
              <c:strCache>
                <c:ptCount val="1"/>
                <c:pt idx="0">
                  <c:v>y/y % growth</c:v>
                </c:pt>
              </c:strCache>
            </c:strRef>
          </c:tx>
          <c:spPr>
            <a:ln w="28575" cap="rnd">
              <a:solidFill>
                <a:schemeClr val="accent3"/>
              </a:solidFill>
              <a:round/>
            </a:ln>
            <a:effectLst/>
          </c:spPr>
          <c:marker>
            <c:symbol val="none"/>
          </c:marker>
          <c:dLbls>
            <c:dLbl>
              <c:idx val="2"/>
              <c:layout>
                <c:manualLayout>
                  <c:x val="-4.9884703939920651E-2"/>
                  <c:y val="3.2143120099151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78-499F-B8BE-7E015DA021B7}"/>
                </c:ext>
              </c:extLst>
            </c:dLbl>
            <c:dLbl>
              <c:idx val="5"/>
              <c:layout>
                <c:manualLayout>
                  <c:x val="-6.2409435118970902E-2"/>
                  <c:y val="6.13641383711084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78-499F-B8BE-7E015DA021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Charts!$CH$197:$CO$197</c:f>
              <c:strCache>
                <c:ptCount val="8"/>
                <c:pt idx="0">
                  <c:v>2016A</c:v>
                </c:pt>
                <c:pt idx="1">
                  <c:v>2017A</c:v>
                </c:pt>
                <c:pt idx="2">
                  <c:v>2018A</c:v>
                </c:pt>
                <c:pt idx="3">
                  <c:v>2019A</c:v>
                </c:pt>
                <c:pt idx="4">
                  <c:v>2020A</c:v>
                </c:pt>
                <c:pt idx="5">
                  <c:v>2021A</c:v>
                </c:pt>
                <c:pt idx="6">
                  <c:v>2022A</c:v>
                </c:pt>
                <c:pt idx="7">
                  <c:v>2023A</c:v>
                </c:pt>
              </c:strCache>
            </c:strRef>
          </c:cat>
          <c:val>
            <c:numRef>
              <c:f>Charts!$CH$199:$CO$199</c:f>
              <c:numCache>
                <c:formatCode>0.0%_);\(0.0%\);0.0%_);@_)</c:formatCode>
                <c:ptCount val="8"/>
                <c:pt idx="1">
                  <c:v>0.64285714285714279</c:v>
                </c:pt>
                <c:pt idx="2">
                  <c:v>8.6956521739130377E-2</c:v>
                </c:pt>
                <c:pt idx="3">
                  <c:v>0.48</c:v>
                </c:pt>
                <c:pt idx="4">
                  <c:v>0.62162162162162171</c:v>
                </c:pt>
                <c:pt idx="5">
                  <c:v>0.33333333333333326</c:v>
                </c:pt>
                <c:pt idx="6">
                  <c:v>0.25</c:v>
                </c:pt>
                <c:pt idx="7">
                  <c:v>0.30000000000000004</c:v>
                </c:pt>
              </c:numCache>
            </c:numRef>
          </c:val>
          <c:smooth val="1"/>
          <c:extLst>
            <c:ext xmlns:c16="http://schemas.microsoft.com/office/drawing/2014/chart" uri="{C3380CC4-5D6E-409C-BE32-E72D297353CC}">
              <c16:uniqueId val="{00000003-F9F6-497E-8419-F2E4DEF1C3E6}"/>
            </c:ext>
          </c:extLst>
        </c:ser>
        <c:dLbls>
          <c:showLegendKey val="0"/>
          <c:showVal val="0"/>
          <c:showCatName val="0"/>
          <c:showSerName val="0"/>
          <c:showPercent val="0"/>
          <c:showBubbleSize val="0"/>
        </c:dLbls>
        <c:marker val="1"/>
        <c:smooth val="0"/>
        <c:axId val="1667702735"/>
        <c:axId val="1667702255"/>
      </c:lineChart>
      <c:catAx>
        <c:axId val="96555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scaling>
        <c:delete val="0"/>
        <c:axPos val="l"/>
        <c:numFmt formatCode="#,##0_);\(#,##0\)"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667702255"/>
        <c:scaling>
          <c:orientation val="minMax"/>
        </c:scaling>
        <c:delete val="0"/>
        <c:axPos val="r"/>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7702735"/>
        <c:crosses val="max"/>
        <c:crossBetween val="between"/>
      </c:valAx>
      <c:catAx>
        <c:axId val="1667702735"/>
        <c:scaling>
          <c:orientation val="minMax"/>
        </c:scaling>
        <c:delete val="1"/>
        <c:axPos val="b"/>
        <c:numFmt formatCode="General" sourceLinked="1"/>
        <c:majorTickMark val="out"/>
        <c:minorTickMark val="none"/>
        <c:tickLblPos val="nextTo"/>
        <c:crossAx val="166770225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529231928465634E-2"/>
          <c:y val="5.3571887375556571E-2"/>
          <c:w val="0.91297454681826606"/>
          <c:h val="0.85052484727026878"/>
        </c:manualLayout>
      </c:layout>
      <c:barChart>
        <c:barDir val="col"/>
        <c:grouping val="clustered"/>
        <c:varyColors val="0"/>
        <c:ser>
          <c:idx val="0"/>
          <c:order val="0"/>
          <c:tx>
            <c:strRef>
              <c:f>Charts!$CM$204</c:f>
              <c:strCache>
                <c:ptCount val="1"/>
                <c:pt idx="0">
                  <c:v>Shop Pay GMV</c:v>
                </c:pt>
              </c:strCache>
            </c:strRef>
          </c:tx>
          <c:spPr>
            <a:solidFill>
              <a:srgbClr val="F19375">
                <a:lumMod val="20000"/>
                <a:lumOff val="80000"/>
              </a:srgbClr>
            </a:solidFill>
            <a:ln>
              <a:noFill/>
            </a:ln>
            <a:effectLst/>
          </c:spPr>
          <c:invertIfNegative val="0"/>
          <c:dLbls>
            <c:numFmt formatCode="&quot;$&quot;#,##0.0,&quot;B&quot;;\(&quot;$&quot;#,##0.0,&quot;B&quot;\);&quot;$&quot;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Charts!$CN$203:$CS$203</c:f>
              <c:strCache>
                <c:ptCount val="6"/>
                <c:pt idx="0">
                  <c:v>2022A</c:v>
                </c:pt>
                <c:pt idx="1">
                  <c:v>2023A</c:v>
                </c:pt>
                <c:pt idx="2">
                  <c:v>2024E</c:v>
                </c:pt>
                <c:pt idx="3">
                  <c:v>2025E</c:v>
                </c:pt>
                <c:pt idx="4">
                  <c:v>2026E</c:v>
                </c:pt>
                <c:pt idx="5">
                  <c:v>2027E</c:v>
                </c:pt>
              </c:strCache>
            </c:strRef>
          </c:cat>
          <c:val>
            <c:numRef>
              <c:f>Charts!$CN$204:$CS$204</c:f>
              <c:numCache>
                <c:formatCode>"$"#,##0_);\("$"#,##0\);"$"#,##0_);@_)</c:formatCode>
                <c:ptCount val="6"/>
                <c:pt idx="0">
                  <c:v>33316.23931623932</c:v>
                </c:pt>
                <c:pt idx="1">
                  <c:v>49974.358974358976</c:v>
                </c:pt>
                <c:pt idx="2">
                  <c:v>71827.822499999995</c:v>
                </c:pt>
                <c:pt idx="3">
                  <c:v>95515.23797026297</c:v>
                </c:pt>
                <c:pt idx="4">
                  <c:v>121155.50248137122</c:v>
                </c:pt>
                <c:pt idx="5">
                  <c:v>149698.9230965559</c:v>
                </c:pt>
              </c:numCache>
            </c:numRef>
          </c:val>
          <c:extLst>
            <c:ext xmlns:c16="http://schemas.microsoft.com/office/drawing/2014/chart" uri="{C3380CC4-5D6E-409C-BE32-E72D297353CC}">
              <c16:uniqueId val="{00000000-95CD-4672-A3EA-DF62D571BBDA}"/>
            </c:ext>
          </c:extLst>
        </c:ser>
        <c:dLbls>
          <c:showLegendKey val="0"/>
          <c:showVal val="0"/>
          <c:showCatName val="0"/>
          <c:showSerName val="0"/>
          <c:showPercent val="0"/>
          <c:showBubbleSize val="0"/>
        </c:dLbls>
        <c:gapWidth val="20"/>
        <c:axId val="965551856"/>
        <c:axId val="965550416"/>
      </c:barChart>
      <c:lineChart>
        <c:grouping val="standard"/>
        <c:varyColors val="0"/>
        <c:ser>
          <c:idx val="1"/>
          <c:order val="1"/>
          <c:tx>
            <c:strRef>
              <c:f>Charts!$CM$205</c:f>
              <c:strCache>
                <c:ptCount val="1"/>
                <c:pt idx="0">
                  <c:v>% Total GMV</c:v>
                </c:pt>
              </c:strCache>
            </c:strRef>
          </c:tx>
          <c:spPr>
            <a:ln w="28575" cap="rnd">
              <a:solidFill>
                <a:srgbClr val="00C99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Charts!$CN$203:$CS$203</c:f>
              <c:strCache>
                <c:ptCount val="6"/>
                <c:pt idx="0">
                  <c:v>2022A</c:v>
                </c:pt>
                <c:pt idx="1">
                  <c:v>2023A</c:v>
                </c:pt>
                <c:pt idx="2">
                  <c:v>2024E</c:v>
                </c:pt>
                <c:pt idx="3">
                  <c:v>2025E</c:v>
                </c:pt>
                <c:pt idx="4">
                  <c:v>2026E</c:v>
                </c:pt>
                <c:pt idx="5">
                  <c:v>2027E</c:v>
                </c:pt>
              </c:strCache>
            </c:strRef>
          </c:cat>
          <c:val>
            <c:numRef>
              <c:f>Charts!$CN$205:$CS$205</c:f>
              <c:numCache>
                <c:formatCode>0.0%_);\(0.0%\);0.0%_);@_)</c:formatCode>
                <c:ptCount val="6"/>
                <c:pt idx="0">
                  <c:v>0.1689034749492781</c:v>
                </c:pt>
                <c:pt idx="1">
                  <c:v>0.21182307502112527</c:v>
                </c:pt>
                <c:pt idx="2">
                  <c:v>0.2471755432292865</c:v>
                </c:pt>
                <c:pt idx="3">
                  <c:v>0.27505382628279756</c:v>
                </c:pt>
                <c:pt idx="4">
                  <c:v>0.29705382628279764</c:v>
                </c:pt>
                <c:pt idx="5">
                  <c:v>0.31505382628279754</c:v>
                </c:pt>
              </c:numCache>
            </c:numRef>
          </c:val>
          <c:smooth val="0"/>
          <c:extLst>
            <c:ext xmlns:c16="http://schemas.microsoft.com/office/drawing/2014/chart" uri="{C3380CC4-5D6E-409C-BE32-E72D297353CC}">
              <c16:uniqueId val="{00000001-95CD-4672-A3EA-DF62D571BBDA}"/>
            </c:ext>
          </c:extLst>
        </c:ser>
        <c:dLbls>
          <c:showLegendKey val="0"/>
          <c:showVal val="0"/>
          <c:showCatName val="0"/>
          <c:showSerName val="0"/>
          <c:showPercent val="0"/>
          <c:showBubbleSize val="0"/>
        </c:dLbls>
        <c:marker val="1"/>
        <c:smooth val="0"/>
        <c:axId val="1316696208"/>
        <c:axId val="1316699568"/>
      </c:lineChart>
      <c:catAx>
        <c:axId val="96555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0416"/>
        <c:crosses val="autoZero"/>
        <c:auto val="1"/>
        <c:lblAlgn val="ctr"/>
        <c:lblOffset val="100"/>
        <c:noMultiLvlLbl val="0"/>
      </c:catAx>
      <c:valAx>
        <c:axId val="965550416"/>
        <c:scaling>
          <c:orientation val="minMax"/>
          <c:max val="200000"/>
        </c:scaling>
        <c:delete val="0"/>
        <c:axPos val="l"/>
        <c:numFmt formatCode="&quot;$&quot;0,&quot;B&quot;;\(&quot;$&quot;0,&quot;B&quot;\);&quot;-&quot;"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5551856"/>
        <c:crosses val="autoZero"/>
        <c:crossBetween val="between"/>
      </c:valAx>
      <c:valAx>
        <c:axId val="1316699568"/>
        <c:scaling>
          <c:orientation val="minMax"/>
        </c:scaling>
        <c:delete val="0"/>
        <c:axPos val="r"/>
        <c:numFmt formatCode="0.0%_);\(0.0%\);0.0%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696208"/>
        <c:crosses val="max"/>
        <c:crossBetween val="between"/>
      </c:valAx>
      <c:catAx>
        <c:axId val="1316696208"/>
        <c:scaling>
          <c:orientation val="minMax"/>
        </c:scaling>
        <c:delete val="1"/>
        <c:axPos val="b"/>
        <c:numFmt formatCode="General" sourceLinked="1"/>
        <c:majorTickMark val="none"/>
        <c:minorTickMark val="none"/>
        <c:tickLblPos val="nextTo"/>
        <c:crossAx val="1316699568"/>
        <c:crosses val="autoZero"/>
        <c:auto val="1"/>
        <c:lblAlgn val="ctr"/>
        <c:lblOffset val="100"/>
        <c:noMultiLvlLbl val="0"/>
      </c:catAx>
      <c:spPr>
        <a:noFill/>
        <a:ln>
          <a:noFill/>
        </a:ln>
        <a:effectLst/>
      </c:spPr>
    </c:plotArea>
    <c:legend>
      <c:legendPos val="b"/>
      <c:layout>
        <c:manualLayout>
          <c:xMode val="edge"/>
          <c:yMode val="edge"/>
          <c:x val="0.11513490462833827"/>
          <c:y val="2.2595678738940028E-2"/>
          <c:w val="0.52281116981288589"/>
          <c:h val="8.12927506153864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964566327176971E-2"/>
          <c:y val="5.0925925925925923E-2"/>
          <c:w val="0.92347983200545902"/>
          <c:h val="0.83853638086905802"/>
        </c:manualLayout>
      </c:layout>
      <c:lineChart>
        <c:grouping val="standard"/>
        <c:varyColors val="0"/>
        <c:ser>
          <c:idx val="0"/>
          <c:order val="0"/>
          <c:tx>
            <c:strRef>
              <c:f>TAM!$B$57</c:f>
              <c:strCache>
                <c:ptCount val="1"/>
                <c:pt idx="0">
                  <c:v>North America eCommerce % y/y Growth</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TAM!$C$56:$N$56</c15:sqref>
                  </c15:fullRef>
                </c:ext>
              </c:extLst>
              <c:f>TAM!$E$56:$N$56</c:f>
              <c:strCache>
                <c:ptCount val="10"/>
                <c:pt idx="0">
                  <c:v>2018A </c:v>
                </c:pt>
                <c:pt idx="1">
                  <c:v>2019A </c:v>
                </c:pt>
                <c:pt idx="2">
                  <c:v>2020A </c:v>
                </c:pt>
                <c:pt idx="3">
                  <c:v>2021A </c:v>
                </c:pt>
                <c:pt idx="4">
                  <c:v>2022A </c:v>
                </c:pt>
                <c:pt idx="5">
                  <c:v>2023A </c:v>
                </c:pt>
                <c:pt idx="6">
                  <c:v>2024E </c:v>
                </c:pt>
                <c:pt idx="7">
                  <c:v>2025E </c:v>
                </c:pt>
                <c:pt idx="8">
                  <c:v>2026E </c:v>
                </c:pt>
                <c:pt idx="9">
                  <c:v>2027E </c:v>
                </c:pt>
              </c:strCache>
            </c:strRef>
          </c:cat>
          <c:val>
            <c:numRef>
              <c:extLst>
                <c:ext xmlns:c15="http://schemas.microsoft.com/office/drawing/2012/chart" uri="{02D57815-91ED-43cb-92C2-25804820EDAC}">
                  <c15:fullRef>
                    <c15:sqref>TAM!$C$57:$N$57</c15:sqref>
                  </c15:fullRef>
                </c:ext>
              </c:extLst>
              <c:f>TAM!$E$57:$N$57</c:f>
              <c:numCache>
                <c:formatCode>0.0%</c:formatCode>
                <c:ptCount val="10"/>
                <c:pt idx="0">
                  <c:v>0.14279076810216629</c:v>
                </c:pt>
                <c:pt idx="1">
                  <c:v>0.14563181706227679</c:v>
                </c:pt>
                <c:pt idx="2">
                  <c:v>0.33131965030648947</c:v>
                </c:pt>
                <c:pt idx="3">
                  <c:v>0.25581134945125594</c:v>
                </c:pt>
                <c:pt idx="4">
                  <c:v>8.3547802686054551E-2</c:v>
                </c:pt>
                <c:pt idx="5">
                  <c:v>7.6782134257948664E-2</c:v>
                </c:pt>
                <c:pt idx="6">
                  <c:v>8.0569526284037352E-2</c:v>
                </c:pt>
                <c:pt idx="7">
                  <c:v>7.5192377342334193E-2</c:v>
                </c:pt>
                <c:pt idx="8">
                  <c:v>6.967633735491674E-2</c:v>
                </c:pt>
                <c:pt idx="9">
                  <c:v>6.961643378074589E-2</c:v>
                </c:pt>
              </c:numCache>
            </c:numRef>
          </c:val>
          <c:smooth val="1"/>
          <c:extLst>
            <c:ext xmlns:c16="http://schemas.microsoft.com/office/drawing/2014/chart" uri="{C3380CC4-5D6E-409C-BE32-E72D297353CC}">
              <c16:uniqueId val="{00000000-09E7-47CF-94C8-CAFECD3E74B2}"/>
            </c:ext>
          </c:extLst>
        </c:ser>
        <c:ser>
          <c:idx val="1"/>
          <c:order val="1"/>
          <c:tx>
            <c:strRef>
              <c:f>TAM!$B$58</c:f>
              <c:strCache>
                <c:ptCount val="1"/>
                <c:pt idx="0">
                  <c:v>SHOP North America GMV % y/y Growth</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TAM!$C$56:$N$56</c15:sqref>
                  </c15:fullRef>
                </c:ext>
              </c:extLst>
              <c:f>TAM!$E$56:$N$56</c:f>
              <c:strCache>
                <c:ptCount val="10"/>
                <c:pt idx="0">
                  <c:v>2018A </c:v>
                </c:pt>
                <c:pt idx="1">
                  <c:v>2019A </c:v>
                </c:pt>
                <c:pt idx="2">
                  <c:v>2020A </c:v>
                </c:pt>
                <c:pt idx="3">
                  <c:v>2021A </c:v>
                </c:pt>
                <c:pt idx="4">
                  <c:v>2022A </c:v>
                </c:pt>
                <c:pt idx="5">
                  <c:v>2023A </c:v>
                </c:pt>
                <c:pt idx="6">
                  <c:v>2024E </c:v>
                </c:pt>
                <c:pt idx="7">
                  <c:v>2025E </c:v>
                </c:pt>
                <c:pt idx="8">
                  <c:v>2026E </c:v>
                </c:pt>
                <c:pt idx="9">
                  <c:v>2027E </c:v>
                </c:pt>
              </c:strCache>
            </c:strRef>
          </c:cat>
          <c:val>
            <c:numRef>
              <c:extLst>
                <c:ext xmlns:c15="http://schemas.microsoft.com/office/drawing/2012/chart" uri="{02D57815-91ED-43cb-92C2-25804820EDAC}">
                  <c15:fullRef>
                    <c15:sqref>TAM!$C$58:$N$58</c15:sqref>
                  </c15:fullRef>
                </c:ext>
              </c:extLst>
              <c:f>TAM!$E$58:$N$58</c:f>
              <c:numCache>
                <c:formatCode>0.0%_);\(0.0%\);0.0%_);@_)</c:formatCode>
                <c:ptCount val="10"/>
                <c:pt idx="0">
                  <c:v>0.53295245030483462</c:v>
                </c:pt>
                <c:pt idx="1">
                  <c:v>0.46628018453244957</c:v>
                </c:pt>
                <c:pt idx="2">
                  <c:v>0.91393085965983256</c:v>
                </c:pt>
                <c:pt idx="3">
                  <c:v>0.43440263110954014</c:v>
                </c:pt>
                <c:pt idx="4">
                  <c:v>9.9635764463079646E-2</c:v>
                </c:pt>
                <c:pt idx="5">
                  <c:v>0.16867902438766547</c:v>
                </c:pt>
                <c:pt idx="6">
                  <c:v>0.19804359461097287</c:v>
                </c:pt>
                <c:pt idx="7">
                  <c:v>0.16140525474136225</c:v>
                </c:pt>
                <c:pt idx="8">
                  <c:v>0.14052685950413224</c:v>
                </c:pt>
                <c:pt idx="9">
                  <c:v>0.13029787234042578</c:v>
                </c:pt>
              </c:numCache>
            </c:numRef>
          </c:val>
          <c:smooth val="1"/>
          <c:extLst>
            <c:ext xmlns:c16="http://schemas.microsoft.com/office/drawing/2014/chart" uri="{C3380CC4-5D6E-409C-BE32-E72D297353CC}">
              <c16:uniqueId val="{00000001-09E7-47CF-94C8-CAFECD3E74B2}"/>
            </c:ext>
          </c:extLst>
        </c:ser>
        <c:dLbls>
          <c:showLegendKey val="0"/>
          <c:showVal val="0"/>
          <c:showCatName val="0"/>
          <c:showSerName val="0"/>
          <c:showPercent val="0"/>
          <c:showBubbleSize val="0"/>
        </c:dLbls>
        <c:smooth val="0"/>
        <c:axId val="1876331488"/>
        <c:axId val="1876330048"/>
      </c:lineChart>
      <c:catAx>
        <c:axId val="187633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6330048"/>
        <c:crosses val="autoZero"/>
        <c:auto val="1"/>
        <c:lblAlgn val="ctr"/>
        <c:lblOffset val="100"/>
        <c:noMultiLvlLbl val="0"/>
      </c:catAx>
      <c:valAx>
        <c:axId val="1876330048"/>
        <c:scaling>
          <c:orientation val="minMax"/>
        </c:scaling>
        <c:delete val="0"/>
        <c:axPos val="l"/>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6331488"/>
        <c:crosses val="autoZero"/>
        <c:crossBetween val="between"/>
      </c:valAx>
      <c:spPr>
        <a:noFill/>
        <a:ln>
          <a:noFill/>
        </a:ln>
        <a:effectLst/>
      </c:spPr>
    </c:plotArea>
    <c:legend>
      <c:legendPos val="b"/>
      <c:layout>
        <c:manualLayout>
          <c:xMode val="edge"/>
          <c:yMode val="edge"/>
          <c:x val="0.5805555555555556"/>
          <c:y val="2.9203849518810148E-2"/>
          <c:w val="0.40833333333333327"/>
          <c:h val="0.307379687301973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847331583552057E-2"/>
          <c:y val="5.0925925925925923E-2"/>
          <c:w val="0.87859711286089237"/>
          <c:h val="0.8657407407407407"/>
        </c:manualLayout>
      </c:layout>
      <c:barChart>
        <c:barDir val="col"/>
        <c:grouping val="stacked"/>
        <c:varyColors val="0"/>
        <c:ser>
          <c:idx val="0"/>
          <c:order val="0"/>
          <c:tx>
            <c:strRef>
              <c:f>Charts!$CN$209</c:f>
              <c:strCache>
                <c:ptCount val="1"/>
                <c:pt idx="0">
                  <c:v>Standard revenue</c:v>
                </c:pt>
              </c:strCache>
            </c:strRef>
          </c:tx>
          <c:spPr>
            <a:solidFill>
              <a:schemeClr val="accent1"/>
            </a:solidFill>
            <a:ln>
              <a:noFill/>
            </a:ln>
            <a:effectLst/>
          </c:spPr>
          <c:invertIfNegative val="0"/>
          <c:dLbls>
            <c:numFmt formatCode="&quot;$&quot;#,##0.0,&quot;B&quot;_);\(&quot;$&quot;#,##0.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Charts!$CO$208:$CS$208</c:f>
              <c:strCache>
                <c:ptCount val="5"/>
                <c:pt idx="0">
                  <c:v>2023A</c:v>
                </c:pt>
                <c:pt idx="1">
                  <c:v>2024E</c:v>
                </c:pt>
                <c:pt idx="2">
                  <c:v>2025E</c:v>
                </c:pt>
                <c:pt idx="3">
                  <c:v>2026E</c:v>
                </c:pt>
                <c:pt idx="4">
                  <c:v>2027E</c:v>
                </c:pt>
              </c:strCache>
            </c:strRef>
          </c:cat>
          <c:val>
            <c:numRef>
              <c:f>Charts!$CO$209:$CS$209</c:f>
              <c:numCache>
                <c:formatCode>#,##0.0_);\(#,##0.0\);#,##0.0_);@_)</c:formatCode>
                <c:ptCount val="5"/>
                <c:pt idx="0">
                  <c:v>1072.94</c:v>
                </c:pt>
                <c:pt idx="1">
                  <c:v>1367.9866209416505</c:v>
                </c:pt>
                <c:pt idx="2">
                  <c:v>1577.3459239075469</c:v>
                </c:pt>
                <c:pt idx="3">
                  <c:v>1786.477438334261</c:v>
                </c:pt>
                <c:pt idx="4">
                  <c:v>2002.976210789358</c:v>
                </c:pt>
              </c:numCache>
            </c:numRef>
          </c:val>
          <c:extLst>
            <c:ext xmlns:c16="http://schemas.microsoft.com/office/drawing/2014/chart" uri="{C3380CC4-5D6E-409C-BE32-E72D297353CC}">
              <c16:uniqueId val="{00000000-091B-47C1-AC4A-5E9DCD2E8A69}"/>
            </c:ext>
          </c:extLst>
        </c:ser>
        <c:ser>
          <c:idx val="1"/>
          <c:order val="1"/>
          <c:tx>
            <c:strRef>
              <c:f>Charts!$CN$210</c:f>
              <c:strCache>
                <c:ptCount val="1"/>
                <c:pt idx="0">
                  <c:v>Plus revenue</c:v>
                </c:pt>
              </c:strCache>
            </c:strRef>
          </c:tx>
          <c:spPr>
            <a:solidFill>
              <a:schemeClr val="accent2"/>
            </a:solidFill>
            <a:ln>
              <a:noFill/>
            </a:ln>
            <a:effectLst/>
          </c:spPr>
          <c:invertIfNegative val="0"/>
          <c:dLbls>
            <c:numFmt formatCode="&quot;$&quot;#,##0.0,&quot;B&quot;_);\(&quot;$&quot;#,##0.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Charts!$CO$208:$CS$208</c:f>
              <c:strCache>
                <c:ptCount val="5"/>
                <c:pt idx="0">
                  <c:v>2023A</c:v>
                </c:pt>
                <c:pt idx="1">
                  <c:v>2024E</c:v>
                </c:pt>
                <c:pt idx="2">
                  <c:v>2025E</c:v>
                </c:pt>
                <c:pt idx="3">
                  <c:v>2026E</c:v>
                </c:pt>
                <c:pt idx="4">
                  <c:v>2027E</c:v>
                </c:pt>
              </c:strCache>
            </c:strRef>
          </c:cat>
          <c:val>
            <c:numRef>
              <c:f>Charts!$CO$210:$CS$210</c:f>
              <c:numCache>
                <c:formatCode>#,##0.0_);\(#,##0.0\);#,##0.0_);@_)</c:formatCode>
                <c:ptCount val="5"/>
                <c:pt idx="0">
                  <c:v>492.09000000000003</c:v>
                </c:pt>
                <c:pt idx="1">
                  <c:v>618.70494161230476</c:v>
                </c:pt>
                <c:pt idx="2">
                  <c:v>758.39765740592179</c:v>
                </c:pt>
                <c:pt idx="3">
                  <c:v>911.04099955605602</c:v>
                </c:pt>
                <c:pt idx="4">
                  <c:v>1082.6420799846123</c:v>
                </c:pt>
              </c:numCache>
            </c:numRef>
          </c:val>
          <c:extLst>
            <c:ext xmlns:c16="http://schemas.microsoft.com/office/drawing/2014/chart" uri="{C3380CC4-5D6E-409C-BE32-E72D297353CC}">
              <c16:uniqueId val="{00000001-091B-47C1-AC4A-5E9DCD2E8A69}"/>
            </c:ext>
          </c:extLst>
        </c:ser>
        <c:ser>
          <c:idx val="2"/>
          <c:order val="2"/>
          <c:tx>
            <c:strRef>
              <c:f>Charts!$CN$211</c:f>
              <c:strCache>
                <c:ptCount val="1"/>
                <c:pt idx="0">
                  <c:v>Apps, Themes, Domains, and Plus Platform Fees</c:v>
                </c:pt>
              </c:strCache>
            </c:strRef>
          </c:tx>
          <c:spPr>
            <a:solidFill>
              <a:schemeClr val="accent3"/>
            </a:solidFill>
            <a:ln>
              <a:noFill/>
            </a:ln>
            <a:effectLst/>
          </c:spPr>
          <c:invertIfNegative val="0"/>
          <c:dLbls>
            <c:numFmt formatCode="&quot;$&quot;#,##0.0,&quot;B&quot;_);\(&quot;$&quot;#,##0.0,&quot;B&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Charts!$CO$208:$CS$208</c:f>
              <c:strCache>
                <c:ptCount val="5"/>
                <c:pt idx="0">
                  <c:v>2023A</c:v>
                </c:pt>
                <c:pt idx="1">
                  <c:v>2024E</c:v>
                </c:pt>
                <c:pt idx="2">
                  <c:v>2025E</c:v>
                </c:pt>
                <c:pt idx="3">
                  <c:v>2026E</c:v>
                </c:pt>
                <c:pt idx="4">
                  <c:v>2027E</c:v>
                </c:pt>
              </c:strCache>
            </c:strRef>
          </c:cat>
          <c:val>
            <c:numRef>
              <c:f>Charts!$CO$211:$CS$211</c:f>
              <c:numCache>
                <c:formatCode>#,##0.0_);\(#,##0.0\);#,##0.0_);@_)</c:formatCode>
                <c:ptCount val="5"/>
                <c:pt idx="0">
                  <c:v>266.72000000000003</c:v>
                </c:pt>
                <c:pt idx="1">
                  <c:v>357.0752806472168</c:v>
                </c:pt>
                <c:pt idx="2">
                  <c:v>430.03172445838868</c:v>
                </c:pt>
                <c:pt idx="3">
                  <c:v>508.02491894712296</c:v>
                </c:pt>
                <c:pt idx="4">
                  <c:v>594.23459110990882</c:v>
                </c:pt>
              </c:numCache>
            </c:numRef>
          </c:val>
          <c:extLst>
            <c:ext xmlns:c16="http://schemas.microsoft.com/office/drawing/2014/chart" uri="{C3380CC4-5D6E-409C-BE32-E72D297353CC}">
              <c16:uniqueId val="{00000002-091B-47C1-AC4A-5E9DCD2E8A69}"/>
            </c:ext>
          </c:extLst>
        </c:ser>
        <c:dLbls>
          <c:showLegendKey val="0"/>
          <c:showVal val="0"/>
          <c:showCatName val="0"/>
          <c:showSerName val="0"/>
          <c:showPercent val="0"/>
          <c:showBubbleSize val="0"/>
        </c:dLbls>
        <c:gapWidth val="50"/>
        <c:overlap val="100"/>
        <c:axId val="389038559"/>
        <c:axId val="81605472"/>
      </c:barChart>
      <c:lineChart>
        <c:grouping val="standard"/>
        <c:varyColors val="0"/>
        <c:ser>
          <c:idx val="3"/>
          <c:order val="3"/>
          <c:tx>
            <c:strRef>
              <c:f>Charts!$CN$212</c:f>
              <c:strCache>
                <c:ptCount val="1"/>
                <c:pt idx="0">
                  <c:v>Subscription solutions revenue</c:v>
                </c:pt>
              </c:strCache>
            </c:strRef>
          </c:tx>
          <c:spPr>
            <a:ln w="28575" cap="rnd">
              <a:noFill/>
              <a:round/>
            </a:ln>
            <a:effectLst/>
          </c:spPr>
          <c:marker>
            <c:symbol val="none"/>
          </c:marker>
          <c:dLbls>
            <c:numFmt formatCode="&quot;$&quot;#,##0.0,&quot;B&quot;_);\(&quot;$&quot;#,##0.0,&quot;B&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Charts!$CO$208:$CS$208</c:f>
              <c:strCache>
                <c:ptCount val="5"/>
                <c:pt idx="0">
                  <c:v>2023A</c:v>
                </c:pt>
                <c:pt idx="1">
                  <c:v>2024E</c:v>
                </c:pt>
                <c:pt idx="2">
                  <c:v>2025E</c:v>
                </c:pt>
                <c:pt idx="3">
                  <c:v>2026E</c:v>
                </c:pt>
                <c:pt idx="4">
                  <c:v>2027E</c:v>
                </c:pt>
              </c:strCache>
            </c:strRef>
          </c:cat>
          <c:val>
            <c:numRef>
              <c:f>Charts!$CO$212:$CS$212</c:f>
              <c:numCache>
                <c:formatCode>#,##0.0_);\(#,##0.0\);#,##0.0_);@_)</c:formatCode>
                <c:ptCount val="5"/>
                <c:pt idx="0">
                  <c:v>1837</c:v>
                </c:pt>
                <c:pt idx="1">
                  <c:v>2341.7345062011718</c:v>
                </c:pt>
                <c:pt idx="2">
                  <c:v>2765.7753057718573</c:v>
                </c:pt>
                <c:pt idx="3">
                  <c:v>3205.5433568374401</c:v>
                </c:pt>
                <c:pt idx="4">
                  <c:v>3679.8528818838795</c:v>
                </c:pt>
              </c:numCache>
            </c:numRef>
          </c:val>
          <c:smooth val="0"/>
          <c:extLst>
            <c:ext xmlns:c16="http://schemas.microsoft.com/office/drawing/2014/chart" uri="{C3380CC4-5D6E-409C-BE32-E72D297353CC}">
              <c16:uniqueId val="{00000003-091B-47C1-AC4A-5E9DCD2E8A69}"/>
            </c:ext>
          </c:extLst>
        </c:ser>
        <c:dLbls>
          <c:showLegendKey val="0"/>
          <c:showVal val="0"/>
          <c:showCatName val="0"/>
          <c:showSerName val="0"/>
          <c:showPercent val="0"/>
          <c:showBubbleSize val="0"/>
        </c:dLbls>
        <c:marker val="1"/>
        <c:smooth val="0"/>
        <c:axId val="389038559"/>
        <c:axId val="81605472"/>
      </c:lineChart>
      <c:catAx>
        <c:axId val="3890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5472"/>
        <c:crosses val="autoZero"/>
        <c:auto val="1"/>
        <c:lblAlgn val="ctr"/>
        <c:lblOffset val="100"/>
        <c:noMultiLvlLbl val="0"/>
      </c:catAx>
      <c:valAx>
        <c:axId val="81605472"/>
        <c:scaling>
          <c:orientation val="minMax"/>
        </c:scaling>
        <c:delete val="0"/>
        <c:axPos val="l"/>
        <c:numFmt formatCode="&quot;$&quot;#,##0,&quot;B&quot;_);\(&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38559"/>
        <c:crosses val="autoZero"/>
        <c:crossBetween val="between"/>
        <c:majorUnit val="1000"/>
        <c:minorUnit val="1000"/>
      </c:valAx>
      <c:spPr>
        <a:noFill/>
        <a:ln>
          <a:noFill/>
        </a:ln>
        <a:effectLst/>
      </c:spPr>
    </c:plotArea>
    <c:legend>
      <c:legendPos val="b"/>
      <c:legendEntry>
        <c:idx val="3"/>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3.4951938846378323E-2"/>
          <c:y val="2.3731576677313258E-2"/>
          <c:w val="0.6214621593973243"/>
          <c:h val="0.30216608340624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Charts!$CN$215</c:f>
              <c:strCache>
                <c:ptCount val="1"/>
                <c:pt idx="0">
                  <c:v>Standard revenue</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Charts!$CO$214:$CS$214</c:f>
              <c:strCache>
                <c:ptCount val="5"/>
                <c:pt idx="0">
                  <c:v>2023A</c:v>
                </c:pt>
                <c:pt idx="1">
                  <c:v>2024E</c:v>
                </c:pt>
                <c:pt idx="2">
                  <c:v>2025E</c:v>
                </c:pt>
                <c:pt idx="3">
                  <c:v>2026E</c:v>
                </c:pt>
                <c:pt idx="4">
                  <c:v>2027E</c:v>
                </c:pt>
              </c:strCache>
            </c:strRef>
          </c:cat>
          <c:val>
            <c:numRef>
              <c:f>Charts!$CO$215:$CS$215</c:f>
              <c:numCache>
                <c:formatCode>0.0%_);\(0.0%\);0.0%_);@_)</c:formatCode>
                <c:ptCount val="5"/>
                <c:pt idx="0">
                  <c:v>0.5840718562874252</c:v>
                </c:pt>
                <c:pt idx="1">
                  <c:v>0.58417665081975378</c:v>
                </c:pt>
                <c:pt idx="2">
                  <c:v>0.57030877404097358</c:v>
                </c:pt>
                <c:pt idx="3">
                  <c:v>0.55730877404097368</c:v>
                </c:pt>
                <c:pt idx="4">
                  <c:v>0.54430877404097355</c:v>
                </c:pt>
              </c:numCache>
            </c:numRef>
          </c:val>
          <c:extLst>
            <c:ext xmlns:c16="http://schemas.microsoft.com/office/drawing/2014/chart" uri="{C3380CC4-5D6E-409C-BE32-E72D297353CC}">
              <c16:uniqueId val="{00000000-36F0-49A1-B80D-8E02A5B6869A}"/>
            </c:ext>
          </c:extLst>
        </c:ser>
        <c:ser>
          <c:idx val="1"/>
          <c:order val="1"/>
          <c:tx>
            <c:strRef>
              <c:f>Charts!$CN$216</c:f>
              <c:strCache>
                <c:ptCount val="1"/>
                <c:pt idx="0">
                  <c:v>Plus revenue</c:v>
                </c:pt>
              </c:strCache>
            </c:strRef>
          </c:tx>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Charts!$CO$214:$CS$214</c:f>
              <c:strCache>
                <c:ptCount val="5"/>
                <c:pt idx="0">
                  <c:v>2023A</c:v>
                </c:pt>
                <c:pt idx="1">
                  <c:v>2024E</c:v>
                </c:pt>
                <c:pt idx="2">
                  <c:v>2025E</c:v>
                </c:pt>
                <c:pt idx="3">
                  <c:v>2026E</c:v>
                </c:pt>
                <c:pt idx="4">
                  <c:v>2027E</c:v>
                </c:pt>
              </c:strCache>
            </c:strRef>
          </c:cat>
          <c:val>
            <c:numRef>
              <c:f>Charts!$CO$216:$CS$216</c:f>
              <c:numCache>
                <c:formatCode>0.0%_);\(0.0%\);0.0%_);@_)</c:formatCode>
                <c:ptCount val="5"/>
                <c:pt idx="0">
                  <c:v>0.26787697332607513</c:v>
                </c:pt>
                <c:pt idx="1">
                  <c:v>0.26420797915985167</c:v>
                </c:pt>
                <c:pt idx="2">
                  <c:v>0.27420797915985168</c:v>
                </c:pt>
                <c:pt idx="3">
                  <c:v>0.28420797915985163</c:v>
                </c:pt>
                <c:pt idx="4">
                  <c:v>0.29420797915985164</c:v>
                </c:pt>
              </c:numCache>
            </c:numRef>
          </c:val>
          <c:extLst>
            <c:ext xmlns:c16="http://schemas.microsoft.com/office/drawing/2014/chart" uri="{C3380CC4-5D6E-409C-BE32-E72D297353CC}">
              <c16:uniqueId val="{00000001-36F0-49A1-B80D-8E02A5B6869A}"/>
            </c:ext>
          </c:extLst>
        </c:ser>
        <c:ser>
          <c:idx val="2"/>
          <c:order val="2"/>
          <c:tx>
            <c:strRef>
              <c:f>Charts!$CN$217</c:f>
              <c:strCache>
                <c:ptCount val="1"/>
                <c:pt idx="0">
                  <c:v>Apps, Themes, Domains, and Plus Platform Fees</c:v>
                </c:pt>
              </c:strCache>
            </c:strRef>
          </c:tx>
          <c:spPr>
            <a:solidFill>
              <a:schemeClr val="accent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Charts!$CO$214:$CS$214</c:f>
              <c:strCache>
                <c:ptCount val="5"/>
                <c:pt idx="0">
                  <c:v>2023A</c:v>
                </c:pt>
                <c:pt idx="1">
                  <c:v>2024E</c:v>
                </c:pt>
                <c:pt idx="2">
                  <c:v>2025E</c:v>
                </c:pt>
                <c:pt idx="3">
                  <c:v>2026E</c:v>
                </c:pt>
                <c:pt idx="4">
                  <c:v>2027E</c:v>
                </c:pt>
              </c:strCache>
            </c:strRef>
          </c:cat>
          <c:val>
            <c:numRef>
              <c:f>Charts!$CO$217:$CS$217</c:f>
              <c:numCache>
                <c:formatCode>0.0%_);\(0.0%\);0.0%_);@_)</c:formatCode>
                <c:ptCount val="5"/>
                <c:pt idx="0">
                  <c:v>0.14519324986390855</c:v>
                </c:pt>
                <c:pt idx="1">
                  <c:v>0.15248324679917472</c:v>
                </c:pt>
                <c:pt idx="2">
                  <c:v>0.15548324679917475</c:v>
                </c:pt>
                <c:pt idx="3">
                  <c:v>0.15848324679917469</c:v>
                </c:pt>
                <c:pt idx="4">
                  <c:v>0.16148324679917472</c:v>
                </c:pt>
              </c:numCache>
            </c:numRef>
          </c:val>
          <c:extLst>
            <c:ext xmlns:c16="http://schemas.microsoft.com/office/drawing/2014/chart" uri="{C3380CC4-5D6E-409C-BE32-E72D297353CC}">
              <c16:uniqueId val="{00000002-36F0-49A1-B80D-8E02A5B6869A}"/>
            </c:ext>
          </c:extLst>
        </c:ser>
        <c:dLbls>
          <c:showLegendKey val="0"/>
          <c:showVal val="0"/>
          <c:showCatName val="0"/>
          <c:showSerName val="0"/>
          <c:showPercent val="0"/>
          <c:showBubbleSize val="0"/>
        </c:dLbls>
        <c:axId val="176218128"/>
        <c:axId val="176214288"/>
      </c:areaChart>
      <c:catAx>
        <c:axId val="176218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14288"/>
        <c:crosses val="autoZero"/>
        <c:auto val="1"/>
        <c:lblAlgn val="ctr"/>
        <c:lblOffset val="100"/>
        <c:noMultiLvlLbl val="0"/>
      </c:catAx>
      <c:valAx>
        <c:axId val="176214288"/>
        <c:scaling>
          <c:orientation val="minMax"/>
          <c:max val="1.000999999999999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18128"/>
        <c:crosses val="autoZero"/>
        <c:crossBetween val="midCat"/>
      </c:valAx>
      <c:spPr>
        <a:noFill/>
        <a:ln>
          <a:noFill/>
        </a:ln>
        <a:effectLst/>
      </c:spPr>
    </c:plotArea>
    <c:legend>
      <c:legendPos val="b"/>
      <c:layout>
        <c:manualLayout>
          <c:xMode val="edge"/>
          <c:yMode val="edge"/>
          <c:x val="0"/>
          <c:y val="0.85673727569266422"/>
          <c:w val="0.99332053616826121"/>
          <c:h val="0.117761252073429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Charts!$E$224</c:f>
              <c:strCache>
                <c:ptCount val="1"/>
                <c:pt idx="0">
                  <c:v>MRR - Shopify Plus as % </c:v>
                </c:pt>
              </c:strCache>
            </c:strRef>
          </c:tx>
          <c:spPr>
            <a:ln w="28575" cap="rnd">
              <a:solidFill>
                <a:schemeClr val="accent1"/>
              </a:solidFill>
              <a:round/>
            </a:ln>
            <a:effectLst/>
          </c:spPr>
          <c:marker>
            <c:symbol val="none"/>
          </c:marker>
          <c:cat>
            <c:strRef>
              <c:f>Charts!$H$223:$AD$223</c:f>
              <c:strCache>
                <c:ptCount val="23"/>
                <c:pt idx="0">
                  <c:v>1Q19A</c:v>
                </c:pt>
                <c:pt idx="1">
                  <c:v>2Q19A</c:v>
                </c:pt>
                <c:pt idx="2">
                  <c:v>3Q19A</c:v>
                </c:pt>
                <c:pt idx="3">
                  <c:v>4Q19A</c:v>
                </c:pt>
                <c:pt idx="4">
                  <c:v>1Q20A</c:v>
                </c:pt>
                <c:pt idx="5">
                  <c:v>2Q20A</c:v>
                </c:pt>
                <c:pt idx="6">
                  <c:v>3Q20A</c:v>
                </c:pt>
                <c:pt idx="7">
                  <c:v>4Q20A</c:v>
                </c:pt>
                <c:pt idx="8">
                  <c:v>1Q21A</c:v>
                </c:pt>
                <c:pt idx="9">
                  <c:v>2Q21A</c:v>
                </c:pt>
                <c:pt idx="10">
                  <c:v>3Q21A</c:v>
                </c:pt>
                <c:pt idx="11">
                  <c:v>4Q21A</c:v>
                </c:pt>
                <c:pt idx="12">
                  <c:v>1Q22A</c:v>
                </c:pt>
                <c:pt idx="13">
                  <c:v>2Q22A</c:v>
                </c:pt>
                <c:pt idx="14">
                  <c:v>3Q22A</c:v>
                </c:pt>
                <c:pt idx="15">
                  <c:v>4Q22A</c:v>
                </c:pt>
                <c:pt idx="16">
                  <c:v>1Q23A</c:v>
                </c:pt>
                <c:pt idx="17">
                  <c:v>2Q23A</c:v>
                </c:pt>
                <c:pt idx="18">
                  <c:v>3Q23A</c:v>
                </c:pt>
                <c:pt idx="19">
                  <c:v>4Q23A</c:v>
                </c:pt>
                <c:pt idx="20">
                  <c:v>1Q24A</c:v>
                </c:pt>
                <c:pt idx="21">
                  <c:v>2Q24A</c:v>
                </c:pt>
                <c:pt idx="22">
                  <c:v>3Q24A</c:v>
                </c:pt>
              </c:strCache>
            </c:strRef>
          </c:cat>
          <c:val>
            <c:numRef>
              <c:f>Charts!$H$224:$AD$224</c:f>
              <c:numCache>
                <c:formatCode>0.0%_);\(0.0%\);0.0%_);@_)</c:formatCode>
                <c:ptCount val="23"/>
                <c:pt idx="0">
                  <c:v>0.23</c:v>
                </c:pt>
                <c:pt idx="1">
                  <c:v>0.23</c:v>
                </c:pt>
                <c:pt idx="2">
                  <c:v>0.23</c:v>
                </c:pt>
                <c:pt idx="3">
                  <c:v>0.23</c:v>
                </c:pt>
                <c:pt idx="4">
                  <c:v>0.24</c:v>
                </c:pt>
                <c:pt idx="5">
                  <c:v>0.24</c:v>
                </c:pt>
                <c:pt idx="6">
                  <c:v>0.22</c:v>
                </c:pt>
                <c:pt idx="7">
                  <c:v>0.21</c:v>
                </c:pt>
                <c:pt idx="8">
                  <c:v>0.21</c:v>
                </c:pt>
                <c:pt idx="9">
                  <c:v>0.22</c:v>
                </c:pt>
                <c:pt idx="10">
                  <c:v>0.23</c:v>
                </c:pt>
                <c:pt idx="11">
                  <c:v>0.24</c:v>
                </c:pt>
                <c:pt idx="12">
                  <c:v>0.3</c:v>
                </c:pt>
                <c:pt idx="13">
                  <c:v>0.31</c:v>
                </c:pt>
                <c:pt idx="14">
                  <c:v>0.33</c:v>
                </c:pt>
                <c:pt idx="15">
                  <c:v>0.34</c:v>
                </c:pt>
                <c:pt idx="16">
                  <c:v>0.34</c:v>
                </c:pt>
                <c:pt idx="17">
                  <c:v>0.28999999999999998</c:v>
                </c:pt>
                <c:pt idx="18">
                  <c:v>0.31</c:v>
                </c:pt>
                <c:pt idx="19">
                  <c:v>0.31</c:v>
                </c:pt>
                <c:pt idx="20">
                  <c:v>0.32</c:v>
                </c:pt>
                <c:pt idx="21">
                  <c:v>0.31</c:v>
                </c:pt>
                <c:pt idx="22">
                  <c:v>0.31</c:v>
                </c:pt>
              </c:numCache>
            </c:numRef>
          </c:val>
          <c:smooth val="1"/>
          <c:extLst>
            <c:ext xmlns:c16="http://schemas.microsoft.com/office/drawing/2014/chart" uri="{C3380CC4-5D6E-409C-BE32-E72D297353CC}">
              <c16:uniqueId val="{00000000-A8F7-4E12-AE63-A0B21D18FAD5}"/>
            </c:ext>
          </c:extLst>
        </c:ser>
        <c:dLbls>
          <c:showLegendKey val="0"/>
          <c:showVal val="0"/>
          <c:showCatName val="0"/>
          <c:showSerName val="0"/>
          <c:showPercent val="0"/>
          <c:showBubbleSize val="0"/>
        </c:dLbls>
        <c:smooth val="0"/>
        <c:axId val="1970912655"/>
        <c:axId val="1970910255"/>
      </c:lineChart>
      <c:catAx>
        <c:axId val="1970912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910255"/>
        <c:crosses val="autoZero"/>
        <c:auto val="1"/>
        <c:lblAlgn val="ctr"/>
        <c:lblOffset val="100"/>
        <c:noMultiLvlLbl val="0"/>
      </c:catAx>
      <c:valAx>
        <c:axId val="19709102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912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847331583552057E-2"/>
          <c:y val="5.0925925925925923E-2"/>
          <c:w val="0.87859711286089237"/>
          <c:h val="0.8657407407407407"/>
        </c:manualLayout>
      </c:layout>
      <c:barChart>
        <c:barDir val="col"/>
        <c:grouping val="clustered"/>
        <c:varyColors val="0"/>
        <c:ser>
          <c:idx val="0"/>
          <c:order val="0"/>
          <c:tx>
            <c:strRef>
              <c:f>Charts!$CG$227</c:f>
              <c:strCache>
                <c:ptCount val="1"/>
                <c:pt idx="0">
                  <c:v>Total Merchants on Platform (in 000s)</c:v>
                </c:pt>
              </c:strCache>
            </c:strRef>
          </c:tx>
          <c:spPr>
            <a:solidFill>
              <a:schemeClr val="accent1"/>
            </a:solidFill>
            <a:ln>
              <a:noFill/>
            </a:ln>
            <a:effectLst/>
          </c:spPr>
          <c:invertIfNegative val="0"/>
          <c:cat>
            <c:strRef>
              <c:f>Charts!$CH$226:$CS$226</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Charts!$CH$227:$CS$227</c:f>
              <c:numCache>
                <c:formatCode>#,##0_);\(#,##0\);#,##0_);@_)</c:formatCode>
                <c:ptCount val="12"/>
                <c:pt idx="0">
                  <c:v>377.5</c:v>
                </c:pt>
                <c:pt idx="1">
                  <c:v>609</c:v>
                </c:pt>
                <c:pt idx="2">
                  <c:v>820</c:v>
                </c:pt>
                <c:pt idx="3">
                  <c:v>1000</c:v>
                </c:pt>
                <c:pt idx="4">
                  <c:v>1749</c:v>
                </c:pt>
                <c:pt idx="5">
                  <c:v>2063</c:v>
                </c:pt>
                <c:pt idx="6">
                  <c:v>2444.3376074500002</c:v>
                </c:pt>
                <c:pt idx="7">
                  <c:v>3055.579363545979</c:v>
                </c:pt>
                <c:pt idx="8">
                  <c:v>3372.7878898097838</c:v>
                </c:pt>
                <c:pt idx="9">
                  <c:v>3722.9267501159302</c:v>
                </c:pt>
                <c:pt idx="10">
                  <c:v>4109.4145376306005</c:v>
                </c:pt>
                <c:pt idx="11">
                  <c:v>4536.0247395584292</c:v>
                </c:pt>
              </c:numCache>
            </c:numRef>
          </c:val>
          <c:extLst>
            <c:ext xmlns:c16="http://schemas.microsoft.com/office/drawing/2014/chart" uri="{C3380CC4-5D6E-409C-BE32-E72D297353CC}">
              <c16:uniqueId val="{00000000-091B-47C1-AC4A-5E9DCD2E8A69}"/>
            </c:ext>
          </c:extLst>
        </c:ser>
        <c:dLbls>
          <c:showLegendKey val="0"/>
          <c:showVal val="0"/>
          <c:showCatName val="0"/>
          <c:showSerName val="0"/>
          <c:showPercent val="0"/>
          <c:showBubbleSize val="0"/>
        </c:dLbls>
        <c:gapWidth val="50"/>
        <c:axId val="389038559"/>
        <c:axId val="81605472"/>
      </c:barChart>
      <c:lineChart>
        <c:grouping val="standard"/>
        <c:varyColors val="0"/>
        <c:ser>
          <c:idx val="1"/>
          <c:order val="1"/>
          <c:tx>
            <c:strRef>
              <c:f>Charts!$CG$228</c:f>
              <c:strCache>
                <c:ptCount val="1"/>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Charts!$CH$226:$CS$226</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Charts!$CH$228:$CS$228</c:f>
              <c:numCache>
                <c:formatCode>#,##0_);\(#,##0\);#,##0_);@_)</c:formatCode>
                <c:ptCount val="12"/>
                <c:pt idx="0">
                  <c:v>377.5</c:v>
                </c:pt>
                <c:pt idx="1">
                  <c:v>609</c:v>
                </c:pt>
                <c:pt idx="2">
                  <c:v>820</c:v>
                </c:pt>
                <c:pt idx="3">
                  <c:v>1000</c:v>
                </c:pt>
                <c:pt idx="4">
                  <c:v>1749</c:v>
                </c:pt>
                <c:pt idx="5">
                  <c:v>2063</c:v>
                </c:pt>
                <c:pt idx="6">
                  <c:v>2444.3376074500002</c:v>
                </c:pt>
                <c:pt idx="7">
                  <c:v>3055.579363545979</c:v>
                </c:pt>
                <c:pt idx="8">
                  <c:v>3372.7878898097838</c:v>
                </c:pt>
                <c:pt idx="9">
                  <c:v>3722.9267501159302</c:v>
                </c:pt>
                <c:pt idx="10">
                  <c:v>4109.4145376306005</c:v>
                </c:pt>
                <c:pt idx="11">
                  <c:v>4536.0247395584292</c:v>
                </c:pt>
              </c:numCache>
            </c:numRef>
          </c:val>
          <c:smooth val="0"/>
          <c:extLst>
            <c:ext xmlns:c16="http://schemas.microsoft.com/office/drawing/2014/chart" uri="{C3380CC4-5D6E-409C-BE32-E72D297353CC}">
              <c16:uniqueId val="{00000005-8351-4409-8CF3-6816E4EEAA87}"/>
            </c:ext>
          </c:extLst>
        </c:ser>
        <c:dLbls>
          <c:showLegendKey val="0"/>
          <c:showVal val="0"/>
          <c:showCatName val="0"/>
          <c:showSerName val="0"/>
          <c:showPercent val="0"/>
          <c:showBubbleSize val="0"/>
        </c:dLbls>
        <c:marker val="1"/>
        <c:smooth val="0"/>
        <c:axId val="1449085999"/>
        <c:axId val="1449086479"/>
      </c:lineChart>
      <c:catAx>
        <c:axId val="3890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5472"/>
        <c:crosses val="autoZero"/>
        <c:auto val="1"/>
        <c:lblAlgn val="ctr"/>
        <c:lblOffset val="100"/>
        <c:noMultiLvlLbl val="0"/>
      </c:catAx>
      <c:valAx>
        <c:axId val="81605472"/>
        <c:scaling>
          <c:orientation val="minMax"/>
        </c:scaling>
        <c:delete val="0"/>
        <c:axPos val="l"/>
        <c:numFmt formatCode="#,##0_);\(#,##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38559"/>
        <c:crosses val="autoZero"/>
        <c:crossBetween val="between"/>
        <c:majorUnit val="1000"/>
        <c:minorUnit val="1000"/>
      </c:valAx>
      <c:valAx>
        <c:axId val="1449086479"/>
        <c:scaling>
          <c:orientation val="minMax"/>
        </c:scaling>
        <c:delete val="1"/>
        <c:axPos val="r"/>
        <c:numFmt formatCode="#,##0_);\(#,##0\);#,##0_);@_)" sourceLinked="1"/>
        <c:majorTickMark val="out"/>
        <c:minorTickMark val="none"/>
        <c:tickLblPos val="nextTo"/>
        <c:crossAx val="1449085999"/>
        <c:crosses val="max"/>
        <c:crossBetween val="between"/>
      </c:valAx>
      <c:catAx>
        <c:axId val="1449085999"/>
        <c:scaling>
          <c:orientation val="minMax"/>
        </c:scaling>
        <c:delete val="1"/>
        <c:axPos val="b"/>
        <c:numFmt formatCode="General" sourceLinked="1"/>
        <c:majorTickMark val="out"/>
        <c:minorTickMark val="none"/>
        <c:tickLblPos val="nextTo"/>
        <c:crossAx val="1449086479"/>
        <c:crosses val="autoZero"/>
        <c:auto val="1"/>
        <c:lblAlgn val="ctr"/>
        <c:lblOffset val="100"/>
        <c:noMultiLvlLbl val="0"/>
      </c:catAx>
      <c:spPr>
        <a:noFill/>
        <a:ln>
          <a:noFill/>
        </a:ln>
        <a:effectLst/>
      </c:spPr>
    </c:plotArea>
    <c:legend>
      <c:legendPos val="b"/>
      <c:layout>
        <c:manualLayout>
          <c:xMode val="edge"/>
          <c:yMode val="edge"/>
          <c:x val="3.4951938846378323E-2"/>
          <c:y val="2.3731576677313258E-2"/>
          <c:w val="0.6214621593973243"/>
          <c:h val="0.135499416739574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71568627450984E-2"/>
          <c:y val="5.0925944490355965E-2"/>
          <c:w val="0.9028676470588235"/>
          <c:h val="0.84864823878982187"/>
        </c:manualLayout>
      </c:layout>
      <c:lineChart>
        <c:grouping val="standard"/>
        <c:varyColors val="0"/>
        <c:ser>
          <c:idx val="0"/>
          <c:order val="0"/>
          <c:tx>
            <c:strRef>
              <c:f>TAM!$B$121:$D$121</c:f>
              <c:strCache>
                <c:ptCount val="3"/>
                <c:pt idx="0">
                  <c:v>SHOP GMV % Global ex-China eComm</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TAM!$E$120:$N$120</c:f>
              <c:strCache>
                <c:ptCount val="10"/>
                <c:pt idx="0">
                  <c:v>2018A</c:v>
                </c:pt>
                <c:pt idx="1">
                  <c:v>2019A</c:v>
                </c:pt>
                <c:pt idx="2">
                  <c:v>2020A</c:v>
                </c:pt>
                <c:pt idx="3">
                  <c:v>2021A</c:v>
                </c:pt>
                <c:pt idx="4">
                  <c:v>2022A</c:v>
                </c:pt>
                <c:pt idx="5">
                  <c:v>2023A</c:v>
                </c:pt>
                <c:pt idx="6">
                  <c:v>2024E</c:v>
                </c:pt>
                <c:pt idx="7">
                  <c:v>2025E</c:v>
                </c:pt>
                <c:pt idx="8">
                  <c:v>2026E</c:v>
                </c:pt>
                <c:pt idx="9">
                  <c:v>2027E</c:v>
                </c:pt>
              </c:strCache>
            </c:strRef>
          </c:cat>
          <c:val>
            <c:numRef>
              <c:f>TAM!$E$121:$N$121</c:f>
              <c:numCache>
                <c:formatCode>0.0%_);\(0.0%\);0.0%_);@_)</c:formatCode>
                <c:ptCount val="10"/>
                <c:pt idx="0">
                  <c:v>2.1613416215064754E-2</c:v>
                </c:pt>
                <c:pt idx="1">
                  <c:v>2.8002548034452228E-2</c:v>
                </c:pt>
                <c:pt idx="2">
                  <c:v>4.3181346981057085E-2</c:v>
                </c:pt>
                <c:pt idx="3">
                  <c:v>5.3522582037613536E-2</c:v>
                </c:pt>
                <c:pt idx="4">
                  <c:v>5.4308967786343615E-2</c:v>
                </c:pt>
                <c:pt idx="5">
                  <c:v>5.9925069850139699E-2</c:v>
                </c:pt>
                <c:pt idx="6">
                  <c:v>6.6936457985217468E-2</c:v>
                </c:pt>
                <c:pt idx="7">
                  <c:v>7.3413336775362478E-2</c:v>
                </c:pt>
                <c:pt idx="8">
                  <c:v>8.0070505132605788E-2</c:v>
                </c:pt>
                <c:pt idx="9">
                  <c:v>8.6636341540490894E-2</c:v>
                </c:pt>
              </c:numCache>
            </c:numRef>
          </c:val>
          <c:smooth val="1"/>
          <c:extLst>
            <c:ext xmlns:c16="http://schemas.microsoft.com/office/drawing/2014/chart" uri="{C3380CC4-5D6E-409C-BE32-E72D297353CC}">
              <c16:uniqueId val="{00000000-21BA-4BD0-BCAB-CA1F86976D0C}"/>
            </c:ext>
          </c:extLst>
        </c:ser>
        <c:ser>
          <c:idx val="1"/>
          <c:order val="1"/>
          <c:tx>
            <c:strRef>
              <c:f>TAM!$B$122:$D$122</c:f>
              <c:strCache>
                <c:ptCount val="3"/>
                <c:pt idx="0">
                  <c:v>SHOP GMV % Global ex-China retail sales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TAM!$E$120:$N$120</c:f>
              <c:strCache>
                <c:ptCount val="10"/>
                <c:pt idx="0">
                  <c:v>2018A</c:v>
                </c:pt>
                <c:pt idx="1">
                  <c:v>2019A</c:v>
                </c:pt>
                <c:pt idx="2">
                  <c:v>2020A</c:v>
                </c:pt>
                <c:pt idx="3">
                  <c:v>2021A</c:v>
                </c:pt>
                <c:pt idx="4">
                  <c:v>2022A</c:v>
                </c:pt>
                <c:pt idx="5">
                  <c:v>2023A</c:v>
                </c:pt>
                <c:pt idx="6">
                  <c:v>2024E</c:v>
                </c:pt>
                <c:pt idx="7">
                  <c:v>2025E</c:v>
                </c:pt>
                <c:pt idx="8">
                  <c:v>2026E</c:v>
                </c:pt>
                <c:pt idx="9">
                  <c:v>2027E</c:v>
                </c:pt>
              </c:strCache>
            </c:strRef>
          </c:cat>
          <c:val>
            <c:numRef>
              <c:f>TAM!$E$122:$N$122</c:f>
              <c:numCache>
                <c:formatCode>0.0%_);\(0.0%\);0.0%_);@_)</c:formatCode>
                <c:ptCount val="10"/>
                <c:pt idx="0">
                  <c:v>3.3852390950470925E-3</c:v>
                </c:pt>
                <c:pt idx="1">
                  <c:v>4.8439072714468335E-3</c:v>
                </c:pt>
                <c:pt idx="2">
                  <c:v>9.5293883690808837E-3</c:v>
                </c:pt>
                <c:pt idx="3">
                  <c:v>1.2538106536794616E-2</c:v>
                </c:pt>
                <c:pt idx="4">
                  <c:v>1.3171964674457429E-2</c:v>
                </c:pt>
                <c:pt idx="5">
                  <c:v>1.5280116580310881E-2</c:v>
                </c:pt>
                <c:pt idx="6">
                  <c:v>1.7524586133698686E-2</c:v>
                </c:pt>
                <c:pt idx="7">
                  <c:v>2.0097262807331855E-2</c:v>
                </c:pt>
                <c:pt idx="8">
                  <c:v>2.2622232975310311E-2</c:v>
                </c:pt>
                <c:pt idx="9">
                  <c:v>2.5175421542429834E-2</c:v>
                </c:pt>
              </c:numCache>
            </c:numRef>
          </c:val>
          <c:smooth val="0"/>
          <c:extLst>
            <c:ext xmlns:c16="http://schemas.microsoft.com/office/drawing/2014/chart" uri="{C3380CC4-5D6E-409C-BE32-E72D297353CC}">
              <c16:uniqueId val="{00000001-21BA-4BD0-BCAB-CA1F86976D0C}"/>
            </c:ext>
          </c:extLst>
        </c:ser>
        <c:dLbls>
          <c:showLegendKey val="0"/>
          <c:showVal val="0"/>
          <c:showCatName val="0"/>
          <c:showSerName val="0"/>
          <c:showPercent val="0"/>
          <c:showBubbleSize val="0"/>
        </c:dLbls>
        <c:smooth val="0"/>
        <c:axId val="1233680767"/>
        <c:axId val="1233654847"/>
      </c:lineChart>
      <c:catAx>
        <c:axId val="1233680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54847"/>
        <c:crosses val="autoZero"/>
        <c:auto val="1"/>
        <c:lblAlgn val="ctr"/>
        <c:lblOffset val="100"/>
        <c:noMultiLvlLbl val="0"/>
      </c:catAx>
      <c:valAx>
        <c:axId val="1233654847"/>
        <c:scaling>
          <c:orientation val="minMax"/>
        </c:scaling>
        <c:delete val="0"/>
        <c:axPos val="l"/>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0767"/>
        <c:crosses val="autoZero"/>
        <c:crossBetween val="between"/>
      </c:valAx>
      <c:spPr>
        <a:noFill/>
        <a:ln>
          <a:noFill/>
        </a:ln>
        <a:effectLst/>
      </c:spPr>
    </c:plotArea>
    <c:legend>
      <c:legendPos val="b"/>
      <c:layout>
        <c:manualLayout>
          <c:xMode val="edge"/>
          <c:yMode val="edge"/>
          <c:x val="6.4598079086268065E-2"/>
          <c:y val="3.8973656721003523E-2"/>
          <c:w val="0.48333333333333334"/>
          <c:h val="0.211536968335144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71568627450984E-2"/>
          <c:y val="5.0925944490355965E-2"/>
          <c:w val="0.9028676470588235"/>
          <c:h val="0.84864823878982187"/>
        </c:manualLayout>
      </c:layout>
      <c:lineChart>
        <c:grouping val="standard"/>
        <c:varyColors val="0"/>
        <c:ser>
          <c:idx val="0"/>
          <c:order val="0"/>
          <c:tx>
            <c:strRef>
              <c:f>TAM!$B$127:$D$127</c:f>
              <c:strCache>
                <c:ptCount val="3"/>
                <c:pt idx="0">
                  <c:v>Global eCommerce ex-China y/y growth</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TAM!$E$120:$N$120</c:f>
              <c:strCache>
                <c:ptCount val="10"/>
                <c:pt idx="0">
                  <c:v>2018A</c:v>
                </c:pt>
                <c:pt idx="1">
                  <c:v>2019A</c:v>
                </c:pt>
                <c:pt idx="2">
                  <c:v>2020A</c:v>
                </c:pt>
                <c:pt idx="3">
                  <c:v>2021A</c:v>
                </c:pt>
                <c:pt idx="4">
                  <c:v>2022A</c:v>
                </c:pt>
                <c:pt idx="5">
                  <c:v>2023A</c:v>
                </c:pt>
                <c:pt idx="6">
                  <c:v>2024E</c:v>
                </c:pt>
                <c:pt idx="7">
                  <c:v>2025E</c:v>
                </c:pt>
                <c:pt idx="8">
                  <c:v>2026E</c:v>
                </c:pt>
                <c:pt idx="9">
                  <c:v>2027E</c:v>
                </c:pt>
              </c:strCache>
            </c:strRef>
          </c:cat>
          <c:val>
            <c:numRef>
              <c:f>TAM!$E$127:$N$127</c:f>
              <c:numCache>
                <c:formatCode>0.0%_);\(0.0%\);0.0%_);@_)</c:formatCode>
                <c:ptCount val="10"/>
                <c:pt idx="0">
                  <c:v>0.18332675878567817</c:v>
                </c:pt>
                <c:pt idx="1">
                  <c:v>0.14987403392524312</c:v>
                </c:pt>
                <c:pt idx="2">
                  <c:v>0.2502886025791955</c:v>
                </c:pt>
                <c:pt idx="3">
                  <c:v>0.1542611740052704</c:v>
                </c:pt>
                <c:pt idx="4">
                  <c:v>0.11916713636815701</c:v>
                </c:pt>
                <c:pt idx="5">
                  <c:v>8.7191358024691468E-2</c:v>
                </c:pt>
                <c:pt idx="6">
                  <c:v>0.11171992902767935</c:v>
                </c:pt>
                <c:pt idx="7">
                  <c:v>9.5191897359094169E-2</c:v>
                </c:pt>
                <c:pt idx="8">
                  <c:v>7.9444437908163801E-2</c:v>
                </c:pt>
                <c:pt idx="9">
                  <c:v>7.9227279062842548E-2</c:v>
                </c:pt>
              </c:numCache>
            </c:numRef>
          </c:val>
          <c:smooth val="1"/>
          <c:extLst>
            <c:ext xmlns:c16="http://schemas.microsoft.com/office/drawing/2014/chart" uri="{C3380CC4-5D6E-409C-BE32-E72D297353CC}">
              <c16:uniqueId val="{00000000-15A3-45E3-BC2E-3E010F8994FD}"/>
            </c:ext>
          </c:extLst>
        </c:ser>
        <c:ser>
          <c:idx val="1"/>
          <c:order val="1"/>
          <c:tx>
            <c:strRef>
              <c:f>TAM!$B$128:$D$128</c:f>
              <c:strCache>
                <c:ptCount val="3"/>
                <c:pt idx="0">
                  <c:v>SHOP GMV y/y % Growth</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TAM!$E$120:$N$120</c:f>
              <c:strCache>
                <c:ptCount val="10"/>
                <c:pt idx="0">
                  <c:v>2018A</c:v>
                </c:pt>
                <c:pt idx="1">
                  <c:v>2019A</c:v>
                </c:pt>
                <c:pt idx="2">
                  <c:v>2020A</c:v>
                </c:pt>
                <c:pt idx="3">
                  <c:v>2021A</c:v>
                </c:pt>
                <c:pt idx="4">
                  <c:v>2022A</c:v>
                </c:pt>
                <c:pt idx="5">
                  <c:v>2023A</c:v>
                </c:pt>
                <c:pt idx="6">
                  <c:v>2024E</c:v>
                </c:pt>
                <c:pt idx="7">
                  <c:v>2025E</c:v>
                </c:pt>
                <c:pt idx="8">
                  <c:v>2026E</c:v>
                </c:pt>
                <c:pt idx="9">
                  <c:v>2027E</c:v>
                </c:pt>
              </c:strCache>
            </c:strRef>
          </c:cat>
          <c:val>
            <c:numRef>
              <c:f>TAM!$E$128:$N$128</c:f>
              <c:numCache>
                <c:formatCode>0.0%_);\(0.0%\);0.0%_);@_)</c:formatCode>
                <c:ptCount val="10"/>
                <c:pt idx="0">
                  <c:v>0.56166427622942861</c:v>
                </c:pt>
                <c:pt idx="1">
                  <c:v>0.48743651290927503</c:v>
                </c:pt>
                <c:pt idx="2">
                  <c:v>0.9558417543969091</c:v>
                </c:pt>
                <c:pt idx="3">
                  <c:v>0.4665161228507988</c:v>
                </c:pt>
                <c:pt idx="4">
                  <c:v>0.12481826288589826</c:v>
                </c:pt>
                <c:pt idx="5">
                  <c:v>0.19606993902175129</c:v>
                </c:pt>
                <c:pt idx="6">
                  <c:v>0.23172353502172305</c:v>
                </c:pt>
                <c:pt idx="7">
                  <c:v>0.19499962161404616</c:v>
                </c:pt>
                <c:pt idx="8">
                  <c:v>0.17449999999999988</c:v>
                </c:pt>
                <c:pt idx="9">
                  <c:v>0.16500000000000026</c:v>
                </c:pt>
              </c:numCache>
            </c:numRef>
          </c:val>
          <c:smooth val="1"/>
          <c:extLst>
            <c:ext xmlns:c16="http://schemas.microsoft.com/office/drawing/2014/chart" uri="{C3380CC4-5D6E-409C-BE32-E72D297353CC}">
              <c16:uniqueId val="{00000001-15A3-45E3-BC2E-3E010F8994FD}"/>
            </c:ext>
          </c:extLst>
        </c:ser>
        <c:dLbls>
          <c:showLegendKey val="0"/>
          <c:showVal val="0"/>
          <c:showCatName val="0"/>
          <c:showSerName val="0"/>
          <c:showPercent val="0"/>
          <c:showBubbleSize val="0"/>
        </c:dLbls>
        <c:smooth val="0"/>
        <c:axId val="1233680767"/>
        <c:axId val="1233654847"/>
      </c:lineChart>
      <c:catAx>
        <c:axId val="1233680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54847"/>
        <c:crosses val="autoZero"/>
        <c:auto val="1"/>
        <c:lblAlgn val="ctr"/>
        <c:lblOffset val="100"/>
        <c:noMultiLvlLbl val="0"/>
      </c:catAx>
      <c:valAx>
        <c:axId val="1233654847"/>
        <c:scaling>
          <c:orientation val="minMax"/>
        </c:scaling>
        <c:delete val="0"/>
        <c:axPos val="l"/>
        <c:numFmt formatCode="0%_);\(0%\);0%_);@_)" sourceLinked="0"/>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3680767"/>
        <c:crosses val="autoZero"/>
        <c:crossBetween val="between"/>
      </c:valAx>
      <c:spPr>
        <a:noFill/>
        <a:ln>
          <a:noFill/>
        </a:ln>
        <a:effectLst/>
      </c:spPr>
    </c:plotArea>
    <c:legend>
      <c:legendPos val="b"/>
      <c:layout>
        <c:manualLayout>
          <c:xMode val="edge"/>
          <c:yMode val="edge"/>
          <c:x val="0.44900555986189111"/>
          <c:y val="3.8973656721003523E-2"/>
          <c:w val="0.49811822297849889"/>
          <c:h val="0.13624244212836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77244139583911E-2"/>
          <c:y val="3.1564340089993884E-2"/>
          <c:w val="0.91861145701550695"/>
          <c:h val="0.86308631590944007"/>
        </c:manualLayout>
      </c:layout>
      <c:barChart>
        <c:barDir val="col"/>
        <c:grouping val="clustered"/>
        <c:varyColors val="0"/>
        <c:ser>
          <c:idx val="0"/>
          <c:order val="0"/>
          <c:tx>
            <c:strRef>
              <c:f>Charts!$E$48</c:f>
              <c:strCache>
                <c:ptCount val="1"/>
                <c:pt idx="0">
                  <c:v>Subscription Solution Gross Profit</c:v>
                </c:pt>
              </c:strCache>
            </c:strRef>
          </c:tx>
          <c:spPr>
            <a:solidFill>
              <a:schemeClr val="accent1"/>
            </a:solidFill>
            <a:ln>
              <a:noFill/>
            </a:ln>
            <a:effectLst/>
          </c:spPr>
          <c:invertIfNegative val="0"/>
          <c:dPt>
            <c:idx val="1"/>
            <c:invertIfNegative val="0"/>
            <c:bubble3D val="0"/>
            <c:extLst>
              <c:ext xmlns:c16="http://schemas.microsoft.com/office/drawing/2014/chart" uri="{C3380CC4-5D6E-409C-BE32-E72D297353CC}">
                <c16:uniqueId val="{00000000-27CD-4146-9218-4C02D4C96FEA}"/>
              </c:ext>
            </c:extLst>
          </c:dPt>
          <c:dPt>
            <c:idx val="2"/>
            <c:invertIfNegative val="0"/>
            <c:bubble3D val="0"/>
            <c:extLst>
              <c:ext xmlns:c16="http://schemas.microsoft.com/office/drawing/2014/chart" uri="{C3380CC4-5D6E-409C-BE32-E72D297353CC}">
                <c16:uniqueId val="{00000001-27CD-4146-9218-4C02D4C96FEA}"/>
              </c:ext>
            </c:extLst>
          </c:dPt>
          <c:dPt>
            <c:idx val="8"/>
            <c:invertIfNegative val="0"/>
            <c:bubble3D val="0"/>
            <c:extLst>
              <c:ext xmlns:c16="http://schemas.microsoft.com/office/drawing/2014/chart" uri="{C3380CC4-5D6E-409C-BE32-E72D297353CC}">
                <c16:uniqueId val="{00000002-27CD-4146-9218-4C02D4C96FEA}"/>
              </c:ext>
            </c:extLst>
          </c:dPt>
          <c:dPt>
            <c:idx val="9"/>
            <c:invertIfNegative val="0"/>
            <c:bubble3D val="0"/>
            <c:extLst>
              <c:ext xmlns:c16="http://schemas.microsoft.com/office/drawing/2014/chart" uri="{C3380CC4-5D6E-409C-BE32-E72D297353CC}">
                <c16:uniqueId val="{00000003-27CD-4146-9218-4C02D4C96FE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Charts!$CH$48:$CS$48</c:f>
              <c:numCache>
                <c:formatCode>"$"#,##0.0,"B"_);\("$"#,##0.0"B"\);"$"#,##0.00_);@_)</c:formatCode>
                <c:ptCount val="12"/>
                <c:pt idx="0">
                  <c:v>149.12799999999999</c:v>
                </c:pt>
                <c:pt idx="1">
                  <c:v>248.76400000000001</c:v>
                </c:pt>
                <c:pt idx="2">
                  <c:v>364.00600000000003</c:v>
                </c:pt>
                <c:pt idx="3">
                  <c:v>514.08600000000001</c:v>
                </c:pt>
                <c:pt idx="4">
                  <c:v>715.22499999999991</c:v>
                </c:pt>
                <c:pt idx="5">
                  <c:v>1077.9830000000002</c:v>
                </c:pt>
                <c:pt idx="6">
                  <c:v>1156.8920000000001</c:v>
                </c:pt>
                <c:pt idx="7">
                  <c:v>1483</c:v>
                </c:pt>
                <c:pt idx="8">
                  <c:v>1922.6522129800942</c:v>
                </c:pt>
                <c:pt idx="9">
                  <c:v>2284.6345541862975</c:v>
                </c:pt>
                <c:pt idx="10">
                  <c:v>2654.3106115557157</c:v>
                </c:pt>
                <c:pt idx="11">
                  <c:v>3054.4164652720096</c:v>
                </c:pt>
              </c:numCache>
            </c:numRef>
          </c:val>
          <c:extLst>
            <c:ext xmlns:c16="http://schemas.microsoft.com/office/drawing/2014/chart" uri="{C3380CC4-5D6E-409C-BE32-E72D297353CC}">
              <c16:uniqueId val="{00000004-27CD-4146-9218-4C02D4C96FEA}"/>
            </c:ext>
          </c:extLst>
        </c:ser>
        <c:dLbls>
          <c:showLegendKey val="0"/>
          <c:showVal val="0"/>
          <c:showCatName val="0"/>
          <c:showSerName val="0"/>
          <c:showPercent val="0"/>
          <c:showBubbleSize val="0"/>
        </c:dLbls>
        <c:gapWidth val="30"/>
        <c:axId val="945418624"/>
        <c:axId val="945420160"/>
      </c:barChart>
      <c:lineChart>
        <c:grouping val="standard"/>
        <c:varyColors val="0"/>
        <c:ser>
          <c:idx val="1"/>
          <c:order val="1"/>
          <c:tx>
            <c:strRef>
              <c:f>Charts!$E$53</c:f>
              <c:strCache>
                <c:ptCount val="1"/>
                <c:pt idx="0">
                  <c:v>Subscription Solutions Gross margin </c:v>
                </c:pt>
              </c:strCache>
            </c:strRef>
          </c:tx>
          <c:spPr>
            <a:ln w="19050" cap="rnd" cmpd="sng" algn="ctr">
              <a:solidFill>
                <a:schemeClr val="accent3"/>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Charts!$CH$38:$CS$38</c:f>
              <c:strCache>
                <c:ptCount val="12"/>
                <c:pt idx="0">
                  <c:v>2016A</c:v>
                </c:pt>
                <c:pt idx="1">
                  <c:v>2017A</c:v>
                </c:pt>
                <c:pt idx="2">
                  <c:v>2018A</c:v>
                </c:pt>
                <c:pt idx="3">
                  <c:v>2019A</c:v>
                </c:pt>
                <c:pt idx="4">
                  <c:v>2020A</c:v>
                </c:pt>
                <c:pt idx="5">
                  <c:v>2021A</c:v>
                </c:pt>
                <c:pt idx="6">
                  <c:v>2022A</c:v>
                </c:pt>
                <c:pt idx="7">
                  <c:v>2023A</c:v>
                </c:pt>
                <c:pt idx="8">
                  <c:v>2024E</c:v>
                </c:pt>
                <c:pt idx="9">
                  <c:v>2025E</c:v>
                </c:pt>
                <c:pt idx="10">
                  <c:v>2026E</c:v>
                </c:pt>
                <c:pt idx="11">
                  <c:v>2027E</c:v>
                </c:pt>
              </c:strCache>
            </c:strRef>
          </c:cat>
          <c:val>
            <c:numRef>
              <c:f>Charts!$CH$53:$CS$53</c:f>
              <c:numCache>
                <c:formatCode>0.0%_);\(0.0%\);0.0%_);@_)</c:formatCode>
                <c:ptCount val="12"/>
                <c:pt idx="0">
                  <c:v>0.79068534405056035</c:v>
                </c:pt>
                <c:pt idx="1">
                  <c:v>0.80238427770126219</c:v>
                </c:pt>
                <c:pt idx="2">
                  <c:v>0.78281533604590159</c:v>
                </c:pt>
                <c:pt idx="3">
                  <c:v>0.80045652644412302</c:v>
                </c:pt>
                <c:pt idx="4">
                  <c:v>0.78703657853529585</c:v>
                </c:pt>
                <c:pt idx="5">
                  <c:v>0.80306615194132025</c:v>
                </c:pt>
                <c:pt idx="6">
                  <c:v>0.77760712588530811</c:v>
                </c:pt>
                <c:pt idx="7">
                  <c:v>0.8072945019052804</c:v>
                </c:pt>
                <c:pt idx="8">
                  <c:v>0.82103765729577738</c:v>
                </c:pt>
                <c:pt idx="9">
                  <c:v>0.82603765729577738</c:v>
                </c:pt>
                <c:pt idx="10">
                  <c:v>0.82803765729577727</c:v>
                </c:pt>
                <c:pt idx="11">
                  <c:v>0.83003765729577716</c:v>
                </c:pt>
              </c:numCache>
            </c:numRef>
          </c:val>
          <c:smooth val="1"/>
          <c:extLst>
            <c:ext xmlns:c16="http://schemas.microsoft.com/office/drawing/2014/chart" uri="{C3380CC4-5D6E-409C-BE32-E72D297353CC}">
              <c16:uniqueId val="{0000000E-CBA9-4825-9430-416B6E9EE24A}"/>
            </c:ext>
          </c:extLst>
        </c:ser>
        <c:dLbls>
          <c:showLegendKey val="0"/>
          <c:showVal val="0"/>
          <c:showCatName val="0"/>
          <c:showSerName val="0"/>
          <c:showPercent val="0"/>
          <c:showBubbleSize val="0"/>
        </c:dLbls>
        <c:marker val="1"/>
        <c:smooth val="0"/>
        <c:axId val="200588160"/>
        <c:axId val="227166032"/>
      </c:lineChart>
      <c:catAx>
        <c:axId val="945418624"/>
        <c:scaling>
          <c:orientation val="minMax"/>
        </c:scaling>
        <c:delete val="0"/>
        <c:axPos val="b"/>
        <c:majorGridlines>
          <c:spPr>
            <a:ln w="3175" cap="sq" cmpd="sng" algn="ctr">
              <a:noFill/>
              <a:prstDash val="dot"/>
              <a:round/>
            </a:ln>
            <a:effectLst/>
          </c:spPr>
        </c:majorGridlines>
        <c:numFmt formatCode="General"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945420160"/>
        <c:crosses val="autoZero"/>
        <c:auto val="1"/>
        <c:lblAlgn val="ctr"/>
        <c:lblOffset val="100"/>
        <c:noMultiLvlLbl val="0"/>
      </c:catAx>
      <c:valAx>
        <c:axId val="945420160"/>
        <c:scaling>
          <c:orientation val="minMax"/>
        </c:scaling>
        <c:delete val="0"/>
        <c:axPos val="l"/>
        <c:majorGridlines>
          <c:spPr>
            <a:ln w="3175" cap="sq" cmpd="sng" algn="ctr">
              <a:solidFill>
                <a:srgbClr val="C0C0C0"/>
              </a:solidFill>
              <a:prstDash val="dot"/>
              <a:round/>
            </a:ln>
            <a:effectLst/>
          </c:spPr>
        </c:majorGridlines>
        <c:numFmt formatCode="#,##0" sourceLinked="0"/>
        <c:majorTickMark val="out"/>
        <c:minorTickMark val="none"/>
        <c:tickLblPos val="nextTo"/>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spcFirstLastPara="1" vertOverflow="ellipsis" vert="horz" wrap="square" anchor="ctr" anchorCtr="1"/>
          <a:lstStyle/>
          <a:p>
            <a:pPr>
              <a:defRPr sz="800" b="0" i="0" u="none" strike="noStrike" kern="1200" baseline="0">
                <a:noFill/>
                <a:latin typeface="Roboto" panose="02000000000000000000" pitchFamily="2" charset="0"/>
                <a:ea typeface="Roboto" panose="02000000000000000000" pitchFamily="2" charset="0"/>
                <a:cs typeface="Roboto" panose="02000000000000000000" pitchFamily="2" charset="0"/>
              </a:defRPr>
            </a:pPr>
            <a:endParaRPr lang="en-US"/>
          </a:p>
        </c:txPr>
        <c:crossAx val="945418624"/>
        <c:crosses val="autoZero"/>
        <c:crossBetween val="between"/>
      </c:valAx>
      <c:valAx>
        <c:axId val="227166032"/>
        <c:scaling>
          <c:orientation val="minMax"/>
          <c:max val="0.85000000000000009"/>
          <c:min val="0.75000000000000011"/>
        </c:scaling>
        <c:delete val="0"/>
        <c:axPos val="r"/>
        <c:numFmt formatCode="0.0%_);\(0.0%\);0.0%_);@_)"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crossAx val="200588160"/>
        <c:crosses val="max"/>
        <c:crossBetween val="between"/>
        <c:majorUnit val="2.5000000000000005E-2"/>
      </c:valAx>
      <c:catAx>
        <c:axId val="200588160"/>
        <c:scaling>
          <c:orientation val="minMax"/>
        </c:scaling>
        <c:delete val="1"/>
        <c:axPos val="b"/>
        <c:numFmt formatCode="General" sourceLinked="1"/>
        <c:majorTickMark val="out"/>
        <c:minorTickMark val="none"/>
        <c:tickLblPos val="nextTo"/>
        <c:crossAx val="227166032"/>
        <c:crosses val="autoZero"/>
        <c:auto val="1"/>
        <c:lblAlgn val="ctr"/>
        <c:lblOffset val="100"/>
        <c:noMultiLvlLbl val="0"/>
      </c:catAx>
      <c:spPr>
        <a:noFill/>
        <a:ln>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a:noFill/>
              <a:round/>
            </a14:hiddenLine>
          </a:ext>
        </a:extLst>
      </c:spPr>
    </c:plotArea>
    <c:legend>
      <c:legendPos val="t"/>
      <c:layout>
        <c:manualLayout>
          <c:xMode val="edge"/>
          <c:yMode val="edge"/>
          <c:x val="0.13580902292088531"/>
          <c:y val="0.12280954853810269"/>
          <c:w val="0.34094296163693205"/>
          <c:h val="0.14886267349153415"/>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800">
          <a:latin typeface="Roboto" panose="02000000000000000000" pitchFamily="2" charset="0"/>
          <a:ea typeface="Roboto" panose="02000000000000000000" pitchFamily="2" charset="0"/>
          <a:cs typeface="Roboto" panose="02000000000000000000" pitchFamily="2" charset="0"/>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21.xml"/><Relationship Id="rId18" Type="http://schemas.openxmlformats.org/officeDocument/2006/relationships/chart" Target="../charts/chart26.xml"/><Relationship Id="rId26" Type="http://schemas.openxmlformats.org/officeDocument/2006/relationships/chart" Target="../charts/chart33.xml"/><Relationship Id="rId39" Type="http://schemas.openxmlformats.org/officeDocument/2006/relationships/chart" Target="../charts/chart46.xml"/><Relationship Id="rId21" Type="http://schemas.openxmlformats.org/officeDocument/2006/relationships/chart" Target="../charts/chart28.xml"/><Relationship Id="rId34" Type="http://schemas.openxmlformats.org/officeDocument/2006/relationships/chart" Target="../charts/chart41.xml"/><Relationship Id="rId42" Type="http://schemas.openxmlformats.org/officeDocument/2006/relationships/chart" Target="../charts/chart49.xml"/><Relationship Id="rId47" Type="http://schemas.openxmlformats.org/officeDocument/2006/relationships/chart" Target="../charts/chart54.xml"/><Relationship Id="rId50" Type="http://schemas.openxmlformats.org/officeDocument/2006/relationships/chart" Target="../charts/chart57.xml"/><Relationship Id="rId55" Type="http://schemas.openxmlformats.org/officeDocument/2006/relationships/chart" Target="../charts/chart62.xml"/><Relationship Id="rId7" Type="http://schemas.openxmlformats.org/officeDocument/2006/relationships/chart" Target="../charts/chart15.xml"/><Relationship Id="rId2" Type="http://schemas.openxmlformats.org/officeDocument/2006/relationships/chart" Target="../charts/chart10.xml"/><Relationship Id="rId16" Type="http://schemas.openxmlformats.org/officeDocument/2006/relationships/chart" Target="../charts/chart24.xml"/><Relationship Id="rId29" Type="http://schemas.openxmlformats.org/officeDocument/2006/relationships/chart" Target="../charts/chart36.xml"/><Relationship Id="rId11" Type="http://schemas.openxmlformats.org/officeDocument/2006/relationships/chart" Target="../charts/chart19.xml"/><Relationship Id="rId24" Type="http://schemas.openxmlformats.org/officeDocument/2006/relationships/chart" Target="../charts/chart31.xml"/><Relationship Id="rId32" Type="http://schemas.openxmlformats.org/officeDocument/2006/relationships/chart" Target="../charts/chart39.xml"/><Relationship Id="rId37" Type="http://schemas.openxmlformats.org/officeDocument/2006/relationships/chart" Target="../charts/chart44.xml"/><Relationship Id="rId40" Type="http://schemas.openxmlformats.org/officeDocument/2006/relationships/chart" Target="../charts/chart47.xml"/><Relationship Id="rId45" Type="http://schemas.openxmlformats.org/officeDocument/2006/relationships/chart" Target="../charts/chart52.xml"/><Relationship Id="rId53" Type="http://schemas.openxmlformats.org/officeDocument/2006/relationships/chart" Target="../charts/chart60.xml"/><Relationship Id="rId5" Type="http://schemas.openxmlformats.org/officeDocument/2006/relationships/chart" Target="../charts/chart13.xml"/><Relationship Id="rId10" Type="http://schemas.openxmlformats.org/officeDocument/2006/relationships/chart" Target="../charts/chart18.xml"/><Relationship Id="rId19" Type="http://schemas.openxmlformats.org/officeDocument/2006/relationships/chart" Target="../charts/chart27.xml"/><Relationship Id="rId31" Type="http://schemas.openxmlformats.org/officeDocument/2006/relationships/chart" Target="../charts/chart38.xml"/><Relationship Id="rId44" Type="http://schemas.openxmlformats.org/officeDocument/2006/relationships/chart" Target="../charts/chart51.xml"/><Relationship Id="rId52" Type="http://schemas.openxmlformats.org/officeDocument/2006/relationships/chart" Target="../charts/chart59.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 Id="rId22" Type="http://schemas.openxmlformats.org/officeDocument/2006/relationships/chart" Target="../charts/chart29.xml"/><Relationship Id="rId27" Type="http://schemas.openxmlformats.org/officeDocument/2006/relationships/chart" Target="../charts/chart34.xml"/><Relationship Id="rId30" Type="http://schemas.openxmlformats.org/officeDocument/2006/relationships/chart" Target="../charts/chart37.xml"/><Relationship Id="rId35" Type="http://schemas.openxmlformats.org/officeDocument/2006/relationships/chart" Target="../charts/chart42.xml"/><Relationship Id="rId43" Type="http://schemas.openxmlformats.org/officeDocument/2006/relationships/chart" Target="../charts/chart50.xml"/><Relationship Id="rId48" Type="http://schemas.openxmlformats.org/officeDocument/2006/relationships/chart" Target="../charts/chart55.xml"/><Relationship Id="rId56" Type="http://schemas.openxmlformats.org/officeDocument/2006/relationships/chart" Target="../charts/chart63.xml"/><Relationship Id="rId8" Type="http://schemas.openxmlformats.org/officeDocument/2006/relationships/chart" Target="../charts/chart16.xml"/><Relationship Id="rId51" Type="http://schemas.openxmlformats.org/officeDocument/2006/relationships/chart" Target="../charts/chart58.xml"/><Relationship Id="rId3" Type="http://schemas.openxmlformats.org/officeDocument/2006/relationships/chart" Target="../charts/chart11.xml"/><Relationship Id="rId12" Type="http://schemas.openxmlformats.org/officeDocument/2006/relationships/chart" Target="../charts/chart20.xml"/><Relationship Id="rId17" Type="http://schemas.openxmlformats.org/officeDocument/2006/relationships/chart" Target="../charts/chart25.xml"/><Relationship Id="rId25" Type="http://schemas.openxmlformats.org/officeDocument/2006/relationships/chart" Target="../charts/chart32.xml"/><Relationship Id="rId33" Type="http://schemas.openxmlformats.org/officeDocument/2006/relationships/chart" Target="../charts/chart40.xml"/><Relationship Id="rId38" Type="http://schemas.openxmlformats.org/officeDocument/2006/relationships/chart" Target="../charts/chart45.xml"/><Relationship Id="rId46" Type="http://schemas.openxmlformats.org/officeDocument/2006/relationships/chart" Target="../charts/chart53.xml"/><Relationship Id="rId20" Type="http://schemas.openxmlformats.org/officeDocument/2006/relationships/image" Target="../media/image2.png"/><Relationship Id="rId41" Type="http://schemas.openxmlformats.org/officeDocument/2006/relationships/chart" Target="../charts/chart48.xml"/><Relationship Id="rId54" Type="http://schemas.openxmlformats.org/officeDocument/2006/relationships/chart" Target="../charts/chart61.xml"/><Relationship Id="rId1" Type="http://schemas.openxmlformats.org/officeDocument/2006/relationships/chart" Target="../charts/chart9.xml"/><Relationship Id="rId6" Type="http://schemas.openxmlformats.org/officeDocument/2006/relationships/chart" Target="../charts/chart14.xml"/><Relationship Id="rId15" Type="http://schemas.openxmlformats.org/officeDocument/2006/relationships/chart" Target="../charts/chart23.xml"/><Relationship Id="rId23" Type="http://schemas.openxmlformats.org/officeDocument/2006/relationships/chart" Target="../charts/chart30.xml"/><Relationship Id="rId28" Type="http://schemas.openxmlformats.org/officeDocument/2006/relationships/chart" Target="../charts/chart35.xml"/><Relationship Id="rId36" Type="http://schemas.openxmlformats.org/officeDocument/2006/relationships/chart" Target="../charts/chart43.xml"/><Relationship Id="rId49"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4</xdr:col>
      <xdr:colOff>304800</xdr:colOff>
      <xdr:row>62</xdr:row>
      <xdr:rowOff>95249</xdr:rowOff>
    </xdr:from>
    <xdr:to>
      <xdr:col>10</xdr:col>
      <xdr:colOff>457200</xdr:colOff>
      <xdr:row>82</xdr:row>
      <xdr:rowOff>66674</xdr:rowOff>
    </xdr:to>
    <xdr:graphicFrame macro="">
      <xdr:nvGraphicFramePr>
        <xdr:cNvPr id="4" name="Chart 3">
          <a:extLst>
            <a:ext uri="{FF2B5EF4-FFF2-40B4-BE49-F238E27FC236}">
              <a16:creationId xmlns:a16="http://schemas.microsoft.com/office/drawing/2014/main" id="{28ED73B2-123F-4F4D-9747-241CE462F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62</xdr:row>
      <xdr:rowOff>0</xdr:rowOff>
    </xdr:from>
    <xdr:to>
      <xdr:col>19</xdr:col>
      <xdr:colOff>342900</xdr:colOff>
      <xdr:row>81</xdr:row>
      <xdr:rowOff>123825</xdr:rowOff>
    </xdr:to>
    <xdr:graphicFrame macro="">
      <xdr:nvGraphicFramePr>
        <xdr:cNvPr id="2" name="Chart 1">
          <a:extLst>
            <a:ext uri="{FF2B5EF4-FFF2-40B4-BE49-F238E27FC236}">
              <a16:creationId xmlns:a16="http://schemas.microsoft.com/office/drawing/2014/main" id="{BBADD4B1-90AF-4910-9209-D2B82140A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62</xdr:row>
      <xdr:rowOff>0</xdr:rowOff>
    </xdr:from>
    <xdr:to>
      <xdr:col>28</xdr:col>
      <xdr:colOff>514350</xdr:colOff>
      <xdr:row>81</xdr:row>
      <xdr:rowOff>123825</xdr:rowOff>
    </xdr:to>
    <xdr:graphicFrame macro="">
      <xdr:nvGraphicFramePr>
        <xdr:cNvPr id="3" name="Chart 2">
          <a:extLst>
            <a:ext uri="{FF2B5EF4-FFF2-40B4-BE49-F238E27FC236}">
              <a16:creationId xmlns:a16="http://schemas.microsoft.com/office/drawing/2014/main" id="{FD50B77A-A335-4BA5-9AF7-8F14E2A70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62</xdr:row>
      <xdr:rowOff>0</xdr:rowOff>
    </xdr:from>
    <xdr:to>
      <xdr:col>37</xdr:col>
      <xdr:colOff>514350</xdr:colOff>
      <xdr:row>81</xdr:row>
      <xdr:rowOff>123825</xdr:rowOff>
    </xdr:to>
    <xdr:graphicFrame macro="">
      <xdr:nvGraphicFramePr>
        <xdr:cNvPr id="5" name="Chart 4">
          <a:extLst>
            <a:ext uri="{FF2B5EF4-FFF2-40B4-BE49-F238E27FC236}">
              <a16:creationId xmlns:a16="http://schemas.microsoft.com/office/drawing/2014/main" id="{D43DFAF9-7F59-48BC-B464-B0C54267A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139</xdr:col>
      <xdr:colOff>455833</xdr:colOff>
      <xdr:row>5</xdr:row>
      <xdr:rowOff>135849</xdr:rowOff>
    </xdr:from>
    <xdr:to>
      <xdr:col>157</xdr:col>
      <xdr:colOff>155250</xdr:colOff>
      <xdr:row>47</xdr:row>
      <xdr:rowOff>7704</xdr:rowOff>
    </xdr:to>
    <xdr:pic>
      <xdr:nvPicPr>
        <xdr:cNvPr id="3" name="Picture 1">
          <a:extLst>
            <a:ext uri="{FF2B5EF4-FFF2-40B4-BE49-F238E27FC236}">
              <a16:creationId xmlns:a16="http://schemas.microsoft.com/office/drawing/2014/main" id="{AD139A93-1970-C379-482F-AC1E62770813}"/>
            </a:ext>
          </a:extLst>
        </xdr:cNvPr>
        <xdr:cNvPicPr>
          <a:picLocks noChangeAspect="1"/>
        </xdr:cNvPicPr>
      </xdr:nvPicPr>
      <xdr:blipFill>
        <a:blip xmlns:r="http://schemas.openxmlformats.org/officeDocument/2006/relationships" r:embed="rId1"/>
        <a:stretch>
          <a:fillRect/>
        </a:stretch>
      </xdr:blipFill>
      <xdr:spPr>
        <a:xfrm>
          <a:off x="73417333" y="935949"/>
          <a:ext cx="8786268" cy="40152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476250</xdr:colOff>
      <xdr:row>51</xdr:row>
      <xdr:rowOff>54429</xdr:rowOff>
    </xdr:from>
    <xdr:to>
      <xdr:col>34</xdr:col>
      <xdr:colOff>213552</xdr:colOff>
      <xdr:row>69</xdr:row>
      <xdr:rowOff>17370</xdr:rowOff>
    </xdr:to>
    <xdr:graphicFrame macro="">
      <xdr:nvGraphicFramePr>
        <xdr:cNvPr id="3" name="Chart 1">
          <a:extLst>
            <a:ext uri="{FF2B5EF4-FFF2-40B4-BE49-F238E27FC236}">
              <a16:creationId xmlns:a16="http://schemas.microsoft.com/office/drawing/2014/main" id="{76886BD2-08C1-4960-898C-058C5F5C0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577104</xdr:colOff>
      <xdr:row>51</xdr:row>
      <xdr:rowOff>23211</xdr:rowOff>
    </xdr:from>
    <xdr:to>
      <xdr:col>26</xdr:col>
      <xdr:colOff>314407</xdr:colOff>
      <xdr:row>68</xdr:row>
      <xdr:rowOff>142634</xdr:rowOff>
    </xdr:to>
    <xdr:graphicFrame macro="">
      <xdr:nvGraphicFramePr>
        <xdr:cNvPr id="2" name="Chart 2">
          <a:extLst>
            <a:ext uri="{FF2B5EF4-FFF2-40B4-BE49-F238E27FC236}">
              <a16:creationId xmlns:a16="http://schemas.microsoft.com/office/drawing/2014/main" id="{A38A7D57-EBB4-4D2F-8C6F-7E9416BC6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285750</xdr:colOff>
      <xdr:row>115</xdr:row>
      <xdr:rowOff>54428</xdr:rowOff>
    </xdr:from>
    <xdr:to>
      <xdr:col>26</xdr:col>
      <xdr:colOff>598714</xdr:colOff>
      <xdr:row>136</xdr:row>
      <xdr:rowOff>31295</xdr:rowOff>
    </xdr:to>
    <xdr:graphicFrame macro="">
      <xdr:nvGraphicFramePr>
        <xdr:cNvPr id="6" name="Chart 1">
          <a:extLst>
            <a:ext uri="{FF2B5EF4-FFF2-40B4-BE49-F238E27FC236}">
              <a16:creationId xmlns:a16="http://schemas.microsoft.com/office/drawing/2014/main" id="{9962FF48-30CC-46A6-8064-68E08C0BE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137</xdr:row>
      <xdr:rowOff>0</xdr:rowOff>
    </xdr:from>
    <xdr:to>
      <xdr:col>26</xdr:col>
      <xdr:colOff>312964</xdr:colOff>
      <xdr:row>157</xdr:row>
      <xdr:rowOff>122543</xdr:rowOff>
    </xdr:to>
    <xdr:graphicFrame macro="">
      <xdr:nvGraphicFramePr>
        <xdr:cNvPr id="4" name="Chart 1">
          <a:extLst>
            <a:ext uri="{FF2B5EF4-FFF2-40B4-BE49-F238E27FC236}">
              <a16:creationId xmlns:a16="http://schemas.microsoft.com/office/drawing/2014/main" id="{5BA4C775-8674-4BF9-B241-BCDBDE5FA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98</xdr:col>
      <xdr:colOff>244287</xdr:colOff>
      <xdr:row>33</xdr:row>
      <xdr:rowOff>133629</xdr:rowOff>
    </xdr:from>
    <xdr:to>
      <xdr:col>108</xdr:col>
      <xdr:colOff>530038</xdr:colOff>
      <xdr:row>56</xdr:row>
      <xdr:rowOff>124106</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98</xdr:col>
      <xdr:colOff>215633</xdr:colOff>
      <xdr:row>56</xdr:row>
      <xdr:rowOff>89647</xdr:rowOff>
    </xdr:from>
    <xdr:to>
      <xdr:col>109</xdr:col>
      <xdr:colOff>122144</xdr:colOff>
      <xdr:row>80</xdr:row>
      <xdr:rowOff>71438</xdr:rowOff>
    </xdr:to>
    <xdr:graphicFrame macro="">
      <xdr:nvGraphicFramePr>
        <xdr:cNvPr id="55" name="Chart 54">
          <a:extLst>
            <a:ext uri="{FF2B5EF4-FFF2-40B4-BE49-F238E27FC236}">
              <a16:creationId xmlns:a16="http://schemas.microsoft.com/office/drawing/2014/main" id="{00000000-0008-0000-0B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109</xdr:col>
      <xdr:colOff>171634</xdr:colOff>
      <xdr:row>57</xdr:row>
      <xdr:rowOff>56029</xdr:rowOff>
    </xdr:from>
    <xdr:to>
      <xdr:col>119</xdr:col>
      <xdr:colOff>127000</xdr:colOff>
      <xdr:row>81</xdr:row>
      <xdr:rowOff>114300</xdr:rowOff>
    </xdr:to>
    <xdr:graphicFrame macro="">
      <xdr:nvGraphicFramePr>
        <xdr:cNvPr id="57" name="Chart 56">
          <a:extLst>
            <a:ext uri="{FF2B5EF4-FFF2-40B4-BE49-F238E27FC236}">
              <a16:creationId xmlns:a16="http://schemas.microsoft.com/office/drawing/2014/main" id="{00000000-0008-0000-0B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74</xdr:col>
      <xdr:colOff>447675</xdr:colOff>
      <xdr:row>37</xdr:row>
      <xdr:rowOff>19049</xdr:rowOff>
    </xdr:from>
    <xdr:to>
      <xdr:col>83</xdr:col>
      <xdr:colOff>499781</xdr:colOff>
      <xdr:row>58</xdr:row>
      <xdr:rowOff>114299</xdr:rowOff>
    </xdr:to>
    <xdr:graphicFrame macro="">
      <xdr:nvGraphicFramePr>
        <xdr:cNvPr id="131" name="Chart 59">
          <a:extLst>
            <a:ext uri="{FF2B5EF4-FFF2-40B4-BE49-F238E27FC236}">
              <a16:creationId xmlns:a16="http://schemas.microsoft.com/office/drawing/2014/main" id="{00000000-0008-0000-0B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119</xdr:col>
      <xdr:colOff>127428</xdr:colOff>
      <xdr:row>57</xdr:row>
      <xdr:rowOff>102724</xdr:rowOff>
    </xdr:from>
    <xdr:to>
      <xdr:col>128</xdr:col>
      <xdr:colOff>482600</xdr:colOff>
      <xdr:row>81</xdr:row>
      <xdr:rowOff>76200</xdr:rowOff>
    </xdr:to>
    <xdr:graphicFrame macro="">
      <xdr:nvGraphicFramePr>
        <xdr:cNvPr id="69" name="Chart 68">
          <a:extLst>
            <a:ext uri="{FF2B5EF4-FFF2-40B4-BE49-F238E27FC236}">
              <a16:creationId xmlns:a16="http://schemas.microsoft.com/office/drawing/2014/main" id="{00000000-0008-0000-0B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53</xdr:col>
      <xdr:colOff>461843</xdr:colOff>
      <xdr:row>61</xdr:row>
      <xdr:rowOff>66115</xdr:rowOff>
    </xdr:from>
    <xdr:to>
      <xdr:col>63</xdr:col>
      <xdr:colOff>514350</xdr:colOff>
      <xdr:row>79</xdr:row>
      <xdr:rowOff>57845</xdr:rowOff>
    </xdr:to>
    <xdr:graphicFrame macro="">
      <xdr:nvGraphicFramePr>
        <xdr:cNvPr id="70" name="Chart 69">
          <a:extLst>
            <a:ext uri="{FF2B5EF4-FFF2-40B4-BE49-F238E27FC236}">
              <a16:creationId xmlns:a16="http://schemas.microsoft.com/office/drawing/2014/main" id="{00000000-0008-0000-0B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129</xdr:col>
      <xdr:colOff>338152</xdr:colOff>
      <xdr:row>35</xdr:row>
      <xdr:rowOff>19073</xdr:rowOff>
    </xdr:from>
    <xdr:to>
      <xdr:col>138</xdr:col>
      <xdr:colOff>342900</xdr:colOff>
      <xdr:row>58</xdr:row>
      <xdr:rowOff>20866</xdr:rowOff>
    </xdr:to>
    <xdr:graphicFrame macro="">
      <xdr:nvGraphicFramePr>
        <xdr:cNvPr id="77" name="Chart 76">
          <a:extLst>
            <a:ext uri="{FF2B5EF4-FFF2-40B4-BE49-F238E27FC236}">
              <a16:creationId xmlns:a16="http://schemas.microsoft.com/office/drawing/2014/main" id="{00000000-0008-0000-0B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75</xdr:col>
      <xdr:colOff>146951</xdr:colOff>
      <xdr:row>60</xdr:row>
      <xdr:rowOff>106136</xdr:rowOff>
    </xdr:from>
    <xdr:to>
      <xdr:col>83</xdr:col>
      <xdr:colOff>452714</xdr:colOff>
      <xdr:row>79</xdr:row>
      <xdr:rowOff>19049</xdr:rowOff>
    </xdr:to>
    <xdr:graphicFrame macro="">
      <xdr:nvGraphicFramePr>
        <xdr:cNvPr id="163" name="Chart 77">
          <a:extLst>
            <a:ext uri="{FF2B5EF4-FFF2-40B4-BE49-F238E27FC236}">
              <a16:creationId xmlns:a16="http://schemas.microsoft.com/office/drawing/2014/main" id="{00000000-0008-0000-0B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92775</xdr:colOff>
      <xdr:row>5</xdr:row>
      <xdr:rowOff>87966</xdr:rowOff>
    </xdr:from>
    <xdr:to>
      <xdr:col>118</xdr:col>
      <xdr:colOff>600635</xdr:colOff>
      <xdr:row>30</xdr:row>
      <xdr:rowOff>87966</xdr:rowOff>
    </xdr:to>
    <xdr:graphicFrame macro="">
      <xdr:nvGraphicFramePr>
        <xdr:cNvPr id="56" name="Chart 55">
          <a:extLst>
            <a:ext uri="{FF2B5EF4-FFF2-40B4-BE49-F238E27FC236}">
              <a16:creationId xmlns:a16="http://schemas.microsoft.com/office/drawing/2014/main" id="{00000000-0008-0000-0B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75</xdr:col>
      <xdr:colOff>186177</xdr:colOff>
      <xdr:row>7</xdr:row>
      <xdr:rowOff>114300</xdr:rowOff>
    </xdr:from>
    <xdr:to>
      <xdr:col>84</xdr:col>
      <xdr:colOff>6163</xdr:colOff>
      <xdr:row>32</xdr:row>
      <xdr:rowOff>28575</xdr:rowOff>
    </xdr:to>
    <xdr:graphicFrame macro="">
      <xdr:nvGraphicFramePr>
        <xdr:cNvPr id="84" name="Chart 83">
          <a:extLst>
            <a:ext uri="{FF2B5EF4-FFF2-40B4-BE49-F238E27FC236}">
              <a16:creationId xmlns:a16="http://schemas.microsoft.com/office/drawing/2014/main" id="{00000000-0008-0000-0B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119</xdr:col>
      <xdr:colOff>355369</xdr:colOff>
      <xdr:row>7</xdr:row>
      <xdr:rowOff>88367</xdr:rowOff>
    </xdr:from>
    <xdr:to>
      <xdr:col>128</xdr:col>
      <xdr:colOff>477930</xdr:colOff>
      <xdr:row>32</xdr:row>
      <xdr:rowOff>136712</xdr:rowOff>
    </xdr:to>
    <xdr:graphicFrame macro="">
      <xdr:nvGraphicFramePr>
        <xdr:cNvPr id="87" name="Chart 86">
          <a:extLst>
            <a:ext uri="{FF2B5EF4-FFF2-40B4-BE49-F238E27FC236}">
              <a16:creationId xmlns:a16="http://schemas.microsoft.com/office/drawing/2014/main" id="{00000000-0008-0000-0B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53</xdr:col>
      <xdr:colOff>397329</xdr:colOff>
      <xdr:row>36</xdr:row>
      <xdr:rowOff>20490</xdr:rowOff>
    </xdr:from>
    <xdr:to>
      <xdr:col>63</xdr:col>
      <xdr:colOff>590550</xdr:colOff>
      <xdr:row>60</xdr:row>
      <xdr:rowOff>114300</xdr:rowOff>
    </xdr:to>
    <xdr:graphicFrame macro="">
      <xdr:nvGraphicFramePr>
        <xdr:cNvPr id="89" name="Chart 88">
          <a:extLst>
            <a:ext uri="{FF2B5EF4-FFF2-40B4-BE49-F238E27FC236}">
              <a16:creationId xmlns:a16="http://schemas.microsoft.com/office/drawing/2014/main" id="{00000000-0008-0000-0B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119</xdr:col>
      <xdr:colOff>180973</xdr:colOff>
      <xdr:row>34</xdr:row>
      <xdr:rowOff>75588</xdr:rowOff>
    </xdr:from>
    <xdr:to>
      <xdr:col>128</xdr:col>
      <xdr:colOff>590550</xdr:colOff>
      <xdr:row>57</xdr:row>
      <xdr:rowOff>69850</xdr:rowOff>
    </xdr:to>
    <xdr:graphicFrame macro="">
      <xdr:nvGraphicFramePr>
        <xdr:cNvPr id="93" name="Chart 92">
          <a:extLst>
            <a:ext uri="{FF2B5EF4-FFF2-40B4-BE49-F238E27FC236}">
              <a16:creationId xmlns:a16="http://schemas.microsoft.com/office/drawing/2014/main" id="{00000000-0008-0000-0B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64</xdr:col>
      <xdr:colOff>203308</xdr:colOff>
      <xdr:row>61</xdr:row>
      <xdr:rowOff>123264</xdr:rowOff>
    </xdr:from>
    <xdr:to>
      <xdr:col>74</xdr:col>
      <xdr:colOff>180976</xdr:colOff>
      <xdr:row>80</xdr:row>
      <xdr:rowOff>19049</xdr:rowOff>
    </xdr:to>
    <xdr:graphicFrame macro="">
      <xdr:nvGraphicFramePr>
        <xdr:cNvPr id="94" name="Chart 93">
          <a:extLst>
            <a:ext uri="{FF2B5EF4-FFF2-40B4-BE49-F238E27FC236}">
              <a16:creationId xmlns:a16="http://schemas.microsoft.com/office/drawing/2014/main" id="{00000000-0008-0000-0B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109</xdr:col>
      <xdr:colOff>157209</xdr:colOff>
      <xdr:row>34</xdr:row>
      <xdr:rowOff>40902</xdr:rowOff>
    </xdr:from>
    <xdr:to>
      <xdr:col>119</xdr:col>
      <xdr:colOff>26894</xdr:colOff>
      <xdr:row>56</xdr:row>
      <xdr:rowOff>106457</xdr:rowOff>
    </xdr:to>
    <xdr:graphicFrame macro="">
      <xdr:nvGraphicFramePr>
        <xdr:cNvPr id="96" name="Chart_Adj_EBITDA">
          <a:extLst>
            <a:ext uri="{FF2B5EF4-FFF2-40B4-BE49-F238E27FC236}">
              <a16:creationId xmlns:a16="http://schemas.microsoft.com/office/drawing/2014/main" id="{00000000-0008-0000-0B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64</xdr:col>
      <xdr:colOff>225879</xdr:colOff>
      <xdr:row>36</xdr:row>
      <xdr:rowOff>8723</xdr:rowOff>
    </xdr:from>
    <xdr:to>
      <xdr:col>74</xdr:col>
      <xdr:colOff>209550</xdr:colOff>
      <xdr:row>60</xdr:row>
      <xdr:rowOff>66675</xdr:rowOff>
    </xdr:to>
    <xdr:graphicFrame macro="">
      <xdr:nvGraphicFramePr>
        <xdr:cNvPr id="98" name="Chart 97">
          <a:extLst>
            <a:ext uri="{FF2B5EF4-FFF2-40B4-BE49-F238E27FC236}">
              <a16:creationId xmlns:a16="http://schemas.microsoft.com/office/drawing/2014/main" id="{00000000-0008-0000-0B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53</xdr:col>
      <xdr:colOff>347660</xdr:colOff>
      <xdr:row>5</xdr:row>
      <xdr:rowOff>66675</xdr:rowOff>
    </xdr:from>
    <xdr:to>
      <xdr:col>64</xdr:col>
      <xdr:colOff>276224</xdr:colOff>
      <xdr:row>32</xdr:row>
      <xdr:rowOff>0</xdr:rowOff>
    </xdr:to>
    <xdr:graphicFrame macro="">
      <xdr:nvGraphicFramePr>
        <xdr:cNvPr id="7" name="Chart 6">
          <a:extLst>
            <a:ext uri="{FF2B5EF4-FFF2-40B4-BE49-F238E27FC236}">
              <a16:creationId xmlns:a16="http://schemas.microsoft.com/office/drawing/2014/main" id="{E0436F17-DAEB-A1FF-881E-BA45FC4DB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65</xdr:col>
      <xdr:colOff>42181</xdr:colOff>
      <xdr:row>5</xdr:row>
      <xdr:rowOff>104774</xdr:rowOff>
    </xdr:from>
    <xdr:to>
      <xdr:col>75</xdr:col>
      <xdr:colOff>133350</xdr:colOff>
      <xdr:row>32</xdr:row>
      <xdr:rowOff>55896</xdr:rowOff>
    </xdr:to>
    <xdr:graphicFrame macro="">
      <xdr:nvGraphicFramePr>
        <xdr:cNvPr id="12" name="Chart 11">
          <a:extLst>
            <a:ext uri="{FF2B5EF4-FFF2-40B4-BE49-F238E27FC236}">
              <a16:creationId xmlns:a16="http://schemas.microsoft.com/office/drawing/2014/main" id="{B8EC91E1-166F-B172-C98F-D067D6B41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98</xdr:col>
      <xdr:colOff>324970</xdr:colOff>
      <xdr:row>5</xdr:row>
      <xdr:rowOff>123266</xdr:rowOff>
    </xdr:from>
    <xdr:to>
      <xdr:col>108</xdr:col>
      <xdr:colOff>215152</xdr:colOff>
      <xdr:row>28</xdr:row>
      <xdr:rowOff>120464</xdr:rowOff>
    </xdr:to>
    <xdr:graphicFrame macro="">
      <xdr:nvGraphicFramePr>
        <xdr:cNvPr id="17" name="Chart 16">
          <a:extLst>
            <a:ext uri="{FF2B5EF4-FFF2-40B4-BE49-F238E27FC236}">
              <a16:creationId xmlns:a16="http://schemas.microsoft.com/office/drawing/2014/main" id="{1F6C64C4-C7AF-43A5-ADBB-8509BD088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120</xdr:col>
      <xdr:colOff>189805</xdr:colOff>
      <xdr:row>82</xdr:row>
      <xdr:rowOff>101441</xdr:rowOff>
    </xdr:from>
    <xdr:to>
      <xdr:col>128</xdr:col>
      <xdr:colOff>114300</xdr:colOff>
      <xdr:row>100</xdr:row>
      <xdr:rowOff>115510</xdr:rowOff>
    </xdr:to>
    <xdr:pic>
      <xdr:nvPicPr>
        <xdr:cNvPr id="31" name="Picture 2">
          <a:extLst>
            <a:ext uri="{FF2B5EF4-FFF2-40B4-BE49-F238E27FC236}">
              <a16:creationId xmlns:a16="http://schemas.microsoft.com/office/drawing/2014/main" id="{C4344137-A641-46D0-AA5D-DA56713220F5}"/>
            </a:ext>
          </a:extLst>
        </xdr:cNvPr>
        <xdr:cNvPicPr>
          <a:picLocks noChangeAspect="1"/>
        </xdr:cNvPicPr>
      </xdr:nvPicPr>
      <xdr:blipFill>
        <a:blip xmlns:r="http://schemas.openxmlformats.org/officeDocument/2006/relationships" r:embed="rId20"/>
        <a:stretch>
          <a:fillRect/>
        </a:stretch>
      </xdr:blipFill>
      <xdr:spPr>
        <a:xfrm>
          <a:off x="72313105" y="12598241"/>
          <a:ext cx="4801295" cy="2757269"/>
        </a:xfrm>
        <a:prstGeom prst="rect">
          <a:avLst/>
        </a:prstGeom>
      </xdr:spPr>
    </xdr:pic>
    <xdr:clientData/>
  </xdr:twoCellAnchor>
  <xdr:twoCellAnchor>
    <xdr:from>
      <xdr:col>99</xdr:col>
      <xdr:colOff>196142</xdr:colOff>
      <xdr:row>124</xdr:row>
      <xdr:rowOff>70118</xdr:rowOff>
    </xdr:from>
    <xdr:to>
      <xdr:col>107</xdr:col>
      <xdr:colOff>304800</xdr:colOff>
      <xdr:row>143</xdr:row>
      <xdr:rowOff>114300</xdr:rowOff>
    </xdr:to>
    <xdr:graphicFrame macro="">
      <xdr:nvGraphicFramePr>
        <xdr:cNvPr id="13" name="Chart 2">
          <a:extLst>
            <a:ext uri="{FF2B5EF4-FFF2-40B4-BE49-F238E27FC236}">
              <a16:creationId xmlns:a16="http://schemas.microsoft.com/office/drawing/2014/main" id="{6D7B5B5D-92ED-4EFA-6EF1-8F16CB03D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53</xdr:col>
      <xdr:colOff>596565</xdr:colOff>
      <xdr:row>79</xdr:row>
      <xdr:rowOff>104775</xdr:rowOff>
    </xdr:from>
    <xdr:to>
      <xdr:col>63</xdr:col>
      <xdr:colOff>161925</xdr:colOff>
      <xdr:row>100</xdr:row>
      <xdr:rowOff>57150</xdr:rowOff>
    </xdr:to>
    <xdr:graphicFrame macro="">
      <xdr:nvGraphicFramePr>
        <xdr:cNvPr id="6" name="Chart 5">
          <a:extLst>
            <a:ext uri="{FF2B5EF4-FFF2-40B4-BE49-F238E27FC236}">
              <a16:creationId xmlns:a16="http://schemas.microsoft.com/office/drawing/2014/main" id="{ED01DDB3-627E-9E65-E7E1-7AE04EBA94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129</xdr:col>
      <xdr:colOff>368300</xdr:colOff>
      <xdr:row>58</xdr:row>
      <xdr:rowOff>63500</xdr:rowOff>
    </xdr:from>
    <xdr:to>
      <xdr:col>138</xdr:col>
      <xdr:colOff>376481</xdr:colOff>
      <xdr:row>81</xdr:row>
      <xdr:rowOff>56656</xdr:rowOff>
    </xdr:to>
    <xdr:graphicFrame macro="">
      <xdr:nvGraphicFramePr>
        <xdr:cNvPr id="9" name="Chart 8">
          <a:extLst>
            <a:ext uri="{FF2B5EF4-FFF2-40B4-BE49-F238E27FC236}">
              <a16:creationId xmlns:a16="http://schemas.microsoft.com/office/drawing/2014/main" id="{DFBF684D-F73F-4313-B9DE-09C7350C1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139</xdr:col>
      <xdr:colOff>117475</xdr:colOff>
      <xdr:row>59</xdr:row>
      <xdr:rowOff>38100</xdr:rowOff>
    </xdr:from>
    <xdr:to>
      <xdr:col>148</xdr:col>
      <xdr:colOff>371475</xdr:colOff>
      <xdr:row>81</xdr:row>
      <xdr:rowOff>114300</xdr:rowOff>
    </xdr:to>
    <xdr:graphicFrame macro="">
      <xdr:nvGraphicFramePr>
        <xdr:cNvPr id="15" name="Chart 14">
          <a:extLst>
            <a:ext uri="{FF2B5EF4-FFF2-40B4-BE49-F238E27FC236}">
              <a16:creationId xmlns:a16="http://schemas.microsoft.com/office/drawing/2014/main" id="{9A47BC7E-BFE1-4680-BFF9-C0D6DA98B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109</xdr:col>
      <xdr:colOff>232041</xdr:colOff>
      <xdr:row>103</xdr:row>
      <xdr:rowOff>116541</xdr:rowOff>
    </xdr:from>
    <xdr:to>
      <xdr:col>117</xdr:col>
      <xdr:colOff>589429</xdr:colOff>
      <xdr:row>123</xdr:row>
      <xdr:rowOff>67235</xdr:rowOff>
    </xdr:to>
    <xdr:graphicFrame macro="">
      <xdr:nvGraphicFramePr>
        <xdr:cNvPr id="19" name="Chart 7">
          <a:extLst>
            <a:ext uri="{FF2B5EF4-FFF2-40B4-BE49-F238E27FC236}">
              <a16:creationId xmlns:a16="http://schemas.microsoft.com/office/drawing/2014/main" id="{26909985-FC5F-2E8B-AD2F-648DC51C90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129</xdr:col>
      <xdr:colOff>209550</xdr:colOff>
      <xdr:row>8</xdr:row>
      <xdr:rowOff>140073</xdr:rowOff>
    </xdr:from>
    <xdr:to>
      <xdr:col>138</xdr:col>
      <xdr:colOff>397807</xdr:colOff>
      <xdr:row>31</xdr:row>
      <xdr:rowOff>114300</xdr:rowOff>
    </xdr:to>
    <xdr:graphicFrame macro="">
      <xdr:nvGraphicFramePr>
        <xdr:cNvPr id="14" name="Chart 13">
          <a:extLst>
            <a:ext uri="{FF2B5EF4-FFF2-40B4-BE49-F238E27FC236}">
              <a16:creationId xmlns:a16="http://schemas.microsoft.com/office/drawing/2014/main" id="{21380926-571C-46D1-9C17-6B612F535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138</xdr:col>
      <xdr:colOff>523874</xdr:colOff>
      <xdr:row>9</xdr:row>
      <xdr:rowOff>28575</xdr:rowOff>
    </xdr:from>
    <xdr:to>
      <xdr:col>149</xdr:col>
      <xdr:colOff>31749</xdr:colOff>
      <xdr:row>31</xdr:row>
      <xdr:rowOff>88900</xdr:rowOff>
    </xdr:to>
    <xdr:graphicFrame macro="">
      <xdr:nvGraphicFramePr>
        <xdr:cNvPr id="18" name="Chart 17">
          <a:extLst>
            <a:ext uri="{FF2B5EF4-FFF2-40B4-BE49-F238E27FC236}">
              <a16:creationId xmlns:a16="http://schemas.microsoft.com/office/drawing/2014/main" id="{609C864E-22E6-474F-8F0E-6156BFDC5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148</xdr:col>
      <xdr:colOff>511174</xdr:colOff>
      <xdr:row>34</xdr:row>
      <xdr:rowOff>85724</xdr:rowOff>
    </xdr:from>
    <xdr:to>
      <xdr:col>160</xdr:col>
      <xdr:colOff>76200</xdr:colOff>
      <xdr:row>57</xdr:row>
      <xdr:rowOff>25399</xdr:rowOff>
    </xdr:to>
    <xdr:graphicFrame macro="">
      <xdr:nvGraphicFramePr>
        <xdr:cNvPr id="20" name="Chart 19">
          <a:extLst>
            <a:ext uri="{FF2B5EF4-FFF2-40B4-BE49-F238E27FC236}">
              <a16:creationId xmlns:a16="http://schemas.microsoft.com/office/drawing/2014/main" id="{B9302B33-152D-44FF-933E-111CDC275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149</xdr:col>
      <xdr:colOff>58207</xdr:colOff>
      <xdr:row>58</xdr:row>
      <xdr:rowOff>70908</xdr:rowOff>
    </xdr:from>
    <xdr:to>
      <xdr:col>159</xdr:col>
      <xdr:colOff>508000</xdr:colOff>
      <xdr:row>83</xdr:row>
      <xdr:rowOff>50799</xdr:rowOff>
    </xdr:to>
    <xdr:graphicFrame macro="">
      <xdr:nvGraphicFramePr>
        <xdr:cNvPr id="22" name="Chart 21">
          <a:extLst>
            <a:ext uri="{FF2B5EF4-FFF2-40B4-BE49-F238E27FC236}">
              <a16:creationId xmlns:a16="http://schemas.microsoft.com/office/drawing/2014/main" id="{EF30E128-CCCF-4813-8B12-450283EB02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139</xdr:col>
      <xdr:colOff>126208</xdr:colOff>
      <xdr:row>36</xdr:row>
      <xdr:rowOff>69850</xdr:rowOff>
    </xdr:from>
    <xdr:to>
      <xdr:col>148</xdr:col>
      <xdr:colOff>133350</xdr:colOff>
      <xdr:row>57</xdr:row>
      <xdr:rowOff>31750</xdr:rowOff>
    </xdr:to>
    <xdr:graphicFrame macro="">
      <xdr:nvGraphicFramePr>
        <xdr:cNvPr id="24" name="Chart 23">
          <a:extLst>
            <a:ext uri="{FF2B5EF4-FFF2-40B4-BE49-F238E27FC236}">
              <a16:creationId xmlns:a16="http://schemas.microsoft.com/office/drawing/2014/main" id="{49B32458-D4CB-412A-9622-98F0AD550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148</xdr:col>
      <xdr:colOff>495300</xdr:colOff>
      <xdr:row>9</xdr:row>
      <xdr:rowOff>88900</xdr:rowOff>
    </xdr:from>
    <xdr:to>
      <xdr:col>160</xdr:col>
      <xdr:colOff>194734</xdr:colOff>
      <xdr:row>31</xdr:row>
      <xdr:rowOff>127000</xdr:rowOff>
    </xdr:to>
    <xdr:graphicFrame macro="">
      <xdr:nvGraphicFramePr>
        <xdr:cNvPr id="26" name="Chart 25">
          <a:extLst>
            <a:ext uri="{FF2B5EF4-FFF2-40B4-BE49-F238E27FC236}">
              <a16:creationId xmlns:a16="http://schemas.microsoft.com/office/drawing/2014/main" id="{3BE33889-9BC2-4822-9A48-3BDC45562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129</xdr:col>
      <xdr:colOff>292100</xdr:colOff>
      <xdr:row>82</xdr:row>
      <xdr:rowOff>31749</xdr:rowOff>
    </xdr:from>
    <xdr:to>
      <xdr:col>138</xdr:col>
      <xdr:colOff>552450</xdr:colOff>
      <xdr:row>103</xdr:row>
      <xdr:rowOff>120650</xdr:rowOff>
    </xdr:to>
    <xdr:graphicFrame macro="">
      <xdr:nvGraphicFramePr>
        <xdr:cNvPr id="28" name="Chart 27">
          <a:extLst>
            <a:ext uri="{FF2B5EF4-FFF2-40B4-BE49-F238E27FC236}">
              <a16:creationId xmlns:a16="http://schemas.microsoft.com/office/drawing/2014/main" id="{EF5FEC0A-F352-41FE-99FE-DC1FA9CD8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98</xdr:col>
      <xdr:colOff>257735</xdr:colOff>
      <xdr:row>79</xdr:row>
      <xdr:rowOff>100853</xdr:rowOff>
    </xdr:from>
    <xdr:to>
      <xdr:col>108</xdr:col>
      <xdr:colOff>224117</xdr:colOff>
      <xdr:row>100</xdr:row>
      <xdr:rowOff>44822</xdr:rowOff>
    </xdr:to>
    <xdr:graphicFrame macro="">
      <xdr:nvGraphicFramePr>
        <xdr:cNvPr id="30" name="Chart_FCF">
          <a:extLst>
            <a:ext uri="{FF2B5EF4-FFF2-40B4-BE49-F238E27FC236}">
              <a16:creationId xmlns:a16="http://schemas.microsoft.com/office/drawing/2014/main" id="{3354E930-F1AA-47AD-A078-F5546DFD7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118</xdr:col>
      <xdr:colOff>519684</xdr:colOff>
      <xdr:row>100</xdr:row>
      <xdr:rowOff>123825</xdr:rowOff>
    </xdr:from>
    <xdr:to>
      <xdr:col>128</xdr:col>
      <xdr:colOff>594741</xdr:colOff>
      <xdr:row>121</xdr:row>
      <xdr:rowOff>142876</xdr:rowOff>
    </xdr:to>
    <xdr:graphicFrame macro="">
      <xdr:nvGraphicFramePr>
        <xdr:cNvPr id="2" name="Chart 1">
          <a:extLst>
            <a:ext uri="{FF2B5EF4-FFF2-40B4-BE49-F238E27FC236}">
              <a16:creationId xmlns:a16="http://schemas.microsoft.com/office/drawing/2014/main" id="{91B7CC83-6037-4B09-ABA6-A77B90DAA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64</xdr:col>
      <xdr:colOff>110643</xdr:colOff>
      <xdr:row>79</xdr:row>
      <xdr:rowOff>107976</xdr:rowOff>
    </xdr:from>
    <xdr:to>
      <xdr:col>72</xdr:col>
      <xdr:colOff>232258</xdr:colOff>
      <xdr:row>98</xdr:row>
      <xdr:rowOff>133350</xdr:rowOff>
    </xdr:to>
    <xdr:graphicFrame macro="">
      <xdr:nvGraphicFramePr>
        <xdr:cNvPr id="25" name="Chart 24">
          <a:extLst>
            <a:ext uri="{FF2B5EF4-FFF2-40B4-BE49-F238E27FC236}">
              <a16:creationId xmlns:a16="http://schemas.microsoft.com/office/drawing/2014/main" id="{0461CE48-8F5E-DA85-C3B1-ED054D97E9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118</xdr:col>
      <xdr:colOff>447675</xdr:colOff>
      <xdr:row>123</xdr:row>
      <xdr:rowOff>9525</xdr:rowOff>
    </xdr:from>
    <xdr:to>
      <xdr:col>128</xdr:col>
      <xdr:colOff>495300</xdr:colOff>
      <xdr:row>145</xdr:row>
      <xdr:rowOff>85725</xdr:rowOff>
    </xdr:to>
    <xdr:graphicFrame macro="">
      <xdr:nvGraphicFramePr>
        <xdr:cNvPr id="67" name="Chart 15">
          <a:extLst>
            <a:ext uri="{FF2B5EF4-FFF2-40B4-BE49-F238E27FC236}">
              <a16:creationId xmlns:a16="http://schemas.microsoft.com/office/drawing/2014/main" id="{10136EFC-C0FA-4144-AE86-54A45A33E7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109</xdr:col>
      <xdr:colOff>13942</xdr:colOff>
      <xdr:row>123</xdr:row>
      <xdr:rowOff>136365</xdr:rowOff>
    </xdr:from>
    <xdr:to>
      <xdr:col>118</xdr:col>
      <xdr:colOff>146251</xdr:colOff>
      <xdr:row>145</xdr:row>
      <xdr:rowOff>51412</xdr:rowOff>
    </xdr:to>
    <xdr:graphicFrame macro="">
      <xdr:nvGraphicFramePr>
        <xdr:cNvPr id="66" name="Chart 26">
          <a:extLst>
            <a:ext uri="{FF2B5EF4-FFF2-40B4-BE49-F238E27FC236}">
              <a16:creationId xmlns:a16="http://schemas.microsoft.com/office/drawing/2014/main" id="{51D29F1F-8B82-B1BC-EC53-D7746A4F00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109</xdr:col>
      <xdr:colOff>95249</xdr:colOff>
      <xdr:row>81</xdr:row>
      <xdr:rowOff>24652</xdr:rowOff>
    </xdr:from>
    <xdr:to>
      <xdr:col>119</xdr:col>
      <xdr:colOff>22413</xdr:colOff>
      <xdr:row>104</xdr:row>
      <xdr:rowOff>64249</xdr:rowOff>
    </xdr:to>
    <xdr:graphicFrame macro="">
      <xdr:nvGraphicFramePr>
        <xdr:cNvPr id="5" name="Chart 4">
          <a:extLst>
            <a:ext uri="{FF2B5EF4-FFF2-40B4-BE49-F238E27FC236}">
              <a16:creationId xmlns:a16="http://schemas.microsoft.com/office/drawing/2014/main" id="{DC567534-CFE5-6B1F-553B-AFC6BFC3D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99</xdr:col>
      <xdr:colOff>78922</xdr:colOff>
      <xdr:row>146</xdr:row>
      <xdr:rowOff>50346</xdr:rowOff>
    </xdr:from>
    <xdr:to>
      <xdr:col>107</xdr:col>
      <xdr:colOff>190500</xdr:colOff>
      <xdr:row>166</xdr:row>
      <xdr:rowOff>114300</xdr:rowOff>
    </xdr:to>
    <xdr:graphicFrame macro="">
      <xdr:nvGraphicFramePr>
        <xdr:cNvPr id="176" name="Chart 12">
          <a:extLst>
            <a:ext uri="{FF2B5EF4-FFF2-40B4-BE49-F238E27FC236}">
              <a16:creationId xmlns:a16="http://schemas.microsoft.com/office/drawing/2014/main" id="{7D4C08B1-DE39-DC2A-FE35-5B6E446296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108</xdr:col>
      <xdr:colOff>22410</xdr:colOff>
      <xdr:row>147</xdr:row>
      <xdr:rowOff>60263</xdr:rowOff>
    </xdr:from>
    <xdr:to>
      <xdr:col>118</xdr:col>
      <xdr:colOff>414617</xdr:colOff>
      <xdr:row>166</xdr:row>
      <xdr:rowOff>38101</xdr:rowOff>
    </xdr:to>
    <xdr:graphicFrame macro="">
      <xdr:nvGraphicFramePr>
        <xdr:cNvPr id="108" name="Chart 28">
          <a:extLst>
            <a:ext uri="{FF2B5EF4-FFF2-40B4-BE49-F238E27FC236}">
              <a16:creationId xmlns:a16="http://schemas.microsoft.com/office/drawing/2014/main" id="{CAB396F1-2439-8C8F-4143-5CBE7B1D5B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119</xdr:col>
      <xdr:colOff>160242</xdr:colOff>
      <xdr:row>145</xdr:row>
      <xdr:rowOff>133356</xdr:rowOff>
    </xdr:from>
    <xdr:to>
      <xdr:col>128</xdr:col>
      <xdr:colOff>342900</xdr:colOff>
      <xdr:row>166</xdr:row>
      <xdr:rowOff>76200</xdr:rowOff>
    </xdr:to>
    <xdr:graphicFrame macro="">
      <xdr:nvGraphicFramePr>
        <xdr:cNvPr id="175" name="Chart 33">
          <a:extLst>
            <a:ext uri="{FF2B5EF4-FFF2-40B4-BE49-F238E27FC236}">
              <a16:creationId xmlns:a16="http://schemas.microsoft.com/office/drawing/2014/main" id="{F71EEEA4-2205-619C-9570-2318EF6619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54</xdr:col>
      <xdr:colOff>307399</xdr:colOff>
      <xdr:row>124</xdr:row>
      <xdr:rowOff>87457</xdr:rowOff>
    </xdr:from>
    <xdr:to>
      <xdr:col>62</xdr:col>
      <xdr:colOff>78799</xdr:colOff>
      <xdr:row>143</xdr:row>
      <xdr:rowOff>106507</xdr:rowOff>
    </xdr:to>
    <xdr:graphicFrame macro="">
      <xdr:nvGraphicFramePr>
        <xdr:cNvPr id="191" name="Chart 34">
          <a:extLst>
            <a:ext uri="{FF2B5EF4-FFF2-40B4-BE49-F238E27FC236}">
              <a16:creationId xmlns:a16="http://schemas.microsoft.com/office/drawing/2014/main" id="{C0419D51-58A1-BA2F-34BE-2B8A485AB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99</xdr:col>
      <xdr:colOff>103467</xdr:colOff>
      <xdr:row>171</xdr:row>
      <xdr:rowOff>2248</xdr:rowOff>
    </xdr:from>
    <xdr:to>
      <xdr:col>107</xdr:col>
      <xdr:colOff>447675</xdr:colOff>
      <xdr:row>190</xdr:row>
      <xdr:rowOff>38100</xdr:rowOff>
    </xdr:to>
    <xdr:graphicFrame macro="">
      <xdr:nvGraphicFramePr>
        <xdr:cNvPr id="3" name="Chart 2">
          <a:extLst>
            <a:ext uri="{FF2B5EF4-FFF2-40B4-BE49-F238E27FC236}">
              <a16:creationId xmlns:a16="http://schemas.microsoft.com/office/drawing/2014/main" id="{75122229-F825-7D4B-17E9-54AB106EE9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118</xdr:col>
      <xdr:colOff>514351</xdr:colOff>
      <xdr:row>168</xdr:row>
      <xdr:rowOff>2148</xdr:rowOff>
    </xdr:from>
    <xdr:to>
      <xdr:col>127</xdr:col>
      <xdr:colOff>533401</xdr:colOff>
      <xdr:row>188</xdr:row>
      <xdr:rowOff>133350</xdr:rowOff>
    </xdr:to>
    <xdr:graphicFrame macro="">
      <xdr:nvGraphicFramePr>
        <xdr:cNvPr id="8" name="Chart 7">
          <a:extLst>
            <a:ext uri="{FF2B5EF4-FFF2-40B4-BE49-F238E27FC236}">
              <a16:creationId xmlns:a16="http://schemas.microsoft.com/office/drawing/2014/main" id="{FB03F968-94B9-ADED-594D-C45023498B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98</xdr:col>
      <xdr:colOff>414617</xdr:colOff>
      <xdr:row>101</xdr:row>
      <xdr:rowOff>44823</xdr:rowOff>
    </xdr:from>
    <xdr:to>
      <xdr:col>108</xdr:col>
      <xdr:colOff>22411</xdr:colOff>
      <xdr:row>123</xdr:row>
      <xdr:rowOff>67235</xdr:rowOff>
    </xdr:to>
    <xdr:graphicFrame macro="">
      <xdr:nvGraphicFramePr>
        <xdr:cNvPr id="16" name="Chart 15">
          <a:extLst>
            <a:ext uri="{FF2B5EF4-FFF2-40B4-BE49-F238E27FC236}">
              <a16:creationId xmlns:a16="http://schemas.microsoft.com/office/drawing/2014/main" id="{666AEA3E-E855-4F35-B5D3-6BC5FE73F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53</xdr:col>
      <xdr:colOff>368113</xdr:colOff>
      <xdr:row>99</xdr:row>
      <xdr:rowOff>136151</xdr:rowOff>
    </xdr:from>
    <xdr:to>
      <xdr:col>62</xdr:col>
      <xdr:colOff>295275</xdr:colOff>
      <xdr:row>118</xdr:row>
      <xdr:rowOff>100293</xdr:rowOff>
    </xdr:to>
    <xdr:graphicFrame macro="">
      <xdr:nvGraphicFramePr>
        <xdr:cNvPr id="21" name="Chart 20">
          <a:extLst>
            <a:ext uri="{FF2B5EF4-FFF2-40B4-BE49-F238E27FC236}">
              <a16:creationId xmlns:a16="http://schemas.microsoft.com/office/drawing/2014/main" id="{A3BF9429-6FE0-4B1C-40E3-61694212B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63</xdr:col>
      <xdr:colOff>333375</xdr:colOff>
      <xdr:row>100</xdr:row>
      <xdr:rowOff>133351</xdr:rowOff>
    </xdr:from>
    <xdr:to>
      <xdr:col>73</xdr:col>
      <xdr:colOff>581025</xdr:colOff>
      <xdr:row>126</xdr:row>
      <xdr:rowOff>19051</xdr:rowOff>
    </xdr:to>
    <xdr:graphicFrame macro="">
      <xdr:nvGraphicFramePr>
        <xdr:cNvPr id="23" name="Chart 22">
          <a:extLst>
            <a:ext uri="{FF2B5EF4-FFF2-40B4-BE49-F238E27FC236}">
              <a16:creationId xmlns:a16="http://schemas.microsoft.com/office/drawing/2014/main" id="{E6972677-FD75-231A-64BA-586ABAB17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73</xdr:col>
      <xdr:colOff>523874</xdr:colOff>
      <xdr:row>99</xdr:row>
      <xdr:rowOff>95250</xdr:rowOff>
    </xdr:from>
    <xdr:to>
      <xdr:col>83</xdr:col>
      <xdr:colOff>262217</xdr:colOff>
      <xdr:row>123</xdr:row>
      <xdr:rowOff>85725</xdr:rowOff>
    </xdr:to>
    <xdr:graphicFrame macro="">
      <xdr:nvGraphicFramePr>
        <xdr:cNvPr id="32" name="Chart 31">
          <a:extLst>
            <a:ext uri="{FF2B5EF4-FFF2-40B4-BE49-F238E27FC236}">
              <a16:creationId xmlns:a16="http://schemas.microsoft.com/office/drawing/2014/main" id="{CE7B1829-69D7-488F-BE1D-E4E8D2240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74</xdr:col>
      <xdr:colOff>452719</xdr:colOff>
      <xdr:row>80</xdr:row>
      <xdr:rowOff>103660</xdr:rowOff>
    </xdr:from>
    <xdr:to>
      <xdr:col>83</xdr:col>
      <xdr:colOff>9525</xdr:colOff>
      <xdr:row>97</xdr:row>
      <xdr:rowOff>76200</xdr:rowOff>
    </xdr:to>
    <xdr:graphicFrame macro="">
      <xdr:nvGraphicFramePr>
        <xdr:cNvPr id="10" name="Chart 9">
          <a:extLst>
            <a:ext uri="{FF2B5EF4-FFF2-40B4-BE49-F238E27FC236}">
              <a16:creationId xmlns:a16="http://schemas.microsoft.com/office/drawing/2014/main" id="{6A30C5EF-CC19-2EE1-67E7-47E63617B2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108</xdr:col>
      <xdr:colOff>170330</xdr:colOff>
      <xdr:row>168</xdr:row>
      <xdr:rowOff>4482</xdr:rowOff>
    </xdr:from>
    <xdr:to>
      <xdr:col>118</xdr:col>
      <xdr:colOff>171450</xdr:colOff>
      <xdr:row>189</xdr:row>
      <xdr:rowOff>114300</xdr:rowOff>
    </xdr:to>
    <xdr:graphicFrame macro="">
      <xdr:nvGraphicFramePr>
        <xdr:cNvPr id="11" name="Chart 10">
          <a:extLst>
            <a:ext uri="{FF2B5EF4-FFF2-40B4-BE49-F238E27FC236}">
              <a16:creationId xmlns:a16="http://schemas.microsoft.com/office/drawing/2014/main" id="{6323FBBE-DCAD-230A-C39A-9EEEF5639C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128</xdr:col>
      <xdr:colOff>421342</xdr:colOff>
      <xdr:row>195</xdr:row>
      <xdr:rowOff>76200</xdr:rowOff>
    </xdr:from>
    <xdr:to>
      <xdr:col>137</xdr:col>
      <xdr:colOff>38100</xdr:colOff>
      <xdr:row>216</xdr:row>
      <xdr:rowOff>0</xdr:rowOff>
    </xdr:to>
    <xdr:graphicFrame macro="">
      <xdr:nvGraphicFramePr>
        <xdr:cNvPr id="27" name="Chart 26">
          <a:extLst>
            <a:ext uri="{FF2B5EF4-FFF2-40B4-BE49-F238E27FC236}">
              <a16:creationId xmlns:a16="http://schemas.microsoft.com/office/drawing/2014/main" id="{D6982E86-C7C3-B9B4-78FD-6C49BCC0A5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119</xdr:col>
      <xdr:colOff>0</xdr:colOff>
      <xdr:row>191</xdr:row>
      <xdr:rowOff>76201</xdr:rowOff>
    </xdr:from>
    <xdr:to>
      <xdr:col>128</xdr:col>
      <xdr:colOff>228600</xdr:colOff>
      <xdr:row>215</xdr:row>
      <xdr:rowOff>38101</xdr:rowOff>
    </xdr:to>
    <xdr:graphicFrame macro="">
      <xdr:nvGraphicFramePr>
        <xdr:cNvPr id="29" name="Chart 28">
          <a:extLst>
            <a:ext uri="{FF2B5EF4-FFF2-40B4-BE49-F238E27FC236}">
              <a16:creationId xmlns:a16="http://schemas.microsoft.com/office/drawing/2014/main" id="{1A405885-5B56-C757-7907-2462EDE12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99</xdr:col>
      <xdr:colOff>119902</xdr:colOff>
      <xdr:row>193</xdr:row>
      <xdr:rowOff>61632</xdr:rowOff>
    </xdr:from>
    <xdr:to>
      <xdr:col>107</xdr:col>
      <xdr:colOff>514350</xdr:colOff>
      <xdr:row>215</xdr:row>
      <xdr:rowOff>76200</xdr:rowOff>
    </xdr:to>
    <xdr:graphicFrame macro="">
      <xdr:nvGraphicFramePr>
        <xdr:cNvPr id="33" name="Chart 32">
          <a:extLst>
            <a:ext uri="{FF2B5EF4-FFF2-40B4-BE49-F238E27FC236}">
              <a16:creationId xmlns:a16="http://schemas.microsoft.com/office/drawing/2014/main" id="{7E006DEE-E8C2-D5A0-F4F8-3A0533EBD6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108</xdr:col>
      <xdr:colOff>90767</xdr:colOff>
      <xdr:row>191</xdr:row>
      <xdr:rowOff>114300</xdr:rowOff>
    </xdr:from>
    <xdr:to>
      <xdr:col>118</xdr:col>
      <xdr:colOff>323850</xdr:colOff>
      <xdr:row>216</xdr:row>
      <xdr:rowOff>19049</xdr:rowOff>
    </xdr:to>
    <xdr:graphicFrame macro="">
      <xdr:nvGraphicFramePr>
        <xdr:cNvPr id="34" name="Chart 33">
          <a:extLst>
            <a:ext uri="{FF2B5EF4-FFF2-40B4-BE49-F238E27FC236}">
              <a16:creationId xmlns:a16="http://schemas.microsoft.com/office/drawing/2014/main" id="{CB7DAF10-B684-A771-EE99-E7B49CE46B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xdr:col>
      <xdr:colOff>306469</xdr:colOff>
      <xdr:row>227</xdr:row>
      <xdr:rowOff>62120</xdr:rowOff>
    </xdr:from>
    <xdr:to>
      <xdr:col>14</xdr:col>
      <xdr:colOff>249319</xdr:colOff>
      <xdr:row>245</xdr:row>
      <xdr:rowOff>62120</xdr:rowOff>
    </xdr:to>
    <xdr:graphicFrame macro="">
      <xdr:nvGraphicFramePr>
        <xdr:cNvPr id="35" name="Chart 34">
          <a:extLst>
            <a:ext uri="{FF2B5EF4-FFF2-40B4-BE49-F238E27FC236}">
              <a16:creationId xmlns:a16="http://schemas.microsoft.com/office/drawing/2014/main" id="{E9C17CCC-A377-A6E0-587A-E5D1E49131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98</xdr:col>
      <xdr:colOff>33337</xdr:colOff>
      <xdr:row>223</xdr:row>
      <xdr:rowOff>57150</xdr:rowOff>
    </xdr:from>
    <xdr:to>
      <xdr:col>108</xdr:col>
      <xdr:colOff>66675</xdr:colOff>
      <xdr:row>245</xdr:row>
      <xdr:rowOff>133350</xdr:rowOff>
    </xdr:to>
    <xdr:graphicFrame macro="">
      <xdr:nvGraphicFramePr>
        <xdr:cNvPr id="36" name="Chart 35">
          <a:extLst>
            <a:ext uri="{FF2B5EF4-FFF2-40B4-BE49-F238E27FC236}">
              <a16:creationId xmlns:a16="http://schemas.microsoft.com/office/drawing/2014/main" id="{F40B7447-F809-BBD8-FAC9-EEDAF71852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ewstreet1385.sharepoint.com/sites/USInternet/Shared%20Documents/General/Valuation%20&amp;%20Industry%20Models/Comps.xlsm" TargetMode="External"/><Relationship Id="rId1" Type="http://schemas.openxmlformats.org/officeDocument/2006/relationships/externalLinkPath" Target="/sites/USInternet/Shared%20Documents/General/Valuation%20&amp;%20Industry%20Models/Comps.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newstreet1385.sharepoint.com/sites/USInternet/Shared%20Documents/General/Valuation%20&amp;%20Industry%20Models/NSR%20eCommerce%20Industry%20Model.xlsx" TargetMode="External"/><Relationship Id="rId1" Type="http://schemas.openxmlformats.org/officeDocument/2006/relationships/externalLinkPath" Target="/sites/USInternet/Shared%20Documents/General/Valuation%20&amp;%20Industry%20Models/NSR%20eCommerce%20Industry%20Mode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ax\Desktop\GOOGL%20scratch%20local.xlsm" TargetMode="External"/><Relationship Id="rId1" Type="http://schemas.openxmlformats.org/officeDocument/2006/relationships/externalLinkPath" Target="file:///C:\Users\Max\Desktop\GOOGL%20scratch%20loc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x\AppData\Local\FactSet\Cache\browser\downlo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_FDSCACHE__"/>
      <sheetName val="Summary Tables"/>
      <sheetName val="Growth vs Multiples"/>
      <sheetName val="Coverage List"/>
      <sheetName val="Trading Data"/>
      <sheetName val="Growth"/>
      <sheetName val="Estimates"/>
      <sheetName val="Multiples"/>
      <sheetName val="Balance Sheet"/>
      <sheetName val="Bal Sheet Ratios"/>
      <sheetName val="ROIC"/>
      <sheetName val="Vs Consensus"/>
      <sheetName val="LinkingMetadata"/>
    </sheetNames>
    <sheetDataSet>
      <sheetData sheetId="0"/>
      <sheetData sheetId="1"/>
      <sheetData sheetId="2"/>
      <sheetData sheetId="3">
        <row r="7">
          <cell r="V7">
            <v>5.5E-2</v>
          </cell>
        </row>
        <row r="8">
          <cell r="V8">
            <v>4.2000000000000003E-2</v>
          </cell>
        </row>
      </sheetData>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_FDSCACHE__"/>
      <sheetName val="Global eComm Annual"/>
      <sheetName val="Estimate Changes"/>
      <sheetName val="Quarterly Data"/>
      <sheetName val="Quarterly Exhibits"/>
      <sheetName val="Quarterly Tables"/>
      <sheetName val="Census eComm Penetration Data"/>
      <sheetName val="US eComm Penetration"/>
      <sheetName val="Vertical Data"/>
      <sheetName val="Sheet1"/>
      <sheetName val="Sheet3"/>
      <sheetName val="Pivot_census_monthly"/>
      <sheetName val="Census retail monthly"/>
    </sheetNames>
    <sheetDataSet>
      <sheetData sheetId="0" refreshError="1"/>
      <sheetData sheetId="1">
        <row r="5">
          <cell r="R5">
            <v>2015</v>
          </cell>
          <cell r="S5" t="str">
            <v>2016A</v>
          </cell>
          <cell r="T5" t="str">
            <v>2017A</v>
          </cell>
          <cell r="U5" t="str">
            <v>2018A</v>
          </cell>
          <cell r="V5" t="str">
            <v>2019A</v>
          </cell>
          <cell r="W5" t="str">
            <v>2020A</v>
          </cell>
          <cell r="X5" t="str">
            <v>2021A</v>
          </cell>
          <cell r="Y5" t="str">
            <v>2022A</v>
          </cell>
          <cell r="Z5" t="str">
            <v>2023A</v>
          </cell>
          <cell r="AA5" t="str">
            <v>2024E</v>
          </cell>
          <cell r="AB5" t="str">
            <v>2025E</v>
          </cell>
          <cell r="AC5" t="str">
            <v>2026E</v>
          </cell>
          <cell r="AD5" t="str">
            <v>2027E</v>
          </cell>
          <cell r="AE5" t="str">
            <v>2028E</v>
          </cell>
          <cell r="AF5" t="str">
            <v>2029E</v>
          </cell>
          <cell r="AG5" t="str">
            <v>2030E</v>
          </cell>
        </row>
        <row r="6">
          <cell r="B6" t="str">
            <v>Global</v>
          </cell>
        </row>
        <row r="7">
          <cell r="B7" t="str">
            <v>eCommerce Sales</v>
          </cell>
          <cell r="S7">
            <v>2028.0441573639719</v>
          </cell>
          <cell r="T7">
            <v>2442.7433728264641</v>
          </cell>
          <cell r="U7">
            <v>2918.6938176961239</v>
          </cell>
          <cell r="V7">
            <v>3385.753536994278</v>
          </cell>
          <cell r="W7">
            <v>4156.0773225643943</v>
          </cell>
          <cell r="X7">
            <v>4802.722455494878</v>
          </cell>
          <cell r="Y7">
            <v>5311</v>
          </cell>
          <cell r="Z7">
            <v>5784</v>
          </cell>
          <cell r="AA7">
            <v>6304.56</v>
          </cell>
          <cell r="AB7">
            <v>6808.9248000000007</v>
          </cell>
          <cell r="AC7">
            <v>7285.5495360000014</v>
          </cell>
          <cell r="AD7">
            <v>7795.5380035200023</v>
          </cell>
          <cell r="AE7">
            <v>8302.2479737488029</v>
          </cell>
          <cell r="AF7">
            <v>8800.3828521737323</v>
          </cell>
          <cell r="AG7">
            <v>9284.4039090432871</v>
          </cell>
        </row>
        <row r="8">
          <cell r="B8" t="str">
            <v>y/y growth %</v>
          </cell>
          <cell r="T8">
            <v>0.20448234026694645</v>
          </cell>
          <cell r="U8">
            <v>0.19484258975552726</v>
          </cell>
          <cell r="V8">
            <v>0.16002354082718706</v>
          </cell>
          <cell r="W8">
            <v>0.22751915553013813</v>
          </cell>
          <cell r="X8">
            <v>0.15559025560465001</v>
          </cell>
          <cell r="Y8">
            <v>0.10583112999244682</v>
          </cell>
          <cell r="Z8">
            <v>8.9060440594991519E-2</v>
          </cell>
          <cell r="AA8">
            <v>0.09</v>
          </cell>
          <cell r="AB8">
            <v>0.08</v>
          </cell>
          <cell r="AC8">
            <v>7.0000000000000007E-2</v>
          </cell>
          <cell r="AD8">
            <v>7.0000000000000007E-2</v>
          </cell>
          <cell r="AE8">
            <v>6.5000000000000002E-2</v>
          </cell>
          <cell r="AF8">
            <v>6.0000000000000005E-2</v>
          </cell>
          <cell r="AG8">
            <v>5.5000000000000007E-2</v>
          </cell>
        </row>
        <row r="9">
          <cell r="B9" t="str">
            <v>% of Retail Sales</v>
          </cell>
          <cell r="S9">
            <v>0.10155545361750075</v>
          </cell>
          <cell r="T9">
            <v>0.11518532870390573</v>
          </cell>
          <cell r="U9">
            <v>0.130059803763592</v>
          </cell>
          <cell r="V9">
            <v>0.14419880353415315</v>
          </cell>
          <cell r="W9">
            <v>0.17773604970465803</v>
          </cell>
          <cell r="X9">
            <v>0.18167599530220035</v>
          </cell>
          <cell r="Y9">
            <v>0.18833333333333332</v>
          </cell>
          <cell r="Z9">
            <v>0.19747354045749402</v>
          </cell>
          <cell r="AA9">
            <v>0.20288765129212141</v>
          </cell>
          <cell r="AB9">
            <v>0.21026640865142793</v>
          </cell>
          <cell r="AC9">
            <v>0.21599626290391685</v>
          </cell>
          <cell r="AD9">
            <v>0.22148837244688493</v>
          </cell>
          <cell r="AE9">
            <v>0.22637727126289101</v>
          </cell>
          <cell r="AF9">
            <v>0.23050903702081127</v>
          </cell>
          <cell r="AG9">
            <v>0.23383368659322679</v>
          </cell>
        </row>
        <row r="11">
          <cell r="B11" t="str">
            <v>Retail Sales</v>
          </cell>
          <cell r="S11">
            <v>19969.820281660235</v>
          </cell>
          <cell r="T11">
            <v>21207.070382251164</v>
          </cell>
          <cell r="U11">
            <v>22441.167318700522</v>
          </cell>
          <cell r="V11">
            <v>23479.7616485935</v>
          </cell>
          <cell r="W11">
            <v>23383.423506207662</v>
          </cell>
          <cell r="X11">
            <v>26435.646864111113</v>
          </cell>
          <cell r="Y11">
            <v>28200</v>
          </cell>
          <cell r="Z11">
            <v>29290</v>
          </cell>
          <cell r="AA11">
            <v>31074.143546186446</v>
          </cell>
          <cell r="AB11">
            <v>32382.370744190484</v>
          </cell>
          <cell r="AC11">
            <v>33729.9795748822</v>
          </cell>
          <cell r="AD11">
            <v>35196.150106658301</v>
          </cell>
          <cell r="AE11">
            <v>36674.388411137952</v>
          </cell>
          <cell r="AF11">
            <v>38178.038335994606</v>
          </cell>
          <cell r="AG11">
            <v>39705.159869434392</v>
          </cell>
        </row>
        <row r="12">
          <cell r="B12" t="str">
            <v>y/y growth %</v>
          </cell>
          <cell r="T12">
            <v>6.1955995754613191E-2</v>
          </cell>
          <cell r="U12">
            <v>5.8192711874159198E-2</v>
          </cell>
          <cell r="V12">
            <v>4.6280762276902809E-2</v>
          </cell>
          <cell r="W12">
            <v>-4.1030289756628369E-3</v>
          </cell>
          <cell r="X12">
            <v>0.13052936226781209</v>
          </cell>
          <cell r="Y12">
            <v>6.6741439880715125E-2</v>
          </cell>
          <cell r="Z12">
            <v>3.8652482269503574E-2</v>
          </cell>
          <cell r="AA12">
            <v>6.0913060641394567E-2</v>
          </cell>
          <cell r="AB12">
            <v>4.2100185192862405E-2</v>
          </cell>
          <cell r="AC12">
            <v>4.1615508677155244E-2</v>
          </cell>
          <cell r="AD12">
            <v>4.3467874877336721E-2</v>
          </cell>
          <cell r="AE12">
            <v>4.2000000000000003E-2</v>
          </cell>
          <cell r="AF12">
            <v>4.1000000000000002E-2</v>
          </cell>
          <cell r="AG12">
            <v>0.04</v>
          </cell>
        </row>
        <row r="14">
          <cell r="B14" t="str">
            <v>Global (ex. China)</v>
          </cell>
        </row>
        <row r="15">
          <cell r="B15" t="str">
            <v>eCommerce Sales</v>
          </cell>
          <cell r="S15">
            <v>1377.5888857653381</v>
          </cell>
          <cell r="T15">
            <v>1622.6261052788095</v>
          </cell>
          <cell r="U15">
            <v>1901.7464703867895</v>
          </cell>
          <cell r="V15">
            <v>2183.3176368371851</v>
          </cell>
          <cell r="W15">
            <v>2769.1852005556111</v>
          </cell>
          <cell r="X15">
            <v>3276.4079632175203</v>
          </cell>
          <cell r="Y15">
            <v>3632</v>
          </cell>
          <cell r="Z15">
            <v>3937</v>
          </cell>
          <cell r="AA15">
            <v>4341.3467600000004</v>
          </cell>
          <cell r="AB15">
            <v>4730.2054833817438</v>
          </cell>
          <cell r="AC15">
            <v>5093.7241726907887</v>
          </cell>
          <cell r="AD15">
            <v>5484.4592373649057</v>
          </cell>
          <cell r="AE15">
            <v>5866.370954221331</v>
          </cell>
          <cell r="AF15">
            <v>6234.1864121015406</v>
          </cell>
          <cell r="AG15">
            <v>6582.199057647269</v>
          </cell>
        </row>
        <row r="16">
          <cell r="B16" t="str">
            <v>y/y growth %</v>
          </cell>
          <cell r="T16">
            <v>0.17787398116045172</v>
          </cell>
          <cell r="U16">
            <v>0.17201767197010542</v>
          </cell>
          <cell r="V16">
            <v>0.14805925544487941</v>
          </cell>
          <cell r="W16">
            <v>0.26833821787247136</v>
          </cell>
          <cell r="X16">
            <v>0.18316678948021958</v>
          </cell>
          <cell r="Y16">
            <v>0.10853106230192378</v>
          </cell>
          <cell r="Z16">
            <v>8.3975770925110105E-2</v>
          </cell>
          <cell r="AA16">
            <v>0.10270428244856489</v>
          </cell>
          <cell r="AB16">
            <v>8.9570989114387878E-2</v>
          </cell>
          <cell r="AC16">
            <v>7.6850506935938867E-2</v>
          </cell>
          <cell r="AD16">
            <v>7.670911329847474E-2</v>
          </cell>
          <cell r="AE16">
            <v>6.9635254877000508E-2</v>
          </cell>
          <cell r="AF16">
            <v>6.2698977059324257E-2</v>
          </cell>
          <cell r="AG16">
            <v>5.5823265866766558E-2</v>
          </cell>
        </row>
        <row r="17">
          <cell r="B17" t="str">
            <v>% of Retail Sales</v>
          </cell>
          <cell r="S17">
            <v>8.7374371159328779E-2</v>
          </cell>
          <cell r="T17">
            <v>9.7884288683772525E-2</v>
          </cell>
          <cell r="U17">
            <v>0.10931257302885246</v>
          </cell>
          <cell r="V17">
            <v>0.12113394434893757</v>
          </cell>
          <cell r="W17">
            <v>0.15283623669917518</v>
          </cell>
          <cell r="X17">
            <v>0.15942538667703751</v>
          </cell>
          <cell r="Y17">
            <v>0.16497842380195321</v>
          </cell>
          <cell r="Z17">
            <v>0.17374227714033538</v>
          </cell>
          <cell r="AA17">
            <v>0.18020694227280665</v>
          </cell>
          <cell r="AB17">
            <v>0.18876955579967758</v>
          </cell>
          <cell r="AC17">
            <v>0.195308345347292</v>
          </cell>
          <cell r="AD17">
            <v>0.20158347116454678</v>
          </cell>
          <cell r="AE17">
            <v>0.2070464350109158</v>
          </cell>
          <cell r="AF17">
            <v>0.21151171533894836</v>
          </cell>
          <cell r="AG17">
            <v>0.21491286278919874</v>
          </cell>
        </row>
        <row r="19">
          <cell r="B19" t="str">
            <v>Retail Sales</v>
          </cell>
          <cell r="S19">
            <v>15766.509875685164</v>
          </cell>
          <cell r="T19">
            <v>16576.982139809043</v>
          </cell>
          <cell r="U19">
            <v>17397.326013768186</v>
          </cell>
          <cell r="V19">
            <v>18023.99524404106</v>
          </cell>
          <cell r="W19">
            <v>18118.642936793509</v>
          </cell>
          <cell r="X19">
            <v>20551.356540566765</v>
          </cell>
          <cell r="Y19">
            <v>22015</v>
          </cell>
          <cell r="Z19">
            <v>22660</v>
          </cell>
          <cell r="AA19">
            <v>24090.896306468836</v>
          </cell>
          <cell r="AB19">
            <v>25058.095111488434</v>
          </cell>
          <cell r="AC19">
            <v>26080.422542279321</v>
          </cell>
          <cell r="AD19">
            <v>27206.889561337593</v>
          </cell>
          <cell r="AE19">
            <v>28333.600401823132</v>
          </cell>
          <cell r="AF19">
            <v>29474.426048274596</v>
          </cell>
          <cell r="AG19">
            <v>30627.292253342421</v>
          </cell>
        </row>
        <row r="20">
          <cell r="B20" t="str">
            <v>y/y growth %</v>
          </cell>
          <cell r="T20">
            <v>5.1404671706943406E-2</v>
          </cell>
          <cell r="U20">
            <v>4.9486925125479697E-2</v>
          </cell>
          <cell r="V20">
            <v>3.6021008618044581E-2</v>
          </cell>
          <cell r="W20">
            <v>5.2512049338084843E-3</v>
          </cell>
          <cell r="X20">
            <v>0.13426577322924937</v>
          </cell>
          <cell r="Y20">
            <v>7.1218824730334251E-2</v>
          </cell>
          <cell r="Z20">
            <v>2.929820576879405E-2</v>
          </cell>
          <cell r="AA20">
            <v>6.314635068264951E-2</v>
          </cell>
          <cell r="AB20">
            <v>4.0147896230821711E-2</v>
          </cell>
          <cell r="AC20">
            <v>4.0798289983430491E-2</v>
          </cell>
          <cell r="AD20">
            <v>4.3192054010326775E-2</v>
          </cell>
          <cell r="AE20">
            <v>4.1412703129675377E-2</v>
          </cell>
          <cell r="AF20">
            <v>4.0264055053803149E-2</v>
          </cell>
          <cell r="AG20">
            <v>3.9114118903608386E-2</v>
          </cell>
        </row>
        <row r="22">
          <cell r="B22" t="str">
            <v>China</v>
          </cell>
        </row>
        <row r="23">
          <cell r="B23" t="str">
            <v>eCommerce Sales</v>
          </cell>
          <cell r="S23">
            <v>650.45527159863377</v>
          </cell>
          <cell r="T23">
            <v>820.11726754765471</v>
          </cell>
          <cell r="U23">
            <v>1016.9473473093343</v>
          </cell>
          <cell r="V23">
            <v>1202.4359001570931</v>
          </cell>
          <cell r="W23">
            <v>1386.8921220087832</v>
          </cell>
          <cell r="X23">
            <v>1526.3144922773577</v>
          </cell>
          <cell r="Y23">
            <v>1679</v>
          </cell>
          <cell r="Z23">
            <v>1847</v>
          </cell>
          <cell r="AA23">
            <v>1963.2132400000003</v>
          </cell>
          <cell r="AB23">
            <v>2078.7193166182569</v>
          </cell>
          <cell r="AC23">
            <v>2191.8253633092122</v>
          </cell>
          <cell r="AD23">
            <v>2311.0787661550967</v>
          </cell>
          <cell r="AE23">
            <v>2435.8770195274719</v>
          </cell>
          <cell r="AF23">
            <v>2566.1964400721918</v>
          </cell>
          <cell r="AG23">
            <v>2702.2048513960176</v>
          </cell>
        </row>
        <row r="24">
          <cell r="B24" t="str">
            <v>y/y growth %</v>
          </cell>
          <cell r="T24">
            <v>0.2608357612846155</v>
          </cell>
          <cell r="U24">
            <v>0.2400023600896104</v>
          </cell>
          <cell r="V24">
            <v>0.18239740074894661</v>
          </cell>
          <cell r="W24">
            <v>0.15340212466011005</v>
          </cell>
          <cell r="X24">
            <v>0.10052863381085064</v>
          </cell>
          <cell r="Y24">
            <v>0.10003541766469493</v>
          </cell>
          <cell r="Z24">
            <v>0.10005955926146526</v>
          </cell>
          <cell r="AA24">
            <v>6.2920000000000004E-2</v>
          </cell>
          <cell r="AB24">
            <v>5.8835216809283823E-2</v>
          </cell>
          <cell r="AC24">
            <v>5.4411408883697103E-2</v>
          </cell>
          <cell r="AD24">
            <v>5.4408259363253324E-2</v>
          </cell>
          <cell r="AE24">
            <v>5.3999999999999999E-2</v>
          </cell>
          <cell r="AF24">
            <v>5.3499999999999999E-2</v>
          </cell>
          <cell r="AG24">
            <v>5.2999999999999999E-2</v>
          </cell>
        </row>
        <row r="25">
          <cell r="B25" t="str">
            <v>% of Retail Sales</v>
          </cell>
          <cell r="S25">
            <v>0.15474833138042851</v>
          </cell>
          <cell r="T25">
            <v>0.17712778344697094</v>
          </cell>
          <cell r="U25">
            <v>0.2016215986642699</v>
          </cell>
          <cell r="V25">
            <v>0.22039724779157482</v>
          </cell>
          <cell r="W25">
            <v>0.26342828608393676</v>
          </cell>
          <cell r="X25">
            <v>0.25938803294090285</v>
          </cell>
          <cell r="Y25">
            <v>0.27146321746160063</v>
          </cell>
          <cell r="Z25">
            <v>0.27858220211161389</v>
          </cell>
          <cell r="AA25">
            <v>0.28113185350707842</v>
          </cell>
          <cell r="AB25">
            <v>0.28381227316692093</v>
          </cell>
          <cell r="AC25">
            <v>0.28652971067050265</v>
          </cell>
          <cell r="AD25">
            <v>0.28927317528888086</v>
          </cell>
          <cell r="AE25">
            <v>0.29204399114413832</v>
          </cell>
          <cell r="AF25">
            <v>0.2948426877530903</v>
          </cell>
          <cell r="AG25">
            <v>0.29766955916011895</v>
          </cell>
        </row>
        <row r="27">
          <cell r="B27" t="str">
            <v>Retail Sales</v>
          </cell>
          <cell r="S27">
            <v>4203.3104059750713</v>
          </cell>
          <cell r="T27">
            <v>4630.0882424421234</v>
          </cell>
          <cell r="U27">
            <v>5043.8413049323335</v>
          </cell>
          <cell r="V27">
            <v>5455.7664045524389</v>
          </cell>
          <cell r="W27">
            <v>5264.7805694141543</v>
          </cell>
          <cell r="X27">
            <v>5884.2903235443491</v>
          </cell>
          <cell r="Y27">
            <v>6185</v>
          </cell>
          <cell r="Z27">
            <v>6630</v>
          </cell>
          <cell r="AA27">
            <v>6983.247239717608</v>
          </cell>
          <cell r="AB27">
            <v>7324.2756327020497</v>
          </cell>
          <cell r="AC27">
            <v>7649.5570326028801</v>
          </cell>
          <cell r="AD27">
            <v>7989.260545320707</v>
          </cell>
          <cell r="AE27">
            <v>8340.7880093148178</v>
          </cell>
          <cell r="AF27">
            <v>8703.6122877200123</v>
          </cell>
          <cell r="AG27">
            <v>9077.8676160919731</v>
          </cell>
        </row>
        <row r="28">
          <cell r="B28" t="str">
            <v>y/y growth %</v>
          </cell>
          <cell r="T28">
            <v>0.10153374251408631</v>
          </cell>
          <cell r="U28">
            <v>8.9361809284217442E-2</v>
          </cell>
          <cell r="V28">
            <v>8.1668925471007014E-2</v>
          </cell>
          <cell r="W28">
            <v>-3.5006233950727994E-2</v>
          </cell>
          <cell r="X28">
            <v>0.11767057448305618</v>
          </cell>
          <cell r="Y28">
            <v>5.1103813700769551E-2</v>
          </cell>
          <cell r="Z28">
            <v>7.1948261924009715E-2</v>
          </cell>
          <cell r="AA28">
            <v>5.3280126654239535E-2</v>
          </cell>
          <cell r="AB28">
            <v>4.8835216809283821E-2</v>
          </cell>
          <cell r="AC28">
            <v>4.4411408883697101E-2</v>
          </cell>
          <cell r="AD28">
            <v>4.4408259363253322E-2</v>
          </cell>
          <cell r="AE28">
            <v>4.3999999999999997E-2</v>
          </cell>
          <cell r="AF28">
            <v>4.3499999999999997E-2</v>
          </cell>
          <cell r="AG28">
            <v>4.2999999999999997E-2</v>
          </cell>
        </row>
        <row r="30">
          <cell r="B30" t="str">
            <v>U.S.</v>
          </cell>
        </row>
        <row r="31">
          <cell r="B31" t="str">
            <v>eCommerce Sales</v>
          </cell>
          <cell r="S31">
            <v>383.5</v>
          </cell>
          <cell r="T31">
            <v>443.2</v>
          </cell>
          <cell r="U31">
            <v>506.1</v>
          </cell>
          <cell r="V31">
            <v>578.5</v>
          </cell>
          <cell r="W31">
            <v>762.7</v>
          </cell>
          <cell r="X31">
            <v>960.4</v>
          </cell>
          <cell r="Y31">
            <v>1040</v>
          </cell>
          <cell r="Z31">
            <v>1119</v>
          </cell>
          <cell r="AA31">
            <v>1208.52</v>
          </cell>
          <cell r="AB31">
            <v>1299.1589999999999</v>
          </cell>
          <cell r="AC31">
            <v>1390.10013</v>
          </cell>
          <cell r="AD31">
            <v>1487.4071391000002</v>
          </cell>
          <cell r="AE31">
            <v>1591.5256388370003</v>
          </cell>
          <cell r="AF31">
            <v>1702.9324335555905</v>
          </cell>
          <cell r="AG31">
            <v>1822.1377039044819</v>
          </cell>
        </row>
        <row r="32">
          <cell r="B32" t="str">
            <v>y/y growth %</v>
          </cell>
          <cell r="T32">
            <v>0.15567144719687098</v>
          </cell>
          <cell r="U32">
            <v>0.14192238267148016</v>
          </cell>
          <cell r="V32">
            <v>0.14305473226635046</v>
          </cell>
          <cell r="W32">
            <v>0.31840968020743299</v>
          </cell>
          <cell r="X32">
            <v>0.25921069883309289</v>
          </cell>
          <cell r="Y32">
            <v>8.2882132444814793E-2</v>
          </cell>
          <cell r="Z32">
            <v>7.5961538461538414E-2</v>
          </cell>
          <cell r="AA32">
            <v>0.08</v>
          </cell>
          <cell r="AB32">
            <v>7.4999999999999997E-2</v>
          </cell>
          <cell r="AC32">
            <v>7.0000000000000007E-2</v>
          </cell>
          <cell r="AD32">
            <v>7.0000000000000007E-2</v>
          </cell>
          <cell r="AE32">
            <v>7.0000000000000007E-2</v>
          </cell>
          <cell r="AF32">
            <v>7.0000000000000007E-2</v>
          </cell>
          <cell r="AG32">
            <v>7.0000000000000007E-2</v>
          </cell>
        </row>
        <row r="33">
          <cell r="B33" t="str">
            <v>% of Retail Sales</v>
          </cell>
          <cell r="S33">
            <v>7.910321907817007E-2</v>
          </cell>
          <cell r="T33">
            <v>8.7932774282996715E-2</v>
          </cell>
          <cell r="U33">
            <v>9.6300489494189359E-2</v>
          </cell>
          <cell r="V33">
            <v>0.10708457478631213</v>
          </cell>
          <cell r="W33">
            <v>0.13692032142076871</v>
          </cell>
          <cell r="X33">
            <v>0.14628984490443256</v>
          </cell>
          <cell r="Y33">
            <v>0.14772727272727273</v>
          </cell>
          <cell r="Z33">
            <v>0.15498614958448753</v>
          </cell>
          <cell r="AA33">
            <v>0.16094715533773704</v>
          </cell>
          <cell r="AB33">
            <v>0.1670059768224588</v>
          </cell>
          <cell r="AC33">
            <v>0.17265352193239705</v>
          </cell>
          <cell r="AD33">
            <v>0.17849204682866171</v>
          </cell>
          <cell r="AE33">
            <v>0.18470647012250294</v>
          </cell>
          <cell r="AF33">
            <v>0.19113725631632317</v>
          </cell>
          <cell r="AG33">
            <v>0.19798341167324865</v>
          </cell>
        </row>
        <row r="35">
          <cell r="B35" t="str">
            <v>Retail Sales</v>
          </cell>
          <cell r="S35">
            <v>4848.0959999999995</v>
          </cell>
          <cell r="T35">
            <v>5040.2139999999999</v>
          </cell>
          <cell r="U35">
            <v>5255.4249999999993</v>
          </cell>
          <cell r="V35">
            <v>5402.2719999999999</v>
          </cell>
          <cell r="W35">
            <v>5570.393</v>
          </cell>
          <cell r="X35">
            <v>6565.049</v>
          </cell>
          <cell r="Y35">
            <v>7040</v>
          </cell>
          <cell r="Z35">
            <v>7220</v>
          </cell>
          <cell r="AA35">
            <v>7508.8</v>
          </cell>
          <cell r="AB35">
            <v>7779.1168000000007</v>
          </cell>
          <cell r="AC35">
            <v>8051.3858879999998</v>
          </cell>
          <cell r="AD35">
            <v>8333.184394079999</v>
          </cell>
          <cell r="AE35">
            <v>8616.5126634787193</v>
          </cell>
          <cell r="AF35">
            <v>8909.4740940369957</v>
          </cell>
          <cell r="AG35">
            <v>9203.4867391402149</v>
          </cell>
        </row>
        <row r="36">
          <cell r="B36" t="str">
            <v>y/y growth %</v>
          </cell>
          <cell r="T36">
            <v>3.9627515626753373E-2</v>
          </cell>
          <cell r="U36">
            <v>4.2698782234246169E-2</v>
          </cell>
          <cell r="V36">
            <v>2.7941983759639077E-2</v>
          </cell>
          <cell r="W36">
            <v>3.1120424887899123E-2</v>
          </cell>
          <cell r="X36">
            <v>0.17856118948878463</v>
          </cell>
          <cell r="Y36">
            <v>7.2345385388593364E-2</v>
          </cell>
          <cell r="Z36">
            <v>2.5568181818181879E-2</v>
          </cell>
          <cell r="AA36">
            <v>4.0000000000000036E-2</v>
          </cell>
          <cell r="AB36">
            <v>3.6000000000000032E-2</v>
          </cell>
          <cell r="AC36">
            <v>3.499999999999992E-2</v>
          </cell>
          <cell r="AD36">
            <v>3.499999999999992E-2</v>
          </cell>
          <cell r="AE36">
            <v>3.4000000000000002E-2</v>
          </cell>
          <cell r="AF36">
            <v>3.4000000000000002E-2</v>
          </cell>
          <cell r="AG36">
            <v>3.3000000000000002E-2</v>
          </cell>
        </row>
        <row r="39">
          <cell r="B39" t="str">
            <v>eCommerce Sales</v>
          </cell>
        </row>
        <row r="40">
          <cell r="B40" t="str">
            <v>y/y growth %</v>
          </cell>
        </row>
        <row r="41">
          <cell r="B41" t="str">
            <v>% of Retail Sales</v>
          </cell>
        </row>
        <row r="43">
          <cell r="B43" t="str">
            <v>Retail Sales</v>
          </cell>
        </row>
        <row r="44">
          <cell r="B44" t="str">
            <v>y/y growth %</v>
          </cell>
        </row>
        <row r="63">
          <cell r="S63">
            <v>9.8046967660314728</v>
          </cell>
          <cell r="T63">
            <v>12.255870957539337</v>
          </cell>
          <cell r="U63">
            <v>14.390764608207483</v>
          </cell>
          <cell r="V63">
            <v>17.790780422234523</v>
          </cell>
          <cell r="W63">
            <v>31.153633272712895</v>
          </cell>
          <cell r="X63">
            <v>36.530402466988221</v>
          </cell>
          <cell r="Y63">
            <v>40.221747024029121</v>
          </cell>
          <cell r="Z63">
            <v>44.16347823238398</v>
          </cell>
          <cell r="AA63">
            <v>48.359008664460454</v>
          </cell>
          <cell r="AB63">
            <v>52.227729357617292</v>
          </cell>
          <cell r="AC63">
            <v>55.446277009296168</v>
          </cell>
          <cell r="AD63">
            <v>58.773053629853941</v>
          </cell>
          <cell r="AE63">
            <v>62.299436847645183</v>
          </cell>
          <cell r="AF63">
            <v>66.037403058503898</v>
          </cell>
          <cell r="AG63">
            <v>69.999647242014134</v>
          </cell>
        </row>
        <row r="64">
          <cell r="T64">
            <v>0.24999999999999956</v>
          </cell>
          <cell r="U64">
            <v>0.17419354838709711</v>
          </cell>
          <cell r="V64">
            <v>0.23626373626373609</v>
          </cell>
          <cell r="W64">
            <v>0.75111111111111106</v>
          </cell>
          <cell r="X64">
            <v>0.17258883248730972</v>
          </cell>
          <cell r="Y64">
            <v>0.10104855976817362</v>
          </cell>
          <cell r="Z64">
            <v>9.8000000000000087E-2</v>
          </cell>
          <cell r="AA64">
            <v>9.5000000000000001E-2</v>
          </cell>
          <cell r="AB64">
            <v>0.08</v>
          </cell>
          <cell r="AC64">
            <v>6.1625264802163127E-2</v>
          </cell>
          <cell r="AD64">
            <v>0.06</v>
          </cell>
          <cell r="AE64">
            <v>0.06</v>
          </cell>
          <cell r="AF64">
            <v>0.06</v>
          </cell>
          <cell r="AG64">
            <v>0.06</v>
          </cell>
        </row>
        <row r="65">
          <cell r="S65">
            <v>2.2553655874863594E-2</v>
          </cell>
          <cell r="T65">
            <v>2.6311322356136476E-2</v>
          </cell>
          <cell r="U65">
            <v>2.9944060546232321E-2</v>
          </cell>
          <cell r="V65">
            <v>3.6490431397988979E-2</v>
          </cell>
          <cell r="W65">
            <v>6.4760026298487816E-2</v>
          </cell>
          <cell r="X65">
            <v>6.7931186590207318E-2</v>
          </cell>
          <cell r="Y65">
            <v>6.9000000000000006E-2</v>
          </cell>
          <cell r="Z65">
            <v>7.101195856936407E-2</v>
          </cell>
          <cell r="AA65">
            <v>7.4577561950667573E-2</v>
          </cell>
          <cell r="AB65">
            <v>7.7238742003043259E-2</v>
          </cell>
          <cell r="AC65">
            <v>8.020946284931417E-2</v>
          </cell>
          <cell r="AD65">
            <v>8.2545660796381579E-2</v>
          </cell>
          <cell r="AE65">
            <v>8.5115175529342876E-2</v>
          </cell>
          <cell r="AF65">
            <v>8.7764675156715419E-2</v>
          </cell>
          <cell r="AG65">
            <v>9.058476695824573E-2</v>
          </cell>
        </row>
        <row r="67">
          <cell r="S67">
            <v>434.72760338420176</v>
          </cell>
          <cell r="T67">
            <v>465.80216652170481</v>
          </cell>
          <cell r="U67">
            <v>480.58828180596186</v>
          </cell>
          <cell r="V67">
            <v>487.54645370443581</v>
          </cell>
          <cell r="W67">
            <v>481.06270261722159</v>
          </cell>
          <cell r="X67">
            <v>537.75598956274223</v>
          </cell>
          <cell r="Y67">
            <v>582.92386991346541</v>
          </cell>
          <cell r="Z67">
            <v>621.91607050586208</v>
          </cell>
          <cell r="AA67">
            <v>648.43912028727254</v>
          </cell>
          <cell r="AB67">
            <v>676.18565506361415</v>
          </cell>
          <cell r="AC67">
            <v>691.26852418224689</v>
          </cell>
          <cell r="AD67">
            <v>712.00657990771435</v>
          </cell>
          <cell r="AE67">
            <v>731.94276414513035</v>
          </cell>
          <cell r="AF67">
            <v>752.43716154119397</v>
          </cell>
          <cell r="AG67">
            <v>772.75296490280618</v>
          </cell>
        </row>
        <row r="68">
          <cell r="T68">
            <v>7.1480538377592051E-2</v>
          </cell>
          <cell r="U68">
            <v>3.1743337294177332E-2</v>
          </cell>
          <cell r="V68">
            <v>1.4478446857518978E-2</v>
          </cell>
          <cell r="W68">
            <v>-1.3298734998377859E-2</v>
          </cell>
          <cell r="X68">
            <v>0.11785009861932938</v>
          </cell>
          <cell r="Y68">
            <v>8.399326316653366E-2</v>
          </cell>
          <cell r="Z68">
            <v>6.6890725538799822E-2</v>
          </cell>
          <cell r="AA68">
            <v>4.2647313744178961E-2</v>
          </cell>
          <cell r="AB68">
            <v>4.2789729842408697E-2</v>
          </cell>
          <cell r="AC68">
            <v>2.2305810550230953E-2</v>
          </cell>
          <cell r="AD68">
            <v>3.0000000000000027E-2</v>
          </cell>
          <cell r="AE68">
            <v>2.8000000000000001E-2</v>
          </cell>
          <cell r="AF68">
            <v>2.8000000000000001E-2</v>
          </cell>
          <cell r="AG68">
            <v>2.7E-2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_FDSCACHE__"/>
      <sheetName val="Summary"/>
      <sheetName val="DCF"/>
      <sheetName val="Scenario"/>
      <sheetName val="SOTP Scenarios"/>
      <sheetName val="Income"/>
      <sheetName val="Cash Flow"/>
      <sheetName val="Balance"/>
      <sheetName val="Google Services"/>
      <sheetName val="Search &amp; Other"/>
      <sheetName val="Google Cloud"/>
      <sheetName val="YouTube Summary"/>
      <sheetName val="YouTube Advertising"/>
      <sheetName val="Subs, Platforms &amp; Devices"/>
      <sheetName val="Other Bets"/>
      <sheetName val="Sheet1"/>
      <sheetName val="Estimate Changes"/>
      <sheetName val="Quarterly Flash"/>
      <sheetName val="Charts"/>
      <sheetName val="Consensus"/>
      <sheetName val="FX"/>
      <sheetName val="LinkingMetadata"/>
      <sheetName val="2nd Derivative"/>
    </sheetNames>
    <sheetDataSet>
      <sheetData sheetId="0"/>
      <sheetData sheetId="1"/>
      <sheetData sheetId="2"/>
      <sheetData sheetId="3"/>
      <sheetData sheetId="4"/>
      <sheetData sheetId="5">
        <row r="1">
          <cell r="A1"/>
          <cell r="B1"/>
          <cell r="C1"/>
          <cell r="D1"/>
          <cell r="E1"/>
          <cell r="O1">
            <v>2018</v>
          </cell>
          <cell r="P1">
            <v>43555</v>
          </cell>
          <cell r="Q1">
            <v>43646</v>
          </cell>
          <cell r="R1">
            <v>43738</v>
          </cell>
          <cell r="S1">
            <v>43830</v>
          </cell>
          <cell r="T1">
            <v>2019</v>
          </cell>
          <cell r="U1">
            <v>43921</v>
          </cell>
          <cell r="V1">
            <v>44012</v>
          </cell>
          <cell r="W1">
            <v>44104</v>
          </cell>
          <cell r="X1">
            <v>44196</v>
          </cell>
          <cell r="Y1">
            <v>2020</v>
          </cell>
          <cell r="Z1">
            <v>44286</v>
          </cell>
          <cell r="AA1">
            <v>44377</v>
          </cell>
          <cell r="AB1">
            <v>44469</v>
          </cell>
          <cell r="AC1">
            <v>44561</v>
          </cell>
          <cell r="AD1">
            <v>2021</v>
          </cell>
          <cell r="AE1">
            <v>44651</v>
          </cell>
          <cell r="AF1">
            <v>44742</v>
          </cell>
          <cell r="AG1">
            <v>44834</v>
          </cell>
          <cell r="AH1">
            <v>44926</v>
          </cell>
          <cell r="AI1">
            <v>2022</v>
          </cell>
          <cell r="AJ1">
            <v>45016</v>
          </cell>
          <cell r="AK1">
            <v>45107</v>
          </cell>
          <cell r="AL1">
            <v>45199</v>
          </cell>
          <cell r="AM1">
            <v>45291</v>
          </cell>
          <cell r="AN1">
            <v>2023</v>
          </cell>
          <cell r="AO1">
            <v>45382</v>
          </cell>
          <cell r="AP1">
            <v>45473</v>
          </cell>
          <cell r="AQ1">
            <v>45565</v>
          </cell>
          <cell r="AR1">
            <v>45657</v>
          </cell>
          <cell r="AS1">
            <v>2024</v>
          </cell>
          <cell r="AT1">
            <v>45747</v>
          </cell>
          <cell r="AU1">
            <v>45838</v>
          </cell>
          <cell r="AV1">
            <v>45930</v>
          </cell>
          <cell r="AW1">
            <v>46022</v>
          </cell>
          <cell r="AX1">
            <v>2025</v>
          </cell>
          <cell r="AY1">
            <v>46112</v>
          </cell>
          <cell r="AZ1">
            <v>46203</v>
          </cell>
          <cell r="BA1">
            <v>46295</v>
          </cell>
          <cell r="BB1">
            <v>46387</v>
          </cell>
          <cell r="BC1">
            <v>2026</v>
          </cell>
          <cell r="BD1">
            <v>46477</v>
          </cell>
          <cell r="BE1">
            <v>46568</v>
          </cell>
          <cell r="BF1">
            <v>46660</v>
          </cell>
          <cell r="BG1">
            <v>46752</v>
          </cell>
          <cell r="BH1">
            <v>2027</v>
          </cell>
        </row>
        <row r="2">
          <cell r="A2"/>
          <cell r="B2"/>
          <cell r="C2"/>
          <cell r="D2"/>
          <cell r="E2" t="str">
            <v>Alphabet</v>
          </cell>
          <cell r="O2" t="str">
            <v>FY18A</v>
          </cell>
          <cell r="P2" t="str">
            <v>1Q19A</v>
          </cell>
          <cell r="Q2" t="str">
            <v>2Q19A</v>
          </cell>
          <cell r="R2" t="str">
            <v>3Q19A</v>
          </cell>
          <cell r="S2" t="str">
            <v>4Q19A</v>
          </cell>
          <cell r="T2" t="str">
            <v>FY19A</v>
          </cell>
          <cell r="U2" t="str">
            <v>1Q20A</v>
          </cell>
          <cell r="V2" t="str">
            <v>2Q20A</v>
          </cell>
          <cell r="W2" t="str">
            <v>3Q20A</v>
          </cell>
          <cell r="X2" t="str">
            <v>4Q20A</v>
          </cell>
          <cell r="Y2" t="str">
            <v>FY20A</v>
          </cell>
          <cell r="Z2" t="str">
            <v>1Q21A</v>
          </cell>
          <cell r="AA2" t="str">
            <v>2Q21A</v>
          </cell>
          <cell r="AB2" t="str">
            <v>3Q21A</v>
          </cell>
          <cell r="AC2" t="str">
            <v>4Q21A</v>
          </cell>
          <cell r="AD2" t="str">
            <v>FY21A</v>
          </cell>
          <cell r="AE2" t="str">
            <v>1Q22A</v>
          </cell>
          <cell r="AF2" t="str">
            <v>2Q22A</v>
          </cell>
          <cell r="AG2" t="str">
            <v>3Q22A</v>
          </cell>
          <cell r="AH2" t="str">
            <v>4Q22A</v>
          </cell>
          <cell r="AI2" t="str">
            <v>FY22E</v>
          </cell>
          <cell r="AJ2" t="str">
            <v>1Q23A</v>
          </cell>
          <cell r="AK2" t="str">
            <v>2Q23A</v>
          </cell>
          <cell r="AL2" t="str">
            <v>3Q23A</v>
          </cell>
          <cell r="AM2" t="str">
            <v>4Q23A</v>
          </cell>
          <cell r="AN2" t="str">
            <v>FY23A</v>
          </cell>
          <cell r="AO2" t="str">
            <v>1Q24A</v>
          </cell>
          <cell r="AP2" t="str">
            <v>2Q24A</v>
          </cell>
          <cell r="AQ2" t="str">
            <v>3Q24E</v>
          </cell>
          <cell r="AR2" t="str">
            <v>4Q24E</v>
          </cell>
          <cell r="AS2" t="str">
            <v>FY24E</v>
          </cell>
          <cell r="AT2" t="str">
            <v>1Q25E</v>
          </cell>
          <cell r="AU2" t="str">
            <v>2Q25E</v>
          </cell>
          <cell r="AV2" t="str">
            <v>3Q25E</v>
          </cell>
          <cell r="AW2" t="str">
            <v>4Q25E</v>
          </cell>
          <cell r="AX2" t="str">
            <v>FY25E</v>
          </cell>
          <cell r="AY2" t="str">
            <v>1Q26E</v>
          </cell>
          <cell r="AZ2" t="str">
            <v>2Q26E</v>
          </cell>
          <cell r="BA2" t="str">
            <v>3Q26E</v>
          </cell>
          <cell r="BB2" t="str">
            <v>4Q26E</v>
          </cell>
          <cell r="BC2" t="str">
            <v>FY26E</v>
          </cell>
          <cell r="BD2" t="str">
            <v>1Q27E</v>
          </cell>
          <cell r="BE2" t="str">
            <v>2Q27E</v>
          </cell>
          <cell r="BF2" t="str">
            <v>3Q27E</v>
          </cell>
          <cell r="BG2" t="str">
            <v>4Q27E</v>
          </cell>
          <cell r="BH2" t="str">
            <v>FY27E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GC-US"/>
    </sheetNames>
    <sheetDataSet>
      <sheetData sheetId="0" refreshError="1">
        <row r="11">
          <cell r="C11">
            <v>22.027495999999999</v>
          </cell>
          <cell r="D11">
            <v>35.917862</v>
          </cell>
          <cell r="E11">
            <v>44.292110000000001</v>
          </cell>
          <cell r="F11">
            <v>26.935942000000001</v>
          </cell>
          <cell r="G11">
            <v>10.864103999999999</v>
          </cell>
        </row>
      </sheetData>
    </sheetDataSet>
  </externalBook>
</externalLink>
</file>

<file path=xl/theme/theme1.xml><?xml version="1.0" encoding="utf-8"?>
<a:theme xmlns:a="http://schemas.openxmlformats.org/drawingml/2006/main" name="US_Internet_3">
  <a:themeElements>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tx1"/>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US_Internet_3" id="{5EA4409A-2A58-46E5-85D1-58BD92A9BBB8}" vid="{FAFEB120-61D2-4547-B893-C5B07ECE3945}"/>
    </a:ext>
  </a:extLst>
</a:theme>
</file>

<file path=xl/theme/themeOverride1.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B3"/>
  <sheetViews>
    <sheetView showGridLines="0" workbookViewId="0">
      <pane xSplit="3" ySplit="5" topLeftCell="D6" activePane="bottomRight" state="frozen"/>
      <selection pane="topRight" activeCell="D1" sqref="D1"/>
      <selection pane="bottomLeft" activeCell="A6" sqref="A6"/>
      <selection pane="bottomRight" activeCell="D6" sqref="D6"/>
    </sheetView>
  </sheetViews>
  <sheetFormatPr defaultRowHeight="12.75"/>
  <sheetData>
    <row r="1" spans="1:2">
      <c r="B1" t="s">
        <v>175</v>
      </c>
    </row>
    <row r="2" spans="1:2"/>
    <row r="3" spans="1:2"/>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9" tint="0.59999389629810485"/>
  </sheetPr>
  <dimension ref="A1:EE240"/>
  <sheetViews>
    <sheetView showGridLines="0" zoomScaleNormal="100" workbookViewId="0">
      <pane xSplit="3" ySplit="5" topLeftCell="CY112" activePane="bottomRight" state="frozen"/>
      <selection activeCell="B1" sqref="B1"/>
      <selection pane="topRight" activeCell="D1" sqref="D1"/>
      <selection pane="bottomLeft" activeCell="B6" sqref="B6"/>
      <selection pane="bottomRight" activeCell="DN131" sqref="DN131"/>
    </sheetView>
  </sheetViews>
  <sheetFormatPr defaultColWidth="8.85546875" defaultRowHeight="11.25" outlineLevelRow="1" outlineLevelCol="3"/>
  <cols>
    <col min="1" max="1" width="6.5703125" style="937" hidden="1" customWidth="1" outlineLevel="3"/>
    <col min="2" max="2" width="1.7109375" style="240" customWidth="1" collapsed="1"/>
    <col min="3" max="3" width="39.85546875" style="240" customWidth="1"/>
    <col min="4" max="67" width="7.85546875" style="240" hidden="1" customWidth="1"/>
    <col min="68" max="68" width="7.85546875" style="240" hidden="1" customWidth="1" outlineLevel="1"/>
    <col min="69" max="71" width="7.85546875" style="240" hidden="1" customWidth="1" outlineLevel="2"/>
    <col min="72" max="72" width="8.7109375" style="240" hidden="1" customWidth="1" outlineLevel="2"/>
    <col min="73" max="73" width="9.140625" style="240" hidden="1" customWidth="1" outlineLevel="1" collapsed="1"/>
    <col min="74" max="76" width="7.85546875" style="240" hidden="1" customWidth="1" outlineLevel="2"/>
    <col min="77" max="77" width="8.7109375" style="240" hidden="1" customWidth="1" outlineLevel="2"/>
    <col min="78" max="78" width="7.5703125" style="240" hidden="1" customWidth="1" outlineLevel="1" collapsed="1"/>
    <col min="79" max="81" width="7.85546875" style="240" hidden="1" customWidth="1" outlineLevel="2"/>
    <col min="82" max="82" width="8.7109375" style="240" hidden="1" customWidth="1" outlineLevel="2"/>
    <col min="83" max="83" width="9.140625" style="240" hidden="1" customWidth="1" outlineLevel="1" collapsed="1"/>
    <col min="84" max="86" width="7.85546875" style="240" hidden="1" customWidth="1" outlineLevel="2"/>
    <col min="87" max="87" width="8.7109375" style="240" hidden="1" customWidth="1" outlineLevel="2"/>
    <col min="88" max="88" width="9.140625" style="240" hidden="1" customWidth="1" outlineLevel="1" collapsed="1"/>
    <col min="89" max="91" width="7.85546875" style="240" hidden="1" customWidth="1" outlineLevel="2"/>
    <col min="92" max="92" width="8.7109375" style="240" hidden="1" customWidth="1" outlineLevel="2"/>
    <col min="93" max="93" width="9.140625" style="240" hidden="1" customWidth="1" outlineLevel="1" collapsed="1"/>
    <col min="94" max="96" width="7.85546875" style="240" hidden="1" customWidth="1" outlineLevel="2"/>
    <col min="97" max="97" width="9.28515625" style="240" hidden="1" customWidth="1" outlineLevel="2"/>
    <col min="98" max="98" width="9.140625" style="240" hidden="1" customWidth="1" outlineLevel="1"/>
    <col min="99" max="101" width="7.85546875" style="240" hidden="1" customWidth="1" outlineLevel="2"/>
    <col min="102" max="102" width="8.7109375" style="240" hidden="1" customWidth="1" outlineLevel="2"/>
    <col min="103" max="103" width="9.140625" style="240" customWidth="1" collapsed="1"/>
    <col min="104" max="106" width="7.85546875" style="240" hidden="1" customWidth="1" outlineLevel="1"/>
    <col min="107" max="107" width="8.7109375" style="240" hidden="1" customWidth="1" outlineLevel="1"/>
    <col min="108" max="108" width="9.140625" style="240" customWidth="1" collapsed="1"/>
    <col min="109" max="111" width="8.42578125" style="240" customWidth="1" outlineLevel="1"/>
    <col min="112" max="112" width="8.85546875" style="240" customWidth="1" outlineLevel="1"/>
    <col min="113" max="113" width="9.42578125" style="240" bestFit="1" customWidth="1"/>
    <col min="114" max="114" width="8.85546875" style="240" customWidth="1" outlineLevel="1"/>
    <col min="115" max="116" width="8.5703125" style="240" customWidth="1" outlineLevel="1"/>
    <col min="117" max="117" width="9.28515625" style="240" customWidth="1" outlineLevel="1"/>
    <col min="118" max="118" width="9.42578125" style="240" bestFit="1" customWidth="1"/>
    <col min="119" max="121" width="8.5703125" style="240" customWidth="1" outlineLevel="1"/>
    <col min="122" max="122" width="9.28515625" style="240" customWidth="1" outlineLevel="1"/>
    <col min="123" max="123" width="9.42578125" style="240" bestFit="1" customWidth="1"/>
    <col min="124" max="127" width="8.140625" style="240" hidden="1" customWidth="1" outlineLevel="2"/>
    <col min="128" max="128" width="9.7109375" style="240" bestFit="1" customWidth="1" collapsed="1"/>
    <col min="129" max="132" width="9.28515625" style="240" hidden="1" customWidth="1" outlineLevel="2"/>
    <col min="133" max="133" width="9.7109375" style="240" bestFit="1" customWidth="1" collapsed="1"/>
    <col min="134" max="16384" width="8.85546875" style="240"/>
  </cols>
  <sheetData>
    <row r="1" spans="1:134" ht="12.75" customHeight="1">
      <c r="A1" s="1187"/>
      <c r="B1" s="94"/>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94"/>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562"/>
      <c r="BT1" s="17"/>
      <c r="BU1" s="17"/>
      <c r="BV1" s="17" t="s">
        <v>173</v>
      </c>
      <c r="BW1" s="17"/>
      <c r="BX1" s="17"/>
      <c r="BY1" s="17"/>
      <c r="BZ1" s="17"/>
      <c r="CA1" s="17"/>
      <c r="CB1" s="17"/>
      <c r="CC1" s="17"/>
      <c r="CD1" s="17"/>
      <c r="CE1" s="17"/>
      <c r="CF1" s="563"/>
      <c r="CG1" s="563"/>
      <c r="CH1" s="563"/>
      <c r="CI1" s="563"/>
      <c r="CJ1" s="563"/>
      <c r="CK1" s="563"/>
      <c r="CL1" s="563"/>
      <c r="CM1" s="563"/>
      <c r="CN1" s="563"/>
      <c r="CO1" s="563"/>
      <c r="CP1" s="563"/>
      <c r="CQ1" s="563"/>
      <c r="CR1" s="563"/>
      <c r="CS1" s="563"/>
      <c r="CT1" s="563"/>
      <c r="CU1" s="727"/>
      <c r="CV1" s="727"/>
      <c r="CW1" s="727"/>
      <c r="CX1" s="727"/>
      <c r="CY1" s="563"/>
      <c r="CZ1" s="760"/>
      <c r="DA1" s="17"/>
      <c r="DB1" s="17"/>
      <c r="DC1" s="17"/>
      <c r="DD1" s="17"/>
      <c r="DE1" s="760"/>
      <c r="DF1" s="17"/>
      <c r="DG1" s="17"/>
      <c r="DH1" s="17"/>
      <c r="DI1" s="17"/>
      <c r="DJ1" s="760"/>
      <c r="DK1" s="17"/>
      <c r="DL1" s="17"/>
      <c r="DM1" s="17"/>
      <c r="DN1" s="17"/>
      <c r="DO1" s="760"/>
      <c r="DP1" s="17"/>
      <c r="DQ1" s="17"/>
      <c r="DR1" s="17"/>
      <c r="DS1" s="17"/>
      <c r="DT1" s="17"/>
      <c r="DU1" s="17"/>
      <c r="DV1" s="17"/>
      <c r="DW1" s="17"/>
      <c r="DX1" s="17"/>
      <c r="DY1" s="17"/>
      <c r="DZ1" s="17"/>
      <c r="EA1" s="17"/>
      <c r="EB1" s="17"/>
      <c r="EC1" s="17"/>
      <c r="ED1" s="17"/>
    </row>
    <row r="2" spans="1:134" ht="12.75" customHeight="1">
      <c r="A2" s="94" t="s">
        <v>367</v>
      </c>
      <c r="C2" s="110" t="s">
        <v>260</v>
      </c>
      <c r="D2" s="17"/>
      <c r="E2" s="17"/>
      <c r="F2" s="17"/>
      <c r="G2" s="17"/>
      <c r="H2" s="17"/>
      <c r="I2" s="17"/>
      <c r="J2" s="17"/>
      <c r="K2" s="17"/>
      <c r="L2" s="17"/>
      <c r="M2" s="94"/>
      <c r="N2" s="17"/>
      <c r="O2" s="17"/>
      <c r="P2" s="17"/>
      <c r="Q2" s="17"/>
      <c r="R2" s="94"/>
      <c r="S2" s="17"/>
      <c r="T2" s="17"/>
      <c r="U2" s="17"/>
      <c r="V2" s="17"/>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564"/>
      <c r="BT2" s="727"/>
      <c r="BU2" s="17"/>
      <c r="BV2" s="94"/>
      <c r="BW2" s="94"/>
      <c r="BX2" s="94"/>
      <c r="BY2" s="94"/>
      <c r="BZ2" s="17"/>
      <c r="CA2" s="17"/>
      <c r="CB2" s="17"/>
      <c r="CC2" s="17"/>
      <c r="CD2" s="17"/>
      <c r="CE2" s="17"/>
      <c r="CF2" s="727"/>
      <c r="CG2" s="727"/>
      <c r="CH2" s="727"/>
      <c r="CI2" s="727"/>
      <c r="CJ2" s="727"/>
      <c r="CK2" s="727"/>
      <c r="CL2" s="761"/>
      <c r="CM2" s="727"/>
      <c r="CN2" s="263"/>
      <c r="CO2" s="263"/>
      <c r="CP2" s="263"/>
      <c r="CQ2" s="263"/>
      <c r="CR2" s="263"/>
      <c r="CS2" s="263"/>
      <c r="CT2" s="263"/>
      <c r="CU2" s="263"/>
      <c r="CV2" s="263"/>
      <c r="CW2" s="263"/>
      <c r="CX2" s="263"/>
      <c r="CY2" s="263"/>
      <c r="CZ2" s="729"/>
      <c r="DA2" s="94"/>
      <c r="DB2" s="94"/>
      <c r="DC2" s="94"/>
      <c r="DD2" s="94"/>
      <c r="DE2" s="729"/>
      <c r="DF2" s="94"/>
      <c r="DG2" s="94"/>
      <c r="DH2" s="94"/>
      <c r="DI2" s="94"/>
      <c r="DJ2" s="729"/>
      <c r="DK2" s="94"/>
      <c r="DL2" s="94"/>
      <c r="DM2" s="94"/>
      <c r="DN2" s="94"/>
      <c r="DO2" s="729"/>
      <c r="DP2" s="94"/>
      <c r="DQ2" s="94"/>
      <c r="DR2" s="94"/>
      <c r="DS2" s="94"/>
      <c r="DT2" s="94"/>
      <c r="DU2" s="94"/>
      <c r="DV2" s="94"/>
      <c r="DW2" s="94"/>
      <c r="DX2" s="94"/>
      <c r="DY2" s="94"/>
      <c r="DZ2" s="94"/>
      <c r="EA2" s="94"/>
      <c r="EB2" s="94"/>
      <c r="EC2" s="94"/>
      <c r="ED2" s="94"/>
    </row>
    <row r="3" spans="1:134">
      <c r="A3" s="1187"/>
      <c r="B3" s="94"/>
      <c r="C3" s="1132" t="s">
        <v>615</v>
      </c>
      <c r="ED3" s="94"/>
    </row>
    <row r="4" spans="1:134">
      <c r="A4" s="1188"/>
      <c r="B4" s="565"/>
      <c r="C4" s="566"/>
      <c r="D4" s="449" t="str">
        <f>Income!D4</f>
        <v>1998A</v>
      </c>
      <c r="E4" s="449" t="str">
        <f>Income!E4</f>
        <v>1999A</v>
      </c>
      <c r="F4" s="449" t="str">
        <f>Income!F4</f>
        <v>2000A</v>
      </c>
      <c r="G4" s="449" t="str">
        <f>Income!G4</f>
        <v>2001A</v>
      </c>
      <c r="H4" s="449" t="str">
        <f>Income!H4</f>
        <v>2002A</v>
      </c>
      <c r="I4" s="105" t="str">
        <f>Income!I4</f>
        <v>1Q03A</v>
      </c>
      <c r="J4" s="105" t="str">
        <f>Income!J4</f>
        <v>2Q03A</v>
      </c>
      <c r="K4" s="105" t="str">
        <f>Income!K4</f>
        <v>3Q03A</v>
      </c>
      <c r="L4" s="105" t="str">
        <f>Income!L4</f>
        <v>4Q03A</v>
      </c>
      <c r="M4" s="449" t="str">
        <f>Income!M4</f>
        <v>2003A</v>
      </c>
      <c r="N4" s="105" t="str">
        <f>Income!N4</f>
        <v>1Q04A</v>
      </c>
      <c r="O4" s="105" t="str">
        <f>Income!O4</f>
        <v>2Q04A</v>
      </c>
      <c r="P4" s="105" t="str">
        <f>Income!P4</f>
        <v>3Q04A</v>
      </c>
      <c r="Q4" s="105" t="str">
        <f>Income!Q4</f>
        <v>4Q04A</v>
      </c>
      <c r="R4" s="449" t="str">
        <f>Income!R4</f>
        <v>2004A</v>
      </c>
      <c r="S4" s="105" t="str">
        <f>Income!S4</f>
        <v>1Q05A</v>
      </c>
      <c r="T4" s="105" t="str">
        <f>Income!T4</f>
        <v>2Q05A</v>
      </c>
      <c r="U4" s="105" t="str">
        <f>Income!U4</f>
        <v>3Q05A</v>
      </c>
      <c r="V4" s="105" t="str">
        <f>Income!V4</f>
        <v>4Q05A</v>
      </c>
      <c r="W4" s="449" t="str">
        <f>Income!W4</f>
        <v>2005A</v>
      </c>
      <c r="X4" s="105" t="str">
        <f>Income!X4</f>
        <v>1Q06A</v>
      </c>
      <c r="Y4" s="105" t="str">
        <f>Income!Y4</f>
        <v>2Q06A</v>
      </c>
      <c r="Z4" s="105" t="str">
        <f>Income!Z4</f>
        <v>3Q06A</v>
      </c>
      <c r="AA4" s="105" t="str">
        <f>Income!AA4</f>
        <v>4Q06A</v>
      </c>
      <c r="AB4" s="449" t="str">
        <f>Income!AB4</f>
        <v>2006A</v>
      </c>
      <c r="AC4" s="105" t="str">
        <f>Income!AC4</f>
        <v>1Q07A</v>
      </c>
      <c r="AD4" s="105" t="str">
        <f>Income!AD4</f>
        <v>2Q07A</v>
      </c>
      <c r="AE4" s="105" t="str">
        <f>Income!AE4</f>
        <v>3Q07A</v>
      </c>
      <c r="AF4" s="105" t="str">
        <f>Income!AF4</f>
        <v>4Q07A</v>
      </c>
      <c r="AG4" s="449" t="str">
        <f>Income!AG4</f>
        <v>2007A</v>
      </c>
      <c r="AH4" s="105" t="str">
        <f>Income!AH4</f>
        <v>1Q08A</v>
      </c>
      <c r="AI4" s="105" t="str">
        <f>Income!AI4</f>
        <v>2Q08A</v>
      </c>
      <c r="AJ4" s="105" t="str">
        <f>Income!AJ4</f>
        <v>3Q08A</v>
      </c>
      <c r="AK4" s="105" t="str">
        <f>Income!AK4</f>
        <v>4Q08A</v>
      </c>
      <c r="AL4" s="449" t="str">
        <f>Income!AL4</f>
        <v>2008A</v>
      </c>
      <c r="AM4" s="105" t="str">
        <f>Income!AM4</f>
        <v>1Q09A</v>
      </c>
      <c r="AN4" s="105" t="str">
        <f>Income!AN4</f>
        <v>2Q09A</v>
      </c>
      <c r="AO4" s="105" t="str">
        <f>Income!AO4</f>
        <v>3Q09A</v>
      </c>
      <c r="AP4" s="105" t="str">
        <f>Income!AP4</f>
        <v>4Q09A</v>
      </c>
      <c r="AQ4" s="449" t="str">
        <f>Income!AQ4</f>
        <v>2009A</v>
      </c>
      <c r="AR4" s="105" t="str">
        <f>Income!AR4</f>
        <v>1Q10A</v>
      </c>
      <c r="AS4" s="105" t="str">
        <f>Income!AS4</f>
        <v>2Q10A</v>
      </c>
      <c r="AT4" s="105" t="str">
        <f>Income!AT4</f>
        <v>3Q10A</v>
      </c>
      <c r="AU4" s="105" t="str">
        <f>Income!AU4</f>
        <v>4Q10A</v>
      </c>
      <c r="AV4" s="449" t="str">
        <f>Income!AV4</f>
        <v>2010A</v>
      </c>
      <c r="AW4" s="105" t="str">
        <f>Income!AW4</f>
        <v>1Q11A</v>
      </c>
      <c r="AX4" s="105" t="str">
        <f>Income!AX4</f>
        <v>2Q11A</v>
      </c>
      <c r="AY4" s="105" t="str">
        <f>Income!AY4</f>
        <v>3Q11A</v>
      </c>
      <c r="AZ4" s="105" t="str">
        <f>Income!AZ4</f>
        <v>4Q11A</v>
      </c>
      <c r="BA4" s="449" t="str">
        <f>Income!BA4</f>
        <v>2011A</v>
      </c>
      <c r="BB4" s="105" t="str">
        <f>Income!BB4</f>
        <v>1Q12A</v>
      </c>
      <c r="BC4" s="105" t="str">
        <f>Income!BC4</f>
        <v>2Q12A</v>
      </c>
      <c r="BD4" s="105" t="str">
        <f>Income!BD4</f>
        <v>3Q12A</v>
      </c>
      <c r="BE4" s="105" t="str">
        <f>Income!BE4</f>
        <v>4Q12A</v>
      </c>
      <c r="BF4" s="449" t="str">
        <f>Income!BF4</f>
        <v>2012A</v>
      </c>
      <c r="BG4" s="105" t="str">
        <f>Income!BG4</f>
        <v>1Q13A</v>
      </c>
      <c r="BH4" s="105" t="str">
        <f>Income!BH4</f>
        <v>2Q13A</v>
      </c>
      <c r="BI4" s="105" t="str">
        <f>Income!BI4</f>
        <v>3Q13A</v>
      </c>
      <c r="BJ4" s="105" t="str">
        <f>Income!BJ4</f>
        <v>4Q13A</v>
      </c>
      <c r="BK4" s="449" t="str">
        <f>Income!BK4</f>
        <v>2013A</v>
      </c>
      <c r="BL4" s="105" t="str">
        <f>Income!BL4</f>
        <v>1Q14A</v>
      </c>
      <c r="BM4" s="105" t="str">
        <f>Income!BM4</f>
        <v>2Q14A</v>
      </c>
      <c r="BN4" s="105" t="str">
        <f>Income!BN4</f>
        <v>3Q14A</v>
      </c>
      <c r="BO4" s="105" t="str">
        <f>Income!BO4</f>
        <v>4Q14A</v>
      </c>
      <c r="BP4" s="449" t="str">
        <f>Income!BP4</f>
        <v>2014A</v>
      </c>
      <c r="BQ4" s="105" t="str">
        <f>Income!BQ4</f>
        <v>1Q15A</v>
      </c>
      <c r="BR4" s="105" t="str">
        <f>Income!BR4</f>
        <v>2Q15A</v>
      </c>
      <c r="BS4" s="105" t="str">
        <f>Income!BS4</f>
        <v>3Q15A</v>
      </c>
      <c r="BT4" s="105" t="str">
        <f>Income!BT4</f>
        <v>4Q15A</v>
      </c>
      <c r="BU4" s="449" t="str">
        <f>Income!BU4</f>
        <v>2015A</v>
      </c>
      <c r="BV4" s="105" t="str">
        <f>Income!BV4</f>
        <v>1Q16A</v>
      </c>
      <c r="BW4" s="105" t="str">
        <f>Income!BW4</f>
        <v>2Q16A</v>
      </c>
      <c r="BX4" s="105" t="str">
        <f>Income!BX4</f>
        <v>3Q16A</v>
      </c>
      <c r="BY4" s="105" t="str">
        <f>Income!BY4</f>
        <v>4Q16A</v>
      </c>
      <c r="BZ4" s="449" t="str">
        <f>Income!BZ4</f>
        <v>2016A</v>
      </c>
      <c r="CA4" s="105" t="str">
        <f>Income!CA4</f>
        <v>1Q17A</v>
      </c>
      <c r="CB4" s="105" t="str">
        <f>Income!CB4</f>
        <v>2Q17A</v>
      </c>
      <c r="CC4" s="105" t="str">
        <f>Income!CC4</f>
        <v>3Q17A</v>
      </c>
      <c r="CD4" s="105" t="str">
        <f>Income!CD4</f>
        <v>4Q17A</v>
      </c>
      <c r="CE4" s="449" t="str">
        <f>Income!CE4</f>
        <v>2017A</v>
      </c>
      <c r="CF4" s="105" t="str">
        <f>Income!CF4</f>
        <v>1Q18A</v>
      </c>
      <c r="CG4" s="105" t="str">
        <f>Income!CG4</f>
        <v>2Q18A</v>
      </c>
      <c r="CH4" s="105" t="str">
        <f>Income!CH4</f>
        <v>3Q18A</v>
      </c>
      <c r="CI4" s="105" t="str">
        <f>Income!CI4</f>
        <v>4Q18A</v>
      </c>
      <c r="CJ4" s="449" t="str">
        <f>Income!CJ4</f>
        <v>2018A</v>
      </c>
      <c r="CK4" s="105" t="str">
        <f>Income!CK4</f>
        <v>1Q19A</v>
      </c>
      <c r="CL4" s="105" t="str">
        <f>Income!CL4</f>
        <v>2Q19A</v>
      </c>
      <c r="CM4" s="105" t="str">
        <f>Income!CM4</f>
        <v>3Q19A</v>
      </c>
      <c r="CN4" s="105" t="str">
        <f>Income!CN4</f>
        <v>4Q19A</v>
      </c>
      <c r="CO4" s="449" t="str">
        <f>Income!CO4</f>
        <v>2019A</v>
      </c>
      <c r="CP4" s="105" t="str">
        <f>Income!CP4</f>
        <v>1Q20A</v>
      </c>
      <c r="CQ4" s="105" t="str">
        <f>Income!CQ4</f>
        <v>2Q20A</v>
      </c>
      <c r="CR4" s="105" t="str">
        <f>Income!CR4</f>
        <v>3Q20A</v>
      </c>
      <c r="CS4" s="105" t="str">
        <f>Income!CS4</f>
        <v>4Q20A</v>
      </c>
      <c r="CT4" s="449" t="str">
        <f>Income!CT4</f>
        <v>2020A</v>
      </c>
      <c r="CU4" s="105" t="str">
        <f>Income!CU4</f>
        <v>1Q21A</v>
      </c>
      <c r="CV4" s="105" t="str">
        <f>Income!CV4</f>
        <v>2Q21A</v>
      </c>
      <c r="CW4" s="105" t="str">
        <f>Income!CW4</f>
        <v>3Q21A</v>
      </c>
      <c r="CX4" s="105" t="str">
        <f>Income!CX4</f>
        <v>4Q21A</v>
      </c>
      <c r="CY4" s="449" t="str">
        <f>Income!CY4</f>
        <v>2021A</v>
      </c>
      <c r="CZ4" s="105" t="str">
        <f>Income!CZ4</f>
        <v>1Q22A</v>
      </c>
      <c r="DA4" s="105" t="str">
        <f>Income!DA4</f>
        <v>2Q22A</v>
      </c>
      <c r="DB4" s="105" t="str">
        <f>Income!DB4</f>
        <v>3Q22A</v>
      </c>
      <c r="DC4" s="105" t="str">
        <f>Income!DC4</f>
        <v>4Q22A</v>
      </c>
      <c r="DD4" s="449" t="str">
        <f>Income!DD4</f>
        <v>2022A</v>
      </c>
      <c r="DE4" s="105" t="str">
        <f>Income!DE4</f>
        <v>1Q23A</v>
      </c>
      <c r="DF4" s="105" t="str">
        <f>Income!DF4</f>
        <v>2Q23A</v>
      </c>
      <c r="DG4" s="105" t="str">
        <f>Income!DG4</f>
        <v>3Q23A</v>
      </c>
      <c r="DH4" s="105" t="str">
        <f>Income!DH4</f>
        <v>4Q23A</v>
      </c>
      <c r="DI4" s="449" t="str">
        <f>Income!DI4</f>
        <v>2023A</v>
      </c>
      <c r="DJ4" s="105" t="str">
        <f>Income!DJ4</f>
        <v>1Q24A</v>
      </c>
      <c r="DK4" s="105" t="str">
        <f>Income!DK4</f>
        <v>2Q24A</v>
      </c>
      <c r="DL4" s="105" t="str">
        <f>Income!DL4</f>
        <v>3Q24A</v>
      </c>
      <c r="DM4" s="105" t="str">
        <f>Income!DM4</f>
        <v>4Q24E</v>
      </c>
      <c r="DN4" s="449" t="str">
        <f>Income!DN4</f>
        <v>2024E</v>
      </c>
      <c r="DO4" s="105" t="str">
        <f>Income!DO4</f>
        <v>1Q25E</v>
      </c>
      <c r="DP4" s="105" t="str">
        <f>Income!DP4</f>
        <v>2Q25E</v>
      </c>
      <c r="DQ4" s="105" t="str">
        <f>Income!DQ4</f>
        <v>3Q25E</v>
      </c>
      <c r="DR4" s="105" t="str">
        <f>Income!DR4</f>
        <v>4Q25E</v>
      </c>
      <c r="DS4" s="449" t="str">
        <f>Income!DS4</f>
        <v>2025E</v>
      </c>
      <c r="DT4" s="105" t="str">
        <f>Income!DT4</f>
        <v>1Q26E</v>
      </c>
      <c r="DU4" s="105" t="str">
        <f>Income!DU4</f>
        <v>2Q26E</v>
      </c>
      <c r="DV4" s="105" t="str">
        <f>Income!DV4</f>
        <v>3Q26E</v>
      </c>
      <c r="DW4" s="105" t="str">
        <f>Income!DW4</f>
        <v>4Q26E</v>
      </c>
      <c r="DX4" s="449" t="str">
        <f>Income!DX4</f>
        <v>2026E</v>
      </c>
      <c r="DY4" s="105" t="str">
        <f>Income!DY4</f>
        <v>1Q27E</v>
      </c>
      <c r="DZ4" s="105" t="str">
        <f>Income!DZ4</f>
        <v>2Q27E</v>
      </c>
      <c r="EA4" s="105" t="str">
        <f>Income!EA4</f>
        <v>3Q27E</v>
      </c>
      <c r="EB4" s="105" t="str">
        <f>Income!EB4</f>
        <v>4Q27E</v>
      </c>
      <c r="EC4" s="449" t="str">
        <f>Income!EC4</f>
        <v>2027E</v>
      </c>
      <c r="ED4" s="94"/>
    </row>
    <row r="5" spans="1:134">
      <c r="A5" s="1188"/>
      <c r="B5" s="565"/>
      <c r="C5" s="268" t="s">
        <v>195</v>
      </c>
      <c r="D5" s="806">
        <v>1998</v>
      </c>
      <c r="E5" s="806">
        <f>+D5+1</f>
        <v>1999</v>
      </c>
      <c r="F5" s="806">
        <f t="shared" ref="F5:H5" si="0">+E5+1</f>
        <v>2000</v>
      </c>
      <c r="G5" s="806">
        <f t="shared" si="0"/>
        <v>2001</v>
      </c>
      <c r="H5" s="806">
        <f t="shared" si="0"/>
        <v>2002</v>
      </c>
      <c r="I5" s="807">
        <v>37711</v>
      </c>
      <c r="J5" s="808">
        <f t="shared" ref="J5:L5" si="1">EOMONTH(I5,3)</f>
        <v>37802</v>
      </c>
      <c r="K5" s="808">
        <f t="shared" si="1"/>
        <v>37894</v>
      </c>
      <c r="L5" s="808">
        <f t="shared" si="1"/>
        <v>37986</v>
      </c>
      <c r="M5" s="806">
        <f>+H5+1</f>
        <v>2003</v>
      </c>
      <c r="N5" s="808">
        <f t="shared" ref="N5" si="2">EOMONTH(I5,12)</f>
        <v>38077</v>
      </c>
      <c r="O5" s="808">
        <f t="shared" ref="O5:Q5" si="3">EOMONTH(N5,3)</f>
        <v>38168</v>
      </c>
      <c r="P5" s="808">
        <f t="shared" si="3"/>
        <v>38260</v>
      </c>
      <c r="Q5" s="808">
        <f t="shared" si="3"/>
        <v>38352</v>
      </c>
      <c r="R5" s="806">
        <f t="shared" ref="R5" si="4">+M5+1</f>
        <v>2004</v>
      </c>
      <c r="S5" s="808">
        <f t="shared" ref="S5" si="5">EOMONTH(N5,12)</f>
        <v>38442</v>
      </c>
      <c r="T5" s="808">
        <f t="shared" ref="T5:V5" si="6">EOMONTH(S5,3)</f>
        <v>38533</v>
      </c>
      <c r="U5" s="808">
        <f t="shared" si="6"/>
        <v>38625</v>
      </c>
      <c r="V5" s="808">
        <f t="shared" si="6"/>
        <v>38717</v>
      </c>
      <c r="W5" s="806">
        <f t="shared" ref="W5" si="7">+R5+1</f>
        <v>2005</v>
      </c>
      <c r="X5" s="808">
        <f t="shared" ref="X5" si="8">EOMONTH(S5,12)</f>
        <v>38807</v>
      </c>
      <c r="Y5" s="808">
        <f t="shared" ref="Y5:AA5" si="9">EOMONTH(X5,3)</f>
        <v>38898</v>
      </c>
      <c r="Z5" s="808">
        <f t="shared" si="9"/>
        <v>38990</v>
      </c>
      <c r="AA5" s="808">
        <f t="shared" si="9"/>
        <v>39082</v>
      </c>
      <c r="AB5" s="806">
        <f t="shared" ref="AB5" si="10">+W5+1</f>
        <v>2006</v>
      </c>
      <c r="AC5" s="808">
        <f t="shared" ref="AC5" si="11">EOMONTH(X5,12)</f>
        <v>39172</v>
      </c>
      <c r="AD5" s="808">
        <f t="shared" ref="AD5:AF5" si="12">EOMONTH(AC5,3)</f>
        <v>39263</v>
      </c>
      <c r="AE5" s="808">
        <f t="shared" si="12"/>
        <v>39355</v>
      </c>
      <c r="AF5" s="808">
        <f t="shared" si="12"/>
        <v>39447</v>
      </c>
      <c r="AG5" s="806">
        <f t="shared" ref="AG5" si="13">+AB5+1</f>
        <v>2007</v>
      </c>
      <c r="AH5" s="808">
        <f t="shared" ref="AH5" si="14">EOMONTH(AC5,12)</f>
        <v>39538</v>
      </c>
      <c r="AI5" s="808">
        <f t="shared" ref="AI5:AK5" si="15">EOMONTH(AH5,3)</f>
        <v>39629</v>
      </c>
      <c r="AJ5" s="808">
        <f t="shared" si="15"/>
        <v>39721</v>
      </c>
      <c r="AK5" s="808">
        <f t="shared" si="15"/>
        <v>39813</v>
      </c>
      <c r="AL5" s="806">
        <f t="shared" ref="AL5" si="16">+AG5+1</f>
        <v>2008</v>
      </c>
      <c r="AM5" s="808">
        <f t="shared" ref="AM5" si="17">EOMONTH(AH5,12)</f>
        <v>39903</v>
      </c>
      <c r="AN5" s="808">
        <f t="shared" ref="AN5:AP5" si="18">EOMONTH(AM5,3)</f>
        <v>39994</v>
      </c>
      <c r="AO5" s="808">
        <f t="shared" si="18"/>
        <v>40086</v>
      </c>
      <c r="AP5" s="808">
        <f t="shared" si="18"/>
        <v>40178</v>
      </c>
      <c r="AQ5" s="806">
        <f t="shared" ref="AQ5" si="19">+AL5+1</f>
        <v>2009</v>
      </c>
      <c r="AR5" s="808">
        <f t="shared" ref="AR5" si="20">EOMONTH(AM5,12)</f>
        <v>40268</v>
      </c>
      <c r="AS5" s="808">
        <f t="shared" ref="AS5:AU5" si="21">EOMONTH(AR5,3)</f>
        <v>40359</v>
      </c>
      <c r="AT5" s="808">
        <f t="shared" si="21"/>
        <v>40451</v>
      </c>
      <c r="AU5" s="808">
        <f t="shared" si="21"/>
        <v>40543</v>
      </c>
      <c r="AV5" s="806">
        <f t="shared" ref="AV5" si="22">+AQ5+1</f>
        <v>2010</v>
      </c>
      <c r="AW5" s="808">
        <f t="shared" ref="AW5" si="23">EOMONTH(AR5,12)</f>
        <v>40633</v>
      </c>
      <c r="AX5" s="808">
        <f t="shared" ref="AX5:AZ5" si="24">EOMONTH(AW5,3)</f>
        <v>40724</v>
      </c>
      <c r="AY5" s="808">
        <f t="shared" si="24"/>
        <v>40816</v>
      </c>
      <c r="AZ5" s="808">
        <f t="shared" si="24"/>
        <v>40908</v>
      </c>
      <c r="BA5" s="806">
        <f t="shared" ref="BA5" si="25">+AV5+1</f>
        <v>2011</v>
      </c>
      <c r="BB5" s="808">
        <f t="shared" ref="BB5" si="26">EOMONTH(AW5,12)</f>
        <v>40999</v>
      </c>
      <c r="BC5" s="808">
        <f t="shared" ref="BC5:BE5" si="27">EOMONTH(BB5,3)</f>
        <v>41090</v>
      </c>
      <c r="BD5" s="808">
        <f t="shared" si="27"/>
        <v>41182</v>
      </c>
      <c r="BE5" s="808">
        <f t="shared" si="27"/>
        <v>41274</v>
      </c>
      <c r="BF5" s="806">
        <f t="shared" ref="BF5" si="28">+BA5+1</f>
        <v>2012</v>
      </c>
      <c r="BG5" s="808">
        <f t="shared" ref="BG5" si="29">EOMONTH(BB5,12)</f>
        <v>41364</v>
      </c>
      <c r="BH5" s="808">
        <f t="shared" ref="BH5:BJ5" si="30">EOMONTH(BG5,3)</f>
        <v>41455</v>
      </c>
      <c r="BI5" s="808">
        <f t="shared" si="30"/>
        <v>41547</v>
      </c>
      <c r="BJ5" s="808">
        <f t="shared" si="30"/>
        <v>41639</v>
      </c>
      <c r="BK5" s="806">
        <f t="shared" ref="BK5" si="31">+BF5+1</f>
        <v>2013</v>
      </c>
      <c r="BL5" s="808">
        <f t="shared" ref="BL5" si="32">EOMONTH(BG5,12)</f>
        <v>41729</v>
      </c>
      <c r="BM5" s="808">
        <f t="shared" ref="BM5:BO5" si="33">EOMONTH(BL5,3)</f>
        <v>41820</v>
      </c>
      <c r="BN5" s="808">
        <f t="shared" si="33"/>
        <v>41912</v>
      </c>
      <c r="BO5" s="808">
        <f t="shared" si="33"/>
        <v>42004</v>
      </c>
      <c r="BP5" s="806">
        <f t="shared" ref="BP5" si="34">+BK5+1</f>
        <v>2014</v>
      </c>
      <c r="BQ5" s="808">
        <f t="shared" ref="BQ5" si="35">EOMONTH(BL5,12)</f>
        <v>42094</v>
      </c>
      <c r="BR5" s="808">
        <f t="shared" ref="BR5:BT5" si="36">EOMONTH(BQ5,3)</f>
        <v>42185</v>
      </c>
      <c r="BS5" s="808">
        <f t="shared" si="36"/>
        <v>42277</v>
      </c>
      <c r="BT5" s="808">
        <f t="shared" si="36"/>
        <v>42369</v>
      </c>
      <c r="BU5" s="806">
        <f t="shared" ref="BU5" si="37">+BP5+1</f>
        <v>2015</v>
      </c>
      <c r="BV5" s="808">
        <f t="shared" ref="BV5" si="38">EOMONTH(BQ5,12)</f>
        <v>42460</v>
      </c>
      <c r="BW5" s="808">
        <f t="shared" ref="BW5:BY5" si="39">EOMONTH(BV5,3)</f>
        <v>42551</v>
      </c>
      <c r="BX5" s="808">
        <f t="shared" si="39"/>
        <v>42643</v>
      </c>
      <c r="BY5" s="808">
        <f t="shared" si="39"/>
        <v>42735</v>
      </c>
      <c r="BZ5" s="806">
        <f t="shared" ref="BZ5" si="40">+BU5+1</f>
        <v>2016</v>
      </c>
      <c r="CA5" s="808">
        <f t="shared" ref="CA5" si="41">EOMONTH(BV5,12)</f>
        <v>42825</v>
      </c>
      <c r="CB5" s="808">
        <f t="shared" ref="CB5:CD5" si="42">EOMONTH(CA5,3)</f>
        <v>42916</v>
      </c>
      <c r="CC5" s="808">
        <f t="shared" si="42"/>
        <v>43008</v>
      </c>
      <c r="CD5" s="808">
        <f t="shared" si="42"/>
        <v>43100</v>
      </c>
      <c r="CE5" s="806">
        <f t="shared" ref="CE5" si="43">+BZ5+1</f>
        <v>2017</v>
      </c>
      <c r="CF5" s="808">
        <f t="shared" ref="CF5" si="44">EOMONTH(CA5,12)</f>
        <v>43190</v>
      </c>
      <c r="CG5" s="808">
        <f t="shared" ref="CG5:CI5" si="45">EOMONTH(CF5,3)</f>
        <v>43281</v>
      </c>
      <c r="CH5" s="808">
        <f t="shared" si="45"/>
        <v>43373</v>
      </c>
      <c r="CI5" s="808">
        <f t="shared" si="45"/>
        <v>43465</v>
      </c>
      <c r="CJ5" s="806">
        <f t="shared" ref="CJ5" si="46">+CE5+1</f>
        <v>2018</v>
      </c>
      <c r="CK5" s="808">
        <f t="shared" ref="CK5" si="47">EOMONTH(CF5,12)</f>
        <v>43555</v>
      </c>
      <c r="CL5" s="808">
        <f t="shared" ref="CL5:CN5" si="48">EOMONTH(CK5,3)</f>
        <v>43646</v>
      </c>
      <c r="CM5" s="808">
        <f t="shared" si="48"/>
        <v>43738</v>
      </c>
      <c r="CN5" s="808">
        <f t="shared" si="48"/>
        <v>43830</v>
      </c>
      <c r="CO5" s="806">
        <f t="shared" ref="CO5" si="49">+CJ5+1</f>
        <v>2019</v>
      </c>
      <c r="CP5" s="808">
        <f t="shared" ref="CP5" si="50">EOMONTH(CK5,12)</f>
        <v>43921</v>
      </c>
      <c r="CQ5" s="808">
        <f t="shared" ref="CQ5:CS5" si="51">EOMONTH(CP5,3)</f>
        <v>44012</v>
      </c>
      <c r="CR5" s="808">
        <f t="shared" si="51"/>
        <v>44104</v>
      </c>
      <c r="CS5" s="808">
        <f t="shared" si="51"/>
        <v>44196</v>
      </c>
      <c r="CT5" s="806">
        <f t="shared" ref="CT5" si="52">+CO5+1</f>
        <v>2020</v>
      </c>
      <c r="CU5" s="808">
        <f t="shared" ref="CU5" si="53">EOMONTH(CP5,12)</f>
        <v>44286</v>
      </c>
      <c r="CV5" s="808">
        <f t="shared" ref="CV5:CX5" si="54">EOMONTH(CU5,3)</f>
        <v>44377</v>
      </c>
      <c r="CW5" s="808">
        <f t="shared" si="54"/>
        <v>44469</v>
      </c>
      <c r="CX5" s="808">
        <f t="shared" si="54"/>
        <v>44561</v>
      </c>
      <c r="CY5" s="806">
        <f t="shared" ref="CY5" si="55">+CT5+1</f>
        <v>2021</v>
      </c>
      <c r="CZ5" s="808">
        <f t="shared" ref="CZ5" si="56">EOMONTH(CU5,12)</f>
        <v>44651</v>
      </c>
      <c r="DA5" s="808">
        <f t="shared" ref="DA5:DC5" si="57">EOMONTH(CZ5,3)</f>
        <v>44742</v>
      </c>
      <c r="DB5" s="808">
        <f t="shared" si="57"/>
        <v>44834</v>
      </c>
      <c r="DC5" s="808">
        <f t="shared" si="57"/>
        <v>44926</v>
      </c>
      <c r="DD5" s="806">
        <f t="shared" ref="DD5" si="58">+CY5+1</f>
        <v>2022</v>
      </c>
      <c r="DE5" s="808">
        <f t="shared" ref="DE5" si="59">EOMONTH(CZ5,12)</f>
        <v>45016</v>
      </c>
      <c r="DF5" s="808">
        <f t="shared" ref="DF5:DH5" si="60">EOMONTH(DE5,3)</f>
        <v>45107</v>
      </c>
      <c r="DG5" s="808">
        <f t="shared" si="60"/>
        <v>45199</v>
      </c>
      <c r="DH5" s="808">
        <f t="shared" si="60"/>
        <v>45291</v>
      </c>
      <c r="DI5" s="806">
        <f t="shared" ref="DI5" si="61">+DD5+1</f>
        <v>2023</v>
      </c>
      <c r="DJ5" s="808">
        <f t="shared" ref="DJ5" si="62">EOMONTH(DE5,12)</f>
        <v>45382</v>
      </c>
      <c r="DK5" s="808">
        <f t="shared" ref="DK5:DM5" si="63">EOMONTH(DJ5,3)</f>
        <v>45473</v>
      </c>
      <c r="DL5" s="808">
        <f t="shared" si="63"/>
        <v>45565</v>
      </c>
      <c r="DM5" s="808">
        <f t="shared" si="63"/>
        <v>45657</v>
      </c>
      <c r="DN5" s="806">
        <f t="shared" ref="DN5" si="64">+DI5+1</f>
        <v>2024</v>
      </c>
      <c r="DO5" s="808">
        <f t="shared" ref="DO5" si="65">EOMONTH(DJ5,12)</f>
        <v>45747</v>
      </c>
      <c r="DP5" s="808">
        <f t="shared" ref="DP5:DR5" si="66">EOMONTH(DO5,3)</f>
        <v>45838</v>
      </c>
      <c r="DQ5" s="808">
        <f t="shared" si="66"/>
        <v>45930</v>
      </c>
      <c r="DR5" s="808">
        <f t="shared" si="66"/>
        <v>46022</v>
      </c>
      <c r="DS5" s="806">
        <f t="shared" ref="DS5" si="67">+DN5+1</f>
        <v>2025</v>
      </c>
      <c r="DT5" s="808">
        <f t="shared" ref="DT5" si="68">EOMONTH(DO5,12)</f>
        <v>46112</v>
      </c>
      <c r="DU5" s="808">
        <f t="shared" ref="DU5:DW5" si="69">EOMONTH(DT5,3)</f>
        <v>46203</v>
      </c>
      <c r="DV5" s="808">
        <f t="shared" si="69"/>
        <v>46295</v>
      </c>
      <c r="DW5" s="808">
        <f t="shared" si="69"/>
        <v>46387</v>
      </c>
      <c r="DX5" s="806">
        <f t="shared" ref="DX5" si="70">+DS5+1</f>
        <v>2026</v>
      </c>
      <c r="DY5" s="808">
        <f t="shared" ref="DY5" si="71">EOMONTH(DT5,12)</f>
        <v>46477</v>
      </c>
      <c r="DZ5" s="808">
        <f t="shared" ref="DZ5:EB5" si="72">EOMONTH(DY5,3)</f>
        <v>46568</v>
      </c>
      <c r="EA5" s="808">
        <f t="shared" si="72"/>
        <v>46660</v>
      </c>
      <c r="EB5" s="808">
        <f t="shared" si="72"/>
        <v>46752</v>
      </c>
      <c r="EC5" s="806">
        <f t="shared" ref="EC5" si="73">+DX5+1</f>
        <v>2027</v>
      </c>
      <c r="ED5" s="94"/>
    </row>
    <row r="6" spans="1:134" ht="12" customHeight="1">
      <c r="A6" s="1189"/>
      <c r="B6" s="567"/>
      <c r="C6" s="568" t="s">
        <v>284</v>
      </c>
      <c r="D6" s="569"/>
      <c r="E6" s="569"/>
      <c r="F6" s="569"/>
      <c r="G6" s="569"/>
      <c r="H6" s="569"/>
      <c r="I6" s="570"/>
      <c r="J6" s="570"/>
      <c r="K6" s="570"/>
      <c r="L6" s="570"/>
      <c r="M6" s="571"/>
      <c r="N6" s="570"/>
      <c r="O6" s="570"/>
      <c r="P6" s="570"/>
      <c r="Q6" s="570"/>
      <c r="R6" s="571"/>
      <c r="S6" s="570"/>
      <c r="T6" s="570"/>
      <c r="U6" s="570"/>
      <c r="V6" s="570"/>
      <c r="W6" s="571"/>
      <c r="X6" s="572"/>
      <c r="Y6" s="572"/>
      <c r="Z6" s="572"/>
      <c r="AA6" s="572"/>
      <c r="AB6" s="571"/>
      <c r="AC6" s="572"/>
      <c r="AD6" s="572"/>
      <c r="AE6" s="572"/>
      <c r="AF6" s="572"/>
      <c r="AG6" s="571"/>
      <c r="AH6" s="570"/>
      <c r="AI6" s="570"/>
      <c r="AJ6" s="570"/>
      <c r="AK6" s="570"/>
      <c r="AL6" s="571"/>
      <c r="AM6" s="570"/>
      <c r="AN6" s="570"/>
      <c r="AO6" s="570"/>
      <c r="AP6" s="570"/>
      <c r="AQ6" s="571"/>
      <c r="AR6" s="570"/>
      <c r="AS6" s="570"/>
      <c r="AT6" s="570"/>
      <c r="AU6" s="573"/>
      <c r="AV6" s="571"/>
      <c r="AW6" s="570"/>
      <c r="AX6" s="570"/>
      <c r="AY6" s="570"/>
      <c r="AZ6" s="573"/>
      <c r="BA6" s="571"/>
      <c r="BB6" s="573"/>
      <c r="BC6" s="573"/>
      <c r="BD6" s="573"/>
      <c r="BE6" s="573"/>
      <c r="BF6" s="574"/>
      <c r="BG6" s="575"/>
      <c r="BH6" s="575"/>
      <c r="BI6" s="575"/>
      <c r="BJ6" s="575"/>
      <c r="BK6" s="574"/>
      <c r="BL6" s="575"/>
      <c r="BM6" s="575"/>
      <c r="BN6" s="575"/>
      <c r="BO6" s="575"/>
      <c r="BP6" s="574"/>
      <c r="BQ6" s="575"/>
      <c r="BR6" s="575"/>
      <c r="BS6" s="575"/>
      <c r="BT6" s="575"/>
      <c r="BU6" s="574"/>
      <c r="BV6" s="575"/>
      <c r="BW6" s="575"/>
      <c r="BX6" s="575"/>
      <c r="BY6" s="575"/>
      <c r="BZ6" s="574"/>
      <c r="CA6" s="575"/>
      <c r="CB6" s="575"/>
      <c r="CC6" s="575"/>
      <c r="CD6" s="575"/>
      <c r="CE6" s="574"/>
      <c r="CF6" s="575"/>
      <c r="CG6" s="575"/>
      <c r="CH6" s="575"/>
      <c r="CI6" s="575"/>
      <c r="CJ6" s="576"/>
      <c r="CK6" s="577"/>
      <c r="CL6" s="577"/>
      <c r="CM6" s="577"/>
      <c r="CN6" s="577"/>
      <c r="CO6" s="576"/>
      <c r="CP6" s="577"/>
      <c r="CQ6" s="577"/>
      <c r="CR6" s="577"/>
      <c r="CS6" s="577"/>
      <c r="CT6" s="576"/>
      <c r="CU6" s="577"/>
      <c r="CV6" s="577"/>
      <c r="CW6" s="577"/>
      <c r="CX6" s="577"/>
      <c r="CY6" s="576"/>
      <c r="CZ6" s="577"/>
      <c r="DA6" s="577"/>
      <c r="DB6" s="577"/>
      <c r="DC6" s="577"/>
      <c r="DD6" s="576"/>
      <c r="DE6" s="464"/>
      <c r="DF6" s="464"/>
      <c r="DG6" s="464"/>
      <c r="DH6" s="464"/>
      <c r="DI6" s="576"/>
      <c r="DJ6" s="577"/>
      <c r="DK6" s="577"/>
      <c r="DL6" s="577"/>
      <c r="DM6" s="577"/>
      <c r="DN6" s="576"/>
      <c r="DO6" s="577"/>
      <c r="DP6" s="577"/>
      <c r="DQ6" s="577"/>
      <c r="DR6" s="577"/>
      <c r="DS6" s="576"/>
      <c r="DT6" s="577"/>
      <c r="DU6" s="577"/>
      <c r="DV6" s="577"/>
      <c r="DW6" s="577"/>
      <c r="DX6" s="576"/>
      <c r="DY6" s="577"/>
      <c r="DZ6" s="577"/>
      <c r="EA6" s="577"/>
      <c r="EB6" s="577"/>
      <c r="EC6" s="576"/>
      <c r="ED6" s="578"/>
    </row>
    <row r="7" spans="1:134" ht="12" customHeight="1">
      <c r="A7" s="1190"/>
      <c r="B7" s="89"/>
      <c r="C7" s="579" t="s">
        <v>413</v>
      </c>
      <c r="D7" s="580"/>
      <c r="E7" s="580"/>
      <c r="F7" s="580"/>
      <c r="G7" s="580"/>
      <c r="H7" s="580"/>
      <c r="I7" s="581"/>
      <c r="J7" s="581"/>
      <c r="K7" s="581"/>
      <c r="L7" s="581"/>
      <c r="M7" s="582"/>
      <c r="N7" s="581"/>
      <c r="O7" s="581"/>
      <c r="P7" s="581"/>
      <c r="Q7" s="581"/>
      <c r="R7" s="582"/>
      <c r="S7" s="581"/>
      <c r="T7" s="581"/>
      <c r="U7" s="581"/>
      <c r="V7" s="581"/>
      <c r="W7" s="582"/>
      <c r="X7" s="581"/>
      <c r="Y7" s="581"/>
      <c r="Z7" s="581"/>
      <c r="AA7" s="581"/>
      <c r="AB7" s="582"/>
      <c r="AC7" s="581"/>
      <c r="AD7" s="581"/>
      <c r="AE7" s="581"/>
      <c r="AF7" s="581"/>
      <c r="AG7" s="582"/>
      <c r="AH7" s="581"/>
      <c r="AI7" s="581"/>
      <c r="AJ7" s="581"/>
      <c r="AK7" s="581"/>
      <c r="AL7" s="582"/>
      <c r="AM7" s="581"/>
      <c r="AN7" s="581"/>
      <c r="AO7" s="581"/>
      <c r="AP7" s="581"/>
      <c r="AQ7" s="582"/>
      <c r="AR7" s="581"/>
      <c r="AS7" s="581"/>
      <c r="AT7" s="581"/>
      <c r="AU7" s="581"/>
      <c r="AV7" s="582"/>
      <c r="AW7" s="581"/>
      <c r="AX7" s="581"/>
      <c r="AY7" s="581"/>
      <c r="AZ7" s="581"/>
      <c r="BA7" s="582"/>
      <c r="BB7" s="581"/>
      <c r="BC7" s="581"/>
      <c r="BD7" s="581"/>
      <c r="BE7" s="581"/>
      <c r="BF7" s="583"/>
      <c r="BG7" s="581"/>
      <c r="BH7" s="581"/>
      <c r="BI7" s="581"/>
      <c r="BJ7" s="581"/>
      <c r="BK7" s="582"/>
      <c r="BL7" s="581"/>
      <c r="BM7" s="581"/>
      <c r="BN7" s="581"/>
      <c r="BO7" s="581"/>
      <c r="BP7" s="584"/>
      <c r="BQ7" s="581">
        <v>7.4</v>
      </c>
      <c r="BR7" s="581">
        <v>8.5</v>
      </c>
      <c r="BS7" s="581">
        <v>9.7530000000000001</v>
      </c>
      <c r="BT7" s="581">
        <v>11.335000000000001</v>
      </c>
      <c r="BU7" s="584">
        <f>BT7</f>
        <v>11.335000000000001</v>
      </c>
      <c r="BV7" s="581">
        <v>12.779</v>
      </c>
      <c r="BW7" s="581">
        <v>14.435</v>
      </c>
      <c r="BX7" s="581">
        <v>16.277999999999999</v>
      </c>
      <c r="BY7" s="581">
        <v>18.460999999999999</v>
      </c>
      <c r="BZ7" s="584">
        <f>BY7</f>
        <v>18.460999999999999</v>
      </c>
      <c r="CA7" s="581">
        <v>20.724</v>
      </c>
      <c r="CB7" s="581">
        <v>23.66</v>
      </c>
      <c r="CC7" s="581">
        <v>26.837</v>
      </c>
      <c r="CD7" s="581">
        <v>29.876999999999999</v>
      </c>
      <c r="CE7" s="584">
        <f>CD7</f>
        <v>29.876999999999999</v>
      </c>
      <c r="CF7" s="581">
        <v>32.460999999999999</v>
      </c>
      <c r="CG7" s="581">
        <v>35.281999999999996</v>
      </c>
      <c r="CH7" s="581">
        <v>37.854999999999997</v>
      </c>
      <c r="CI7" s="585">
        <v>40.932000000000002</v>
      </c>
      <c r="CJ7" s="584">
        <f>CI7</f>
        <v>40.932000000000002</v>
      </c>
      <c r="CK7" s="586">
        <v>44.213000000000001</v>
      </c>
      <c r="CL7" s="586">
        <v>47.12</v>
      </c>
      <c r="CM7" s="586">
        <v>50.65</v>
      </c>
      <c r="CN7" s="586">
        <v>53.898000000000003</v>
      </c>
      <c r="CO7" s="584">
        <f>CN7</f>
        <v>53.898000000000003</v>
      </c>
      <c r="CP7" s="586">
        <v>55.396999999999998</v>
      </c>
      <c r="CQ7" s="586">
        <v>57.027000000000001</v>
      </c>
      <c r="CR7" s="586">
        <v>74.36</v>
      </c>
      <c r="CS7" s="586">
        <v>82.611000000000004</v>
      </c>
      <c r="CT7" s="584">
        <f>CS7</f>
        <v>82.611000000000004</v>
      </c>
      <c r="CU7" s="586">
        <v>89.930999999999997</v>
      </c>
      <c r="CV7" s="586">
        <v>95.111999999999995</v>
      </c>
      <c r="CW7" s="586">
        <v>98.778999999999996</v>
      </c>
      <c r="CX7" s="586">
        <v>102</v>
      </c>
      <c r="CY7" s="584">
        <f>CX7</f>
        <v>102</v>
      </c>
      <c r="CZ7" s="586">
        <v>105.2</v>
      </c>
      <c r="DA7" s="586">
        <v>107.2</v>
      </c>
      <c r="DB7" s="586">
        <v>107</v>
      </c>
      <c r="DC7" s="586">
        <v>109.5</v>
      </c>
      <c r="DD7" s="584">
        <f>DC7</f>
        <v>109.5</v>
      </c>
      <c r="DE7" s="586">
        <v>114</v>
      </c>
      <c r="DF7" s="586">
        <v>135</v>
      </c>
      <c r="DG7" s="586">
        <v>137</v>
      </c>
      <c r="DH7" s="586">
        <v>144</v>
      </c>
      <c r="DI7" s="584">
        <f>DH7</f>
        <v>144</v>
      </c>
      <c r="DJ7" s="586">
        <v>151</v>
      </c>
      <c r="DK7" s="586">
        <v>169</v>
      </c>
      <c r="DL7" s="586">
        <v>175</v>
      </c>
      <c r="DM7" s="587">
        <f>DM27*DM34/1000</f>
        <v>174.84396187499996</v>
      </c>
      <c r="DN7" s="584">
        <f>DM7</f>
        <v>174.84396187499996</v>
      </c>
      <c r="DO7" s="587">
        <f>DO27*DO34/1000</f>
        <v>166.67574648437491</v>
      </c>
      <c r="DP7" s="587">
        <f>DP27*DP34/1000</f>
        <v>186.54437851562494</v>
      </c>
      <c r="DQ7" s="587">
        <f>DQ27*DQ34/1000</f>
        <v>193.16725585937493</v>
      </c>
      <c r="DR7" s="587">
        <f>DR27*DR34/1000</f>
        <v>192.99501896557092</v>
      </c>
      <c r="DS7" s="584">
        <f>DR7</f>
        <v>192.99501896557092</v>
      </c>
      <c r="DT7" s="587">
        <f>DT27*DT34/1000</f>
        <v>183.9788375239975</v>
      </c>
      <c r="DU7" s="587">
        <f>DU27*DU34/1000</f>
        <v>205.91008967917605</v>
      </c>
      <c r="DV7" s="587">
        <f>DV27*DV34/1000</f>
        <v>213.22050706423551</v>
      </c>
      <c r="DW7" s="587">
        <f>DW27*DW34/1000</f>
        <v>213.03038976061347</v>
      </c>
      <c r="DX7" s="584">
        <f>DW7</f>
        <v>213.03038976061347</v>
      </c>
      <c r="DY7" s="587">
        <f>DY27*DY34/1000</f>
        <v>203.07821246119084</v>
      </c>
      <c r="DZ7" s="587">
        <f>DZ27*DZ34/1000</f>
        <v>227.28621129762422</v>
      </c>
      <c r="EA7" s="587">
        <f>EA27*EA34/1000</f>
        <v>235.35554424310197</v>
      </c>
      <c r="EB7" s="587">
        <f>EB27*EB34/1000</f>
        <v>235.14569031263306</v>
      </c>
      <c r="EC7" s="584">
        <f>EB7</f>
        <v>235.14569031263306</v>
      </c>
      <c r="ED7" s="588"/>
    </row>
    <row r="8" spans="1:134" ht="12" customHeight="1">
      <c r="A8" s="1189"/>
      <c r="B8" s="567"/>
      <c r="C8" s="762" t="s">
        <v>141</v>
      </c>
      <c r="D8" s="589"/>
      <c r="E8" s="590"/>
      <c r="F8" s="590"/>
      <c r="G8" s="590"/>
      <c r="H8" s="590"/>
      <c r="I8" s="591"/>
      <c r="J8" s="591"/>
      <c r="K8" s="591"/>
      <c r="L8" s="591"/>
      <c r="M8" s="590"/>
      <c r="N8" s="419"/>
      <c r="O8" s="419"/>
      <c r="P8" s="419"/>
      <c r="Q8" s="419"/>
      <c r="R8" s="590"/>
      <c r="S8" s="419"/>
      <c r="T8" s="419"/>
      <c r="U8" s="419"/>
      <c r="V8" s="419"/>
      <c r="W8" s="590"/>
      <c r="X8" s="419"/>
      <c r="Y8" s="419"/>
      <c r="Z8" s="419"/>
      <c r="AA8" s="419"/>
      <c r="AB8" s="590"/>
      <c r="AC8" s="419"/>
      <c r="AD8" s="419"/>
      <c r="AE8" s="419"/>
      <c r="AF8" s="419"/>
      <c r="AG8" s="590"/>
      <c r="AH8" s="419"/>
      <c r="AI8" s="419"/>
      <c r="AJ8" s="419"/>
      <c r="AK8" s="419"/>
      <c r="AL8" s="590"/>
      <c r="AM8" s="419"/>
      <c r="AN8" s="419"/>
      <c r="AO8" s="419"/>
      <c r="AP8" s="419"/>
      <c r="AQ8" s="590"/>
      <c r="AR8" s="419"/>
      <c r="AS8" s="419"/>
      <c r="AT8" s="419"/>
      <c r="AU8" s="419"/>
      <c r="AV8" s="590"/>
      <c r="AW8" s="419"/>
      <c r="AX8" s="419"/>
      <c r="AY8" s="419"/>
      <c r="AZ8" s="419"/>
      <c r="BA8" s="590"/>
      <c r="BB8" s="419"/>
      <c r="BC8" s="419"/>
      <c r="BD8" s="419"/>
      <c r="BE8" s="419"/>
      <c r="BF8" s="590"/>
      <c r="BG8" s="592"/>
      <c r="BH8" s="592"/>
      <c r="BI8" s="592"/>
      <c r="BJ8" s="592"/>
      <c r="BK8" s="590"/>
      <c r="BL8" s="287"/>
      <c r="BM8" s="287"/>
      <c r="BN8" s="287"/>
      <c r="BO8" s="287"/>
      <c r="BP8" s="593"/>
      <c r="BQ8" s="287"/>
      <c r="BR8" s="287">
        <f>BR7/BQ7-1</f>
        <v>0.14864864864864868</v>
      </c>
      <c r="BS8" s="287">
        <f>BS7/BR7-1</f>
        <v>0.14741176470588235</v>
      </c>
      <c r="BT8" s="287">
        <f>BT7/BS7-1</f>
        <v>0.16220650056392905</v>
      </c>
      <c r="BU8" s="593"/>
      <c r="BV8" s="287">
        <f>BV7/BT7-1</f>
        <v>0.12739303043670036</v>
      </c>
      <c r="BW8" s="287">
        <f>BW7/BV7-1</f>
        <v>0.12958760466390173</v>
      </c>
      <c r="BX8" s="287">
        <f>BX7/BW7-1</f>
        <v>0.1276757880152406</v>
      </c>
      <c r="BY8" s="287">
        <f>BY7/BX7-1</f>
        <v>0.13410738419953305</v>
      </c>
      <c r="BZ8" s="593"/>
      <c r="CA8" s="287">
        <f>CA7/BY7-1</f>
        <v>0.12258274199664165</v>
      </c>
      <c r="CB8" s="287">
        <f>CB7/CA7-1</f>
        <v>0.14167149198996332</v>
      </c>
      <c r="CC8" s="287">
        <f>CC7/CB7-1</f>
        <v>0.13427726120033801</v>
      </c>
      <c r="CD8" s="287">
        <f>CD7/CC7-1</f>
        <v>0.11327644669672465</v>
      </c>
      <c r="CE8" s="593"/>
      <c r="CF8" s="287">
        <f>CF7/CD7-1</f>
        <v>8.6487933862168243E-2</v>
      </c>
      <c r="CG8" s="287">
        <f>CG7/CF7-1</f>
        <v>8.6904285142170634E-2</v>
      </c>
      <c r="CH8" s="287">
        <f>CH7/CG7-1</f>
        <v>7.2926704835326817E-2</v>
      </c>
      <c r="CI8" s="287">
        <f>CI7/CH7-1</f>
        <v>8.12838462554486E-2</v>
      </c>
      <c r="CJ8" s="593"/>
      <c r="CK8" s="287">
        <f>CK7/CI7-1</f>
        <v>8.0157334115117829E-2</v>
      </c>
      <c r="CL8" s="287">
        <f>CL7/CK7-1</f>
        <v>6.5749892565534873E-2</v>
      </c>
      <c r="CM8" s="287">
        <f>CM7/CL7-1</f>
        <v>7.4915110356536641E-2</v>
      </c>
      <c r="CN8" s="287">
        <f>CN7/CM7-1</f>
        <v>6.4126357354393093E-2</v>
      </c>
      <c r="CO8" s="593"/>
      <c r="CP8" s="287">
        <f>CP7/CN7-1</f>
        <v>2.781179264536715E-2</v>
      </c>
      <c r="CQ8" s="287">
        <f>CQ7/CP7-1</f>
        <v>2.9423976027582732E-2</v>
      </c>
      <c r="CR8" s="287">
        <f>CR7/CQ7-1</f>
        <v>0.30394374594490325</v>
      </c>
      <c r="CS8" s="287">
        <f>CS7/CR7-1</f>
        <v>0.11096019365250132</v>
      </c>
      <c r="CT8" s="593"/>
      <c r="CU8" s="287">
        <f>CU7/CS7-1</f>
        <v>8.8608054617423715E-2</v>
      </c>
      <c r="CV8" s="287">
        <f>CV7/CU7-1</f>
        <v>5.761083497347963E-2</v>
      </c>
      <c r="CW8" s="287">
        <f>CW7/CV7-1</f>
        <v>3.8554546219194297E-2</v>
      </c>
      <c r="CX8" s="288">
        <f>CX7/CW7-1</f>
        <v>3.2608145456018089E-2</v>
      </c>
      <c r="CY8" s="593"/>
      <c r="CZ8" s="287">
        <f>CZ7/CX7-1</f>
        <v>3.1372549019607954E-2</v>
      </c>
      <c r="DA8" s="287">
        <f>DA7/CY7-1</f>
        <v>5.0980392156862786E-2</v>
      </c>
      <c r="DB8" s="287">
        <f>DB7/DA7-1</f>
        <v>-1.8656716417910779E-3</v>
      </c>
      <c r="DC8" s="287">
        <f>DC7/DB7-1</f>
        <v>2.3364485981308469E-2</v>
      </c>
      <c r="DD8" s="593"/>
      <c r="DE8" s="287">
        <f>DE7/DC7-1</f>
        <v>4.1095890410958846E-2</v>
      </c>
      <c r="DF8" s="287">
        <f>DF7/DE7-1</f>
        <v>0.18421052631578938</v>
      </c>
      <c r="DG8" s="287">
        <f>DG7/DF7-1</f>
        <v>1.4814814814814836E-2</v>
      </c>
      <c r="DH8" s="287">
        <f>DH7/DG7-1</f>
        <v>5.1094890510948954E-2</v>
      </c>
      <c r="DI8" s="593"/>
      <c r="DJ8" s="287">
        <f>DJ7/DI7-1</f>
        <v>4.861111111111116E-2</v>
      </c>
      <c r="DK8" s="287">
        <f>DK7/DJ7-1</f>
        <v>0.11920529801324498</v>
      </c>
      <c r="DL8" s="287">
        <f>DL7/DK7-1</f>
        <v>3.5502958579881616E-2</v>
      </c>
      <c r="DM8" s="287">
        <f>DM7/DL7-1</f>
        <v>-8.9164642857164633E-4</v>
      </c>
      <c r="DN8" s="593"/>
      <c r="DO8" s="287">
        <f>DO7/DM7-1</f>
        <v>-4.6717171717172046E-2</v>
      </c>
      <c r="DP8" s="287">
        <f>DP7/DO7-1</f>
        <v>0.1192052980132452</v>
      </c>
      <c r="DQ8" s="287">
        <f>DQ7/DP7-1</f>
        <v>3.5502958579881616E-2</v>
      </c>
      <c r="DR8" s="287">
        <f>DR7/DQ7-1</f>
        <v>-8.9164642857175735E-4</v>
      </c>
      <c r="DS8" s="281"/>
      <c r="DT8" s="287">
        <f>DT7/DR7-1</f>
        <v>-4.6717171717171935E-2</v>
      </c>
      <c r="DU8" s="287">
        <f>DU7/DT7-1</f>
        <v>0.1192052980132452</v>
      </c>
      <c r="DV8" s="287">
        <f>DV7/DU7-1</f>
        <v>3.5502958579881394E-2</v>
      </c>
      <c r="DW8" s="287">
        <f>DW7/DV7-1</f>
        <v>-8.9164642857153531E-4</v>
      </c>
      <c r="DX8" s="281"/>
      <c r="DY8" s="287">
        <f>DY7/DW7-1</f>
        <v>-4.6717171717171824E-2</v>
      </c>
      <c r="DZ8" s="287">
        <f>DZ7/DY7-1</f>
        <v>0.1192052980132452</v>
      </c>
      <c r="EA8" s="287">
        <f>EA7/DZ7-1</f>
        <v>3.5502958579881616E-2</v>
      </c>
      <c r="EB8" s="287">
        <f>EB7/EA7-1</f>
        <v>-8.9164642857164633E-4</v>
      </c>
      <c r="EC8" s="281"/>
      <c r="ED8" s="578"/>
    </row>
    <row r="9" spans="1:134" ht="12" customHeight="1">
      <c r="A9" s="1189"/>
      <c r="B9" s="567"/>
      <c r="C9" s="762" t="s">
        <v>140</v>
      </c>
      <c r="D9" s="589"/>
      <c r="E9" s="590"/>
      <c r="F9" s="590"/>
      <c r="G9" s="590"/>
      <c r="H9" s="590"/>
      <c r="I9" s="591"/>
      <c r="J9" s="591"/>
      <c r="K9" s="591"/>
      <c r="L9" s="591"/>
      <c r="M9" s="590"/>
      <c r="N9" s="419"/>
      <c r="O9" s="419"/>
      <c r="P9" s="419"/>
      <c r="Q9" s="419"/>
      <c r="R9" s="590"/>
      <c r="S9" s="419"/>
      <c r="T9" s="419"/>
      <c r="U9" s="419"/>
      <c r="V9" s="419"/>
      <c r="W9" s="590"/>
      <c r="X9" s="419"/>
      <c r="Y9" s="419"/>
      <c r="Z9" s="419"/>
      <c r="AA9" s="419"/>
      <c r="AB9" s="590"/>
      <c r="AC9" s="419"/>
      <c r="AD9" s="419"/>
      <c r="AE9" s="419"/>
      <c r="AF9" s="419"/>
      <c r="AG9" s="590"/>
      <c r="AH9" s="419"/>
      <c r="AI9" s="419"/>
      <c r="AJ9" s="419"/>
      <c r="AK9" s="419"/>
      <c r="AL9" s="590"/>
      <c r="AM9" s="419"/>
      <c r="AN9" s="419"/>
      <c r="AO9" s="419"/>
      <c r="AP9" s="419"/>
      <c r="AQ9" s="590"/>
      <c r="AR9" s="419"/>
      <c r="AS9" s="419"/>
      <c r="AT9" s="419"/>
      <c r="AU9" s="419"/>
      <c r="AV9" s="590"/>
      <c r="AW9" s="419"/>
      <c r="AX9" s="419"/>
      <c r="AY9" s="419"/>
      <c r="AZ9" s="419"/>
      <c r="BA9" s="590"/>
      <c r="BB9" s="419"/>
      <c r="BC9" s="419"/>
      <c r="BD9" s="419"/>
      <c r="BE9" s="419"/>
      <c r="BF9" s="590"/>
      <c r="BG9" s="285"/>
      <c r="BH9" s="285"/>
      <c r="BI9" s="285"/>
      <c r="BJ9" s="285"/>
      <c r="BK9" s="590"/>
      <c r="BL9" s="287"/>
      <c r="BM9" s="287"/>
      <c r="BN9" s="287"/>
      <c r="BO9" s="287"/>
      <c r="BP9" s="286"/>
      <c r="BQ9" s="287"/>
      <c r="BR9" s="287"/>
      <c r="BS9" s="287"/>
      <c r="BT9" s="287"/>
      <c r="BU9" s="286"/>
      <c r="BV9" s="287">
        <f t="shared" ref="BV9:CN9" si="74">BV7/BQ7-1</f>
        <v>0.72689189189189185</v>
      </c>
      <c r="BW9" s="287">
        <f t="shared" si="74"/>
        <v>0.69823529411764707</v>
      </c>
      <c r="BX9" s="287">
        <f t="shared" si="74"/>
        <v>0.66902491541064268</v>
      </c>
      <c r="BY9" s="287">
        <f t="shared" si="74"/>
        <v>0.62867225408028204</v>
      </c>
      <c r="BZ9" s="286">
        <f t="shared" si="74"/>
        <v>0.62867225408028204</v>
      </c>
      <c r="CA9" s="287">
        <f t="shared" si="74"/>
        <v>0.62172313952578451</v>
      </c>
      <c r="CB9" s="287">
        <f t="shared" si="74"/>
        <v>0.63907170072739872</v>
      </c>
      <c r="CC9" s="287">
        <f t="shared" si="74"/>
        <v>0.6486669123971005</v>
      </c>
      <c r="CD9" s="287">
        <f t="shared" si="74"/>
        <v>0.61838470288716763</v>
      </c>
      <c r="CE9" s="286">
        <f t="shared" si="74"/>
        <v>0.61838470288716763</v>
      </c>
      <c r="CF9" s="287">
        <f t="shared" si="74"/>
        <v>0.56634819532908698</v>
      </c>
      <c r="CG9" s="287">
        <f t="shared" si="74"/>
        <v>0.49120879120879102</v>
      </c>
      <c r="CH9" s="287">
        <f t="shared" si="74"/>
        <v>0.41055259529753685</v>
      </c>
      <c r="CI9" s="287">
        <f t="shared" si="74"/>
        <v>0.3700170699869465</v>
      </c>
      <c r="CJ9" s="286">
        <f t="shared" si="74"/>
        <v>0.3700170699869465</v>
      </c>
      <c r="CK9" s="287">
        <f t="shared" si="74"/>
        <v>0.3620344413295955</v>
      </c>
      <c r="CL9" s="287">
        <f t="shared" si="74"/>
        <v>0.33552519698429806</v>
      </c>
      <c r="CM9" s="287">
        <f t="shared" si="74"/>
        <v>0.33800026416589635</v>
      </c>
      <c r="CN9" s="287">
        <f t="shared" si="74"/>
        <v>0.31676927587217829</v>
      </c>
      <c r="CO9" s="286">
        <f t="shared" ref="CO9:DD9" si="75">CO7/CJ7-1</f>
        <v>0.31676927587217829</v>
      </c>
      <c r="CP9" s="287">
        <f t="shared" si="75"/>
        <v>0.25295727500961251</v>
      </c>
      <c r="CQ9" s="287">
        <f t="shared" si="75"/>
        <v>0.21025042444821751</v>
      </c>
      <c r="CR9" s="287">
        <f t="shared" si="75"/>
        <v>0.46811451135241855</v>
      </c>
      <c r="CS9" s="287">
        <f t="shared" si="75"/>
        <v>0.53272848714238008</v>
      </c>
      <c r="CT9" s="286">
        <f t="shared" si="75"/>
        <v>0.53272848714238008</v>
      </c>
      <c r="CU9" s="287">
        <f t="shared" si="75"/>
        <v>0.62339115836597658</v>
      </c>
      <c r="CV9" s="287">
        <f t="shared" si="75"/>
        <v>0.6678415487400704</v>
      </c>
      <c r="CW9" s="287">
        <f t="shared" si="75"/>
        <v>0.32838891877353404</v>
      </c>
      <c r="CX9" s="288">
        <f t="shared" si="75"/>
        <v>0.23470240040672552</v>
      </c>
      <c r="CY9" s="286">
        <f t="shared" si="75"/>
        <v>0.23470240040672552</v>
      </c>
      <c r="CZ9" s="287">
        <f t="shared" si="75"/>
        <v>0.16978572461109076</v>
      </c>
      <c r="DA9" s="287">
        <f t="shared" si="75"/>
        <v>0.12709227016569957</v>
      </c>
      <c r="DB9" s="287">
        <f t="shared" si="75"/>
        <v>8.3226191801901273E-2</v>
      </c>
      <c r="DC9" s="287">
        <f t="shared" si="75"/>
        <v>7.3529411764705843E-2</v>
      </c>
      <c r="DD9" s="286">
        <f t="shared" si="75"/>
        <v>7.3529411764705843E-2</v>
      </c>
      <c r="DE9" s="287">
        <f t="shared" ref="DE9:DN9" si="76">DE7/CZ7-1</f>
        <v>8.365019011406849E-2</v>
      </c>
      <c r="DF9" s="287">
        <f t="shared" si="76"/>
        <v>0.25932835820895517</v>
      </c>
      <c r="DG9" s="287">
        <f t="shared" si="76"/>
        <v>0.28037383177570097</v>
      </c>
      <c r="DH9" s="287">
        <f t="shared" si="76"/>
        <v>0.31506849315068486</v>
      </c>
      <c r="DI9" s="286">
        <f t="shared" si="76"/>
        <v>0.31506849315068486</v>
      </c>
      <c r="DJ9" s="287">
        <f t="shared" si="76"/>
        <v>0.32456140350877183</v>
      </c>
      <c r="DK9" s="287">
        <f t="shared" si="76"/>
        <v>0.25185185185185177</v>
      </c>
      <c r="DL9" s="287">
        <f t="shared" si="76"/>
        <v>0.27737226277372273</v>
      </c>
      <c r="DM9" s="287">
        <f t="shared" si="76"/>
        <v>0.21419417968749976</v>
      </c>
      <c r="DN9" s="286">
        <f t="shared" si="76"/>
        <v>0.21419417968749976</v>
      </c>
      <c r="DO9" s="287">
        <f t="shared" ref="DO9" si="77">DO7/DJ7-1</f>
        <v>0.10381289062499932</v>
      </c>
      <c r="DP9" s="287">
        <f t="shared" ref="DP9" si="78">DP7/DK7-1</f>
        <v>0.10381289062499977</v>
      </c>
      <c r="DQ9" s="287">
        <f t="shared" ref="DQ9" si="79">DQ7/DL7-1</f>
        <v>0.10381289062499954</v>
      </c>
      <c r="DR9" s="287">
        <f t="shared" ref="DR9:DS9" si="80">DR7/DM7-1</f>
        <v>0.10381289062499954</v>
      </c>
      <c r="DS9" s="286">
        <f t="shared" si="80"/>
        <v>0.10381289062499954</v>
      </c>
      <c r="DT9" s="287">
        <f t="shared" ref="DT9" si="81">DT7/DO7-1</f>
        <v>0.10381289062499977</v>
      </c>
      <c r="DU9" s="287">
        <f t="shared" ref="DU9" si="82">DU7/DP7-1</f>
        <v>0.10381289062499977</v>
      </c>
      <c r="DV9" s="287">
        <f t="shared" ref="DV9" si="83">DV7/DQ7-1</f>
        <v>0.10381289062499954</v>
      </c>
      <c r="DW9" s="287">
        <f t="shared" ref="DW9" si="84">DW7/DR7-1</f>
        <v>0.10381289062499977</v>
      </c>
      <c r="DX9" s="286">
        <f t="shared" ref="DX9" si="85">DX7/DS7-1</f>
        <v>0.10381289062499977</v>
      </c>
      <c r="DY9" s="287">
        <f t="shared" ref="DY9" si="86">DY7/DT7-1</f>
        <v>0.10381289062499977</v>
      </c>
      <c r="DZ9" s="287">
        <f t="shared" ref="DZ9" si="87">DZ7/DU7-1</f>
        <v>0.10381289062499954</v>
      </c>
      <c r="EA9" s="287">
        <f t="shared" ref="EA9" si="88">EA7/DV7-1</f>
        <v>0.10381289062499977</v>
      </c>
      <c r="EB9" s="287">
        <f t="shared" ref="EB9" si="89">EB7/DW7-1</f>
        <v>0.10381289062499954</v>
      </c>
      <c r="EC9" s="286">
        <f t="shared" ref="EC9" si="90">EC7/DX7-1</f>
        <v>0.10381289062499954</v>
      </c>
      <c r="ED9" s="578"/>
    </row>
    <row r="10" spans="1:134" ht="12" hidden="1" customHeight="1" outlineLevel="1">
      <c r="A10" s="1191"/>
      <c r="B10" s="578"/>
      <c r="C10" s="763" t="s">
        <v>285</v>
      </c>
      <c r="D10" s="764"/>
      <c r="E10" s="590"/>
      <c r="F10" s="590"/>
      <c r="G10" s="590"/>
      <c r="H10" s="590"/>
      <c r="I10" s="765"/>
      <c r="J10" s="765"/>
      <c r="K10" s="765"/>
      <c r="L10" s="765"/>
      <c r="M10" s="590"/>
      <c r="N10" s="419"/>
      <c r="O10" s="419"/>
      <c r="P10" s="419"/>
      <c r="Q10" s="419"/>
      <c r="R10" s="590"/>
      <c r="S10" s="419"/>
      <c r="T10" s="419"/>
      <c r="U10" s="419"/>
      <c r="V10" s="419"/>
      <c r="W10" s="590"/>
      <c r="X10" s="419"/>
      <c r="Y10" s="419"/>
      <c r="Z10" s="419"/>
      <c r="AA10" s="419"/>
      <c r="AB10" s="590"/>
      <c r="AC10" s="419"/>
      <c r="AD10" s="419"/>
      <c r="AE10" s="419"/>
      <c r="AF10" s="419"/>
      <c r="AG10" s="590"/>
      <c r="AH10" s="419"/>
      <c r="AI10" s="419"/>
      <c r="AJ10" s="419"/>
      <c r="AK10" s="419"/>
      <c r="AL10" s="590"/>
      <c r="AM10" s="419"/>
      <c r="AN10" s="419"/>
      <c r="AO10" s="419"/>
      <c r="AP10" s="419"/>
      <c r="AQ10" s="590"/>
      <c r="AR10" s="419"/>
      <c r="AS10" s="419"/>
      <c r="AT10" s="419"/>
      <c r="AU10" s="419"/>
      <c r="AV10" s="590"/>
      <c r="AW10" s="419"/>
      <c r="AX10" s="419"/>
      <c r="AY10" s="419"/>
      <c r="AZ10" s="419"/>
      <c r="BA10" s="590"/>
      <c r="BB10" s="419"/>
      <c r="BC10" s="419"/>
      <c r="BD10" s="419"/>
      <c r="BE10" s="419"/>
      <c r="BF10" s="590"/>
      <c r="BG10" s="594"/>
      <c r="BH10" s="594"/>
      <c r="BI10" s="594"/>
      <c r="BJ10" s="594"/>
      <c r="BK10" s="590"/>
      <c r="BL10" s="419"/>
      <c r="BM10" s="419"/>
      <c r="BN10" s="419"/>
      <c r="BO10" s="419"/>
      <c r="BP10" s="590"/>
      <c r="BQ10" s="419"/>
      <c r="BR10" s="419"/>
      <c r="BS10" s="419"/>
      <c r="BT10" s="419"/>
      <c r="BU10" s="1222" t="s">
        <v>286</v>
      </c>
      <c r="BV10" s="419"/>
      <c r="BW10" s="419"/>
      <c r="BX10" s="419"/>
      <c r="BY10" s="419"/>
      <c r="BZ10" s="1222" t="s">
        <v>286</v>
      </c>
      <c r="CA10" s="419"/>
      <c r="CB10" s="419"/>
      <c r="CC10" s="419"/>
      <c r="CD10" s="419"/>
      <c r="CE10" s="1222" t="s">
        <v>286</v>
      </c>
      <c r="CF10" s="419"/>
      <c r="CG10" s="419"/>
      <c r="CH10" s="419"/>
      <c r="CI10" s="419"/>
      <c r="CJ10" s="286"/>
      <c r="CK10" s="595"/>
      <c r="CL10" s="595"/>
      <c r="CM10" s="595"/>
      <c r="CN10" s="595"/>
      <c r="CO10" s="286"/>
      <c r="CP10" s="287"/>
      <c r="CQ10" s="287"/>
      <c r="CR10" s="287"/>
      <c r="CS10" s="287"/>
      <c r="CT10" s="286"/>
      <c r="CU10" s="287"/>
      <c r="CV10" s="287"/>
      <c r="CW10" s="287"/>
      <c r="CX10" s="288"/>
      <c r="CY10" s="286"/>
      <c r="CZ10" s="287"/>
      <c r="DA10" s="287"/>
      <c r="DB10" s="287"/>
      <c r="DC10" s="287"/>
      <c r="DD10" s="286"/>
      <c r="DE10" s="287"/>
      <c r="DF10" s="287"/>
      <c r="DG10" s="287"/>
      <c r="DH10" s="287"/>
      <c r="DI10" s="286"/>
      <c r="DJ10" s="287"/>
      <c r="DK10" s="287"/>
      <c r="DL10" s="287"/>
      <c r="DM10" s="287"/>
      <c r="DN10" s="286"/>
      <c r="DO10" s="287"/>
      <c r="DP10" s="287"/>
      <c r="DQ10" s="287"/>
      <c r="DR10" s="287"/>
      <c r="DS10" s="286"/>
      <c r="DT10" s="287"/>
      <c r="DU10" s="287"/>
      <c r="DV10" s="287"/>
      <c r="DW10" s="287"/>
      <c r="DX10" s="286"/>
      <c r="DY10" s="287"/>
      <c r="DZ10" s="287"/>
      <c r="EA10" s="287"/>
      <c r="EB10" s="287"/>
      <c r="EC10" s="286"/>
      <c r="ED10" s="578"/>
    </row>
    <row r="11" spans="1:134" ht="12" hidden="1" customHeight="1" outlineLevel="1">
      <c r="A11" s="1189"/>
      <c r="B11" s="567"/>
      <c r="C11" s="770" t="s">
        <v>314</v>
      </c>
      <c r="D11" s="589"/>
      <c r="E11" s="590"/>
      <c r="F11" s="590"/>
      <c r="G11" s="590"/>
      <c r="H11" s="590"/>
      <c r="I11" s="591"/>
      <c r="J11" s="591"/>
      <c r="K11" s="591"/>
      <c r="L11" s="591"/>
      <c r="M11" s="590"/>
      <c r="N11" s="419"/>
      <c r="O11" s="419"/>
      <c r="P11" s="419"/>
      <c r="Q11" s="419"/>
      <c r="R11" s="590"/>
      <c r="S11" s="419"/>
      <c r="T11" s="419"/>
      <c r="U11" s="419"/>
      <c r="V11" s="419"/>
      <c r="W11" s="590"/>
      <c r="X11" s="419"/>
      <c r="Y11" s="419"/>
      <c r="Z11" s="419"/>
      <c r="AA11" s="419"/>
      <c r="AB11" s="590"/>
      <c r="AC11" s="419"/>
      <c r="AD11" s="419"/>
      <c r="AE11" s="419"/>
      <c r="AF11" s="419"/>
      <c r="AG11" s="590"/>
      <c r="AH11" s="419"/>
      <c r="AI11" s="419"/>
      <c r="AJ11" s="419"/>
      <c r="AK11" s="419"/>
      <c r="AL11" s="590"/>
      <c r="AM11" s="419"/>
      <c r="AN11" s="419"/>
      <c r="AO11" s="419"/>
      <c r="AP11" s="419"/>
      <c r="AQ11" s="590"/>
      <c r="AR11" s="419"/>
      <c r="AS11" s="419"/>
      <c r="AT11" s="419"/>
      <c r="AU11" s="419"/>
      <c r="AV11" s="590"/>
      <c r="AW11" s="419"/>
      <c r="AX11" s="419"/>
      <c r="AY11" s="419"/>
      <c r="AZ11" s="419"/>
      <c r="BA11" s="590"/>
      <c r="BB11" s="419"/>
      <c r="BC11" s="419"/>
      <c r="BD11" s="419"/>
      <c r="BE11" s="419"/>
      <c r="BF11" s="590"/>
      <c r="BG11" s="285"/>
      <c r="BH11" s="285"/>
      <c r="BI11" s="285"/>
      <c r="BJ11" s="285"/>
      <c r="BK11" s="590"/>
      <c r="BL11" s="287"/>
      <c r="BM11" s="287"/>
      <c r="BN11" s="287"/>
      <c r="BO11" s="287"/>
      <c r="BP11" s="286"/>
      <c r="BQ11" s="287"/>
      <c r="BR11" s="287"/>
      <c r="BS11" s="287"/>
      <c r="BT11" s="287"/>
      <c r="BU11" s="286"/>
      <c r="BV11" s="287"/>
      <c r="BW11" s="287"/>
      <c r="BX11" s="287"/>
      <c r="BY11" s="287"/>
      <c r="BZ11" s="286"/>
      <c r="CA11" s="287"/>
      <c r="CB11" s="287"/>
      <c r="CC11" s="287"/>
      <c r="CD11" s="287"/>
      <c r="CE11" s="286"/>
      <c r="CF11" s="287"/>
      <c r="CG11" s="287"/>
      <c r="CH11" s="287"/>
      <c r="CI11" s="287"/>
      <c r="CJ11" s="286"/>
      <c r="CK11" s="287"/>
      <c r="CL11" s="287"/>
      <c r="CM11" s="287"/>
      <c r="CN11" s="287"/>
      <c r="CO11" s="286"/>
      <c r="CP11" s="287"/>
      <c r="CQ11" s="287"/>
      <c r="CR11" s="287"/>
      <c r="CS11" s="287"/>
      <c r="CT11" s="286"/>
      <c r="CU11" s="287"/>
      <c r="CV11" s="287"/>
      <c r="CW11" s="287"/>
      <c r="CX11" s="287"/>
      <c r="CY11" s="286"/>
      <c r="CZ11" s="287"/>
      <c r="DA11" s="287"/>
      <c r="DB11" s="287"/>
      <c r="DC11" s="287"/>
      <c r="DD11" s="286"/>
      <c r="DE11" s="287"/>
      <c r="DF11" s="287"/>
      <c r="DG11" s="287"/>
      <c r="DH11" s="287"/>
      <c r="DI11" s="286"/>
      <c r="DJ11" s="287"/>
      <c r="DK11" s="287"/>
      <c r="DL11" s="287"/>
      <c r="DM11" s="287"/>
      <c r="DN11" s="286"/>
      <c r="DO11" s="287"/>
      <c r="DP11" s="287"/>
      <c r="DQ11" s="287"/>
      <c r="DR11" s="287"/>
      <c r="DS11" s="286"/>
      <c r="DT11" s="287"/>
      <c r="DU11" s="287"/>
      <c r="DV11" s="287"/>
      <c r="DW11" s="287"/>
      <c r="DX11" s="286"/>
      <c r="DY11" s="287"/>
      <c r="DZ11" s="287"/>
      <c r="EA11" s="287"/>
      <c r="EB11" s="287"/>
      <c r="EC11" s="286"/>
      <c r="ED11" s="578"/>
    </row>
    <row r="12" spans="1:134" ht="12" hidden="1" customHeight="1" outlineLevel="1">
      <c r="A12" s="1189"/>
      <c r="B12" s="567"/>
      <c r="C12" s="771" t="s">
        <v>315</v>
      </c>
      <c r="D12" s="589"/>
      <c r="E12" s="590"/>
      <c r="F12" s="590"/>
      <c r="G12" s="590"/>
      <c r="H12" s="590"/>
      <c r="I12" s="591"/>
      <c r="J12" s="591"/>
      <c r="K12" s="591"/>
      <c r="L12" s="591"/>
      <c r="M12" s="590"/>
      <c r="N12" s="419"/>
      <c r="O12" s="419"/>
      <c r="P12" s="419"/>
      <c r="Q12" s="419"/>
      <c r="R12" s="590"/>
      <c r="S12" s="419"/>
      <c r="T12" s="419"/>
      <c r="U12" s="419"/>
      <c r="V12" s="419"/>
      <c r="W12" s="590"/>
      <c r="X12" s="419"/>
      <c r="Y12" s="419"/>
      <c r="Z12" s="419"/>
      <c r="AA12" s="419"/>
      <c r="AB12" s="590"/>
      <c r="AC12" s="419"/>
      <c r="AD12" s="419"/>
      <c r="AE12" s="419"/>
      <c r="AF12" s="419"/>
      <c r="AG12" s="590"/>
      <c r="AH12" s="419"/>
      <c r="AI12" s="419"/>
      <c r="AJ12" s="419"/>
      <c r="AK12" s="419"/>
      <c r="AL12" s="590"/>
      <c r="AM12" s="419"/>
      <c r="AN12" s="419"/>
      <c r="AO12" s="419"/>
      <c r="AP12" s="419"/>
      <c r="AQ12" s="590"/>
      <c r="AR12" s="419"/>
      <c r="AS12" s="419"/>
      <c r="AT12" s="419"/>
      <c r="AU12" s="419"/>
      <c r="AV12" s="590"/>
      <c r="AW12" s="419"/>
      <c r="AX12" s="419"/>
      <c r="AY12" s="419"/>
      <c r="AZ12" s="419"/>
      <c r="BA12" s="590"/>
      <c r="BB12" s="419"/>
      <c r="BC12" s="419"/>
      <c r="BD12" s="419"/>
      <c r="BE12" s="419"/>
      <c r="BF12" s="590"/>
      <c r="BG12" s="285"/>
      <c r="BH12" s="285"/>
      <c r="BI12" s="285"/>
      <c r="BJ12" s="285"/>
      <c r="BK12" s="590"/>
      <c r="BL12" s="287"/>
      <c r="BM12" s="287"/>
      <c r="BN12" s="287"/>
      <c r="BO12" s="287"/>
      <c r="BP12" s="286"/>
      <c r="BQ12" s="287"/>
      <c r="BR12" s="287"/>
      <c r="BS12" s="287"/>
      <c r="BT12" s="287"/>
      <c r="BU12" s="286"/>
      <c r="BV12" s="287"/>
      <c r="BW12" s="287"/>
      <c r="BX12" s="287"/>
      <c r="BY12" s="287"/>
      <c r="BZ12" s="286"/>
      <c r="CA12" s="287"/>
      <c r="CB12" s="287"/>
      <c r="CC12" s="287"/>
      <c r="CD12" s="287"/>
      <c r="CE12" s="286"/>
      <c r="CF12" s="287"/>
      <c r="CG12" s="287"/>
      <c r="CH12" s="675">
        <v>0.7</v>
      </c>
      <c r="CI12" s="675">
        <v>0.66</v>
      </c>
      <c r="CJ12" s="286"/>
      <c r="CK12" s="675">
        <v>0.68</v>
      </c>
      <c r="CL12" s="675">
        <v>0.66</v>
      </c>
      <c r="CM12" s="675">
        <v>0.65</v>
      </c>
      <c r="CN12" s="675">
        <v>0.63</v>
      </c>
      <c r="CO12" s="286"/>
      <c r="CP12" s="675">
        <v>0.63</v>
      </c>
      <c r="CQ12" s="675">
        <v>0.62</v>
      </c>
      <c r="CR12" s="675">
        <v>0.59</v>
      </c>
      <c r="CS12" s="675">
        <v>0.63</v>
      </c>
      <c r="CT12" s="286"/>
      <c r="CU12" s="675">
        <v>0.6</v>
      </c>
      <c r="CV12" s="675">
        <v>0.61</v>
      </c>
      <c r="CW12" s="675">
        <v>0.63</v>
      </c>
      <c r="CX12" s="675">
        <v>0.61</v>
      </c>
      <c r="CY12" s="286"/>
      <c r="CZ12" s="419">
        <f>1-CZ13-CZ14</f>
        <v>0.56999999999999995</v>
      </c>
      <c r="DA12" s="419">
        <f>1-DA13-DA14</f>
        <v>0.55999999999999994</v>
      </c>
      <c r="DB12" s="419">
        <f>1-DB13-DB14</f>
        <v>0.52999999999999992</v>
      </c>
      <c r="DC12" s="419">
        <f>1-DC13-DC14</f>
        <v>0.5099999999999999</v>
      </c>
      <c r="DD12" s="590"/>
      <c r="DE12" s="419">
        <f>1-DE13-DE14</f>
        <v>0.5099999999999999</v>
      </c>
      <c r="DF12" s="419">
        <f>1-DF13-DF14</f>
        <v>0.55999999999999994</v>
      </c>
      <c r="DG12" s="419">
        <f>1-DG13-DG14</f>
        <v>0.53999999999999992</v>
      </c>
      <c r="DH12" s="419">
        <f>1-DH13-DH14</f>
        <v>0.53999999999999992</v>
      </c>
      <c r="DI12" s="590"/>
      <c r="DJ12" s="419">
        <f>1-DJ13-DJ14</f>
        <v>0.52999999999999992</v>
      </c>
      <c r="DK12" s="419">
        <f>1-DK13-DK14</f>
        <v>0.53999999999999992</v>
      </c>
      <c r="DL12" s="419">
        <f>1-DL13-DL14</f>
        <v>0.53999999999999992</v>
      </c>
      <c r="DM12" s="419">
        <f>1-DM13-DM14</f>
        <v>0.53999999999999992</v>
      </c>
      <c r="DN12" s="590"/>
      <c r="DO12" s="419">
        <f>1-DO13-DO14</f>
        <v>0.53999999999999992</v>
      </c>
      <c r="DP12" s="419">
        <f>1-DP13-DP14</f>
        <v>0.53999999999999992</v>
      </c>
      <c r="DQ12" s="419">
        <f>1-DQ13-DQ14</f>
        <v>0.53999999999999992</v>
      </c>
      <c r="DR12" s="419">
        <f>1-DR13-DR14</f>
        <v>0.53999999999999992</v>
      </c>
      <c r="DS12" s="590"/>
      <c r="DT12" s="419">
        <f>1-DT13-DT14</f>
        <v>0.53999999999999992</v>
      </c>
      <c r="DU12" s="419">
        <f>1-DU13-DU14</f>
        <v>0.53999999999999992</v>
      </c>
      <c r="DV12" s="419">
        <f>1-DV13-DV14</f>
        <v>0.53999999999999992</v>
      </c>
      <c r="DW12" s="419">
        <f>1-DW13-DW14</f>
        <v>0.53999999999999992</v>
      </c>
      <c r="DX12" s="590"/>
      <c r="DY12" s="419">
        <f>1-DY13-DY14</f>
        <v>0.53999999999999992</v>
      </c>
      <c r="DZ12" s="419">
        <f>1-DZ13-DZ14</f>
        <v>0.53999999999999992</v>
      </c>
      <c r="EA12" s="419">
        <f>1-EA13-EA14</f>
        <v>0.53999999999999992</v>
      </c>
      <c r="EB12" s="419">
        <f>1-EB13-EB14</f>
        <v>0.53999999999999992</v>
      </c>
      <c r="EC12" s="590"/>
      <c r="ED12" s="578"/>
    </row>
    <row r="13" spans="1:134" ht="12" hidden="1" customHeight="1" outlineLevel="1">
      <c r="A13" s="1189"/>
      <c r="B13" s="567"/>
      <c r="C13" s="771" t="s">
        <v>316</v>
      </c>
      <c r="D13" s="589"/>
      <c r="E13" s="590"/>
      <c r="F13" s="590"/>
      <c r="G13" s="590"/>
      <c r="H13" s="590"/>
      <c r="I13" s="591"/>
      <c r="J13" s="591"/>
      <c r="K13" s="591"/>
      <c r="L13" s="591"/>
      <c r="M13" s="590"/>
      <c r="N13" s="419"/>
      <c r="O13" s="419"/>
      <c r="P13" s="419"/>
      <c r="Q13" s="419"/>
      <c r="R13" s="590"/>
      <c r="S13" s="419"/>
      <c r="T13" s="419"/>
      <c r="U13" s="419"/>
      <c r="V13" s="419"/>
      <c r="W13" s="590"/>
      <c r="X13" s="419"/>
      <c r="Y13" s="419"/>
      <c r="Z13" s="419"/>
      <c r="AA13" s="419"/>
      <c r="AB13" s="590"/>
      <c r="AC13" s="419"/>
      <c r="AD13" s="419"/>
      <c r="AE13" s="419"/>
      <c r="AF13" s="419"/>
      <c r="AG13" s="590"/>
      <c r="AH13" s="419"/>
      <c r="AI13" s="419"/>
      <c r="AJ13" s="419"/>
      <c r="AK13" s="419"/>
      <c r="AL13" s="590"/>
      <c r="AM13" s="419"/>
      <c r="AN13" s="419"/>
      <c r="AO13" s="419"/>
      <c r="AP13" s="419"/>
      <c r="AQ13" s="590"/>
      <c r="AR13" s="419"/>
      <c r="AS13" s="419"/>
      <c r="AT13" s="419"/>
      <c r="AU13" s="419"/>
      <c r="AV13" s="590"/>
      <c r="AW13" s="419"/>
      <c r="AX13" s="419"/>
      <c r="AY13" s="419"/>
      <c r="AZ13" s="419"/>
      <c r="BA13" s="590"/>
      <c r="BB13" s="419"/>
      <c r="BC13" s="419"/>
      <c r="BD13" s="419"/>
      <c r="BE13" s="419"/>
      <c r="BF13" s="590"/>
      <c r="BG13" s="285"/>
      <c r="BH13" s="285"/>
      <c r="BI13" s="285"/>
      <c r="BJ13" s="285"/>
      <c r="BK13" s="590"/>
      <c r="BL13" s="287"/>
      <c r="BM13" s="287"/>
      <c r="BN13" s="287"/>
      <c r="BO13" s="287"/>
      <c r="BP13" s="286"/>
      <c r="BQ13" s="287"/>
      <c r="BR13" s="287"/>
      <c r="BS13" s="287"/>
      <c r="BT13" s="287"/>
      <c r="BU13" s="286"/>
      <c r="BV13" s="287"/>
      <c r="BW13" s="287"/>
      <c r="BX13" s="287"/>
      <c r="BY13" s="287"/>
      <c r="BZ13" s="286"/>
      <c r="CA13" s="287"/>
      <c r="CB13" s="287"/>
      <c r="CC13" s="287"/>
      <c r="CD13" s="287"/>
      <c r="CE13" s="286"/>
      <c r="CF13" s="287"/>
      <c r="CG13" s="287"/>
      <c r="CH13" s="675">
        <v>0.22</v>
      </c>
      <c r="CI13" s="675">
        <v>0.22</v>
      </c>
      <c r="CJ13" s="286"/>
      <c r="CK13" s="675">
        <v>0.23</v>
      </c>
      <c r="CL13" s="675">
        <v>0.23</v>
      </c>
      <c r="CM13" s="675">
        <v>0.23</v>
      </c>
      <c r="CN13" s="675">
        <v>0.23</v>
      </c>
      <c r="CO13" s="286"/>
      <c r="CP13" s="675">
        <v>0.24</v>
      </c>
      <c r="CQ13" s="675">
        <v>0.24</v>
      </c>
      <c r="CR13" s="675">
        <v>0.22</v>
      </c>
      <c r="CS13" s="675">
        <v>0.21</v>
      </c>
      <c r="CT13" s="286"/>
      <c r="CU13" s="675">
        <v>0.21</v>
      </c>
      <c r="CV13" s="675">
        <v>0.22</v>
      </c>
      <c r="CW13" s="675">
        <v>0.23</v>
      </c>
      <c r="CX13" s="675">
        <v>0.24</v>
      </c>
      <c r="CY13" s="286"/>
      <c r="CZ13" s="675">
        <v>0.3</v>
      </c>
      <c r="DA13" s="675">
        <v>0.31</v>
      </c>
      <c r="DB13" s="675">
        <v>0.33</v>
      </c>
      <c r="DC13" s="675">
        <v>0.34</v>
      </c>
      <c r="DD13" s="286"/>
      <c r="DE13" s="675">
        <v>0.34</v>
      </c>
      <c r="DF13" s="675">
        <v>0.28999999999999998</v>
      </c>
      <c r="DG13" s="675">
        <v>0.31</v>
      </c>
      <c r="DH13" s="675">
        <v>0.31</v>
      </c>
      <c r="DI13" s="286"/>
      <c r="DJ13" s="675">
        <v>0.32</v>
      </c>
      <c r="DK13" s="675">
        <v>0.31</v>
      </c>
      <c r="DL13" s="675">
        <v>0.31</v>
      </c>
      <c r="DM13" s="420">
        <f t="shared" ref="DK13:DM14" si="91">DL13</f>
        <v>0.31</v>
      </c>
      <c r="DN13" s="286"/>
      <c r="DO13" s="420">
        <f>DM13</f>
        <v>0.31</v>
      </c>
      <c r="DP13" s="420">
        <f t="shared" ref="DP13:DP14" si="92">DO13</f>
        <v>0.31</v>
      </c>
      <c r="DQ13" s="420">
        <f t="shared" ref="DQ13:DQ14" si="93">DP13</f>
        <v>0.31</v>
      </c>
      <c r="DR13" s="420">
        <f t="shared" ref="DR13:DR14" si="94">DQ13</f>
        <v>0.31</v>
      </c>
      <c r="DS13" s="286"/>
      <c r="DT13" s="420">
        <f>DR13</f>
        <v>0.31</v>
      </c>
      <c r="DU13" s="420">
        <f t="shared" ref="DU13:DU14" si="95">DT13</f>
        <v>0.31</v>
      </c>
      <c r="DV13" s="420">
        <f t="shared" ref="DV13:DV14" si="96">DU13</f>
        <v>0.31</v>
      </c>
      <c r="DW13" s="420">
        <f t="shared" ref="DW13:DW14" si="97">DV13</f>
        <v>0.31</v>
      </c>
      <c r="DX13" s="286"/>
      <c r="DY13" s="420">
        <f>DW13</f>
        <v>0.31</v>
      </c>
      <c r="DZ13" s="420">
        <f t="shared" ref="DZ13:DZ14" si="98">DY13</f>
        <v>0.31</v>
      </c>
      <c r="EA13" s="420">
        <f t="shared" ref="EA13:EA14" si="99">DZ13</f>
        <v>0.31</v>
      </c>
      <c r="EB13" s="420">
        <f t="shared" ref="EB13:EB14" si="100">EA13</f>
        <v>0.31</v>
      </c>
      <c r="EC13" s="286"/>
      <c r="ED13" s="578"/>
    </row>
    <row r="14" spans="1:134" ht="12" hidden="1" customHeight="1" outlineLevel="1">
      <c r="A14" s="1189"/>
      <c r="B14" s="567"/>
      <c r="C14" s="771" t="s">
        <v>317</v>
      </c>
      <c r="D14" s="589"/>
      <c r="E14" s="590"/>
      <c r="F14" s="590"/>
      <c r="G14" s="590"/>
      <c r="H14" s="590"/>
      <c r="I14" s="591"/>
      <c r="J14" s="591"/>
      <c r="K14" s="591"/>
      <c r="L14" s="591"/>
      <c r="M14" s="590"/>
      <c r="N14" s="419"/>
      <c r="O14" s="419"/>
      <c r="P14" s="419"/>
      <c r="Q14" s="419"/>
      <c r="R14" s="590"/>
      <c r="S14" s="419"/>
      <c r="T14" s="419"/>
      <c r="U14" s="419"/>
      <c r="V14" s="419"/>
      <c r="W14" s="590"/>
      <c r="X14" s="419"/>
      <c r="Y14" s="419"/>
      <c r="Z14" s="419"/>
      <c r="AA14" s="419"/>
      <c r="AB14" s="590"/>
      <c r="AC14" s="419"/>
      <c r="AD14" s="419"/>
      <c r="AE14" s="419"/>
      <c r="AF14" s="419"/>
      <c r="AG14" s="590"/>
      <c r="AH14" s="419"/>
      <c r="AI14" s="419"/>
      <c r="AJ14" s="419"/>
      <c r="AK14" s="419"/>
      <c r="AL14" s="590"/>
      <c r="AM14" s="419"/>
      <c r="AN14" s="419"/>
      <c r="AO14" s="419"/>
      <c r="AP14" s="419"/>
      <c r="AQ14" s="590"/>
      <c r="AR14" s="419"/>
      <c r="AS14" s="419"/>
      <c r="AT14" s="419"/>
      <c r="AU14" s="419"/>
      <c r="AV14" s="590"/>
      <c r="AW14" s="419"/>
      <c r="AX14" s="419"/>
      <c r="AY14" s="419"/>
      <c r="AZ14" s="419"/>
      <c r="BA14" s="590"/>
      <c r="BB14" s="419"/>
      <c r="BC14" s="419"/>
      <c r="BD14" s="419"/>
      <c r="BE14" s="419"/>
      <c r="BF14" s="590"/>
      <c r="BG14" s="285"/>
      <c r="BH14" s="285"/>
      <c r="BI14" s="285"/>
      <c r="BJ14" s="285"/>
      <c r="BK14" s="590"/>
      <c r="BL14" s="287"/>
      <c r="BM14" s="287"/>
      <c r="BN14" s="287"/>
      <c r="BO14" s="287"/>
      <c r="BP14" s="286"/>
      <c r="BQ14" s="287"/>
      <c r="BR14" s="287"/>
      <c r="BS14" s="287"/>
      <c r="BT14" s="287"/>
      <c r="BU14" s="286"/>
      <c r="BV14" s="287"/>
      <c r="BW14" s="287"/>
      <c r="BX14" s="287"/>
      <c r="BY14" s="287"/>
      <c r="BZ14" s="286"/>
      <c r="CA14" s="287"/>
      <c r="CB14" s="287"/>
      <c r="CC14" s="287"/>
      <c r="CD14" s="287"/>
      <c r="CE14" s="286"/>
      <c r="CF14" s="287"/>
      <c r="CG14" s="287"/>
      <c r="CH14" s="675">
        <v>0.09</v>
      </c>
      <c r="CI14" s="675">
        <v>0.12</v>
      </c>
      <c r="CJ14" s="286"/>
      <c r="CK14" s="675">
        <v>0.09</v>
      </c>
      <c r="CL14" s="675">
        <v>0.1</v>
      </c>
      <c r="CM14" s="675">
        <v>0.11</v>
      </c>
      <c r="CN14" s="675">
        <v>0.14000000000000001</v>
      </c>
      <c r="CO14" s="286"/>
      <c r="CP14" s="675">
        <v>0.13</v>
      </c>
      <c r="CQ14" s="675">
        <v>0.14000000000000001</v>
      </c>
      <c r="CR14" s="675">
        <v>0.2</v>
      </c>
      <c r="CS14" s="675">
        <v>0.16</v>
      </c>
      <c r="CT14" s="286"/>
      <c r="CU14" s="675">
        <v>0.19</v>
      </c>
      <c r="CV14" s="675">
        <v>0.17</v>
      </c>
      <c r="CW14" s="675">
        <v>0.14000000000000001</v>
      </c>
      <c r="CX14" s="675">
        <v>0.14000000000000001</v>
      </c>
      <c r="CY14" s="286"/>
      <c r="CZ14" s="681">
        <v>0.13</v>
      </c>
      <c r="DA14" s="681">
        <v>0.13</v>
      </c>
      <c r="DB14" s="681">
        <v>0.14000000000000001</v>
      </c>
      <c r="DC14" s="681">
        <v>0.15</v>
      </c>
      <c r="DD14" s="286"/>
      <c r="DE14" s="681">
        <v>0.15</v>
      </c>
      <c r="DF14" s="681">
        <f t="shared" ref="DF14:DH14" si="101">DE14</f>
        <v>0.15</v>
      </c>
      <c r="DG14" s="681">
        <f t="shared" si="101"/>
        <v>0.15</v>
      </c>
      <c r="DH14" s="681">
        <f t="shared" si="101"/>
        <v>0.15</v>
      </c>
      <c r="DI14" s="286"/>
      <c r="DJ14" s="681">
        <v>0.15</v>
      </c>
      <c r="DK14" s="681">
        <f t="shared" si="91"/>
        <v>0.15</v>
      </c>
      <c r="DL14" s="681">
        <f t="shared" si="91"/>
        <v>0.15</v>
      </c>
      <c r="DM14" s="420">
        <f t="shared" si="91"/>
        <v>0.15</v>
      </c>
      <c r="DN14" s="286"/>
      <c r="DO14" s="420">
        <f>DM14</f>
        <v>0.15</v>
      </c>
      <c r="DP14" s="420">
        <f t="shared" si="92"/>
        <v>0.15</v>
      </c>
      <c r="DQ14" s="420">
        <f t="shared" si="93"/>
        <v>0.15</v>
      </c>
      <c r="DR14" s="420">
        <f t="shared" si="94"/>
        <v>0.15</v>
      </c>
      <c r="DS14" s="286"/>
      <c r="DT14" s="420">
        <f>DR14</f>
        <v>0.15</v>
      </c>
      <c r="DU14" s="420">
        <f t="shared" si="95"/>
        <v>0.15</v>
      </c>
      <c r="DV14" s="420">
        <f t="shared" si="96"/>
        <v>0.15</v>
      </c>
      <c r="DW14" s="420">
        <f t="shared" si="97"/>
        <v>0.15</v>
      </c>
      <c r="DX14" s="286"/>
      <c r="DY14" s="420">
        <f>DW14</f>
        <v>0.15</v>
      </c>
      <c r="DZ14" s="420">
        <f t="shared" si="98"/>
        <v>0.15</v>
      </c>
      <c r="EA14" s="420">
        <f t="shared" si="99"/>
        <v>0.15</v>
      </c>
      <c r="EB14" s="420">
        <f t="shared" si="100"/>
        <v>0.15</v>
      </c>
      <c r="EC14" s="286"/>
      <c r="ED14" s="578"/>
    </row>
    <row r="15" spans="1:134" ht="12" hidden="1" customHeight="1" outlineLevel="1">
      <c r="A15" s="1189"/>
      <c r="B15" s="567"/>
      <c r="C15" s="771" t="s">
        <v>75</v>
      </c>
      <c r="D15" s="589"/>
      <c r="E15" s="590"/>
      <c r="F15" s="590"/>
      <c r="G15" s="590"/>
      <c r="H15" s="590"/>
      <c r="I15" s="591"/>
      <c r="J15" s="591"/>
      <c r="K15" s="591"/>
      <c r="L15" s="591"/>
      <c r="M15" s="590"/>
      <c r="N15" s="419"/>
      <c r="O15" s="419"/>
      <c r="P15" s="419"/>
      <c r="Q15" s="419"/>
      <c r="R15" s="590"/>
      <c r="S15" s="419"/>
      <c r="T15" s="419"/>
      <c r="U15" s="419"/>
      <c r="V15" s="419"/>
      <c r="W15" s="590"/>
      <c r="X15" s="419"/>
      <c r="Y15" s="419"/>
      <c r="Z15" s="419"/>
      <c r="AA15" s="419"/>
      <c r="AB15" s="590"/>
      <c r="AC15" s="419"/>
      <c r="AD15" s="419"/>
      <c r="AE15" s="419"/>
      <c r="AF15" s="419"/>
      <c r="AG15" s="590"/>
      <c r="AH15" s="419"/>
      <c r="AI15" s="419"/>
      <c r="AJ15" s="419"/>
      <c r="AK15" s="419"/>
      <c r="AL15" s="590"/>
      <c r="AM15" s="419"/>
      <c r="AN15" s="419"/>
      <c r="AO15" s="419"/>
      <c r="AP15" s="419"/>
      <c r="AQ15" s="590"/>
      <c r="AR15" s="419"/>
      <c r="AS15" s="419"/>
      <c r="AT15" s="419"/>
      <c r="AU15" s="419"/>
      <c r="AV15" s="590"/>
      <c r="AW15" s="419"/>
      <c r="AX15" s="419"/>
      <c r="AY15" s="419"/>
      <c r="AZ15" s="419"/>
      <c r="BA15" s="590"/>
      <c r="BB15" s="419"/>
      <c r="BC15" s="419"/>
      <c r="BD15" s="419"/>
      <c r="BE15" s="419"/>
      <c r="BF15" s="590"/>
      <c r="BG15" s="285"/>
      <c r="BH15" s="285"/>
      <c r="BI15" s="285"/>
      <c r="BJ15" s="285"/>
      <c r="BK15" s="590"/>
      <c r="BL15" s="287"/>
      <c r="BM15" s="287"/>
      <c r="BN15" s="287"/>
      <c r="BO15" s="287"/>
      <c r="BP15" s="286"/>
      <c r="BQ15" s="287"/>
      <c r="BR15" s="287"/>
      <c r="BS15" s="287"/>
      <c r="BT15" s="287"/>
      <c r="BU15" s="286"/>
      <c r="BV15" s="287"/>
      <c r="BW15" s="287"/>
      <c r="BX15" s="287"/>
      <c r="BY15" s="287"/>
      <c r="BZ15" s="286"/>
      <c r="CA15" s="287"/>
      <c r="CB15" s="287"/>
      <c r="CC15" s="287"/>
      <c r="CD15" s="287"/>
      <c r="CE15" s="286"/>
      <c r="CF15" s="287"/>
      <c r="CG15" s="287"/>
      <c r="CH15" s="675">
        <f>1-SUM(CH12:CH14)</f>
        <v>-1.0000000000000009E-2</v>
      </c>
      <c r="CI15" s="675">
        <f>1-SUM(CI12:CI14)</f>
        <v>0</v>
      </c>
      <c r="CJ15" s="286"/>
      <c r="CK15" s="675">
        <f>1-SUM(CK12:CK14)</f>
        <v>0</v>
      </c>
      <c r="CL15" s="675">
        <f>1-SUM(CL12:CL14)</f>
        <v>1.0000000000000009E-2</v>
      </c>
      <c r="CM15" s="675">
        <f>1-SUM(CM12:CM14)</f>
        <v>1.0000000000000009E-2</v>
      </c>
      <c r="CN15" s="675">
        <f>1-SUM(CN12:CN14)</f>
        <v>0</v>
      </c>
      <c r="CO15" s="286"/>
      <c r="CP15" s="675">
        <f>1-SUM(CP12:CP14)</f>
        <v>0</v>
      </c>
      <c r="CQ15" s="675">
        <f>1-SUM(CQ12:CQ14)</f>
        <v>0</v>
      </c>
      <c r="CR15" s="675">
        <f>1-SUM(CR12:CR14)</f>
        <v>-1.0000000000000009E-2</v>
      </c>
      <c r="CS15" s="675">
        <f>1-SUM(CS12:CS14)</f>
        <v>0</v>
      </c>
      <c r="CT15" s="286"/>
      <c r="CU15" s="675">
        <f>1-SUM(CU12:CU14)</f>
        <v>0</v>
      </c>
      <c r="CV15" s="675">
        <f>1-SUM(CV12:CV14)</f>
        <v>0</v>
      </c>
      <c r="CW15" s="675">
        <f>1-SUM(CW12:CW14)</f>
        <v>0</v>
      </c>
      <c r="CX15" s="675">
        <v>0</v>
      </c>
      <c r="CY15" s="286"/>
      <c r="CZ15" s="420"/>
      <c r="DA15" s="420"/>
      <c r="DB15" s="420"/>
      <c r="DC15" s="420"/>
      <c r="DD15" s="286"/>
      <c r="DE15" s="420"/>
      <c r="DF15" s="420"/>
      <c r="DG15" s="420"/>
      <c r="DH15" s="420"/>
      <c r="DI15" s="286"/>
      <c r="DJ15" s="420"/>
      <c r="DK15" s="420"/>
      <c r="DL15" s="420"/>
      <c r="DM15" s="420"/>
      <c r="DN15" s="286"/>
      <c r="DO15" s="420"/>
      <c r="DP15" s="420"/>
      <c r="DQ15" s="420"/>
      <c r="DR15" s="420"/>
      <c r="DS15" s="286"/>
      <c r="DT15" s="420"/>
      <c r="DU15" s="420"/>
      <c r="DV15" s="420"/>
      <c r="DW15" s="420"/>
      <c r="DX15" s="286"/>
      <c r="DY15" s="420"/>
      <c r="DZ15" s="420"/>
      <c r="EA15" s="420"/>
      <c r="EB15" s="420"/>
      <c r="EC15" s="286"/>
      <c r="ED15" s="578"/>
    </row>
    <row r="16" spans="1:134" ht="12" hidden="1" customHeight="1" outlineLevel="1">
      <c r="A16" s="1191"/>
      <c r="B16" s="578"/>
      <c r="C16" s="766" t="s">
        <v>296</v>
      </c>
      <c r="D16" s="764"/>
      <c r="E16" s="590"/>
      <c r="F16" s="590"/>
      <c r="G16" s="590"/>
      <c r="H16" s="590"/>
      <c r="I16" s="765"/>
      <c r="J16" s="765"/>
      <c r="K16" s="765"/>
      <c r="L16" s="765"/>
      <c r="M16" s="590"/>
      <c r="N16" s="419"/>
      <c r="O16" s="419"/>
      <c r="P16" s="419"/>
      <c r="Q16" s="419"/>
      <c r="R16" s="590"/>
      <c r="S16" s="419"/>
      <c r="T16" s="419"/>
      <c r="U16" s="419"/>
      <c r="V16" s="419"/>
      <c r="W16" s="590"/>
      <c r="X16" s="419"/>
      <c r="Y16" s="419"/>
      <c r="Z16" s="419"/>
      <c r="AA16" s="419"/>
      <c r="AB16" s="590"/>
      <c r="AC16" s="419"/>
      <c r="AD16" s="419"/>
      <c r="AE16" s="419"/>
      <c r="AF16" s="419"/>
      <c r="AG16" s="590"/>
      <c r="AH16" s="419"/>
      <c r="AI16" s="419"/>
      <c r="AJ16" s="419"/>
      <c r="AK16" s="419"/>
      <c r="AL16" s="590"/>
      <c r="AM16" s="419"/>
      <c r="AN16" s="419"/>
      <c r="AO16" s="419"/>
      <c r="AP16" s="419"/>
      <c r="AQ16" s="590"/>
      <c r="AR16" s="419"/>
      <c r="AS16" s="419"/>
      <c r="AT16" s="419"/>
      <c r="AU16" s="419"/>
      <c r="AV16" s="590"/>
      <c r="AW16" s="419"/>
      <c r="AX16" s="419"/>
      <c r="AY16" s="419"/>
      <c r="AZ16" s="419"/>
      <c r="BA16" s="590"/>
      <c r="BB16" s="419"/>
      <c r="BC16" s="419"/>
      <c r="BD16" s="419"/>
      <c r="BE16" s="419"/>
      <c r="BF16" s="590"/>
      <c r="BG16" s="594"/>
      <c r="BH16" s="594"/>
      <c r="BI16" s="594"/>
      <c r="BJ16" s="594"/>
      <c r="BK16" s="590"/>
      <c r="BL16" s="419"/>
      <c r="BM16" s="419"/>
      <c r="BN16" s="419"/>
      <c r="BO16" s="419"/>
      <c r="BP16" s="590"/>
      <c r="BQ16" s="596">
        <f>BQ7*3</f>
        <v>22.200000000000003</v>
      </c>
      <c r="BR16" s="596">
        <f>BR7*3</f>
        <v>25.5</v>
      </c>
      <c r="BS16" s="596">
        <f>BS7*3</f>
        <v>29.259</v>
      </c>
      <c r="BT16" s="596">
        <f>BT7*3</f>
        <v>34.005000000000003</v>
      </c>
      <c r="BU16" s="281">
        <f>SUM(BQ16:BT16)</f>
        <v>110.964</v>
      </c>
      <c r="BV16" s="596">
        <f>BV7*3</f>
        <v>38.337000000000003</v>
      </c>
      <c r="BW16" s="596">
        <f>BW7*3</f>
        <v>43.305</v>
      </c>
      <c r="BX16" s="596">
        <f>BX7*3</f>
        <v>48.833999999999996</v>
      </c>
      <c r="BY16" s="596">
        <f>BY7*3</f>
        <v>55.382999999999996</v>
      </c>
      <c r="BZ16" s="281">
        <f>SUM(BV16:BY16)</f>
        <v>185.85899999999998</v>
      </c>
      <c r="CA16" s="596">
        <f>CA7*3</f>
        <v>62.171999999999997</v>
      </c>
      <c r="CB16" s="596">
        <f>CB7*3</f>
        <v>70.98</v>
      </c>
      <c r="CC16" s="596">
        <f>CC7*3</f>
        <v>80.510999999999996</v>
      </c>
      <c r="CD16" s="596">
        <f>CD7*3</f>
        <v>89.631</v>
      </c>
      <c r="CE16" s="281">
        <f>SUM(CA16:CD16)</f>
        <v>303.29399999999998</v>
      </c>
      <c r="CF16" s="596">
        <f>CF7*3</f>
        <v>97.382999999999996</v>
      </c>
      <c r="CG16" s="596">
        <f>CG7*3</f>
        <v>105.84599999999999</v>
      </c>
      <c r="CH16" s="596">
        <f>CH7*3</f>
        <v>113.565</v>
      </c>
      <c r="CI16" s="596">
        <f>CI7*3</f>
        <v>122.79600000000001</v>
      </c>
      <c r="CJ16" s="281">
        <f>SUM(CF16:CI16)</f>
        <v>439.59</v>
      </c>
      <c r="CK16" s="596">
        <f>CK7*3</f>
        <v>132.63900000000001</v>
      </c>
      <c r="CL16" s="596">
        <f>CL7*3</f>
        <v>141.35999999999999</v>
      </c>
      <c r="CM16" s="596">
        <f>CM7*3</f>
        <v>151.94999999999999</v>
      </c>
      <c r="CN16" s="596">
        <f>CN7*3</f>
        <v>161.69400000000002</v>
      </c>
      <c r="CO16" s="281">
        <f>SUM(CK16:CN16)</f>
        <v>587.64300000000003</v>
      </c>
      <c r="CP16" s="596">
        <f>CP7*3</f>
        <v>166.191</v>
      </c>
      <c r="CQ16" s="596">
        <f>CQ7*3</f>
        <v>171.08100000000002</v>
      </c>
      <c r="CR16" s="596">
        <f>CR7*3</f>
        <v>223.07999999999998</v>
      </c>
      <c r="CS16" s="596">
        <f>CS7*3</f>
        <v>247.83300000000003</v>
      </c>
      <c r="CT16" s="281">
        <f>SUM(CP16:CS16)</f>
        <v>808.18500000000017</v>
      </c>
      <c r="CU16" s="596">
        <f>CU7*3</f>
        <v>269.79300000000001</v>
      </c>
      <c r="CV16" s="596">
        <f>CV7*3</f>
        <v>285.33600000000001</v>
      </c>
      <c r="CW16" s="596">
        <f>CW7*3</f>
        <v>296.33699999999999</v>
      </c>
      <c r="CX16" s="597">
        <f>CX7*3</f>
        <v>306</v>
      </c>
      <c r="CY16" s="281">
        <f>SUM(CU16:CX16)</f>
        <v>1157.4659999999999</v>
      </c>
      <c r="CZ16" s="596">
        <f>CZ7*3</f>
        <v>315.60000000000002</v>
      </c>
      <c r="DA16" s="596">
        <f>DA7*3</f>
        <v>321.60000000000002</v>
      </c>
      <c r="DB16" s="596">
        <f>DB7*3</f>
        <v>321</v>
      </c>
      <c r="DC16" s="596">
        <f>DC7*3</f>
        <v>328.5</v>
      </c>
      <c r="DD16" s="281">
        <f>SUM(CZ16:DC16)</f>
        <v>1286.7</v>
      </c>
      <c r="DE16" s="596">
        <f>DE7*3</f>
        <v>342</v>
      </c>
      <c r="DF16" s="596">
        <f>DF7*3</f>
        <v>405</v>
      </c>
      <c r="DG16" s="596">
        <f>DG7*3</f>
        <v>411</v>
      </c>
      <c r="DH16" s="596">
        <f>DH7*3</f>
        <v>432</v>
      </c>
      <c r="DI16" s="281">
        <f>SUM(DE16:DH16)</f>
        <v>1590</v>
      </c>
      <c r="DJ16" s="596">
        <f>DJ7*3</f>
        <v>453</v>
      </c>
      <c r="DK16" s="596">
        <f>DK7*3</f>
        <v>507</v>
      </c>
      <c r="DL16" s="596">
        <f>DL7*3</f>
        <v>525</v>
      </c>
      <c r="DM16" s="596">
        <f>DM7*3</f>
        <v>524.53188562499986</v>
      </c>
      <c r="DN16" s="281">
        <f>SUM(DJ16:DM16)</f>
        <v>2009.5318856249999</v>
      </c>
      <c r="DO16" s="596">
        <f>DO7*3</f>
        <v>500.02723945312471</v>
      </c>
      <c r="DP16" s="596">
        <f>DP7*3</f>
        <v>559.63313554687488</v>
      </c>
      <c r="DQ16" s="596">
        <f>DQ7*3</f>
        <v>579.50176757812483</v>
      </c>
      <c r="DR16" s="596">
        <f>DR7*3</f>
        <v>578.98505689671276</v>
      </c>
      <c r="DS16" s="281">
        <f>SUM(DO16:DR16)</f>
        <v>2218.1471994748372</v>
      </c>
      <c r="DT16" s="596">
        <f>DT7*3</f>
        <v>551.93651257199247</v>
      </c>
      <c r="DU16" s="596">
        <f>DU7*3</f>
        <v>617.73026903752816</v>
      </c>
      <c r="DV16" s="596">
        <f>DV7*3</f>
        <v>639.66152119270646</v>
      </c>
      <c r="DW16" s="596">
        <f>DW7*3</f>
        <v>639.09116928184039</v>
      </c>
      <c r="DX16" s="281">
        <f>SUM(DT16:DW16)</f>
        <v>2448.4194720840674</v>
      </c>
      <c r="DY16" s="596">
        <f>DY7*3</f>
        <v>609.23463738357259</v>
      </c>
      <c r="DZ16" s="596">
        <f>DZ7*3</f>
        <v>681.8586338928726</v>
      </c>
      <c r="EA16" s="596">
        <f>EA7*3</f>
        <v>706.06663272930587</v>
      </c>
      <c r="EB16" s="596">
        <f>EB7*3</f>
        <v>705.43707093789919</v>
      </c>
      <c r="EC16" s="281">
        <f>SUM(DY16:EB16)</f>
        <v>2702.5969749436504</v>
      </c>
      <c r="ED16" s="578"/>
    </row>
    <row r="17" spans="1:134" ht="12" hidden="1" customHeight="1" outlineLevel="1">
      <c r="A17" s="1189"/>
      <c r="B17" s="567"/>
      <c r="C17" s="762" t="s">
        <v>140</v>
      </c>
      <c r="D17" s="589"/>
      <c r="E17" s="590"/>
      <c r="F17" s="590"/>
      <c r="G17" s="590"/>
      <c r="H17" s="590"/>
      <c r="I17" s="591"/>
      <c r="J17" s="591"/>
      <c r="K17" s="591"/>
      <c r="L17" s="591"/>
      <c r="M17" s="590"/>
      <c r="N17" s="419"/>
      <c r="O17" s="419"/>
      <c r="P17" s="419"/>
      <c r="Q17" s="419"/>
      <c r="R17" s="590"/>
      <c r="S17" s="419"/>
      <c r="T17" s="419"/>
      <c r="U17" s="419"/>
      <c r="V17" s="419"/>
      <c r="W17" s="590"/>
      <c r="X17" s="419"/>
      <c r="Y17" s="419"/>
      <c r="Z17" s="419"/>
      <c r="AA17" s="419"/>
      <c r="AB17" s="590"/>
      <c r="AC17" s="419"/>
      <c r="AD17" s="419"/>
      <c r="AE17" s="419"/>
      <c r="AF17" s="419"/>
      <c r="AG17" s="590"/>
      <c r="AH17" s="419"/>
      <c r="AI17" s="419"/>
      <c r="AJ17" s="419"/>
      <c r="AK17" s="419"/>
      <c r="AL17" s="590"/>
      <c r="AM17" s="419"/>
      <c r="AN17" s="419"/>
      <c r="AO17" s="419"/>
      <c r="AP17" s="419"/>
      <c r="AQ17" s="590"/>
      <c r="AR17" s="419"/>
      <c r="AS17" s="419"/>
      <c r="AT17" s="419"/>
      <c r="AU17" s="419"/>
      <c r="AV17" s="590"/>
      <c r="AW17" s="419"/>
      <c r="AX17" s="419"/>
      <c r="AY17" s="419"/>
      <c r="AZ17" s="419"/>
      <c r="BA17" s="590"/>
      <c r="BB17" s="419"/>
      <c r="BC17" s="419"/>
      <c r="BD17" s="419"/>
      <c r="BE17" s="419"/>
      <c r="BF17" s="590"/>
      <c r="BG17" s="285"/>
      <c r="BH17" s="285"/>
      <c r="BI17" s="285"/>
      <c r="BJ17" s="285"/>
      <c r="BK17" s="590"/>
      <c r="BL17" s="287"/>
      <c r="BM17" s="287"/>
      <c r="BN17" s="287"/>
      <c r="BO17" s="287"/>
      <c r="BP17" s="286"/>
      <c r="BQ17" s="287"/>
      <c r="BR17" s="287"/>
      <c r="BS17" s="287"/>
      <c r="BT17" s="287"/>
      <c r="BU17" s="286"/>
      <c r="BV17" s="287">
        <f t="shared" ref="BV17:DD17" si="102">BV16/BQ16-1</f>
        <v>0.72689189189189185</v>
      </c>
      <c r="BW17" s="287">
        <f t="shared" si="102"/>
        <v>0.69823529411764707</v>
      </c>
      <c r="BX17" s="287">
        <f t="shared" si="102"/>
        <v>0.66902491541064268</v>
      </c>
      <c r="BY17" s="287">
        <f t="shared" si="102"/>
        <v>0.62867225408028204</v>
      </c>
      <c r="BZ17" s="286">
        <f t="shared" si="102"/>
        <v>0.67494863198875299</v>
      </c>
      <c r="CA17" s="287">
        <f t="shared" si="102"/>
        <v>0.62172313952578429</v>
      </c>
      <c r="CB17" s="287">
        <f t="shared" si="102"/>
        <v>0.63907170072739872</v>
      </c>
      <c r="CC17" s="287">
        <f t="shared" si="102"/>
        <v>0.6486669123971005</v>
      </c>
      <c r="CD17" s="287">
        <f t="shared" si="102"/>
        <v>0.61838470288716763</v>
      </c>
      <c r="CE17" s="286">
        <f t="shared" si="102"/>
        <v>0.63184995076913153</v>
      </c>
      <c r="CF17" s="287">
        <f t="shared" si="102"/>
        <v>0.56634819532908698</v>
      </c>
      <c r="CG17" s="287">
        <f t="shared" si="102"/>
        <v>0.49120879120879102</v>
      </c>
      <c r="CH17" s="287">
        <f t="shared" si="102"/>
        <v>0.41055259529753707</v>
      </c>
      <c r="CI17" s="287">
        <f t="shared" si="102"/>
        <v>0.3700170699869465</v>
      </c>
      <c r="CJ17" s="286">
        <f t="shared" si="102"/>
        <v>0.44938574452511415</v>
      </c>
      <c r="CK17" s="287">
        <f t="shared" si="102"/>
        <v>0.36203444132959572</v>
      </c>
      <c r="CL17" s="287">
        <f t="shared" si="102"/>
        <v>0.33552519698429784</v>
      </c>
      <c r="CM17" s="287">
        <f t="shared" si="102"/>
        <v>0.33800026416589612</v>
      </c>
      <c r="CN17" s="287">
        <f t="shared" si="102"/>
        <v>0.31676927587217829</v>
      </c>
      <c r="CO17" s="286">
        <f t="shared" si="102"/>
        <v>0.33679792533952102</v>
      </c>
      <c r="CP17" s="287">
        <f t="shared" si="102"/>
        <v>0.25295727500961251</v>
      </c>
      <c r="CQ17" s="287">
        <f t="shared" si="102"/>
        <v>0.21025042444821751</v>
      </c>
      <c r="CR17" s="287">
        <f t="shared" si="102"/>
        <v>0.46811451135241855</v>
      </c>
      <c r="CS17" s="287">
        <f t="shared" si="102"/>
        <v>0.53272848714238008</v>
      </c>
      <c r="CT17" s="286">
        <f t="shared" si="102"/>
        <v>0.37529928885394725</v>
      </c>
      <c r="CU17" s="287">
        <f t="shared" si="102"/>
        <v>0.62339115836597658</v>
      </c>
      <c r="CV17" s="287">
        <f t="shared" si="102"/>
        <v>0.6678415487400704</v>
      </c>
      <c r="CW17" s="287">
        <f t="shared" si="102"/>
        <v>0.32838891877353427</v>
      </c>
      <c r="CX17" s="288">
        <f t="shared" si="102"/>
        <v>0.2347024004067253</v>
      </c>
      <c r="CY17" s="286">
        <f t="shared" si="102"/>
        <v>0.43217951335399651</v>
      </c>
      <c r="CZ17" s="287">
        <f t="shared" si="102"/>
        <v>0.16978572461109076</v>
      </c>
      <c r="DA17" s="287">
        <f t="shared" si="102"/>
        <v>0.12709227016569935</v>
      </c>
      <c r="DB17" s="287">
        <f t="shared" si="102"/>
        <v>8.3226191801901273E-2</v>
      </c>
      <c r="DC17" s="287">
        <f t="shared" si="102"/>
        <v>7.3529411764705843E-2</v>
      </c>
      <c r="DD17" s="286">
        <f t="shared" si="102"/>
        <v>0.11165252370264023</v>
      </c>
      <c r="DE17" s="287">
        <f t="shared" ref="DE17:DN17" si="103">DE16/CZ16-1</f>
        <v>8.3650190114068268E-2</v>
      </c>
      <c r="DF17" s="287">
        <f t="shared" si="103"/>
        <v>0.25932835820895517</v>
      </c>
      <c r="DG17" s="287">
        <f t="shared" si="103"/>
        <v>0.28037383177570097</v>
      </c>
      <c r="DH17" s="287">
        <f t="shared" si="103"/>
        <v>0.31506849315068486</v>
      </c>
      <c r="DI17" s="286">
        <f t="shared" si="103"/>
        <v>0.23571928188388891</v>
      </c>
      <c r="DJ17" s="287">
        <f t="shared" si="103"/>
        <v>0.32456140350877183</v>
      </c>
      <c r="DK17" s="287">
        <f t="shared" si="103"/>
        <v>0.25185185185185177</v>
      </c>
      <c r="DL17" s="287">
        <f t="shared" si="103"/>
        <v>0.27737226277372273</v>
      </c>
      <c r="DM17" s="287">
        <f t="shared" si="103"/>
        <v>0.21419417968749976</v>
      </c>
      <c r="DN17" s="286">
        <f t="shared" si="103"/>
        <v>0.26385653183962265</v>
      </c>
      <c r="DO17" s="287">
        <f t="shared" ref="DO17" si="104">DO16/DJ16-1</f>
        <v>0.10381289062499932</v>
      </c>
      <c r="DP17" s="287">
        <f t="shared" ref="DP17" si="105">DP16/DK16-1</f>
        <v>0.10381289062499977</v>
      </c>
      <c r="DQ17" s="287">
        <f t="shared" ref="DQ17" si="106">DQ16/DL16-1</f>
        <v>0.10381289062499977</v>
      </c>
      <c r="DR17" s="287">
        <f t="shared" ref="DR17:DS17" si="107">DR16/DM16-1</f>
        <v>0.10381289062499954</v>
      </c>
      <c r="DS17" s="286">
        <f t="shared" si="107"/>
        <v>0.10381289062499954</v>
      </c>
      <c r="DT17" s="287">
        <f t="shared" ref="DT17" si="108">DT16/DO16-1</f>
        <v>0.10381289062499977</v>
      </c>
      <c r="DU17" s="287">
        <f t="shared" ref="DU17" si="109">DU16/DP16-1</f>
        <v>0.10381289062499954</v>
      </c>
      <c r="DV17" s="287">
        <f t="shared" ref="DV17" si="110">DV16/DQ16-1</f>
        <v>0.10381289062499932</v>
      </c>
      <c r="DW17" s="287">
        <f t="shared" ref="DW17" si="111">DW16/DR16-1</f>
        <v>0.10381289062499954</v>
      </c>
      <c r="DX17" s="286">
        <f t="shared" ref="DX17" si="112">DX16/DS16-1</f>
        <v>0.10381289062499954</v>
      </c>
      <c r="DY17" s="287">
        <f t="shared" ref="DY17" si="113">DY16/DT16-1</f>
        <v>0.10381289062499999</v>
      </c>
      <c r="DZ17" s="287">
        <f t="shared" ref="DZ17" si="114">DZ16/DU16-1</f>
        <v>0.10381289062499954</v>
      </c>
      <c r="EA17" s="287">
        <f t="shared" ref="EA17" si="115">EA16/DV16-1</f>
        <v>0.10381289062499977</v>
      </c>
      <c r="EB17" s="287">
        <f t="shared" ref="EB17" si="116">EB16/DW16-1</f>
        <v>0.10381289062499954</v>
      </c>
      <c r="EC17" s="286">
        <f t="shared" ref="EC17" si="117">EC16/DX16-1</f>
        <v>0.10381289062499977</v>
      </c>
      <c r="ED17" s="578"/>
    </row>
    <row r="18" spans="1:134" ht="12" hidden="1" customHeight="1" outlineLevel="1">
      <c r="A18" s="1189"/>
      <c r="B18" s="567"/>
      <c r="C18" s="766" t="s">
        <v>294</v>
      </c>
      <c r="D18" s="479"/>
      <c r="E18" s="590"/>
      <c r="F18" s="590"/>
      <c r="G18" s="590"/>
      <c r="H18" s="590"/>
      <c r="I18" s="767"/>
      <c r="J18" s="767"/>
      <c r="K18" s="767"/>
      <c r="L18" s="767"/>
      <c r="M18" s="590"/>
      <c r="N18" s="419"/>
      <c r="O18" s="419"/>
      <c r="P18" s="419"/>
      <c r="Q18" s="419"/>
      <c r="R18" s="590"/>
      <c r="S18" s="419"/>
      <c r="T18" s="419"/>
      <c r="U18" s="419"/>
      <c r="V18" s="419"/>
      <c r="W18" s="590"/>
      <c r="X18" s="419"/>
      <c r="Y18" s="419"/>
      <c r="Z18" s="419"/>
      <c r="AA18" s="419"/>
      <c r="AB18" s="590"/>
      <c r="AC18" s="419"/>
      <c r="AD18" s="419"/>
      <c r="AE18" s="419"/>
      <c r="AF18" s="419"/>
      <c r="AG18" s="590"/>
      <c r="AH18" s="419"/>
      <c r="AI18" s="419"/>
      <c r="AJ18" s="419"/>
      <c r="AK18" s="419"/>
      <c r="AL18" s="590"/>
      <c r="AM18" s="419"/>
      <c r="AN18" s="419"/>
      <c r="AO18" s="419"/>
      <c r="AP18" s="419"/>
      <c r="AQ18" s="590"/>
      <c r="AR18" s="419"/>
      <c r="AS18" s="419"/>
      <c r="AT18" s="419"/>
      <c r="AU18" s="419"/>
      <c r="AV18" s="590"/>
      <c r="AW18" s="419"/>
      <c r="AX18" s="419"/>
      <c r="AY18" s="419"/>
      <c r="AZ18" s="419"/>
      <c r="BA18" s="590"/>
      <c r="BB18" s="419"/>
      <c r="BC18" s="419"/>
      <c r="BD18" s="419"/>
      <c r="BE18" s="419"/>
      <c r="BF18" s="590"/>
      <c r="BG18" s="628"/>
      <c r="BH18" s="628"/>
      <c r="BI18" s="628"/>
      <c r="BJ18" s="628"/>
      <c r="BK18" s="590"/>
      <c r="BL18" s="419"/>
      <c r="BM18" s="419"/>
      <c r="BN18" s="419"/>
      <c r="BO18" s="419"/>
      <c r="BP18" s="590"/>
      <c r="BQ18" s="596">
        <f>BQ7*12</f>
        <v>88.800000000000011</v>
      </c>
      <c r="BR18" s="596">
        <f>BR7*12</f>
        <v>102</v>
      </c>
      <c r="BS18" s="596">
        <f>BS7*12</f>
        <v>117.036</v>
      </c>
      <c r="BT18" s="596">
        <f>BT7*12</f>
        <v>136.02000000000001</v>
      </c>
      <c r="BU18" s="281">
        <f>BT18</f>
        <v>136.02000000000001</v>
      </c>
      <c r="BV18" s="596">
        <f>BV7*12</f>
        <v>153.34800000000001</v>
      </c>
      <c r="BW18" s="596">
        <f>BW7*12</f>
        <v>173.22</v>
      </c>
      <c r="BX18" s="596">
        <f>BX7*12</f>
        <v>195.33599999999998</v>
      </c>
      <c r="BY18" s="596">
        <f>BY7*12</f>
        <v>221.53199999999998</v>
      </c>
      <c r="BZ18" s="281">
        <f>BY18</f>
        <v>221.53199999999998</v>
      </c>
      <c r="CA18" s="596">
        <f>CA7*12</f>
        <v>248.68799999999999</v>
      </c>
      <c r="CB18" s="596">
        <f>CB7*12</f>
        <v>283.92</v>
      </c>
      <c r="CC18" s="596">
        <f>CC7*12</f>
        <v>322.04399999999998</v>
      </c>
      <c r="CD18" s="596">
        <f>CD7*12</f>
        <v>358.524</v>
      </c>
      <c r="CE18" s="281">
        <f>CD18</f>
        <v>358.524</v>
      </c>
      <c r="CF18" s="596">
        <f>CF7*12</f>
        <v>389.53199999999998</v>
      </c>
      <c r="CG18" s="596">
        <f>CG7*12</f>
        <v>423.38399999999996</v>
      </c>
      <c r="CH18" s="596">
        <f>CH7*12</f>
        <v>454.26</v>
      </c>
      <c r="CI18" s="596">
        <f>CI7*12</f>
        <v>491.18400000000003</v>
      </c>
      <c r="CJ18" s="281">
        <f>CI18</f>
        <v>491.18400000000003</v>
      </c>
      <c r="CK18" s="596">
        <f>CK7*12</f>
        <v>530.55600000000004</v>
      </c>
      <c r="CL18" s="596">
        <f>CL7*12</f>
        <v>565.43999999999994</v>
      </c>
      <c r="CM18" s="596">
        <f>CM7*12</f>
        <v>607.79999999999995</v>
      </c>
      <c r="CN18" s="596">
        <f>CN7*12</f>
        <v>646.77600000000007</v>
      </c>
      <c r="CO18" s="281">
        <f>CN18</f>
        <v>646.77600000000007</v>
      </c>
      <c r="CP18" s="596">
        <f>CP7*12</f>
        <v>664.76400000000001</v>
      </c>
      <c r="CQ18" s="596">
        <f>CQ7*12</f>
        <v>684.32400000000007</v>
      </c>
      <c r="CR18" s="596">
        <f>CR7*12</f>
        <v>892.31999999999994</v>
      </c>
      <c r="CS18" s="596">
        <f>CS7*12</f>
        <v>991.33200000000011</v>
      </c>
      <c r="CT18" s="281">
        <f>CS18</f>
        <v>991.33200000000011</v>
      </c>
      <c r="CU18" s="596">
        <f>CU7*12</f>
        <v>1079.172</v>
      </c>
      <c r="CV18" s="596">
        <f>CV7*12</f>
        <v>1141.3440000000001</v>
      </c>
      <c r="CW18" s="596">
        <f>CW7*12</f>
        <v>1185.348</v>
      </c>
      <c r="CX18" s="597">
        <f>CX7*12</f>
        <v>1224</v>
      </c>
      <c r="CY18" s="281">
        <f>CX18</f>
        <v>1224</v>
      </c>
      <c r="CZ18" s="596">
        <f>CZ7*12</f>
        <v>1262.4000000000001</v>
      </c>
      <c r="DA18" s="596">
        <f>DA7*12</f>
        <v>1286.4000000000001</v>
      </c>
      <c r="DB18" s="596">
        <f>DB7*12</f>
        <v>1284</v>
      </c>
      <c r="DC18" s="596">
        <f>DC7*12</f>
        <v>1314</v>
      </c>
      <c r="DD18" s="281">
        <f>DC18</f>
        <v>1314</v>
      </c>
      <c r="DE18" s="596">
        <f>DE7*12</f>
        <v>1368</v>
      </c>
      <c r="DF18" s="596">
        <f>DF7*12</f>
        <v>1620</v>
      </c>
      <c r="DG18" s="596">
        <f>DG7*12</f>
        <v>1644</v>
      </c>
      <c r="DH18" s="596">
        <f>DH7*12</f>
        <v>1728</v>
      </c>
      <c r="DI18" s="281">
        <f>DH18</f>
        <v>1728</v>
      </c>
      <c r="DJ18" s="596">
        <f>DJ7*12</f>
        <v>1812</v>
      </c>
      <c r="DK18" s="596">
        <f>DK7*12</f>
        <v>2028</v>
      </c>
      <c r="DL18" s="596">
        <f>DL7*12</f>
        <v>2100</v>
      </c>
      <c r="DM18" s="596">
        <f>DM7*12</f>
        <v>2098.1275424999994</v>
      </c>
      <c r="DN18" s="281">
        <f>DM18</f>
        <v>2098.1275424999994</v>
      </c>
      <c r="DO18" s="596">
        <f>DO7*12</f>
        <v>2000.1089578124988</v>
      </c>
      <c r="DP18" s="596">
        <f>DP7*12</f>
        <v>2238.5325421874995</v>
      </c>
      <c r="DQ18" s="596">
        <f>DQ7*12</f>
        <v>2318.0070703124993</v>
      </c>
      <c r="DR18" s="596">
        <f>DR7*12</f>
        <v>2315.9402275868511</v>
      </c>
      <c r="DS18" s="281">
        <f>DR18</f>
        <v>2315.9402275868511</v>
      </c>
      <c r="DT18" s="596">
        <f>DT7*12</f>
        <v>2207.7460502879699</v>
      </c>
      <c r="DU18" s="596">
        <f>DU7*12</f>
        <v>2470.9210761501126</v>
      </c>
      <c r="DV18" s="596">
        <f>DV7*12</f>
        <v>2558.6460847708258</v>
      </c>
      <c r="DW18" s="596">
        <f>DW7*12</f>
        <v>2556.3646771273616</v>
      </c>
      <c r="DX18" s="281">
        <f>DW18</f>
        <v>2556.3646771273616</v>
      </c>
      <c r="DY18" s="596">
        <f>DY7*12</f>
        <v>2436.9385495342904</v>
      </c>
      <c r="DZ18" s="596">
        <f>DZ7*12</f>
        <v>2727.4345355714904</v>
      </c>
      <c r="EA18" s="596">
        <f>EA7*12</f>
        <v>2824.2665309172235</v>
      </c>
      <c r="EB18" s="596">
        <f>EB7*12</f>
        <v>2821.7482837515968</v>
      </c>
      <c r="EC18" s="281">
        <f>EB18</f>
        <v>2821.7482837515968</v>
      </c>
      <c r="ED18" s="578"/>
    </row>
    <row r="19" spans="1:134" ht="12" hidden="1" customHeight="1" outlineLevel="1">
      <c r="A19" s="1189"/>
      <c r="B19" s="567"/>
      <c r="C19" s="762" t="s">
        <v>140</v>
      </c>
      <c r="D19" s="589"/>
      <c r="E19" s="590"/>
      <c r="F19" s="590"/>
      <c r="G19" s="590"/>
      <c r="H19" s="590"/>
      <c r="I19" s="591"/>
      <c r="J19" s="591"/>
      <c r="K19" s="591"/>
      <c r="L19" s="591"/>
      <c r="M19" s="590"/>
      <c r="N19" s="419"/>
      <c r="O19" s="419"/>
      <c r="P19" s="419"/>
      <c r="Q19" s="419"/>
      <c r="R19" s="590"/>
      <c r="S19" s="419"/>
      <c r="T19" s="419"/>
      <c r="U19" s="419"/>
      <c r="V19" s="419"/>
      <c r="W19" s="590"/>
      <c r="X19" s="419"/>
      <c r="Y19" s="419"/>
      <c r="Z19" s="419"/>
      <c r="AA19" s="419"/>
      <c r="AB19" s="590"/>
      <c r="AC19" s="419"/>
      <c r="AD19" s="419"/>
      <c r="AE19" s="419"/>
      <c r="AF19" s="419"/>
      <c r="AG19" s="590"/>
      <c r="AH19" s="419"/>
      <c r="AI19" s="419"/>
      <c r="AJ19" s="419"/>
      <c r="AK19" s="419"/>
      <c r="AL19" s="590"/>
      <c r="AM19" s="419"/>
      <c r="AN19" s="419"/>
      <c r="AO19" s="419"/>
      <c r="AP19" s="419"/>
      <c r="AQ19" s="590"/>
      <c r="AR19" s="419"/>
      <c r="AS19" s="419"/>
      <c r="AT19" s="419"/>
      <c r="AU19" s="419"/>
      <c r="AV19" s="590"/>
      <c r="AW19" s="419"/>
      <c r="AX19" s="419"/>
      <c r="AY19" s="419"/>
      <c r="AZ19" s="419"/>
      <c r="BA19" s="590"/>
      <c r="BB19" s="419"/>
      <c r="BC19" s="419"/>
      <c r="BD19" s="419"/>
      <c r="BE19" s="419"/>
      <c r="BF19" s="590"/>
      <c r="BG19" s="285"/>
      <c r="BH19" s="285"/>
      <c r="BI19" s="285"/>
      <c r="BJ19" s="285"/>
      <c r="BK19" s="590"/>
      <c r="BL19" s="287"/>
      <c r="BM19" s="287"/>
      <c r="BN19" s="287"/>
      <c r="BO19" s="287"/>
      <c r="BP19" s="286"/>
      <c r="BQ19" s="287"/>
      <c r="BR19" s="287"/>
      <c r="BS19" s="287"/>
      <c r="BT19" s="287"/>
      <c r="BU19" s="286"/>
      <c r="BV19" s="287">
        <f t="shared" ref="BV19:DD19" si="118">BV18/BQ18-1</f>
        <v>0.72689189189189185</v>
      </c>
      <c r="BW19" s="287">
        <f t="shared" si="118"/>
        <v>0.69823529411764707</v>
      </c>
      <c r="BX19" s="287">
        <f t="shared" si="118"/>
        <v>0.66902491541064268</v>
      </c>
      <c r="BY19" s="287">
        <f t="shared" si="118"/>
        <v>0.62867225408028204</v>
      </c>
      <c r="BZ19" s="286">
        <f t="shared" si="118"/>
        <v>0.62867225408028204</v>
      </c>
      <c r="CA19" s="287">
        <f t="shared" si="118"/>
        <v>0.62172313952578429</v>
      </c>
      <c r="CB19" s="287">
        <f t="shared" si="118"/>
        <v>0.63907170072739872</v>
      </c>
      <c r="CC19" s="287">
        <f t="shared" si="118"/>
        <v>0.6486669123971005</v>
      </c>
      <c r="CD19" s="287">
        <f t="shared" si="118"/>
        <v>0.61838470288716763</v>
      </c>
      <c r="CE19" s="286">
        <f t="shared" si="118"/>
        <v>0.61838470288716763</v>
      </c>
      <c r="CF19" s="287">
        <f t="shared" si="118"/>
        <v>0.56634819532908698</v>
      </c>
      <c r="CG19" s="287">
        <f t="shared" si="118"/>
        <v>0.49120879120879102</v>
      </c>
      <c r="CH19" s="287">
        <f t="shared" si="118"/>
        <v>0.41055259529753707</v>
      </c>
      <c r="CI19" s="287">
        <f t="shared" si="118"/>
        <v>0.3700170699869465</v>
      </c>
      <c r="CJ19" s="286">
        <f t="shared" si="118"/>
        <v>0.3700170699869465</v>
      </c>
      <c r="CK19" s="287">
        <f t="shared" si="118"/>
        <v>0.36203444132959572</v>
      </c>
      <c r="CL19" s="287">
        <f t="shared" si="118"/>
        <v>0.33552519698429784</v>
      </c>
      <c r="CM19" s="287">
        <f t="shared" si="118"/>
        <v>0.33800026416589612</v>
      </c>
      <c r="CN19" s="287">
        <f t="shared" si="118"/>
        <v>0.31676927587217829</v>
      </c>
      <c r="CO19" s="286">
        <f t="shared" si="118"/>
        <v>0.31676927587217829</v>
      </c>
      <c r="CP19" s="287">
        <f t="shared" si="118"/>
        <v>0.25295727500961251</v>
      </c>
      <c r="CQ19" s="287">
        <f t="shared" si="118"/>
        <v>0.21025042444821751</v>
      </c>
      <c r="CR19" s="287">
        <f t="shared" si="118"/>
        <v>0.46811451135241855</v>
      </c>
      <c r="CS19" s="287">
        <f t="shared" si="118"/>
        <v>0.53272848714238008</v>
      </c>
      <c r="CT19" s="286">
        <f t="shared" si="118"/>
        <v>0.53272848714238008</v>
      </c>
      <c r="CU19" s="287">
        <f t="shared" si="118"/>
        <v>0.62339115836597658</v>
      </c>
      <c r="CV19" s="287">
        <f t="shared" si="118"/>
        <v>0.6678415487400704</v>
      </c>
      <c r="CW19" s="287">
        <f t="shared" si="118"/>
        <v>0.32838891877353427</v>
      </c>
      <c r="CX19" s="288">
        <f t="shared" si="118"/>
        <v>0.2347024004067253</v>
      </c>
      <c r="CY19" s="286">
        <f t="shared" si="118"/>
        <v>0.2347024004067253</v>
      </c>
      <c r="CZ19" s="287">
        <f t="shared" si="118"/>
        <v>0.16978572461109076</v>
      </c>
      <c r="DA19" s="287">
        <f t="shared" si="118"/>
        <v>0.12709227016569935</v>
      </c>
      <c r="DB19" s="287">
        <f t="shared" si="118"/>
        <v>8.3226191801901273E-2</v>
      </c>
      <c r="DC19" s="287">
        <f t="shared" si="118"/>
        <v>7.3529411764705843E-2</v>
      </c>
      <c r="DD19" s="286">
        <f t="shared" si="118"/>
        <v>7.3529411764705843E-2</v>
      </c>
      <c r="DE19" s="287">
        <f t="shared" ref="DE19:DN19" si="119">DE18/CZ18-1</f>
        <v>8.3650190114068268E-2</v>
      </c>
      <c r="DF19" s="287">
        <f t="shared" si="119"/>
        <v>0.25932835820895517</v>
      </c>
      <c r="DG19" s="287">
        <f t="shared" si="119"/>
        <v>0.28037383177570097</v>
      </c>
      <c r="DH19" s="287">
        <f t="shared" si="119"/>
        <v>0.31506849315068486</v>
      </c>
      <c r="DI19" s="286">
        <f t="shared" si="119"/>
        <v>0.31506849315068486</v>
      </c>
      <c r="DJ19" s="287">
        <f t="shared" si="119"/>
        <v>0.32456140350877183</v>
      </c>
      <c r="DK19" s="287">
        <f t="shared" si="119"/>
        <v>0.25185185185185177</v>
      </c>
      <c r="DL19" s="287">
        <f t="shared" si="119"/>
        <v>0.27737226277372273</v>
      </c>
      <c r="DM19" s="287">
        <f t="shared" si="119"/>
        <v>0.21419417968749976</v>
      </c>
      <c r="DN19" s="286">
        <f t="shared" si="119"/>
        <v>0.21419417968749976</v>
      </c>
      <c r="DO19" s="287">
        <f t="shared" ref="DO19" si="120">DO18/DJ18-1</f>
        <v>0.10381289062499932</v>
      </c>
      <c r="DP19" s="287">
        <f t="shared" ref="DP19" si="121">DP18/DK18-1</f>
        <v>0.10381289062499977</v>
      </c>
      <c r="DQ19" s="287">
        <f t="shared" ref="DQ19" si="122">DQ18/DL18-1</f>
        <v>0.10381289062499977</v>
      </c>
      <c r="DR19" s="287">
        <f t="shared" ref="DR19:DS19" si="123">DR18/DM18-1</f>
        <v>0.10381289062499954</v>
      </c>
      <c r="DS19" s="286">
        <f t="shared" si="123"/>
        <v>0.10381289062499954</v>
      </c>
      <c r="DT19" s="287">
        <f t="shared" ref="DT19" si="124">DT18/DO18-1</f>
        <v>0.10381289062499977</v>
      </c>
      <c r="DU19" s="287">
        <f t="shared" ref="DU19" si="125">DU18/DP18-1</f>
        <v>0.10381289062499954</v>
      </c>
      <c r="DV19" s="287">
        <f t="shared" ref="DV19" si="126">DV18/DQ18-1</f>
        <v>0.10381289062499932</v>
      </c>
      <c r="DW19" s="287">
        <f t="shared" ref="DW19" si="127">DW18/DR18-1</f>
        <v>0.10381289062499954</v>
      </c>
      <c r="DX19" s="286">
        <f t="shared" ref="DX19" si="128">DX18/DS18-1</f>
        <v>0.10381289062499954</v>
      </c>
      <c r="DY19" s="287">
        <f t="shared" ref="DY19" si="129">DY18/DT18-1</f>
        <v>0.10381289062499999</v>
      </c>
      <c r="DZ19" s="287">
        <f t="shared" ref="DZ19" si="130">DZ18/DU18-1</f>
        <v>0.10381289062499954</v>
      </c>
      <c r="EA19" s="287">
        <f t="shared" ref="EA19" si="131">EA18/DV18-1</f>
        <v>0.10381289062499977</v>
      </c>
      <c r="EB19" s="287">
        <f t="shared" ref="EB19" si="132">EB18/DW18-1</f>
        <v>0.10381289062499954</v>
      </c>
      <c r="EC19" s="286">
        <f t="shared" ref="EC19" si="133">EC18/DX18-1</f>
        <v>0.10381289062499954</v>
      </c>
      <c r="ED19" s="578"/>
    </row>
    <row r="20" spans="1:134" ht="12" hidden="1" customHeight="1" outlineLevel="1">
      <c r="A20" s="1189"/>
      <c r="B20" s="567"/>
      <c r="C20" s="762" t="s">
        <v>705</v>
      </c>
      <c r="D20" s="589"/>
      <c r="E20" s="590"/>
      <c r="F20" s="590"/>
      <c r="G20" s="590"/>
      <c r="H20" s="590"/>
      <c r="I20" s="591"/>
      <c r="J20" s="591"/>
      <c r="K20" s="591"/>
      <c r="L20" s="591"/>
      <c r="M20" s="590"/>
      <c r="N20" s="419"/>
      <c r="O20" s="419"/>
      <c r="P20" s="419"/>
      <c r="Q20" s="419"/>
      <c r="R20" s="590"/>
      <c r="S20" s="419"/>
      <c r="T20" s="419"/>
      <c r="U20" s="419"/>
      <c r="V20" s="419"/>
      <c r="W20" s="590"/>
      <c r="X20" s="419"/>
      <c r="Y20" s="419"/>
      <c r="Z20" s="419"/>
      <c r="AA20" s="419"/>
      <c r="AB20" s="590"/>
      <c r="AC20" s="419"/>
      <c r="AD20" s="419"/>
      <c r="AE20" s="419"/>
      <c r="AF20" s="419"/>
      <c r="AG20" s="590"/>
      <c r="AH20" s="419"/>
      <c r="AI20" s="419"/>
      <c r="AJ20" s="419"/>
      <c r="AK20" s="419"/>
      <c r="AL20" s="590"/>
      <c r="AM20" s="419"/>
      <c r="AN20" s="419"/>
      <c r="AO20" s="419"/>
      <c r="AP20" s="419"/>
      <c r="AQ20" s="590"/>
      <c r="AR20" s="419"/>
      <c r="AS20" s="419"/>
      <c r="AT20" s="419"/>
      <c r="AU20" s="419"/>
      <c r="AV20" s="590"/>
      <c r="AW20" s="419"/>
      <c r="AX20" s="419"/>
      <c r="AY20" s="419"/>
      <c r="AZ20" s="419"/>
      <c r="BA20" s="590"/>
      <c r="BB20" s="419"/>
      <c r="BC20" s="419"/>
      <c r="BD20" s="419"/>
      <c r="BE20" s="419"/>
      <c r="BF20" s="590"/>
      <c r="BG20" s="285"/>
      <c r="BH20" s="285"/>
      <c r="BI20" s="285"/>
      <c r="BJ20" s="285"/>
      <c r="BK20" s="590"/>
      <c r="BL20" s="287"/>
      <c r="BM20" s="287"/>
      <c r="BN20" s="287"/>
      <c r="BO20" s="287"/>
      <c r="BP20" s="286"/>
      <c r="BQ20" s="287">
        <f>BQ21/BQ41</f>
        <v>2.8206712273106949E-2</v>
      </c>
      <c r="BR20" s="287">
        <f t="shared" ref="BR20:EC20" si="134">BR21/BR41</f>
        <v>2.748488747200336E-2</v>
      </c>
      <c r="BS20" s="287">
        <f t="shared" si="134"/>
        <v>2.764731731563436E-2</v>
      </c>
      <c r="BT20" s="287">
        <f t="shared" si="134"/>
        <v>2.4719726498857772E-2</v>
      </c>
      <c r="BU20" s="286">
        <f t="shared" si="134"/>
        <v>2.6630599166098005E-2</v>
      </c>
      <c r="BV20" s="287">
        <f t="shared" si="134"/>
        <v>2.7218344479996829E-2</v>
      </c>
      <c r="BW20" s="287">
        <f t="shared" si="134"/>
        <v>2.5736485501079837E-2</v>
      </c>
      <c r="BX20" s="287">
        <f t="shared" si="134"/>
        <v>2.6133481840696984E-2</v>
      </c>
      <c r="BY20" s="287">
        <f t="shared" si="134"/>
        <v>2.3597430368097329E-2</v>
      </c>
      <c r="BZ20" s="286">
        <f t="shared" si="134"/>
        <v>2.532365007636837E-2</v>
      </c>
      <c r="CA20" s="287">
        <f t="shared" si="134"/>
        <v>2.6250586047182594E-2</v>
      </c>
      <c r="CB20" s="287">
        <f t="shared" si="134"/>
        <v>2.5853900699063702E-2</v>
      </c>
      <c r="CC20" s="287">
        <f t="shared" si="134"/>
        <v>2.6661276026683674E-2</v>
      </c>
      <c r="CD20" s="287">
        <f t="shared" si="134"/>
        <v>2.4295552306902023E-2</v>
      </c>
      <c r="CE20" s="286">
        <f t="shared" si="134"/>
        <v>2.5581313176406668E-2</v>
      </c>
      <c r="CF20" s="287">
        <f t="shared" si="134"/>
        <v>2.6952761117605278E-2</v>
      </c>
      <c r="CG20" s="287">
        <f t="shared" si="134"/>
        <v>2.6813997356944601E-2</v>
      </c>
      <c r="CH20" s="287">
        <f t="shared" si="134"/>
        <v>2.702096970686594E-2</v>
      </c>
      <c r="CI20" s="287">
        <f t="shared" si="134"/>
        <v>2.452555565009926E-2</v>
      </c>
      <c r="CJ20" s="286">
        <f t="shared" si="134"/>
        <v>2.611057065625827E-2</v>
      </c>
      <c r="CK20" s="287">
        <f t="shared" si="134"/>
        <v>2.6900006765249049E-2</v>
      </c>
      <c r="CL20" s="287">
        <f t="shared" si="134"/>
        <v>2.6283319398251331E-2</v>
      </c>
      <c r="CM20" s="287">
        <f t="shared" si="134"/>
        <v>2.6351062774650481E-2</v>
      </c>
      <c r="CN20" s="287">
        <f t="shared" si="134"/>
        <v>2.4485096110642621E-2</v>
      </c>
      <c r="CO20" s="286">
        <f t="shared" si="134"/>
        <v>2.5813098292618016E-2</v>
      </c>
      <c r="CP20" s="287">
        <f t="shared" si="134"/>
        <v>2.6987895437861016E-2</v>
      </c>
      <c r="CQ20" s="287">
        <f t="shared" si="134"/>
        <v>2.3727950266572855E-2</v>
      </c>
      <c r="CR20" s="287">
        <f t="shared" si="134"/>
        <v>2.4821333010750828E-2</v>
      </c>
      <c r="CS20" s="287">
        <f t="shared" si="134"/>
        <v>2.3766680957957594E-2</v>
      </c>
      <c r="CT20" s="286">
        <f t="shared" si="134"/>
        <v>2.4498753093682692E-2</v>
      </c>
      <c r="CU20" s="287">
        <f t="shared" si="134"/>
        <v>2.6472006260441633E-2</v>
      </c>
      <c r="CV20" s="287">
        <f t="shared" si="134"/>
        <v>2.653130037891497E-2</v>
      </c>
      <c r="CW20" s="287">
        <f t="shared" si="134"/>
        <v>2.6906263156202308E-2</v>
      </c>
      <c r="CX20" s="288">
        <f t="shared" si="134"/>
        <v>2.5529260463484908E-2</v>
      </c>
      <c r="CY20" s="286">
        <f t="shared" si="134"/>
        <v>2.629908926466739E-2</v>
      </c>
      <c r="CZ20" s="287">
        <f t="shared" si="134"/>
        <v>2.7861674475934607E-2</v>
      </c>
      <c r="DA20" s="287">
        <f t="shared" si="134"/>
        <v>2.7642624253261232E-2</v>
      </c>
      <c r="DB20" s="287">
        <f t="shared" si="134"/>
        <v>2.9571428571428571E-2</v>
      </c>
      <c r="DC20" s="287">
        <f t="shared" si="134"/>
        <v>2.8442262295081969E-2</v>
      </c>
      <c r="DD20" s="286">
        <f t="shared" si="134"/>
        <v>2.8389653461948078E-2</v>
      </c>
      <c r="DE20" s="287">
        <f t="shared" si="134"/>
        <v>3.0403225806451613E-2</v>
      </c>
      <c r="DF20" s="287">
        <f t="shared" si="134"/>
        <v>3.0800000000000001E-2</v>
      </c>
      <c r="DG20" s="287">
        <f t="shared" si="134"/>
        <v>3.0498220640569396E-2</v>
      </c>
      <c r="DH20" s="287">
        <f t="shared" si="134"/>
        <v>2.853910149750416E-2</v>
      </c>
      <c r="DI20" s="286">
        <f t="shared" si="134"/>
        <v>2.9924764225919255E-2</v>
      </c>
      <c r="DJ20" s="287">
        <f t="shared" si="134"/>
        <v>3.0580888998438912E-2</v>
      </c>
      <c r="DK20" s="287">
        <f t="shared" si="134"/>
        <v>3.0411182987582719E-2</v>
      </c>
      <c r="DL20" s="287">
        <f t="shared" si="134"/>
        <v>3.1011977336297784E-2</v>
      </c>
      <c r="DM20" s="287">
        <f t="shared" si="134"/>
        <v>2.9139980665974216E-2</v>
      </c>
      <c r="DN20" s="286">
        <f t="shared" si="134"/>
        <v>3.0184993063617185E-2</v>
      </c>
      <c r="DO20" s="287">
        <f t="shared" si="134"/>
        <v>3.1246918728004409E-2</v>
      </c>
      <c r="DP20" s="287">
        <f t="shared" si="134"/>
        <v>3.1350773302567782E-2</v>
      </c>
      <c r="DQ20" s="287">
        <f t="shared" si="134"/>
        <v>3.2029957568489469E-2</v>
      </c>
      <c r="DR20" s="287">
        <f t="shared" si="134"/>
        <v>3.0097562416752807E-2</v>
      </c>
      <c r="DS20" s="286">
        <f t="shared" si="134"/>
        <v>3.1091260898388911E-2</v>
      </c>
      <c r="DT20" s="287">
        <f t="shared" si="134"/>
        <v>3.1840534223438077E-2</v>
      </c>
      <c r="DU20" s="287">
        <f t="shared" si="134"/>
        <v>3.1941104510703103E-2</v>
      </c>
      <c r="DV20" s="287">
        <f t="shared" si="134"/>
        <v>3.2614273185220324E-2</v>
      </c>
      <c r="DW20" s="287">
        <f t="shared" si="134"/>
        <v>3.0704586086216356E-2</v>
      </c>
      <c r="DX20" s="286">
        <f t="shared" si="134"/>
        <v>3.168617570260477E-2</v>
      </c>
      <c r="DY20" s="287">
        <f t="shared" si="134"/>
        <v>3.2224192268780462E-2</v>
      </c>
      <c r="DZ20" s="287">
        <f t="shared" si="134"/>
        <v>3.2321170863763758E-2</v>
      </c>
      <c r="EA20" s="287">
        <f t="shared" si="134"/>
        <v>3.2987760895411222E-2</v>
      </c>
      <c r="EB20" s="287">
        <f t="shared" si="134"/>
        <v>3.1102907293091377E-2</v>
      </c>
      <c r="EC20" s="286">
        <f t="shared" si="134"/>
        <v>3.2071254670327148E-2</v>
      </c>
      <c r="ED20" s="578"/>
    </row>
    <row r="21" spans="1:134" ht="12" customHeight="1" collapsed="1">
      <c r="A21" s="1189"/>
      <c r="B21" s="567"/>
      <c r="C21" s="768" t="s">
        <v>197</v>
      </c>
      <c r="D21" s="598"/>
      <c r="E21" s="598"/>
      <c r="F21" s="598"/>
      <c r="G21" s="598"/>
      <c r="H21" s="598"/>
      <c r="I21" s="599"/>
      <c r="J21" s="599"/>
      <c r="K21" s="599"/>
      <c r="L21" s="599"/>
      <c r="M21" s="600"/>
      <c r="N21" s="599"/>
      <c r="O21" s="599"/>
      <c r="P21" s="599"/>
      <c r="Q21" s="599"/>
      <c r="R21" s="600"/>
      <c r="S21" s="599"/>
      <c r="T21" s="599"/>
      <c r="U21" s="599"/>
      <c r="V21" s="599"/>
      <c r="W21" s="600"/>
      <c r="X21" s="601"/>
      <c r="Y21" s="601"/>
      <c r="Z21" s="601"/>
      <c r="AA21" s="601"/>
      <c r="AB21" s="600"/>
      <c r="AC21" s="601"/>
      <c r="AD21" s="601"/>
      <c r="AE21" s="601"/>
      <c r="AF21" s="601"/>
      <c r="AG21" s="600"/>
      <c r="AH21" s="599"/>
      <c r="AI21" s="599"/>
      <c r="AJ21" s="599"/>
      <c r="AK21" s="599"/>
      <c r="AL21" s="600"/>
      <c r="AM21" s="599"/>
      <c r="AN21" s="599"/>
      <c r="AO21" s="599"/>
      <c r="AP21" s="599"/>
      <c r="AQ21" s="600"/>
      <c r="AR21" s="599"/>
      <c r="AS21" s="599"/>
      <c r="AT21" s="599"/>
      <c r="AU21" s="602"/>
      <c r="AV21" s="600"/>
      <c r="AW21" s="599"/>
      <c r="AX21" s="599"/>
      <c r="AY21" s="599"/>
      <c r="AZ21" s="602"/>
      <c r="BA21" s="600"/>
      <c r="BB21" s="602"/>
      <c r="BC21" s="602"/>
      <c r="BD21" s="602"/>
      <c r="BE21" s="602"/>
      <c r="BF21" s="603"/>
      <c r="BG21" s="604"/>
      <c r="BH21" s="604"/>
      <c r="BI21" s="604"/>
      <c r="BJ21" s="604"/>
      <c r="BK21" s="603"/>
      <c r="BL21" s="604"/>
      <c r="BM21" s="604"/>
      <c r="BN21" s="604"/>
      <c r="BO21" s="604"/>
      <c r="BP21" s="603"/>
      <c r="BQ21" s="604">
        <f t="shared" ref="BQ21:BT21" si="135">BQ36+BQ48</f>
        <v>37.347999999999999</v>
      </c>
      <c r="BR21" s="604">
        <f t="shared" si="135"/>
        <v>44.926000000000002</v>
      </c>
      <c r="BS21" s="604">
        <f t="shared" si="135"/>
        <v>52.786000000000001</v>
      </c>
      <c r="BT21" s="604">
        <f t="shared" si="135"/>
        <v>70.173000000000002</v>
      </c>
      <c r="BU21" s="603">
        <f t="shared" ref="BU21" si="136">+SUM(BQ21:BT21)</f>
        <v>205.233</v>
      </c>
      <c r="BV21" s="604">
        <f t="shared" ref="BV21:BY21" si="137">BV36+BV48</f>
        <v>72.722000000000008</v>
      </c>
      <c r="BW21" s="604">
        <f t="shared" si="137"/>
        <v>86.646999999999991</v>
      </c>
      <c r="BX21" s="604">
        <f t="shared" si="137"/>
        <v>99.578000000000003</v>
      </c>
      <c r="BY21" s="604">
        <f t="shared" si="137"/>
        <v>130.38299999999998</v>
      </c>
      <c r="BZ21" s="603">
        <f t="shared" ref="BZ21" si="138">+SUM(BV21:BY21)</f>
        <v>389.33</v>
      </c>
      <c r="CA21" s="604">
        <f t="shared" ref="CA21:CD21" si="139">CA36+CA48</f>
        <v>127.379</v>
      </c>
      <c r="CB21" s="604">
        <f t="shared" si="139"/>
        <v>151.655</v>
      </c>
      <c r="CC21" s="604">
        <f t="shared" si="139"/>
        <v>171.45600000000002</v>
      </c>
      <c r="CD21" s="604">
        <f t="shared" si="139"/>
        <v>222.81399999999999</v>
      </c>
      <c r="CE21" s="603">
        <f t="shared" ref="CE21" si="140">+SUM(CA21:CD21)</f>
        <v>673.30399999999997</v>
      </c>
      <c r="CF21" s="604">
        <f t="shared" ref="CF21:CI21" si="141">CF36+CF48</f>
        <v>214.33999999999997</v>
      </c>
      <c r="CG21" s="604">
        <f t="shared" si="141"/>
        <v>244.96299999999999</v>
      </c>
      <c r="CH21" s="604">
        <f t="shared" si="141"/>
        <v>270.06399999999996</v>
      </c>
      <c r="CI21" s="604">
        <f t="shared" si="141"/>
        <v>343.86199999999997</v>
      </c>
      <c r="CJ21" s="603">
        <f t="shared" ref="CJ21" si="142">+SUM(CF21:CI21)</f>
        <v>1073.2289999999998</v>
      </c>
      <c r="CK21" s="604">
        <f t="shared" ref="CK21:CN21" si="143">CK36+CK48</f>
        <v>320.48199999999997</v>
      </c>
      <c r="CL21" s="604">
        <f t="shared" si="143"/>
        <v>361.97899999999998</v>
      </c>
      <c r="CM21" s="604">
        <f t="shared" si="143"/>
        <v>390.55200000000002</v>
      </c>
      <c r="CN21" s="604">
        <f t="shared" si="143"/>
        <v>505.16</v>
      </c>
      <c r="CO21" s="603">
        <f t="shared" ref="CO21" si="144">+SUM(CK21:CN21)</f>
        <v>1578.173</v>
      </c>
      <c r="CP21" s="604">
        <f t="shared" ref="CP21:CS21" si="145">CP36+CP48</f>
        <v>470.00099999999998</v>
      </c>
      <c r="CQ21" s="604">
        <f t="shared" si="145"/>
        <v>714.34100000000001</v>
      </c>
      <c r="CR21" s="604">
        <f t="shared" si="145"/>
        <v>767.40499999999997</v>
      </c>
      <c r="CS21" s="604">
        <f t="shared" si="145"/>
        <v>977.74399999999991</v>
      </c>
      <c r="CT21" s="603">
        <f t="shared" ref="CT21" si="146">+SUM(CP21:CS21)</f>
        <v>2929.491</v>
      </c>
      <c r="CU21" s="604">
        <f t="shared" ref="CU21:CX21" si="147">CU36+CU48</f>
        <v>988.64699999999993</v>
      </c>
      <c r="CV21" s="604">
        <f t="shared" si="147"/>
        <v>1119.4449999999999</v>
      </c>
      <c r="CW21" s="604">
        <f t="shared" si="147"/>
        <v>1123.74</v>
      </c>
      <c r="CX21" s="604">
        <f t="shared" si="147"/>
        <v>1380.0240000000001</v>
      </c>
      <c r="CY21" s="603">
        <f t="shared" ref="CY21" si="148">+SUM(CU21:CX21)</f>
        <v>4611.8559999999998</v>
      </c>
      <c r="CZ21" s="604">
        <f t="shared" ref="CZ21:DC21" si="149">CZ36+CZ48</f>
        <v>1203.623</v>
      </c>
      <c r="DA21" s="604">
        <f t="shared" si="149"/>
        <v>1295.0630000000001</v>
      </c>
      <c r="DB21" s="604">
        <f t="shared" si="149"/>
        <v>1366.2</v>
      </c>
      <c r="DC21" s="604">
        <f t="shared" si="149"/>
        <v>1734.9780000000001</v>
      </c>
      <c r="DD21" s="603">
        <f t="shared" ref="DD21" si="150">+SUM(CZ21:DC21)</f>
        <v>5599.8640000000005</v>
      </c>
      <c r="DE21" s="604">
        <f t="shared" ref="DE21:DH21" si="151">DE36+DE48</f>
        <v>1508</v>
      </c>
      <c r="DF21" s="604">
        <f t="shared" si="151"/>
        <v>1694</v>
      </c>
      <c r="DG21" s="604">
        <f t="shared" si="151"/>
        <v>1714</v>
      </c>
      <c r="DH21" s="604">
        <f t="shared" si="151"/>
        <v>2144</v>
      </c>
      <c r="DI21" s="603">
        <f t="shared" ref="DI21" si="152">+SUM(DE21:DH21)</f>
        <v>7060</v>
      </c>
      <c r="DJ21" s="604">
        <f>DJ36+DJ48</f>
        <v>1861</v>
      </c>
      <c r="DK21" s="604">
        <f>DK36+DK48</f>
        <v>2045</v>
      </c>
      <c r="DL21" s="604">
        <f>DL36+DL48</f>
        <v>2162</v>
      </c>
      <c r="DM21" s="604">
        <f>DM36+DM48</f>
        <v>2703.5891937011711</v>
      </c>
      <c r="DN21" s="603">
        <f>+SUM(DJ21:DM21)</f>
        <v>8771.5891937011711</v>
      </c>
      <c r="DO21" s="604">
        <f>DO36+DO48</f>
        <v>2338.8834242070311</v>
      </c>
      <c r="DP21" s="604">
        <f t="shared" ref="DP21:DR21" si="153">DP36+DP48</f>
        <v>2508.0283815145549</v>
      </c>
      <c r="DQ21" s="604">
        <f t="shared" si="153"/>
        <v>2631.9056487290545</v>
      </c>
      <c r="DR21" s="604">
        <f t="shared" si="153"/>
        <v>3317.9390336843499</v>
      </c>
      <c r="DS21" s="603">
        <f t="shared" ref="DS21" si="154">+SUM(DO21:DR21)</f>
        <v>10796.75648813499</v>
      </c>
      <c r="DT21" s="604">
        <f t="shared" ref="DT21:DW21" si="155">DT36+DT48</f>
        <v>2799.2052568575727</v>
      </c>
      <c r="DU21" s="604">
        <f t="shared" si="155"/>
        <v>3001.1461139124062</v>
      </c>
      <c r="DV21" s="604">
        <f t="shared" si="155"/>
        <v>3147.5647910031289</v>
      </c>
      <c r="DW21" s="604">
        <f t="shared" si="155"/>
        <v>3975.5145410092937</v>
      </c>
      <c r="DX21" s="603">
        <f t="shared" ref="DX21" si="156">+SUM(DT21:DW21)</f>
        <v>12923.430702782402</v>
      </c>
      <c r="DY21" s="604">
        <f t="shared" ref="DY21:EB21" si="157">DY36+DY48</f>
        <v>3300.3679789037724</v>
      </c>
      <c r="DZ21" s="604">
        <f t="shared" si="157"/>
        <v>3537.9380225337027</v>
      </c>
      <c r="EA21" s="604">
        <f t="shared" si="157"/>
        <v>3708.9052382572477</v>
      </c>
      <c r="EB21" s="604">
        <f t="shared" si="157"/>
        <v>4691.55714204166</v>
      </c>
      <c r="EC21" s="603">
        <f t="shared" ref="EC21" si="158">+SUM(DY21:EB21)</f>
        <v>15238.768381736383</v>
      </c>
      <c r="ED21" s="605"/>
    </row>
    <row r="22" spans="1:134" ht="12" customHeight="1">
      <c r="A22" s="1189"/>
      <c r="B22" s="567"/>
      <c r="C22" s="769" t="s">
        <v>141</v>
      </c>
      <c r="D22" s="606"/>
      <c r="E22" s="606"/>
      <c r="F22" s="606"/>
      <c r="G22" s="606"/>
      <c r="H22" s="606"/>
      <c r="I22" s="607"/>
      <c r="J22" s="607"/>
      <c r="K22" s="607"/>
      <c r="L22" s="607"/>
      <c r="M22" s="608"/>
      <c r="N22" s="607"/>
      <c r="O22" s="607"/>
      <c r="P22" s="607"/>
      <c r="Q22" s="607"/>
      <c r="R22" s="608"/>
      <c r="S22" s="607"/>
      <c r="T22" s="607"/>
      <c r="U22" s="607"/>
      <c r="V22" s="607"/>
      <c r="W22" s="608"/>
      <c r="X22" s="609"/>
      <c r="Y22" s="609"/>
      <c r="Z22" s="609"/>
      <c r="AA22" s="609"/>
      <c r="AB22" s="608"/>
      <c r="AC22" s="609"/>
      <c r="AD22" s="609"/>
      <c r="AE22" s="609"/>
      <c r="AF22" s="609"/>
      <c r="AG22" s="608"/>
      <c r="AH22" s="607"/>
      <c r="AI22" s="607"/>
      <c r="AJ22" s="607"/>
      <c r="AK22" s="607"/>
      <c r="AL22" s="608"/>
      <c r="AM22" s="607"/>
      <c r="AN22" s="607"/>
      <c r="AO22" s="607"/>
      <c r="AP22" s="607"/>
      <c r="AQ22" s="608"/>
      <c r="AR22" s="607"/>
      <c r="AS22" s="607"/>
      <c r="AT22" s="607"/>
      <c r="AU22" s="610"/>
      <c r="AV22" s="608"/>
      <c r="AW22" s="607"/>
      <c r="AX22" s="607"/>
      <c r="AY22" s="607"/>
      <c r="AZ22" s="610"/>
      <c r="BA22" s="608"/>
      <c r="BB22" s="610"/>
      <c r="BC22" s="610"/>
      <c r="BD22" s="610"/>
      <c r="BE22" s="610"/>
      <c r="BF22" s="611"/>
      <c r="BG22" s="612"/>
      <c r="BH22" s="612"/>
      <c r="BI22" s="612"/>
      <c r="BJ22" s="612"/>
      <c r="BK22" s="608"/>
      <c r="BL22" s="685"/>
      <c r="BM22" s="685"/>
      <c r="BN22" s="685"/>
      <c r="BO22" s="685"/>
      <c r="BP22" s="686"/>
      <c r="BQ22" s="685" t="e">
        <f>BQ21/BO21-1</f>
        <v>#DIV/0!</v>
      </c>
      <c r="BR22" s="685">
        <f>BR21/BQ21-1</f>
        <v>0.20290243118774764</v>
      </c>
      <c r="BS22" s="685">
        <f>BS21/BR21-1</f>
        <v>0.17495436940747</v>
      </c>
      <c r="BT22" s="685">
        <f>BT21/BS21-1</f>
        <v>0.32938657977494024</v>
      </c>
      <c r="BU22" s="686"/>
      <c r="BV22" s="685">
        <f>BV21/BT21-1</f>
        <v>3.6324512276801668E-2</v>
      </c>
      <c r="BW22" s="685">
        <f>BW21/BV21-1</f>
        <v>0.1914826324908554</v>
      </c>
      <c r="BX22" s="685">
        <f>BX21/BW21-1</f>
        <v>0.14923771163456334</v>
      </c>
      <c r="BY22" s="685">
        <f>BY21/BX21-1</f>
        <v>0.30935548012613201</v>
      </c>
      <c r="BZ22" s="686"/>
      <c r="CA22" s="685">
        <f>CA21/BY21-1</f>
        <v>-2.3039813472615078E-2</v>
      </c>
      <c r="CB22" s="685">
        <f>CB21/CA21-1</f>
        <v>0.19058086497774362</v>
      </c>
      <c r="CC22" s="685">
        <f>CC21/CB21-1</f>
        <v>0.13056608750123644</v>
      </c>
      <c r="CD22" s="685">
        <f>CD21/CC21-1</f>
        <v>0.29954040686823435</v>
      </c>
      <c r="CE22" s="686"/>
      <c r="CF22" s="685">
        <f>CF21/CD21-1</f>
        <v>-3.8031721525577433E-2</v>
      </c>
      <c r="CG22" s="685">
        <f>CG21/CF21-1</f>
        <v>0.14287113931137463</v>
      </c>
      <c r="CH22" s="685">
        <f>CH21/CG21-1</f>
        <v>0.10246853606463002</v>
      </c>
      <c r="CI22" s="685">
        <f>CI21/CH21-1</f>
        <v>0.27326115291190245</v>
      </c>
      <c r="CJ22" s="686"/>
      <c r="CK22" s="685">
        <f>CK21/CI21-1</f>
        <v>-6.7992392296909787E-2</v>
      </c>
      <c r="CL22" s="685">
        <f>CL21/CK21-1</f>
        <v>0.12948309109403966</v>
      </c>
      <c r="CM22" s="685">
        <f>CM21/CL21-1</f>
        <v>7.8935518358799861E-2</v>
      </c>
      <c r="CN22" s="685">
        <f>CN21/CM21-1</f>
        <v>0.2934513201827158</v>
      </c>
      <c r="CO22" s="686"/>
      <c r="CP22" s="685">
        <f>CP21/CN21-1</f>
        <v>-6.9599730778367341E-2</v>
      </c>
      <c r="CQ22" s="685">
        <f>CQ21/CP21-1</f>
        <v>0.51987123431652282</v>
      </c>
      <c r="CR22" s="685">
        <f>CR21/CQ21-1</f>
        <v>7.4283850429976761E-2</v>
      </c>
      <c r="CS22" s="685">
        <f>CS21/CR21-1</f>
        <v>0.27409125559515513</v>
      </c>
      <c r="CT22" s="686"/>
      <c r="CU22" s="685">
        <f>CU21/CS21-1</f>
        <v>1.1151180677150707E-2</v>
      </c>
      <c r="CV22" s="685">
        <f>CV21/CU21-1</f>
        <v>0.13230000192181834</v>
      </c>
      <c r="CW22" s="685">
        <f>CW21/CV21-1</f>
        <v>3.8367226616762284E-3</v>
      </c>
      <c r="CX22" s="685">
        <f>CX21/CW21-1</f>
        <v>0.22806343104276805</v>
      </c>
      <c r="CY22" s="686"/>
      <c r="CZ22" s="409">
        <f>CZ21/CX21-1</f>
        <v>-0.12782458855788015</v>
      </c>
      <c r="DA22" s="409">
        <f>DA21/CY21-1</f>
        <v>-0.71918832678210243</v>
      </c>
      <c r="DB22" s="409">
        <f>DB21/DA21-1</f>
        <v>5.4929374092225647E-2</v>
      </c>
      <c r="DC22" s="409">
        <f>DC21/DB21-1</f>
        <v>0.26992973210364513</v>
      </c>
      <c r="DD22" s="408"/>
      <c r="DE22" s="409">
        <f>DE21/DC21-1</f>
        <v>-0.13082471362749271</v>
      </c>
      <c r="DF22" s="409">
        <f>DF21/DE21-1</f>
        <v>0.12334217506631306</v>
      </c>
      <c r="DG22" s="409">
        <f>DG21/DF21-1</f>
        <v>1.1806375442739103E-2</v>
      </c>
      <c r="DH22" s="409">
        <f>DH21/DG21-1</f>
        <v>0.25087514585764303</v>
      </c>
      <c r="DI22" s="408"/>
      <c r="DJ22" s="409">
        <f>DJ21/DH21-1</f>
        <v>-0.13199626865671643</v>
      </c>
      <c r="DK22" s="409">
        <f>DK21/DJ21-1</f>
        <v>9.8871574422353614E-2</v>
      </c>
      <c r="DL22" s="409">
        <f>DL21/DK21-1</f>
        <v>5.7212713936430237E-2</v>
      </c>
      <c r="DM22" s="409">
        <f>DM21/DL21-1</f>
        <v>0.25050378987103206</v>
      </c>
      <c r="DN22" s="408"/>
      <c r="DO22" s="409">
        <f>DO21/DM21-1</f>
        <v>-0.13489688830826529</v>
      </c>
      <c r="DP22" s="409">
        <f>DP21/DO21-1</f>
        <v>7.231867803110803E-2</v>
      </c>
      <c r="DQ22" s="409">
        <f>DQ21/DP21-1</f>
        <v>4.9392290823954799E-2</v>
      </c>
      <c r="DR22" s="409">
        <f>DR21/DQ21-1</f>
        <v>0.26066032621138246</v>
      </c>
      <c r="DS22" s="408"/>
      <c r="DT22" s="409">
        <f>DT21/DR21-1</f>
        <v>-0.15634216649567478</v>
      </c>
      <c r="DU22" s="409">
        <f>DU21/DT21-1</f>
        <v>7.2142211279474067E-2</v>
      </c>
      <c r="DV22" s="409">
        <f>DV21/DU21-1</f>
        <v>4.8787586986175135E-2</v>
      </c>
      <c r="DW22" s="409">
        <f>DW21/DV21-1</f>
        <v>0.26304454553969547</v>
      </c>
      <c r="DX22" s="408"/>
      <c r="DY22" s="409">
        <f>DY21/DW21-1</f>
        <v>-0.16982620869350828</v>
      </c>
      <c r="DZ22" s="409">
        <f>DZ21/DY21-1</f>
        <v>7.1982895588764029E-2</v>
      </c>
      <c r="EA22" s="409">
        <f>EA21/DZ21-1</f>
        <v>4.8323971373898322E-2</v>
      </c>
      <c r="EB22" s="409">
        <f>EB21/EA21-1</f>
        <v>0.26494392297985581</v>
      </c>
      <c r="EC22" s="408"/>
      <c r="ED22" s="605"/>
    </row>
    <row r="23" spans="1:134" ht="12" customHeight="1">
      <c r="A23" s="1189"/>
      <c r="B23" s="567"/>
      <c r="C23" s="769" t="s">
        <v>140</v>
      </c>
      <c r="D23" s="606"/>
      <c r="E23" s="606"/>
      <c r="F23" s="606"/>
      <c r="G23" s="606"/>
      <c r="H23" s="606"/>
      <c r="I23" s="607"/>
      <c r="J23" s="607"/>
      <c r="K23" s="607"/>
      <c r="L23" s="607"/>
      <c r="M23" s="608"/>
      <c r="N23" s="607"/>
      <c r="O23" s="607"/>
      <c r="P23" s="607"/>
      <c r="Q23" s="607"/>
      <c r="R23" s="608"/>
      <c r="S23" s="607"/>
      <c r="T23" s="607"/>
      <c r="U23" s="607"/>
      <c r="V23" s="607"/>
      <c r="W23" s="608"/>
      <c r="X23" s="609"/>
      <c r="Y23" s="609"/>
      <c r="Z23" s="609"/>
      <c r="AA23" s="609"/>
      <c r="AB23" s="608"/>
      <c r="AC23" s="609"/>
      <c r="AD23" s="609"/>
      <c r="AE23" s="609"/>
      <c r="AF23" s="609"/>
      <c r="AG23" s="608"/>
      <c r="AH23" s="607"/>
      <c r="AI23" s="607"/>
      <c r="AJ23" s="607"/>
      <c r="AK23" s="607"/>
      <c r="AL23" s="608"/>
      <c r="AM23" s="607"/>
      <c r="AN23" s="607"/>
      <c r="AO23" s="607"/>
      <c r="AP23" s="607"/>
      <c r="AQ23" s="608"/>
      <c r="AR23" s="607"/>
      <c r="AS23" s="607"/>
      <c r="AT23" s="607"/>
      <c r="AU23" s="610"/>
      <c r="AV23" s="608"/>
      <c r="AW23" s="607"/>
      <c r="AX23" s="607"/>
      <c r="AY23" s="607"/>
      <c r="AZ23" s="610"/>
      <c r="BA23" s="608"/>
      <c r="BB23" s="610"/>
      <c r="BC23" s="610"/>
      <c r="BD23" s="610"/>
      <c r="BE23" s="610"/>
      <c r="BF23" s="611"/>
      <c r="BG23" s="612"/>
      <c r="BH23" s="612"/>
      <c r="BI23" s="612"/>
      <c r="BJ23" s="612"/>
      <c r="BK23" s="608"/>
      <c r="BL23" s="685"/>
      <c r="BM23" s="685"/>
      <c r="BN23" s="685"/>
      <c r="BO23" s="685"/>
      <c r="BP23" s="686"/>
      <c r="BQ23" s="685"/>
      <c r="BR23" s="685"/>
      <c r="BS23" s="685"/>
      <c r="BT23" s="685"/>
      <c r="BU23" s="686"/>
      <c r="BV23" s="685">
        <f t="shared" ref="BV23:DN23" si="159">BV21/BQ21-1</f>
        <v>0.94714576416407859</v>
      </c>
      <c r="BW23" s="685">
        <f t="shared" si="159"/>
        <v>0.92866046387392576</v>
      </c>
      <c r="BX23" s="685">
        <f t="shared" si="159"/>
        <v>0.88644716402076318</v>
      </c>
      <c r="BY23" s="685">
        <f t="shared" si="159"/>
        <v>0.8580223162754903</v>
      </c>
      <c r="BZ23" s="686">
        <f t="shared" si="159"/>
        <v>0.89701461265975735</v>
      </c>
      <c r="CA23" s="685">
        <f t="shared" si="159"/>
        <v>0.75158824014741055</v>
      </c>
      <c r="CB23" s="685">
        <f t="shared" si="159"/>
        <v>0.7502625595808281</v>
      </c>
      <c r="CC23" s="685">
        <f t="shared" si="159"/>
        <v>0.72182610616802911</v>
      </c>
      <c r="CD23" s="685">
        <f t="shared" si="159"/>
        <v>0.70891910755236509</v>
      </c>
      <c r="CE23" s="686">
        <f t="shared" si="159"/>
        <v>0.72939151876300312</v>
      </c>
      <c r="CF23" s="685">
        <f t="shared" si="159"/>
        <v>0.68269494971698608</v>
      </c>
      <c r="CG23" s="685">
        <f t="shared" si="159"/>
        <v>0.61526491048761978</v>
      </c>
      <c r="CH23" s="685">
        <f t="shared" si="159"/>
        <v>0.57512131392310528</v>
      </c>
      <c r="CI23" s="685">
        <f t="shared" si="159"/>
        <v>0.54326927392354141</v>
      </c>
      <c r="CJ23" s="686">
        <f t="shared" si="159"/>
        <v>0.59397389589249405</v>
      </c>
      <c r="CK23" s="685">
        <f t="shared" si="159"/>
        <v>0.49520388168330687</v>
      </c>
      <c r="CL23" s="685">
        <f t="shared" si="159"/>
        <v>0.47768846723790936</v>
      </c>
      <c r="CM23" s="685">
        <f t="shared" si="159"/>
        <v>0.44614609870253008</v>
      </c>
      <c r="CN23" s="685">
        <f t="shared" si="159"/>
        <v>0.46907771140748356</v>
      </c>
      <c r="CO23" s="686">
        <f t="shared" si="159"/>
        <v>0.47049045450691351</v>
      </c>
      <c r="CP23" s="685">
        <f t="shared" si="159"/>
        <v>0.46654414288477986</v>
      </c>
      <c r="CQ23" s="685">
        <f t="shared" si="159"/>
        <v>0.97343216042919622</v>
      </c>
      <c r="CR23" s="685">
        <f t="shared" si="159"/>
        <v>0.96492400499805386</v>
      </c>
      <c r="CS23" s="685">
        <f t="shared" si="159"/>
        <v>0.93551350067305372</v>
      </c>
      <c r="CT23" s="686">
        <f t="shared" si="159"/>
        <v>0.856254669164914</v>
      </c>
      <c r="CU23" s="685">
        <f t="shared" si="159"/>
        <v>1.1034997797877026</v>
      </c>
      <c r="CV23" s="685">
        <f t="shared" si="159"/>
        <v>0.56710170632793022</v>
      </c>
      <c r="CW23" s="685">
        <f t="shared" si="159"/>
        <v>0.46433760530619428</v>
      </c>
      <c r="CX23" s="685">
        <f t="shared" si="159"/>
        <v>0.4114369405488556</v>
      </c>
      <c r="CY23" s="686">
        <f t="shared" si="159"/>
        <v>0.57428577182862139</v>
      </c>
      <c r="CZ23" s="409">
        <f t="shared" si="159"/>
        <v>0.2174446491012465</v>
      </c>
      <c r="DA23" s="409">
        <f t="shared" si="159"/>
        <v>0.15687952512182401</v>
      </c>
      <c r="DB23" s="409">
        <f t="shared" si="159"/>
        <v>0.2157616530514177</v>
      </c>
      <c r="DC23" s="409">
        <f t="shared" si="159"/>
        <v>0.25720857028573407</v>
      </c>
      <c r="DD23" s="408">
        <f t="shared" si="159"/>
        <v>0.21423218764853047</v>
      </c>
      <c r="DE23" s="409">
        <f t="shared" si="159"/>
        <v>0.25288400105348607</v>
      </c>
      <c r="DF23" s="409">
        <f t="shared" si="159"/>
        <v>0.30804447351209929</v>
      </c>
      <c r="DG23" s="409">
        <f t="shared" si="159"/>
        <v>0.25457473283560228</v>
      </c>
      <c r="DH23" s="409">
        <f t="shared" si="159"/>
        <v>0.2357505397762969</v>
      </c>
      <c r="DI23" s="408">
        <f t="shared" si="159"/>
        <v>0.26074490380480664</v>
      </c>
      <c r="DJ23" s="409">
        <f t="shared" si="159"/>
        <v>0.23408488063660471</v>
      </c>
      <c r="DK23" s="409">
        <f t="shared" si="159"/>
        <v>0.20720188902007086</v>
      </c>
      <c r="DL23" s="409">
        <f t="shared" si="159"/>
        <v>0.26137689614935833</v>
      </c>
      <c r="DM23" s="409">
        <f t="shared" si="159"/>
        <v>0.26100242243524763</v>
      </c>
      <c r="DN23" s="408">
        <f t="shared" si="159"/>
        <v>0.24243472998600146</v>
      </c>
      <c r="DO23" s="409">
        <f t="shared" ref="DO23" si="160">DO21/DJ21-1</f>
        <v>0.25678851381355772</v>
      </c>
      <c r="DP23" s="409">
        <f t="shared" ref="DP23" si="161">DP21/DK21-1</f>
        <v>0.22641974646188512</v>
      </c>
      <c r="DQ23" s="409">
        <f t="shared" ref="DQ23" si="162">DQ21/DL21-1</f>
        <v>0.21734766361195867</v>
      </c>
      <c r="DR23" s="409">
        <f t="shared" ref="DR23:DS23" si="163">DR21/DM21-1</f>
        <v>0.227234907364807</v>
      </c>
      <c r="DS23" s="408">
        <f t="shared" si="163"/>
        <v>0.23087803700247167</v>
      </c>
      <c r="DT23" s="409">
        <f t="shared" ref="DT23" si="164">DT21/DO21-1</f>
        <v>0.19681264482286376</v>
      </c>
      <c r="DU23" s="409">
        <f t="shared" ref="DU23" si="165">DU21/DP21-1</f>
        <v>0.19661569064863049</v>
      </c>
      <c r="DV23" s="409">
        <f t="shared" ref="DV23" si="166">DV21/DQ21-1</f>
        <v>0.19592615051496454</v>
      </c>
      <c r="DW23" s="409">
        <f t="shared" ref="DW23" si="167">DW21/DR21-1</f>
        <v>0.19818794156526431</v>
      </c>
      <c r="DX23" s="408">
        <f t="shared" ref="DX23" si="168">DX21/DS21-1</f>
        <v>0.19697343521496502</v>
      </c>
      <c r="DY23" s="409">
        <f t="shared" ref="DY23" si="169">DY21/DT21-1</f>
        <v>0.17903750388380302</v>
      </c>
      <c r="DZ23" s="409">
        <f t="shared" ref="DZ23" si="170">DZ21/DU21-1</f>
        <v>0.1788623040154198</v>
      </c>
      <c r="EA23" s="409">
        <f t="shared" ref="EA23" si="171">EA21/DV21-1</f>
        <v>0.17834118899113105</v>
      </c>
      <c r="EB23" s="409">
        <f t="shared" ref="EB23" si="172">EB21/DW21-1</f>
        <v>0.18011318878249627</v>
      </c>
      <c r="EC23" s="408">
        <f t="shared" ref="EC23" si="173">EC21/DX21-1</f>
        <v>0.17915813008193648</v>
      </c>
      <c r="ED23" s="605"/>
    </row>
    <row r="24" spans="1:134" ht="12" hidden="1" customHeight="1" outlineLevel="1">
      <c r="A24" s="1189"/>
      <c r="B24" s="567"/>
      <c r="C24" s="1101" t="s">
        <v>228</v>
      </c>
      <c r="D24" s="569"/>
      <c r="E24" s="569"/>
      <c r="F24" s="569"/>
      <c r="G24" s="569"/>
      <c r="H24" s="569"/>
      <c r="I24" s="570"/>
      <c r="J24" s="570"/>
      <c r="K24" s="570"/>
      <c r="L24" s="570"/>
      <c r="M24" s="571"/>
      <c r="N24" s="570"/>
      <c r="O24" s="570"/>
      <c r="P24" s="570"/>
      <c r="Q24" s="570"/>
      <c r="R24" s="571"/>
      <c r="S24" s="570"/>
      <c r="T24" s="570"/>
      <c r="U24" s="570"/>
      <c r="V24" s="570"/>
      <c r="W24" s="571"/>
      <c r="X24" s="572"/>
      <c r="Y24" s="572"/>
      <c r="Z24" s="572"/>
      <c r="AA24" s="572"/>
      <c r="AB24" s="571"/>
      <c r="AC24" s="572"/>
      <c r="AD24" s="572"/>
      <c r="AE24" s="572"/>
      <c r="AF24" s="572"/>
      <c r="AG24" s="571"/>
      <c r="AH24" s="570"/>
      <c r="AI24" s="570"/>
      <c r="AJ24" s="570"/>
      <c r="AK24" s="570"/>
      <c r="AL24" s="571"/>
      <c r="AM24" s="570"/>
      <c r="AN24" s="570"/>
      <c r="AO24" s="570"/>
      <c r="AP24" s="570"/>
      <c r="AQ24" s="571"/>
      <c r="AR24" s="570"/>
      <c r="AS24" s="570"/>
      <c r="AT24" s="570"/>
      <c r="AU24" s="573"/>
      <c r="AV24" s="571"/>
      <c r="AW24" s="570"/>
      <c r="AX24" s="570"/>
      <c r="AY24" s="570"/>
      <c r="AZ24" s="573"/>
      <c r="BA24" s="571"/>
      <c r="BB24" s="573"/>
      <c r="BC24" s="573"/>
      <c r="BD24" s="573"/>
      <c r="BE24" s="573"/>
      <c r="BF24" s="613"/>
      <c r="BG24" s="614"/>
      <c r="BH24" s="614"/>
      <c r="BI24" s="614"/>
      <c r="BJ24" s="614"/>
      <c r="BK24" s="571"/>
      <c r="BL24" s="614"/>
      <c r="BM24" s="614"/>
      <c r="BN24" s="614"/>
      <c r="BO24" s="614"/>
      <c r="BP24" s="571"/>
      <c r="BQ24" s="614"/>
      <c r="BR24" s="614"/>
      <c r="BS24" s="614"/>
      <c r="BT24" s="614"/>
      <c r="BU24" s="615"/>
      <c r="BV24" s="614"/>
      <c r="BW24" s="614"/>
      <c r="BX24" s="614"/>
      <c r="BY24" s="614"/>
      <c r="BZ24" s="615"/>
      <c r="CA24" s="614"/>
      <c r="CB24" s="614"/>
      <c r="CC24" s="614"/>
      <c r="CD24" s="614"/>
      <c r="CE24" s="615"/>
      <c r="CF24" s="614"/>
      <c r="CG24" s="614"/>
      <c r="CH24" s="614"/>
      <c r="CI24" s="614"/>
      <c r="CJ24" s="616"/>
      <c r="CK24" s="617"/>
      <c r="CL24" s="617"/>
      <c r="CM24" s="617"/>
      <c r="CN24" s="617"/>
      <c r="CO24" s="616"/>
      <c r="CP24" s="617"/>
      <c r="CQ24" s="617"/>
      <c r="CR24" s="477"/>
      <c r="CS24" s="617"/>
      <c r="CT24" s="616"/>
      <c r="CU24" s="618"/>
      <c r="CV24" s="618"/>
      <c r="CW24" s="618"/>
      <c r="CX24" s="618"/>
      <c r="CY24" s="619"/>
      <c r="CZ24" s="618"/>
      <c r="DA24" s="618"/>
      <c r="DB24" s="618"/>
      <c r="DC24" s="618"/>
      <c r="DD24" s="619"/>
      <c r="DE24" s="618"/>
      <c r="DF24" s="618"/>
      <c r="DG24" s="618"/>
      <c r="DH24" s="618"/>
      <c r="DI24" s="619"/>
      <c r="DJ24" s="618"/>
      <c r="DK24" s="1097" cm="1">
        <f t="array" ref="DK24">_xll.FDS("SHOP-US","FE_ESTIMATE(SALES,MEAN,QTR_ROLL,"&amp;YEAR(DK5)&amp;"/1F,NOW,,,'')")</f>
        <v>1861</v>
      </c>
      <c r="DL24" s="1097" cm="1">
        <f t="array" ref="DL24">_xll.FDS("SHOP-US","FE_ESTIMATE(SALES,MEAN,QTR_ROLL,"&amp;YEAR(DL5)&amp;"/1F,NOW,,,'')")</f>
        <v>1861</v>
      </c>
      <c r="DM24" s="1097" cm="1">
        <f t="array" ref="DM24">_xll.FDS("SHOP-US","FE_ESTIMATE(SALES,MEAN,QTR_ROLL,"&amp;YEAR(DJ5)&amp;"/4F,NOW,,,'')")</f>
        <v>2725.7952</v>
      </c>
      <c r="DN24" s="1098" cm="1">
        <f t="array" ref="DN24">_xll.FDS("SHOP-US","FE_ESTIMATE(SALES,MEAN,annual_ROLL,"&amp;YEAR(DJ5)&amp;",NOW,,,'')")</f>
        <v>8799.232</v>
      </c>
      <c r="DO24" s="1097" cm="1">
        <f t="array" ref="DO24">_xll.FDS("SHOP-US","FE_ESTIMATE(SALES,MEAN,QTR_ROLL,"&amp;YEAR(DO5)&amp;"/1F,NOW,,,'')")</f>
        <v>2319.768</v>
      </c>
      <c r="DP24" s="1097" cm="1">
        <f t="array" ref="DP24">_xll.FDS("SHOP-US","FE_ESTIMATE(SALES,MEAN,QTR_ROLL,"&amp;YEAR(DO5)&amp;"/2F,NOW,,,'')")</f>
        <v>2527.6889999999999</v>
      </c>
      <c r="DQ24" s="1097" cm="1">
        <f t="array" ref="DQ24">_xll.FDS("SHOP-US","FE_ESTIMATE(SALES,MEAN,QTR_ROLL,"&amp;YEAR(DO5)&amp;"/3F,NOW,,,'')")</f>
        <v>2637.6206000000002</v>
      </c>
      <c r="DR24" s="1097" cm="1">
        <f t="array" ref="DR24">_xll.FDS("SHOP-US","FE_ESTIMATE(SALES,MEAN,QTR_ROLL,"&amp;YEAR(DO5)&amp;"/4F,NOW,,,'')")</f>
        <v>3309.5315000000001</v>
      </c>
      <c r="DS24" s="1098" cm="1">
        <f t="array" ref="DS24">_xll.FDS("SHOP-US","FE_ESTIMATE(SALES,MEAN,annual_ROLL,"&amp;YEAR(DO5)&amp;",NOW,,,'')")</f>
        <v>10858.165000000001</v>
      </c>
      <c r="DT24" s="1097" cm="1">
        <f t="array" ref="DT24">_xll.FDS("SHOP-US","FE_ESTIMATE(SALES,MEAN,QTR_ROLL,"&amp;YEAR(DT5)&amp;"/1F,NOW,,,'')")</f>
        <v>2786.8683999999998</v>
      </c>
      <c r="DU24" s="1097" cm="1">
        <f t="array" ref="DU24">_xll.FDS("SHOP-US","FE_ESTIMATE(SALES,MEAN,QTR_ROLL,"&amp;YEAR(DT5)&amp;"/2F,NOW,,,'')")</f>
        <v>3026.1296000000002</v>
      </c>
      <c r="DV24" s="1097" cm="1">
        <f t="array" ref="DV24">_xll.FDS("SHOP-US","FE_ESTIMATE(SALES,MEAN,QTR_ROLL,"&amp;YEAR(DT5)&amp;"/3F,NOW,,,'')")</f>
        <v>3153.4596999999999</v>
      </c>
      <c r="DW24" s="1097" cm="1">
        <f t="array" ref="DW24">_xll.FDS("SHOP-US","FE_ESTIMATE(SALES,MEAN,QTR_ROLL,"&amp;YEAR(DT5)&amp;"/4F,NOW,,,'')")</f>
        <v>3918.6129999999998</v>
      </c>
      <c r="DX24" s="1098" cm="1">
        <f t="array" ref="DX24">_xll.FDS("SHOP-US","FE_ESTIMATE(SALES,MEAN,annual_ROLL,"&amp;YEAR(DT5)&amp;",NOW,,,'')")</f>
        <v>13154.029</v>
      </c>
      <c r="DY24" s="1097" cm="1">
        <f t="array" ref="DY24">_xll.FDS("SHOP-US","FE_ESTIMATE(SALES,MEAN,QTR_ROLL,"&amp;YEAR(DY5)&amp;"/1F,NOW,,,'')")</f>
        <v>3549</v>
      </c>
      <c r="DZ24" s="1097" cm="1">
        <f t="array" ref="DZ24">_xll.FDS("SHOP-US","FE_ESTIMATE(SALES,MEAN,QTR_ROLL,"&amp;YEAR(DY5)&amp;"/2F,NOW,,,'')")</f>
        <v>3782</v>
      </c>
      <c r="EA24" s="1097" cm="1">
        <f t="array" ref="EA24">_xll.FDS("SHOP-US","FE_ESTIMATE(SALES,MEAN,QTR_ROLL,"&amp;YEAR(DY5)&amp;"/3F,NOW,,,'')")</f>
        <v>3975</v>
      </c>
      <c r="EB24" s="1097" cm="1">
        <f t="array" ref="EB24">_xll.FDS("SHOP-US","FE_ESTIMATE(SALES,MEAN,QTR_ROLL,"&amp;YEAR(DY5)&amp;"/4F,NOW,,,'')")</f>
        <v>4965</v>
      </c>
      <c r="EC24" s="1098" cm="1">
        <f t="array" ref="EC24">_xll.FDS("SHOP-US","FE_ESTIMATE(SALES,MEAN,annual_ROLL,"&amp;YEAR(DY5)&amp;",NOW,,,'')")</f>
        <v>17304.153999999999</v>
      </c>
      <c r="ED24" s="578"/>
    </row>
    <row r="25" spans="1:134" ht="12" hidden="1" customHeight="1" outlineLevel="1">
      <c r="A25" s="1189"/>
      <c r="B25" s="567"/>
      <c r="C25" s="1101" t="s">
        <v>392</v>
      </c>
      <c r="D25" s="569"/>
      <c r="E25" s="569"/>
      <c r="F25" s="569"/>
      <c r="G25" s="569"/>
      <c r="H25" s="569"/>
      <c r="I25" s="570"/>
      <c r="J25" s="570"/>
      <c r="K25" s="570"/>
      <c r="L25" s="570"/>
      <c r="M25" s="571"/>
      <c r="N25" s="570"/>
      <c r="O25" s="570"/>
      <c r="P25" s="570"/>
      <c r="Q25" s="570"/>
      <c r="R25" s="571"/>
      <c r="S25" s="570"/>
      <c r="T25" s="570"/>
      <c r="U25" s="570"/>
      <c r="V25" s="570"/>
      <c r="W25" s="571"/>
      <c r="X25" s="572"/>
      <c r="Y25" s="572"/>
      <c r="Z25" s="572"/>
      <c r="AA25" s="572"/>
      <c r="AB25" s="571"/>
      <c r="AC25" s="572"/>
      <c r="AD25" s="572"/>
      <c r="AE25" s="572"/>
      <c r="AF25" s="572"/>
      <c r="AG25" s="571"/>
      <c r="AH25" s="570"/>
      <c r="AI25" s="570"/>
      <c r="AJ25" s="570"/>
      <c r="AK25" s="570"/>
      <c r="AL25" s="571"/>
      <c r="AM25" s="570"/>
      <c r="AN25" s="570"/>
      <c r="AO25" s="570"/>
      <c r="AP25" s="570"/>
      <c r="AQ25" s="571"/>
      <c r="AR25" s="570"/>
      <c r="AS25" s="570"/>
      <c r="AT25" s="570"/>
      <c r="AU25" s="573"/>
      <c r="AV25" s="571"/>
      <c r="AW25" s="570"/>
      <c r="AX25" s="570"/>
      <c r="AY25" s="570"/>
      <c r="AZ25" s="573"/>
      <c r="BA25" s="571"/>
      <c r="BB25" s="573"/>
      <c r="BC25" s="573"/>
      <c r="BD25" s="573"/>
      <c r="BE25" s="573"/>
      <c r="BF25" s="613"/>
      <c r="BG25" s="614"/>
      <c r="BH25" s="614"/>
      <c r="BI25" s="614"/>
      <c r="BJ25" s="614"/>
      <c r="BK25" s="571"/>
      <c r="BL25" s="614"/>
      <c r="BM25" s="614"/>
      <c r="BN25" s="614"/>
      <c r="BO25" s="614"/>
      <c r="BP25" s="571"/>
      <c r="BQ25" s="614"/>
      <c r="BR25" s="614"/>
      <c r="BS25" s="614"/>
      <c r="BT25" s="614"/>
      <c r="BU25" s="615"/>
      <c r="BV25" s="614"/>
      <c r="BW25" s="614"/>
      <c r="BX25" s="614"/>
      <c r="BY25" s="614"/>
      <c r="BZ25" s="615"/>
      <c r="CA25" s="614"/>
      <c r="CB25" s="614"/>
      <c r="CC25" s="614"/>
      <c r="CD25" s="614"/>
      <c r="CE25" s="615"/>
      <c r="CF25" s="614"/>
      <c r="CG25" s="614"/>
      <c r="CH25" s="614"/>
      <c r="CI25" s="614"/>
      <c r="CJ25" s="616"/>
      <c r="CK25" s="617"/>
      <c r="CL25" s="617"/>
      <c r="CM25" s="617"/>
      <c r="CN25" s="617"/>
      <c r="CO25" s="616"/>
      <c r="CP25" s="617"/>
      <c r="CQ25" s="617"/>
      <c r="CR25" s="477"/>
      <c r="CS25" s="617"/>
      <c r="CT25" s="616"/>
      <c r="CU25" s="620"/>
      <c r="CV25" s="620"/>
      <c r="CW25" s="620"/>
      <c r="CX25" s="620"/>
      <c r="CY25" s="621"/>
      <c r="CZ25" s="622"/>
      <c r="DA25" s="622"/>
      <c r="DB25" s="622"/>
      <c r="DC25" s="622"/>
      <c r="DD25" s="621"/>
      <c r="DE25" s="622"/>
      <c r="DF25" s="622"/>
      <c r="DG25" s="622"/>
      <c r="DH25" s="622"/>
      <c r="DI25" s="621"/>
      <c r="DJ25" s="622"/>
      <c r="DK25" s="1099">
        <f t="shared" ref="DK25:DL25" si="174">+DK21/DK24-1</f>
        <v>9.8871574422353614E-2</v>
      </c>
      <c r="DL25" s="1099">
        <f t="shared" si="174"/>
        <v>0.16174099946265441</v>
      </c>
      <c r="DM25" s="1099">
        <f t="shared" ref="DM25:DS25" si="175">+DM21/DM24-1</f>
        <v>-8.1466158201572991E-3</v>
      </c>
      <c r="DN25" s="1100">
        <f t="shared" si="175"/>
        <v>-3.1415021559642042E-3</v>
      </c>
      <c r="DO25" s="1099">
        <f t="shared" si="175"/>
        <v>8.2402310088900421E-3</v>
      </c>
      <c r="DP25" s="1099">
        <f t="shared" si="175"/>
        <v>-7.77810026686232E-3</v>
      </c>
      <c r="DQ25" s="1099">
        <f t="shared" si="175"/>
        <v>-2.1667070961401969E-3</v>
      </c>
      <c r="DR25" s="1099">
        <f t="shared" si="175"/>
        <v>2.5403999582267467E-3</v>
      </c>
      <c r="DS25" s="1100">
        <f t="shared" si="175"/>
        <v>-5.6555147085175506E-3</v>
      </c>
      <c r="DT25" s="1099">
        <f t="shared" ref="DT25:EC25" si="176">+DT21/DT24-1</f>
        <v>4.4267812780729443E-3</v>
      </c>
      <c r="DU25" s="1099">
        <f t="shared" si="176"/>
        <v>-8.2559207271208912E-3</v>
      </c>
      <c r="DV25" s="1099">
        <f t="shared" si="176"/>
        <v>-1.8693465455958957E-3</v>
      </c>
      <c r="DW25" s="1099">
        <f t="shared" si="176"/>
        <v>1.4520837094475381E-2</v>
      </c>
      <c r="DX25" s="1100">
        <f t="shared" si="176"/>
        <v>-1.7530621014869241E-2</v>
      </c>
      <c r="DY25" s="1099">
        <f t="shared" si="176"/>
        <v>-7.0056923385806602E-2</v>
      </c>
      <c r="DZ25" s="1099">
        <f t="shared" si="176"/>
        <v>-6.4532516516736416E-2</v>
      </c>
      <c r="EA25" s="1099">
        <f t="shared" si="176"/>
        <v>-6.6942078425849649E-2</v>
      </c>
      <c r="EB25" s="1099">
        <f t="shared" si="176"/>
        <v>-5.5074090223230621E-2</v>
      </c>
      <c r="EC25" s="1100">
        <f t="shared" si="176"/>
        <v>-0.11935779225402265</v>
      </c>
      <c r="ED25" s="578"/>
    </row>
    <row r="26" spans="1:134" ht="12" customHeight="1" collapsed="1">
      <c r="A26" s="1189"/>
      <c r="B26" s="567"/>
      <c r="C26" s="1200" t="s">
        <v>524</v>
      </c>
      <c r="D26" s="569"/>
      <c r="E26" s="569"/>
      <c r="F26" s="569"/>
      <c r="G26" s="569"/>
      <c r="H26" s="569"/>
      <c r="I26" s="570"/>
      <c r="J26" s="570"/>
      <c r="K26" s="570"/>
      <c r="L26" s="570"/>
      <c r="M26" s="571"/>
      <c r="N26" s="570"/>
      <c r="O26" s="570"/>
      <c r="P26" s="570"/>
      <c r="Q26" s="570"/>
      <c r="R26" s="571"/>
      <c r="S26" s="570"/>
      <c r="T26" s="570"/>
      <c r="U26" s="570"/>
      <c r="V26" s="570"/>
      <c r="W26" s="571"/>
      <c r="X26" s="572"/>
      <c r="Y26" s="572"/>
      <c r="Z26" s="572"/>
      <c r="AA26" s="572"/>
      <c r="AB26" s="571"/>
      <c r="AC26" s="572"/>
      <c r="AD26" s="572"/>
      <c r="AE26" s="572"/>
      <c r="AF26" s="572"/>
      <c r="AG26" s="571"/>
      <c r="AH26" s="570"/>
      <c r="AI26" s="570"/>
      <c r="AJ26" s="570"/>
      <c r="AK26" s="570"/>
      <c r="AL26" s="571"/>
      <c r="AM26" s="570"/>
      <c r="AN26" s="570"/>
      <c r="AO26" s="570"/>
      <c r="AP26" s="570"/>
      <c r="AQ26" s="571"/>
      <c r="AR26" s="570"/>
      <c r="AS26" s="570"/>
      <c r="AT26" s="570"/>
      <c r="AU26" s="573"/>
      <c r="AV26" s="571"/>
      <c r="AW26" s="570"/>
      <c r="AX26" s="570"/>
      <c r="AY26" s="570"/>
      <c r="AZ26" s="573"/>
      <c r="BA26" s="571"/>
      <c r="BB26" s="573"/>
      <c r="BC26" s="573"/>
      <c r="BD26" s="573"/>
      <c r="BE26" s="573"/>
      <c r="BF26" s="613"/>
      <c r="BG26" s="614"/>
      <c r="BH26" s="614"/>
      <c r="BI26" s="614"/>
      <c r="BJ26" s="614"/>
      <c r="BK26" s="571"/>
      <c r="BL26" s="614"/>
      <c r="BM26" s="614"/>
      <c r="BN26" s="614"/>
      <c r="BO26" s="614"/>
      <c r="BP26" s="571"/>
      <c r="BQ26" s="614"/>
      <c r="BR26" s="614"/>
      <c r="BS26" s="614"/>
      <c r="BT26" s="614"/>
      <c r="BU26" s="615"/>
      <c r="BV26" s="614"/>
      <c r="BW26" s="614"/>
      <c r="BX26" s="614"/>
      <c r="BY26" s="614"/>
      <c r="BZ26" s="615"/>
      <c r="CA26" s="614"/>
      <c r="CB26" s="614"/>
      <c r="CC26" s="614"/>
      <c r="CD26" s="614"/>
      <c r="CE26" s="615"/>
      <c r="CF26" s="614"/>
      <c r="CG26" s="614"/>
      <c r="CH26" s="614"/>
      <c r="CI26" s="614"/>
      <c r="CJ26" s="616"/>
      <c r="CK26" s="617"/>
      <c r="CL26" s="617"/>
      <c r="CM26" s="617"/>
      <c r="CN26" s="617"/>
      <c r="CO26" s="616"/>
      <c r="CP26" s="617"/>
      <c r="CQ26" s="617"/>
      <c r="CR26" s="477"/>
      <c r="CS26" s="617"/>
      <c r="CT26" s="616"/>
      <c r="CU26" s="617"/>
      <c r="CV26" s="617"/>
      <c r="CW26" s="617"/>
      <c r="CX26" s="617"/>
      <c r="CY26" s="616"/>
      <c r="CZ26" s="617"/>
      <c r="DA26" s="617"/>
      <c r="DB26" s="617"/>
      <c r="DC26" s="617"/>
      <c r="DD26" s="616"/>
      <c r="DE26" s="617"/>
      <c r="DF26" s="617"/>
      <c r="DG26" s="617"/>
      <c r="DH26" s="617"/>
      <c r="DI26" s="616"/>
      <c r="DJ26" s="617"/>
      <c r="DK26" s="617"/>
      <c r="DL26" s="617"/>
      <c r="DM26" s="617"/>
      <c r="DN26" s="616"/>
      <c r="DO26" s="617"/>
      <c r="DP26" s="617"/>
      <c r="DQ26" s="617"/>
      <c r="DR26" s="617"/>
      <c r="DS26" s="616"/>
      <c r="DT26" s="617"/>
      <c r="DU26" s="617"/>
      <c r="DV26" s="617"/>
      <c r="DW26" s="617"/>
      <c r="DX26" s="616"/>
      <c r="DY26" s="617"/>
      <c r="DZ26" s="617"/>
      <c r="EA26" s="617"/>
      <c r="EB26" s="617"/>
      <c r="EC26" s="616"/>
      <c r="ED26" s="578"/>
    </row>
    <row r="27" spans="1:134" s="1367" customFormat="1" ht="12" customHeight="1">
      <c r="A27" s="1190"/>
      <c r="B27" s="89"/>
      <c r="C27" s="466" t="s">
        <v>414</v>
      </c>
      <c r="D27" s="589"/>
      <c r="E27" s="764"/>
      <c r="F27" s="764"/>
      <c r="G27" s="764"/>
      <c r="H27" s="764"/>
      <c r="I27" s="591"/>
      <c r="J27" s="591"/>
      <c r="K27" s="591"/>
      <c r="L27" s="591"/>
      <c r="M27" s="764"/>
      <c r="N27" s="765"/>
      <c r="O27" s="765"/>
      <c r="P27" s="765"/>
      <c r="Q27" s="765"/>
      <c r="R27" s="764"/>
      <c r="S27" s="765"/>
      <c r="T27" s="765"/>
      <c r="U27" s="765"/>
      <c r="V27" s="765"/>
      <c r="W27" s="764"/>
      <c r="X27" s="765"/>
      <c r="Y27" s="765"/>
      <c r="Z27" s="765"/>
      <c r="AA27" s="765"/>
      <c r="AB27" s="764"/>
      <c r="AC27" s="765"/>
      <c r="AD27" s="765"/>
      <c r="AE27" s="765"/>
      <c r="AF27" s="765"/>
      <c r="AG27" s="764"/>
      <c r="AH27" s="765"/>
      <c r="AI27" s="765"/>
      <c r="AJ27" s="765"/>
      <c r="AK27" s="765"/>
      <c r="AL27" s="764"/>
      <c r="AM27" s="765"/>
      <c r="AN27" s="765"/>
      <c r="AO27" s="765"/>
      <c r="AP27" s="765"/>
      <c r="AQ27" s="764"/>
      <c r="AR27" s="765"/>
      <c r="AS27" s="765"/>
      <c r="AT27" s="765"/>
      <c r="AU27" s="765"/>
      <c r="AV27" s="764"/>
      <c r="AW27" s="765"/>
      <c r="AX27" s="765"/>
      <c r="AY27" s="765"/>
      <c r="AZ27" s="765"/>
      <c r="BA27" s="764"/>
      <c r="BB27" s="765"/>
      <c r="BC27" s="765"/>
      <c r="BD27" s="765"/>
      <c r="BE27" s="765"/>
      <c r="BF27" s="764"/>
      <c r="BG27" s="776"/>
      <c r="BH27" s="776"/>
      <c r="BI27" s="776"/>
      <c r="BJ27" s="776"/>
      <c r="BK27" s="764"/>
      <c r="BL27" s="765"/>
      <c r="BM27" s="765"/>
      <c r="BN27" s="765"/>
      <c r="BO27" s="765"/>
      <c r="BP27" s="764"/>
      <c r="BQ27" s="765"/>
      <c r="BR27" s="765"/>
      <c r="BS27" s="765"/>
      <c r="BT27" s="648">
        <v>165</v>
      </c>
      <c r="BU27" s="1329">
        <v>165</v>
      </c>
      <c r="BV27" s="1330">
        <f>BU27*(1+BV29)</f>
        <v>219.94499999999999</v>
      </c>
      <c r="BW27" s="1330">
        <f>BV27*(1+BW29)</f>
        <v>280</v>
      </c>
      <c r="BX27" s="1330">
        <f>BW27*(1+BX29)</f>
        <v>320</v>
      </c>
      <c r="BY27" s="648">
        <v>377.5</v>
      </c>
      <c r="BZ27" s="1329">
        <v>377.5</v>
      </c>
      <c r="CA27" s="1330">
        <f>BZ27*(1+CA29)</f>
        <v>419.99999999999994</v>
      </c>
      <c r="CB27" s="1330">
        <f>CA27*(1+CB29)</f>
        <v>499.99999999999994</v>
      </c>
      <c r="CC27" s="1330">
        <f>CB27*(1+CC29)</f>
        <v>569.99999999999989</v>
      </c>
      <c r="CD27" s="648">
        <v>609</v>
      </c>
      <c r="CE27" s="1329">
        <v>609</v>
      </c>
      <c r="CF27" s="1330">
        <f>CE27*(1+CF29)</f>
        <v>650</v>
      </c>
      <c r="CG27" s="1330">
        <f>CF27*(1+CG29)</f>
        <v>700</v>
      </c>
      <c r="CH27" s="1330">
        <f>CG27*(1+CH29)</f>
        <v>759.99999999999989</v>
      </c>
      <c r="CI27" s="648">
        <v>820</v>
      </c>
      <c r="CJ27" s="1329">
        <v>820</v>
      </c>
      <c r="CK27" s="1330">
        <f>CJ27*(1+CK29)</f>
        <v>850</v>
      </c>
      <c r="CL27" s="1330">
        <f>CK27*(1+CL29)</f>
        <v>900</v>
      </c>
      <c r="CM27" s="1330">
        <f>CL27*(1+CM29)</f>
        <v>950</v>
      </c>
      <c r="CN27" s="648">
        <v>1069</v>
      </c>
      <c r="CO27" s="1329">
        <v>1000</v>
      </c>
      <c r="CP27" s="1330">
        <f>CO27*(1+CP29)</f>
        <v>1100</v>
      </c>
      <c r="CQ27" s="1330">
        <f>CP27*(1+CQ29)</f>
        <v>1232.0000000000002</v>
      </c>
      <c r="CR27" s="1330">
        <f>CQ27*(1+CR29)</f>
        <v>1460.1481481481483</v>
      </c>
      <c r="CS27" s="648">
        <v>1749</v>
      </c>
      <c r="CT27" s="1329">
        <v>1749</v>
      </c>
      <c r="CU27" s="1330">
        <f>CT27*(1+CU29)</f>
        <v>1818.96</v>
      </c>
      <c r="CV27" s="1330">
        <f>CU27*(1+CV29)</f>
        <v>1891.7184000000002</v>
      </c>
      <c r="CW27" s="1330">
        <f>CV27*(1+CW29)</f>
        <v>1967.3871360000003</v>
      </c>
      <c r="CX27" s="648">
        <v>2063</v>
      </c>
      <c r="CY27" s="1329">
        <f>CX27</f>
        <v>2063</v>
      </c>
      <c r="CZ27" s="1331">
        <f>CY27*(1+CZ29)</f>
        <v>2083.63</v>
      </c>
      <c r="DA27" s="1331">
        <f>CZ27*(1+DA29)</f>
        <v>2104.4663</v>
      </c>
      <c r="DB27" s="1331">
        <f>DA27*(1+DB29)</f>
        <v>2125.5109630000002</v>
      </c>
      <c r="DC27" s="1331">
        <f>DB27*(1+DC29)</f>
        <v>2444.3376074500002</v>
      </c>
      <c r="DD27" s="1329">
        <f>DC27</f>
        <v>2444.3376074500002</v>
      </c>
      <c r="DE27" s="1331">
        <f>DD27*(1+DE29)</f>
        <v>2810.9882485674998</v>
      </c>
      <c r="DF27" s="1331">
        <f>DE27*(1+DF29)</f>
        <v>2951.5376609958748</v>
      </c>
      <c r="DG27" s="1331">
        <f>DF27*(1+DG29)</f>
        <v>2981.0530376058337</v>
      </c>
      <c r="DH27" s="1331">
        <f>DG27*(1+DH29)</f>
        <v>3055.579363545979</v>
      </c>
      <c r="DI27" s="1329">
        <f>DH27</f>
        <v>3055.579363545979</v>
      </c>
      <c r="DJ27" s="1331">
        <f>DI27*(1+DJ29)</f>
        <v>3131.9688476346282</v>
      </c>
      <c r="DK27" s="1331">
        <f>DJ27*(1+DK29)</f>
        <v>3210.2680688254936</v>
      </c>
      <c r="DL27" s="1331">
        <f>DK27*(1+DL29)</f>
        <v>3290.5247705461306</v>
      </c>
      <c r="DM27" s="1331">
        <f>DL27*(1+DM29)</f>
        <v>3372.7878898097838</v>
      </c>
      <c r="DN27" s="1329">
        <f>DM27</f>
        <v>3372.7878898097838</v>
      </c>
      <c r="DO27" s="1331">
        <f>DN27*(1+DO29)</f>
        <v>3457.107587055028</v>
      </c>
      <c r="DP27" s="1331">
        <f>DO27*(1+DP29)</f>
        <v>3543.5352767314034</v>
      </c>
      <c r="DQ27" s="1331">
        <f>DP27*(1+DQ29)</f>
        <v>3632.1236586496884</v>
      </c>
      <c r="DR27" s="1331">
        <f>DQ27*(1+DR29)</f>
        <v>3722.9267501159302</v>
      </c>
      <c r="DS27" s="1329">
        <f>DR27</f>
        <v>3722.9267501159302</v>
      </c>
      <c r="DT27" s="1331">
        <f>DS27*(1+DT29)</f>
        <v>3815.999918868828</v>
      </c>
      <c r="DU27" s="1331">
        <f>DT27*(1+DU29)</f>
        <v>3911.3999168405485</v>
      </c>
      <c r="DV27" s="1331">
        <f>DU27*(1+DV29)</f>
        <v>4009.1849147615617</v>
      </c>
      <c r="DW27" s="1331">
        <f>DV27*(1+DW29)</f>
        <v>4109.4145376306005</v>
      </c>
      <c r="DX27" s="1329">
        <f>DW27</f>
        <v>4109.4145376306005</v>
      </c>
      <c r="DY27" s="1331">
        <f>DX27*(1+DY29)</f>
        <v>4212.1499010713651</v>
      </c>
      <c r="DZ27" s="1331">
        <f>DY27*(1+DZ29)</f>
        <v>4317.4536485981489</v>
      </c>
      <c r="EA27" s="1331">
        <f>DZ27*(1+EA29)</f>
        <v>4425.3899898131021</v>
      </c>
      <c r="EB27" s="1331">
        <f>EA27*(1+EB29)</f>
        <v>4536.0247395584292</v>
      </c>
      <c r="EC27" s="1329">
        <f>EB27</f>
        <v>4536.0247395584292</v>
      </c>
      <c r="ED27" s="588"/>
    </row>
    <row r="28" spans="1:134" ht="12" customHeight="1">
      <c r="A28" s="1189"/>
      <c r="B28" s="567"/>
      <c r="C28" s="301" t="s">
        <v>293</v>
      </c>
      <c r="D28" s="479"/>
      <c r="E28" s="590"/>
      <c r="F28" s="590"/>
      <c r="G28" s="590"/>
      <c r="H28" s="590"/>
      <c r="I28" s="767"/>
      <c r="J28" s="767"/>
      <c r="K28" s="767"/>
      <c r="L28" s="767"/>
      <c r="M28" s="590"/>
      <c r="N28" s="419"/>
      <c r="O28" s="419"/>
      <c r="P28" s="419"/>
      <c r="Q28" s="419"/>
      <c r="R28" s="590"/>
      <c r="S28" s="419"/>
      <c r="T28" s="419"/>
      <c r="U28" s="419"/>
      <c r="V28" s="419"/>
      <c r="W28" s="590"/>
      <c r="X28" s="419"/>
      <c r="Y28" s="419"/>
      <c r="Z28" s="419"/>
      <c r="AA28" s="419"/>
      <c r="AB28" s="590"/>
      <c r="AC28" s="419"/>
      <c r="AD28" s="419"/>
      <c r="AE28" s="419"/>
      <c r="AF28" s="419"/>
      <c r="AG28" s="590"/>
      <c r="AH28" s="419"/>
      <c r="AI28" s="419"/>
      <c r="AJ28" s="419"/>
      <c r="AK28" s="419"/>
      <c r="AL28" s="590"/>
      <c r="AM28" s="419"/>
      <c r="AN28" s="419"/>
      <c r="AO28" s="419"/>
      <c r="AP28" s="419"/>
      <c r="AQ28" s="590"/>
      <c r="AR28" s="419"/>
      <c r="AS28" s="419"/>
      <c r="AT28" s="419"/>
      <c r="AU28" s="419"/>
      <c r="AV28" s="590"/>
      <c r="AW28" s="419"/>
      <c r="AX28" s="419"/>
      <c r="AY28" s="419"/>
      <c r="AZ28" s="419"/>
      <c r="BA28" s="590"/>
      <c r="BB28" s="419"/>
      <c r="BC28" s="419"/>
      <c r="BD28" s="419"/>
      <c r="BE28" s="419"/>
      <c r="BF28" s="590"/>
      <c r="BG28" s="628"/>
      <c r="BH28" s="628"/>
      <c r="BI28" s="628"/>
      <c r="BJ28" s="628"/>
      <c r="BK28" s="590"/>
      <c r="BL28" s="419"/>
      <c r="BM28" s="419"/>
      <c r="BN28" s="419"/>
      <c r="BO28" s="419"/>
      <c r="BP28" s="590"/>
      <c r="BQ28" s="419"/>
      <c r="BR28" s="419"/>
      <c r="BS28" s="419"/>
      <c r="BT28" s="419"/>
      <c r="BU28" s="623">
        <f>BU27-BP27</f>
        <v>165</v>
      </c>
      <c r="BV28" s="624">
        <f>BV27-BT27</f>
        <v>54.944999999999993</v>
      </c>
      <c r="BW28" s="624">
        <f>BW27-BV27</f>
        <v>60.055000000000007</v>
      </c>
      <c r="BX28" s="624">
        <f>BX27-BW27</f>
        <v>40</v>
      </c>
      <c r="BY28" s="624">
        <f>BY27-BX27</f>
        <v>57.5</v>
      </c>
      <c r="BZ28" s="623">
        <f>BZ27-BU27</f>
        <v>212.5</v>
      </c>
      <c r="CA28" s="624">
        <f>CA27-BY27</f>
        <v>42.499999999999943</v>
      </c>
      <c r="CB28" s="624">
        <f>CB27-CA27</f>
        <v>80</v>
      </c>
      <c r="CC28" s="624">
        <f>CC27-CB27</f>
        <v>69.999999999999943</v>
      </c>
      <c r="CD28" s="624">
        <f>CD27-CC27</f>
        <v>39.000000000000114</v>
      </c>
      <c r="CE28" s="623">
        <f>CE27-BZ27</f>
        <v>231.5</v>
      </c>
      <c r="CF28" s="624">
        <f>CF27-CD27</f>
        <v>41</v>
      </c>
      <c r="CG28" s="624">
        <f>CG27-CF27</f>
        <v>50</v>
      </c>
      <c r="CH28" s="624">
        <f>CH27-CG27</f>
        <v>59.999999999999886</v>
      </c>
      <c r="CI28" s="624">
        <f>CI27-CH27</f>
        <v>60.000000000000114</v>
      </c>
      <c r="CJ28" s="623">
        <f>CJ27-CE27</f>
        <v>211</v>
      </c>
      <c r="CK28" s="624">
        <f>CK27-CI27</f>
        <v>30</v>
      </c>
      <c r="CL28" s="624">
        <f>CL27-CK27</f>
        <v>50</v>
      </c>
      <c r="CM28" s="624">
        <f>CM27-CL27</f>
        <v>50</v>
      </c>
      <c r="CN28" s="624">
        <f>CN27-CM27</f>
        <v>119</v>
      </c>
      <c r="CO28" s="623">
        <f>CO27-CJ27</f>
        <v>180</v>
      </c>
      <c r="CP28" s="624">
        <f>CP27-CN27</f>
        <v>31</v>
      </c>
      <c r="CQ28" s="624">
        <f>CQ27-CP27</f>
        <v>132.00000000000023</v>
      </c>
      <c r="CR28" s="624">
        <f>CR27-CQ27</f>
        <v>228.14814814814804</v>
      </c>
      <c r="CS28" s="624">
        <f>CS27-CR27</f>
        <v>288.85185185185173</v>
      </c>
      <c r="CT28" s="623">
        <f>CT27-CO27</f>
        <v>749</v>
      </c>
      <c r="CU28" s="624">
        <f>CU27-CS27</f>
        <v>69.960000000000036</v>
      </c>
      <c r="CV28" s="624">
        <f>CV27-CU27</f>
        <v>72.758400000000165</v>
      </c>
      <c r="CW28" s="624">
        <f>CW27-CV27</f>
        <v>75.668736000000081</v>
      </c>
      <c r="CX28" s="624">
        <f>CX27-CW27</f>
        <v>95.612863999999718</v>
      </c>
      <c r="CY28" s="623">
        <f>SUM(CU28:CX28)</f>
        <v>314</v>
      </c>
      <c r="CZ28" s="624">
        <f>CZ27-CX27</f>
        <v>20.630000000000109</v>
      </c>
      <c r="DA28" s="624">
        <f>DA27-CZ27</f>
        <v>20.836299999999937</v>
      </c>
      <c r="DB28" s="624">
        <f>DB27-DA27</f>
        <v>21.044663000000128</v>
      </c>
      <c r="DC28" s="624">
        <f>DC27-DB27</f>
        <v>318.82664445</v>
      </c>
      <c r="DD28" s="623">
        <f>SUM(CZ28:DC28)</f>
        <v>381.33760745000018</v>
      </c>
      <c r="DE28" s="624">
        <f>DE27-DC27</f>
        <v>366.65064111749962</v>
      </c>
      <c r="DF28" s="624">
        <f>DF27-DE27</f>
        <v>140.54941242837504</v>
      </c>
      <c r="DG28" s="624">
        <f>DG27-DF27</f>
        <v>29.515376609958821</v>
      </c>
      <c r="DH28" s="624">
        <f>DH27-DG27</f>
        <v>74.526325940145398</v>
      </c>
      <c r="DI28" s="623">
        <f>SUM(DE28:DH28)</f>
        <v>611.24175609597887</v>
      </c>
      <c r="DJ28" s="624">
        <f>DJ27-DI27</f>
        <v>76.389484088649169</v>
      </c>
      <c r="DK28" s="624">
        <f>DK27-DJ27</f>
        <v>78.29922119086541</v>
      </c>
      <c r="DL28" s="624">
        <f>DL27-DK27</f>
        <v>80.256701720637011</v>
      </c>
      <c r="DM28" s="624">
        <f>DM27-DL27</f>
        <v>82.263119263653152</v>
      </c>
      <c r="DN28" s="623">
        <f>SUM(DJ28:DM28)</f>
        <v>317.20852626380474</v>
      </c>
      <c r="DO28" s="624">
        <f>DO27-DM27</f>
        <v>84.319697245244242</v>
      </c>
      <c r="DP28" s="624">
        <f>DP27-DO27</f>
        <v>86.427689676375394</v>
      </c>
      <c r="DQ28" s="624">
        <f>DQ27-DP27</f>
        <v>88.588381918284995</v>
      </c>
      <c r="DR28" s="624">
        <f>DR27-DQ27</f>
        <v>90.803091466241767</v>
      </c>
      <c r="DS28" s="623">
        <f>SUM(DO28:DR28)</f>
        <v>350.1388603061464</v>
      </c>
      <c r="DT28" s="624">
        <f>DT27-DR27</f>
        <v>93.0731687528978</v>
      </c>
      <c r="DU28" s="624">
        <f>DU27-DT27</f>
        <v>95.399997971720495</v>
      </c>
      <c r="DV28" s="624">
        <f>DV27-DU27</f>
        <v>97.784997921013201</v>
      </c>
      <c r="DW28" s="624">
        <f>DW27-DV27</f>
        <v>100.22962286903885</v>
      </c>
      <c r="DX28" s="623">
        <f>SUM(DT28:DW28)</f>
        <v>386.48778751467034</v>
      </c>
      <c r="DY28" s="624">
        <f>DY27-DW27</f>
        <v>102.73536344076456</v>
      </c>
      <c r="DZ28" s="624">
        <f>DZ27-DY27</f>
        <v>105.30374752678381</v>
      </c>
      <c r="EA28" s="624">
        <f>EA27-DZ27</f>
        <v>107.93634121495325</v>
      </c>
      <c r="EB28" s="624">
        <f>EB27-EA27</f>
        <v>110.6347497453271</v>
      </c>
      <c r="EC28" s="623">
        <f>SUM(DY28:EB28)</f>
        <v>426.61020192782871</v>
      </c>
      <c r="ED28" s="578"/>
    </row>
    <row r="29" spans="1:134" ht="12" customHeight="1">
      <c r="A29" s="1189"/>
      <c r="B29" s="567"/>
      <c r="C29" s="762" t="s">
        <v>141</v>
      </c>
      <c r="D29" s="589"/>
      <c r="E29" s="590"/>
      <c r="F29" s="590"/>
      <c r="G29" s="590"/>
      <c r="H29" s="590"/>
      <c r="I29" s="591"/>
      <c r="J29" s="591"/>
      <c r="K29" s="591"/>
      <c r="L29" s="591"/>
      <c r="M29" s="590"/>
      <c r="N29" s="419"/>
      <c r="O29" s="419"/>
      <c r="P29" s="419"/>
      <c r="Q29" s="419"/>
      <c r="R29" s="590"/>
      <c r="S29" s="419"/>
      <c r="T29" s="419"/>
      <c r="U29" s="419"/>
      <c r="V29" s="419"/>
      <c r="W29" s="590"/>
      <c r="X29" s="419"/>
      <c r="Y29" s="419"/>
      <c r="Z29" s="419"/>
      <c r="AA29" s="419"/>
      <c r="AB29" s="590"/>
      <c r="AC29" s="419"/>
      <c r="AD29" s="419"/>
      <c r="AE29" s="419"/>
      <c r="AF29" s="419"/>
      <c r="AG29" s="590"/>
      <c r="AH29" s="419"/>
      <c r="AI29" s="419"/>
      <c r="AJ29" s="419"/>
      <c r="AK29" s="419"/>
      <c r="AL29" s="590"/>
      <c r="AM29" s="419"/>
      <c r="AN29" s="419"/>
      <c r="AO29" s="419"/>
      <c r="AP29" s="419"/>
      <c r="AQ29" s="590"/>
      <c r="AR29" s="419"/>
      <c r="AS29" s="419"/>
      <c r="AT29" s="419"/>
      <c r="AU29" s="419"/>
      <c r="AV29" s="590"/>
      <c r="AW29" s="419"/>
      <c r="AX29" s="419"/>
      <c r="AY29" s="419"/>
      <c r="AZ29" s="419"/>
      <c r="BA29" s="590"/>
      <c r="BB29" s="419"/>
      <c r="BC29" s="419"/>
      <c r="BD29" s="419"/>
      <c r="BE29" s="419"/>
      <c r="BF29" s="590"/>
      <c r="BG29" s="285"/>
      <c r="BH29" s="285"/>
      <c r="BI29" s="285"/>
      <c r="BJ29" s="285"/>
      <c r="BK29" s="590"/>
      <c r="BL29" s="287"/>
      <c r="BM29" s="287"/>
      <c r="BN29" s="287"/>
      <c r="BO29" s="287"/>
      <c r="BP29" s="281"/>
      <c r="BQ29" s="625"/>
      <c r="BR29" s="287"/>
      <c r="BS29" s="287"/>
      <c r="BT29" s="287"/>
      <c r="BU29" s="281"/>
      <c r="BV29" s="681">
        <v>0.33300000000000002</v>
      </c>
      <c r="BW29" s="681">
        <v>0.27304553411080046</v>
      </c>
      <c r="BX29" s="681">
        <v>0.14285714285714279</v>
      </c>
      <c r="BY29" s="287">
        <f>BY27/BX27-1</f>
        <v>0.1796875</v>
      </c>
      <c r="BZ29" s="281"/>
      <c r="CA29" s="681">
        <v>0.11258278145695355</v>
      </c>
      <c r="CB29" s="681">
        <v>0.19047619047619047</v>
      </c>
      <c r="CC29" s="681">
        <v>0.1399999999999999</v>
      </c>
      <c r="CD29" s="287">
        <f>CD27/CC27-1</f>
        <v>6.842105263157916E-2</v>
      </c>
      <c r="CE29" s="281"/>
      <c r="CF29" s="681">
        <v>6.7323481116584594E-2</v>
      </c>
      <c r="CG29" s="681">
        <v>7.6923076923076872E-2</v>
      </c>
      <c r="CH29" s="681">
        <v>8.5714285714285632E-2</v>
      </c>
      <c r="CI29" s="287">
        <f>CI27/CH27-1</f>
        <v>7.8947368421052877E-2</v>
      </c>
      <c r="CJ29" s="281"/>
      <c r="CK29" s="681">
        <v>3.6585365853658569E-2</v>
      </c>
      <c r="CL29" s="681">
        <v>5.8823529411764719E-2</v>
      </c>
      <c r="CM29" s="681">
        <v>5.555555555555558E-2</v>
      </c>
      <c r="CN29" s="287">
        <f>CN27/CM27-1</f>
        <v>0.12526315789473674</v>
      </c>
      <c r="CO29" s="281"/>
      <c r="CP29" s="681">
        <v>0.1</v>
      </c>
      <c r="CQ29" s="681">
        <v>0.12</v>
      </c>
      <c r="CR29" s="681">
        <v>0.18518518518518512</v>
      </c>
      <c r="CS29" s="287">
        <f>CS27/CR27-1</f>
        <v>0.19782366071428559</v>
      </c>
      <c r="CT29" s="281"/>
      <c r="CU29" s="681">
        <v>0.04</v>
      </c>
      <c r="CV29" s="681">
        <v>0.04</v>
      </c>
      <c r="CW29" s="681">
        <v>0.04</v>
      </c>
      <c r="CX29" s="287">
        <f>CX27/CW27-1</f>
        <v>4.8598906768494654E-2</v>
      </c>
      <c r="CY29" s="281"/>
      <c r="CZ29" s="681">
        <v>0.01</v>
      </c>
      <c r="DA29" s="681">
        <v>0.01</v>
      </c>
      <c r="DB29" s="681">
        <v>0.01</v>
      </c>
      <c r="DC29" s="681">
        <v>0.15</v>
      </c>
      <c r="DD29" s="281"/>
      <c r="DE29" s="681">
        <v>0.15</v>
      </c>
      <c r="DF29" s="681">
        <v>0.05</v>
      </c>
      <c r="DG29" s="681">
        <v>0.01</v>
      </c>
      <c r="DH29" s="681">
        <v>2.5000000000000001E-2</v>
      </c>
      <c r="DI29" s="281"/>
      <c r="DJ29" s="681">
        <v>2.5000000000000001E-2</v>
      </c>
      <c r="DK29" s="681">
        <v>2.5000000000000001E-2</v>
      </c>
      <c r="DL29" s="681">
        <v>2.5000000000000001E-2</v>
      </c>
      <c r="DM29" s="420">
        <v>2.5000000000000001E-2</v>
      </c>
      <c r="DN29" s="281"/>
      <c r="DO29" s="420">
        <v>2.5000000000000001E-2</v>
      </c>
      <c r="DP29" s="420">
        <v>2.5000000000000001E-2</v>
      </c>
      <c r="DQ29" s="420">
        <v>2.5000000000000001E-2</v>
      </c>
      <c r="DR29" s="420">
        <v>2.5000000000000001E-2</v>
      </c>
      <c r="DS29" s="281"/>
      <c r="DT29" s="420">
        <v>2.5000000000000001E-2</v>
      </c>
      <c r="DU29" s="420">
        <v>2.5000000000000001E-2</v>
      </c>
      <c r="DV29" s="420">
        <v>2.5000000000000001E-2</v>
      </c>
      <c r="DW29" s="420">
        <v>2.5000000000000001E-2</v>
      </c>
      <c r="DX29" s="281"/>
      <c r="DY29" s="420">
        <v>2.5000000000000001E-2</v>
      </c>
      <c r="DZ29" s="420">
        <v>2.5000000000000001E-2</v>
      </c>
      <c r="EA29" s="420">
        <v>2.5000000000000001E-2</v>
      </c>
      <c r="EB29" s="420">
        <v>2.5000000000000001E-2</v>
      </c>
      <c r="EC29" s="281"/>
      <c r="ED29" s="578"/>
    </row>
    <row r="30" spans="1:134" ht="12" customHeight="1">
      <c r="A30" s="1189"/>
      <c r="B30" s="567"/>
      <c r="C30" s="762" t="s">
        <v>140</v>
      </c>
      <c r="D30" s="589"/>
      <c r="E30" s="590"/>
      <c r="F30" s="590"/>
      <c r="G30" s="590"/>
      <c r="H30" s="590"/>
      <c r="I30" s="591"/>
      <c r="J30" s="591"/>
      <c r="K30" s="591"/>
      <c r="L30" s="591"/>
      <c r="M30" s="590"/>
      <c r="N30" s="419"/>
      <c r="O30" s="419"/>
      <c r="P30" s="419"/>
      <c r="Q30" s="419"/>
      <c r="R30" s="590"/>
      <c r="S30" s="419"/>
      <c r="T30" s="419"/>
      <c r="U30" s="419"/>
      <c r="V30" s="419"/>
      <c r="W30" s="590"/>
      <c r="X30" s="419"/>
      <c r="Y30" s="419"/>
      <c r="Z30" s="419"/>
      <c r="AA30" s="419"/>
      <c r="AB30" s="590"/>
      <c r="AC30" s="419"/>
      <c r="AD30" s="419"/>
      <c r="AE30" s="419"/>
      <c r="AF30" s="419"/>
      <c r="AG30" s="590"/>
      <c r="AH30" s="419"/>
      <c r="AI30" s="419"/>
      <c r="AJ30" s="419"/>
      <c r="AK30" s="419"/>
      <c r="AL30" s="590"/>
      <c r="AM30" s="419"/>
      <c r="AN30" s="419"/>
      <c r="AO30" s="419"/>
      <c r="AP30" s="419"/>
      <c r="AQ30" s="590"/>
      <c r="AR30" s="419"/>
      <c r="AS30" s="419"/>
      <c r="AT30" s="419"/>
      <c r="AU30" s="419"/>
      <c r="AV30" s="590"/>
      <c r="AW30" s="419"/>
      <c r="AX30" s="419"/>
      <c r="AY30" s="419"/>
      <c r="AZ30" s="419"/>
      <c r="BA30" s="590"/>
      <c r="BB30" s="419"/>
      <c r="BC30" s="419"/>
      <c r="BD30" s="419"/>
      <c r="BE30" s="419"/>
      <c r="BF30" s="590"/>
      <c r="BG30" s="628"/>
      <c r="BH30" s="628"/>
      <c r="BI30" s="628"/>
      <c r="BJ30" s="628"/>
      <c r="BK30" s="590"/>
      <c r="BL30" s="419"/>
      <c r="BM30" s="419"/>
      <c r="BN30" s="419"/>
      <c r="BO30" s="419"/>
      <c r="BP30" s="590"/>
      <c r="BQ30" s="419"/>
      <c r="BR30" s="419"/>
      <c r="BS30" s="419"/>
      <c r="BT30" s="419"/>
      <c r="BU30" s="286" t="e">
        <f t="shared" ref="BU30:DN30" si="177">BU27/BP27-1</f>
        <v>#DIV/0!</v>
      </c>
      <c r="BV30" s="419" t="e">
        <f t="shared" si="177"/>
        <v>#DIV/0!</v>
      </c>
      <c r="BW30" s="419" t="e">
        <f t="shared" si="177"/>
        <v>#DIV/0!</v>
      </c>
      <c r="BX30" s="419" t="e">
        <f t="shared" si="177"/>
        <v>#DIV/0!</v>
      </c>
      <c r="BY30" s="419">
        <f t="shared" si="177"/>
        <v>1.2878787878787881</v>
      </c>
      <c r="BZ30" s="286">
        <f t="shared" si="177"/>
        <v>1.2878787878787881</v>
      </c>
      <c r="CA30" s="419">
        <f t="shared" si="177"/>
        <v>0.90956830116620035</v>
      </c>
      <c r="CB30" s="419">
        <f t="shared" si="177"/>
        <v>0.78571428571428559</v>
      </c>
      <c r="CC30" s="419">
        <f t="shared" si="177"/>
        <v>0.78124999999999956</v>
      </c>
      <c r="CD30" s="419">
        <f t="shared" si="177"/>
        <v>0.61324503311258272</v>
      </c>
      <c r="CE30" s="286">
        <f t="shared" si="177"/>
        <v>0.61324503311258272</v>
      </c>
      <c r="CF30" s="419">
        <f t="shared" si="177"/>
        <v>0.54761904761904789</v>
      </c>
      <c r="CG30" s="419">
        <f t="shared" si="177"/>
        <v>0.40000000000000013</v>
      </c>
      <c r="CH30" s="419">
        <f t="shared" si="177"/>
        <v>0.33333333333333348</v>
      </c>
      <c r="CI30" s="419">
        <f t="shared" si="177"/>
        <v>0.34646962233169121</v>
      </c>
      <c r="CJ30" s="286">
        <f t="shared" si="177"/>
        <v>0.34646962233169121</v>
      </c>
      <c r="CK30" s="419">
        <f t="shared" si="177"/>
        <v>0.30769230769230771</v>
      </c>
      <c r="CL30" s="419">
        <f t="shared" si="177"/>
        <v>0.28571428571428581</v>
      </c>
      <c r="CM30" s="419">
        <f t="shared" si="177"/>
        <v>0.25000000000000022</v>
      </c>
      <c r="CN30" s="419">
        <f t="shared" si="177"/>
        <v>0.3036585365853659</v>
      </c>
      <c r="CO30" s="286">
        <f t="shared" si="177"/>
        <v>0.21951219512195119</v>
      </c>
      <c r="CP30" s="419">
        <f t="shared" si="177"/>
        <v>0.29411764705882359</v>
      </c>
      <c r="CQ30" s="419">
        <f t="shared" si="177"/>
        <v>0.36888888888888904</v>
      </c>
      <c r="CR30" s="419">
        <f t="shared" si="177"/>
        <v>0.53699805068226136</v>
      </c>
      <c r="CS30" s="419">
        <f t="shared" si="177"/>
        <v>0.63610851262862478</v>
      </c>
      <c r="CT30" s="286">
        <f t="shared" si="177"/>
        <v>0.74900000000000011</v>
      </c>
      <c r="CU30" s="419">
        <f t="shared" si="177"/>
        <v>0.65359999999999996</v>
      </c>
      <c r="CV30" s="419">
        <f t="shared" si="177"/>
        <v>0.53548571428571412</v>
      </c>
      <c r="CW30" s="419">
        <f t="shared" si="177"/>
        <v>0.34738871428571438</v>
      </c>
      <c r="CX30" s="419">
        <f t="shared" si="177"/>
        <v>0.17953116066323616</v>
      </c>
      <c r="CY30" s="286">
        <f t="shared" si="177"/>
        <v>0.17953116066323616</v>
      </c>
      <c r="CZ30" s="419">
        <f t="shared" si="177"/>
        <v>0.14550622333641194</v>
      </c>
      <c r="DA30" s="419">
        <f t="shared" si="177"/>
        <v>0.11246277458632314</v>
      </c>
      <c r="DB30" s="419">
        <f t="shared" si="177"/>
        <v>8.0372502242486821E-2</v>
      </c>
      <c r="DC30" s="419">
        <f t="shared" si="177"/>
        <v>0.18484615000000004</v>
      </c>
      <c r="DD30" s="286">
        <f t="shared" si="177"/>
        <v>0.18484615000000004</v>
      </c>
      <c r="DE30" s="419">
        <f t="shared" si="177"/>
        <v>0.34908224999999993</v>
      </c>
      <c r="DF30" s="419">
        <f t="shared" si="177"/>
        <v>0.40251124999999988</v>
      </c>
      <c r="DG30" s="419">
        <f t="shared" si="177"/>
        <v>0.40251124999999988</v>
      </c>
      <c r="DH30" s="419">
        <f t="shared" si="177"/>
        <v>0.25006437499999978</v>
      </c>
      <c r="DI30" s="286">
        <f t="shared" si="177"/>
        <v>0.25006437499999978</v>
      </c>
      <c r="DJ30" s="419">
        <f t="shared" si="177"/>
        <v>0.11418781249999976</v>
      </c>
      <c r="DK30" s="419">
        <f t="shared" si="177"/>
        <v>8.76595312499997E-2</v>
      </c>
      <c r="DL30" s="419">
        <f t="shared" si="177"/>
        <v>0.10381289062499954</v>
      </c>
      <c r="DM30" s="419">
        <f t="shared" si="177"/>
        <v>0.10381289062499954</v>
      </c>
      <c r="DN30" s="286">
        <f t="shared" si="177"/>
        <v>0.10381289062499954</v>
      </c>
      <c r="DO30" s="419">
        <f t="shared" ref="DO30" si="178">DO27/DJ27-1</f>
        <v>0.10381289062499954</v>
      </c>
      <c r="DP30" s="419">
        <f t="shared" ref="DP30" si="179">DP27/DK27-1</f>
        <v>0.10381289062499954</v>
      </c>
      <c r="DQ30" s="419">
        <f t="shared" ref="DQ30" si="180">DQ27/DL27-1</f>
        <v>0.10381289062499977</v>
      </c>
      <c r="DR30" s="419">
        <f t="shared" ref="DR30:DS30" si="181">DR27/DM27-1</f>
        <v>0.10381289062499954</v>
      </c>
      <c r="DS30" s="286">
        <f t="shared" si="181"/>
        <v>0.10381289062499954</v>
      </c>
      <c r="DT30" s="419">
        <f t="shared" ref="DT30" si="182">DT27/DO27-1</f>
        <v>0.10381289062499954</v>
      </c>
      <c r="DU30" s="419">
        <f t="shared" ref="DU30" si="183">DU27/DP27-1</f>
        <v>0.10381289062499954</v>
      </c>
      <c r="DV30" s="419">
        <f t="shared" ref="DV30" si="184">DV27/DQ27-1</f>
        <v>0.10381289062499954</v>
      </c>
      <c r="DW30" s="419">
        <f t="shared" ref="DW30" si="185">DW27/DR27-1</f>
        <v>0.10381289062499954</v>
      </c>
      <c r="DX30" s="286">
        <f t="shared" ref="DX30" si="186">DX27/DS27-1</f>
        <v>0.10381289062499954</v>
      </c>
      <c r="DY30" s="419">
        <f t="shared" ref="DY30" si="187">DY27/DT27-1</f>
        <v>0.10381289062499954</v>
      </c>
      <c r="DZ30" s="419">
        <f t="shared" ref="DZ30" si="188">DZ27/DU27-1</f>
        <v>0.10381289062499954</v>
      </c>
      <c r="EA30" s="419">
        <f t="shared" ref="EA30" si="189">EA27/DV27-1</f>
        <v>0.10381289062499954</v>
      </c>
      <c r="EB30" s="419">
        <f t="shared" ref="EB30" si="190">EB27/DW27-1</f>
        <v>0.10381289062499954</v>
      </c>
      <c r="EC30" s="286">
        <f t="shared" ref="EC30" si="191">EC27/DX27-1</f>
        <v>0.10381289062499954</v>
      </c>
      <c r="ED30" s="578"/>
    </row>
    <row r="31" spans="1:134">
      <c r="A31" s="1189"/>
      <c r="B31" s="567"/>
      <c r="C31" s="301" t="s">
        <v>334</v>
      </c>
      <c r="D31" s="589"/>
      <c r="E31" s="590"/>
      <c r="F31" s="590"/>
      <c r="G31" s="590"/>
      <c r="H31" s="590"/>
      <c r="I31" s="591"/>
      <c r="J31" s="591"/>
      <c r="K31" s="591"/>
      <c r="L31" s="591"/>
      <c r="M31" s="590"/>
      <c r="N31" s="419"/>
      <c r="O31" s="419"/>
      <c r="P31" s="419"/>
      <c r="Q31" s="419"/>
      <c r="R31" s="590"/>
      <c r="S31" s="419"/>
      <c r="T31" s="419"/>
      <c r="U31" s="419"/>
      <c r="V31" s="419"/>
      <c r="W31" s="590"/>
      <c r="X31" s="419"/>
      <c r="Y31" s="419"/>
      <c r="Z31" s="419"/>
      <c r="AA31" s="419"/>
      <c r="AB31" s="590"/>
      <c r="AC31" s="419"/>
      <c r="AD31" s="419"/>
      <c r="AE31" s="419"/>
      <c r="AF31" s="419"/>
      <c r="AG31" s="590"/>
      <c r="AH31" s="419"/>
      <c r="AI31" s="419"/>
      <c r="AJ31" s="419"/>
      <c r="AK31" s="419"/>
      <c r="AL31" s="590"/>
      <c r="AM31" s="419"/>
      <c r="AN31" s="419"/>
      <c r="AO31" s="419"/>
      <c r="AP31" s="419"/>
      <c r="AQ31" s="590"/>
      <c r="AR31" s="419"/>
      <c r="AS31" s="419"/>
      <c r="AT31" s="419"/>
      <c r="AU31" s="419"/>
      <c r="AV31" s="590"/>
      <c r="AW31" s="419"/>
      <c r="AX31" s="419"/>
      <c r="AY31" s="419"/>
      <c r="AZ31" s="419"/>
      <c r="BA31" s="590"/>
      <c r="BB31" s="419"/>
      <c r="BC31" s="419"/>
      <c r="BD31" s="419"/>
      <c r="BE31" s="419"/>
      <c r="BF31" s="590"/>
      <c r="BG31" s="628"/>
      <c r="BH31" s="628"/>
      <c r="BI31" s="628"/>
      <c r="BJ31" s="628"/>
      <c r="BK31" s="590"/>
      <c r="BL31" s="419"/>
      <c r="BM31" s="419"/>
      <c r="BN31" s="419"/>
      <c r="BO31" s="419"/>
      <c r="BP31" s="590"/>
      <c r="BQ31" s="419"/>
      <c r="BR31" s="419"/>
      <c r="BS31" s="419"/>
      <c r="BT31" s="419"/>
      <c r="BU31" s="286"/>
      <c r="BV31" s="419"/>
      <c r="BW31" s="419"/>
      <c r="BX31" s="419"/>
      <c r="BY31" s="419"/>
      <c r="BZ31" s="1483">
        <f t="shared" ref="BZ31:DE31" si="192">(BZ41*1000000)/(BZ27*1000)</f>
        <v>40726.267549668875</v>
      </c>
      <c r="CA31" s="802">
        <f t="shared" si="192"/>
        <v>11553.392857142859</v>
      </c>
      <c r="CB31" s="802">
        <f t="shared" si="192"/>
        <v>11731.692000000001</v>
      </c>
      <c r="CC31" s="802">
        <f t="shared" si="192"/>
        <v>11282.280701754389</v>
      </c>
      <c r="CD31" s="802">
        <f t="shared" si="192"/>
        <v>15059.078817733991</v>
      </c>
      <c r="CE31" s="1484">
        <f t="shared" si="192"/>
        <v>43218.637110016418</v>
      </c>
      <c r="CF31" s="802">
        <f t="shared" si="192"/>
        <v>12234.510769230768</v>
      </c>
      <c r="CG31" s="802">
        <f t="shared" si="192"/>
        <v>13050.912857142857</v>
      </c>
      <c r="CH31" s="802">
        <f t="shared" si="192"/>
        <v>13150.800000000003</v>
      </c>
      <c r="CI31" s="802">
        <f t="shared" si="192"/>
        <v>17098.242682926826</v>
      </c>
      <c r="CJ31" s="1484">
        <f t="shared" si="192"/>
        <v>50125.9</v>
      </c>
      <c r="CK31" s="802">
        <f t="shared" si="192"/>
        <v>14016.265882352942</v>
      </c>
      <c r="CL31" s="802">
        <f t="shared" si="192"/>
        <v>15302.43888888889</v>
      </c>
      <c r="CM31" s="802">
        <f t="shared" si="192"/>
        <v>15601.168421052631</v>
      </c>
      <c r="CN31" s="802">
        <f t="shared" si="192"/>
        <v>19299.650140318055</v>
      </c>
      <c r="CO31" s="1484">
        <f t="shared" si="192"/>
        <v>61138.457000000002</v>
      </c>
      <c r="CP31" s="802">
        <f t="shared" si="192"/>
        <v>15832.047272727274</v>
      </c>
      <c r="CQ31" s="802">
        <f t="shared" si="192"/>
        <v>24436.254870129866</v>
      </c>
      <c r="CR31" s="802">
        <f t="shared" si="192"/>
        <v>21173.985009131491</v>
      </c>
      <c r="CS31" s="802">
        <f t="shared" si="192"/>
        <v>23521.597484276728</v>
      </c>
      <c r="CT31" s="1484">
        <f t="shared" si="192"/>
        <v>68368.866209262429</v>
      </c>
      <c r="CU31" s="802">
        <f t="shared" si="192"/>
        <v>20531.999604169414</v>
      </c>
      <c r="CV31" s="802">
        <f t="shared" si="192"/>
        <v>22304.255749692977</v>
      </c>
      <c r="CW31" s="802">
        <f t="shared" si="192"/>
        <v>21228.66223722223</v>
      </c>
      <c r="CX31" s="802">
        <f t="shared" si="192"/>
        <v>26202.888996606889</v>
      </c>
      <c r="CY31" s="1484">
        <f t="shared" si="192"/>
        <v>85003.302956858941</v>
      </c>
      <c r="CZ31" s="802">
        <f t="shared" si="192"/>
        <v>20733.024577300192</v>
      </c>
      <c r="DA31" s="802">
        <f t="shared" si="192"/>
        <v>22262.280465123156</v>
      </c>
      <c r="DB31" s="802">
        <f t="shared" si="192"/>
        <v>21735.949992368965</v>
      </c>
      <c r="DC31" s="802">
        <f t="shared" si="192"/>
        <v>24955.636166657383</v>
      </c>
      <c r="DD31" s="1484">
        <f t="shared" si="192"/>
        <v>80696.778709622187</v>
      </c>
      <c r="DE31" s="802">
        <f t="shared" si="192"/>
        <v>17645.039969582416</v>
      </c>
      <c r="DF31" s="802">
        <f t="shared" ref="DF31:EC31" si="193">(DF41*1000000)/(DF27*1000)</f>
        <v>18634.354806586649</v>
      </c>
      <c r="DG31" s="802">
        <f t="shared" si="193"/>
        <v>18852.398562199276</v>
      </c>
      <c r="DH31" s="802">
        <f t="shared" si="193"/>
        <v>24586.17206814028</v>
      </c>
      <c r="DI31" s="1484">
        <f t="shared" si="193"/>
        <v>77211.216574722072</v>
      </c>
      <c r="DJ31" s="802">
        <f t="shared" si="193"/>
        <v>19430.269891081392</v>
      </c>
      <c r="DK31" s="802">
        <f t="shared" si="193"/>
        <v>20946.848848234102</v>
      </c>
      <c r="DL31" s="802">
        <f t="shared" si="193"/>
        <v>21186.590243607054</v>
      </c>
      <c r="DM31" s="802">
        <f t="shared" si="193"/>
        <v>27508.215171287422</v>
      </c>
      <c r="DN31" s="1484">
        <f t="shared" si="193"/>
        <v>86158.508774884365</v>
      </c>
      <c r="DO31" s="802">
        <f t="shared" si="193"/>
        <v>21651.524609843898</v>
      </c>
      <c r="DP31" s="802">
        <f t="shared" si="193"/>
        <v>22576.022460744123</v>
      </c>
      <c r="DQ31" s="802">
        <f t="shared" si="193"/>
        <v>22623.163115693475</v>
      </c>
      <c r="DR31" s="802">
        <f t="shared" si="193"/>
        <v>29610.966742982215</v>
      </c>
      <c r="DS31" s="1484">
        <f t="shared" si="193"/>
        <v>93276.121577561731</v>
      </c>
      <c r="DT31" s="802">
        <f t="shared" si="193"/>
        <v>23038.067294052777</v>
      </c>
      <c r="DU31" s="802">
        <f t="shared" si="193"/>
        <v>24021.769092704086</v>
      </c>
      <c r="DV31" s="802">
        <f t="shared" si="193"/>
        <v>24071.928589579198</v>
      </c>
      <c r="DW31" s="802">
        <f t="shared" si="193"/>
        <v>31507.224399182924</v>
      </c>
      <c r="DX31" s="1484">
        <f t="shared" si="193"/>
        <v>99249.434141700753</v>
      </c>
      <c r="DY31" s="802">
        <f t="shared" si="193"/>
        <v>24315.124986785162</v>
      </c>
      <c r="DZ31" s="802">
        <f t="shared" si="193"/>
        <v>25353.355836562507</v>
      </c>
      <c r="EA31" s="802">
        <f t="shared" si="193"/>
        <v>25406.295799807922</v>
      </c>
      <c r="EB31" s="802">
        <f t="shared" si="193"/>
        <v>33253.748653238254</v>
      </c>
      <c r="EC31" s="1484">
        <f t="shared" si="193"/>
        <v>104751.07851803761</v>
      </c>
      <c r="ED31" s="578"/>
    </row>
    <row r="32" spans="1:134" ht="12" customHeight="1">
      <c r="A32" s="1189"/>
      <c r="B32" s="567"/>
      <c r="C32" s="775" t="s">
        <v>415</v>
      </c>
      <c r="D32" s="589"/>
      <c r="E32" s="764"/>
      <c r="F32" s="764"/>
      <c r="G32" s="764"/>
      <c r="H32" s="764"/>
      <c r="I32" s="591"/>
      <c r="J32" s="591"/>
      <c r="K32" s="591"/>
      <c r="L32" s="591"/>
      <c r="M32" s="764"/>
      <c r="N32" s="765"/>
      <c r="O32" s="765"/>
      <c r="P32" s="765"/>
      <c r="Q32" s="765"/>
      <c r="R32" s="764"/>
      <c r="S32" s="765"/>
      <c r="T32" s="765"/>
      <c r="U32" s="765"/>
      <c r="V32" s="765"/>
      <c r="W32" s="764"/>
      <c r="X32" s="765"/>
      <c r="Y32" s="765"/>
      <c r="Z32" s="765"/>
      <c r="AA32" s="765"/>
      <c r="AB32" s="764"/>
      <c r="AC32" s="765"/>
      <c r="AD32" s="765"/>
      <c r="AE32" s="765"/>
      <c r="AF32" s="765"/>
      <c r="AG32" s="764"/>
      <c r="AH32" s="765"/>
      <c r="AI32" s="765"/>
      <c r="AJ32" s="765"/>
      <c r="AK32" s="765"/>
      <c r="AL32" s="764"/>
      <c r="AM32" s="765"/>
      <c r="AN32" s="765"/>
      <c r="AO32" s="765"/>
      <c r="AP32" s="765"/>
      <c r="AQ32" s="764"/>
      <c r="AR32" s="765"/>
      <c r="AS32" s="765"/>
      <c r="AT32" s="765"/>
      <c r="AU32" s="765"/>
      <c r="AV32" s="764"/>
      <c r="AW32" s="765"/>
      <c r="AX32" s="765"/>
      <c r="AY32" s="765"/>
      <c r="AZ32" s="765"/>
      <c r="BA32" s="764"/>
      <c r="BB32" s="765"/>
      <c r="BC32" s="765"/>
      <c r="BD32" s="765"/>
      <c r="BE32" s="765"/>
      <c r="BF32" s="764"/>
      <c r="BG32" s="776"/>
      <c r="BH32" s="776"/>
      <c r="BI32" s="776"/>
      <c r="BJ32" s="776"/>
      <c r="BK32" s="764"/>
      <c r="BL32" s="765"/>
      <c r="BM32" s="765"/>
      <c r="BN32" s="765"/>
      <c r="BO32" s="765"/>
      <c r="BP32" s="764"/>
      <c r="BQ32" s="765"/>
      <c r="BR32" s="765"/>
      <c r="BS32" s="765"/>
      <c r="BT32" s="765"/>
      <c r="BU32" s="1254"/>
      <c r="BV32" s="1255">
        <f>(BV36*1000000)/(BV27*1000)</f>
        <v>175.98035872604515</v>
      </c>
      <c r="BW32" s="1255">
        <f>(BW36*1000000)/(BW27*1000)</f>
        <v>155.97857142857143</v>
      </c>
      <c r="BX32" s="1255">
        <f>(BX36*1000000)/(BX27*1000)</f>
        <v>155.74687499999999</v>
      </c>
      <c r="BY32" s="1255">
        <f>(BY36*1000000)/(BY27*1000)</f>
        <v>149.36953642384105</v>
      </c>
      <c r="BZ32" s="1254">
        <f>AVERAGE(BV32:BY32)</f>
        <v>159.26883539461443</v>
      </c>
      <c r="CA32" s="1255">
        <f>(CA36*1000000)/(CA27*1000)</f>
        <v>147.80952380952382</v>
      </c>
      <c r="CB32" s="1255">
        <f>(CB36*1000000)/(CB27*1000)</f>
        <v>143.19600000000003</v>
      </c>
      <c r="CC32" s="1255">
        <f>(CC36*1000000)/(CC27*1000)</f>
        <v>144.62280701754389</v>
      </c>
      <c r="CD32" s="1255">
        <f>(CD36*1000000)/(CD27*1000)</f>
        <v>154.21674876847291</v>
      </c>
      <c r="CE32" s="1254">
        <f>AVERAGE(CA32:CD32)</f>
        <v>147.46126989888518</v>
      </c>
      <c r="CF32" s="1255">
        <f>(CF36*1000000)/(CF27*1000)</f>
        <v>154.15076923076924</v>
      </c>
      <c r="CG32" s="1255">
        <f>(CG36*1000000)/(CG27*1000)</f>
        <v>158.17285714285714</v>
      </c>
      <c r="CH32" s="1255">
        <f>(CH36*1000000)/(CH27*1000)</f>
        <v>158.57500000000002</v>
      </c>
      <c r="CI32" s="1255">
        <f>(CI36*1000000)/(CI27*1000)</f>
        <v>162.8780487804878</v>
      </c>
      <c r="CJ32" s="1254">
        <f>AVERAGE(CF32:CI32)</f>
        <v>158.44416878852854</v>
      </c>
      <c r="CK32" s="1255">
        <f>(CK36*1000000)/(CK27*1000)</f>
        <v>165.23647058823531</v>
      </c>
      <c r="CL32" s="1255">
        <f>(CL36*1000000)/(CL27*1000)</f>
        <v>170.05222222222221</v>
      </c>
      <c r="CM32" s="1255">
        <f>(CM36*1000000)/(CM27*1000)</f>
        <v>174.29157894736841</v>
      </c>
      <c r="CN32" s="1255">
        <f>(CN36*1000000)/(CN27*1000)</f>
        <v>171.34331150608045</v>
      </c>
      <c r="CO32" s="1254">
        <f>AVERAGE(CK32:CN32)</f>
        <v>170.2308958159766</v>
      </c>
      <c r="CP32" s="1255">
        <f>(CP36*1000000)/(CP27*1000)</f>
        <v>170.55363636363637</v>
      </c>
      <c r="CQ32" s="1255">
        <f>(CQ36*1000000)/(CQ27*1000)</f>
        <v>159.44318181818178</v>
      </c>
      <c r="CR32" s="1255">
        <f>(CR36*1000000)/(CR27*1000)</f>
        <v>167.9788453733766</v>
      </c>
      <c r="CS32" s="679">
        <f>(CS36*1000000)/(CS27*1000)</f>
        <v>159.77129788450543</v>
      </c>
      <c r="CT32" s="1254">
        <f>AVERAGE(CP32:CS32)</f>
        <v>164.43674035992507</v>
      </c>
      <c r="CU32" s="1255">
        <f>(CU36*1000000)/(CU27*1000)</f>
        <v>176.29909398777323</v>
      </c>
      <c r="CV32" s="1255">
        <f>(CV36*1000000)/(CV27*1000)</f>
        <v>176.68433102939633</v>
      </c>
      <c r="CW32" s="1255">
        <f>(CW36*1000000)/(CW27*1000)</f>
        <v>170.89061621271065</v>
      </c>
      <c r="CX32" s="1255">
        <f>(CX36*1000000)/(CX27*1000)</f>
        <v>170.241396025206</v>
      </c>
      <c r="CY32" s="1254">
        <f>AVERAGE(CU32:CX32)</f>
        <v>173.52885931377156</v>
      </c>
      <c r="CZ32" s="679">
        <f>(CZ36*1000000)/(CZ27*1000)</f>
        <v>165.461718251321</v>
      </c>
      <c r="DA32" s="679">
        <f>(DA36*1000000)/(DA27*1000)</f>
        <v>174.12633312303458</v>
      </c>
      <c r="DB32" s="679">
        <f>(DB36*1000000)/(DB27*1000)</f>
        <v>177.04025363806133</v>
      </c>
      <c r="DC32" s="679">
        <f>(DC36*1000000)/(DC27*1000)</f>
        <v>163.74742947949647</v>
      </c>
      <c r="DD32" s="1254">
        <f>AVERAGE(CZ32:DC32)</f>
        <v>170.09393362297834</v>
      </c>
      <c r="DE32" s="679">
        <f>(DE36*1000000)/(DE27*1000)</f>
        <v>135.89526750767101</v>
      </c>
      <c r="DF32" s="679">
        <f>(DF36*1000000)/(DF27*1000)</f>
        <v>150.43006425680858</v>
      </c>
      <c r="DG32" s="679">
        <f>(DG36*1000000)/(DG27*1000)</f>
        <v>163.02963881190121</v>
      </c>
      <c r="DH32" s="679">
        <f>(DH36*1000000)/(DH27*1000)</f>
        <v>171.81684307186219</v>
      </c>
      <c r="DI32" s="1254">
        <f>AVERAGE(DE32:DH32)</f>
        <v>155.29295341206074</v>
      </c>
      <c r="DJ32" s="679">
        <f>(DJ36*1000000)/(DJ27*1000)</f>
        <v>163.15615667311792</v>
      </c>
      <c r="DK32" s="679">
        <f>(DK36*1000000)/(DK27*1000)</f>
        <v>175.3747624590051</v>
      </c>
      <c r="DL32" s="679">
        <f>(DL36*1000000)/(DL27*1000)</f>
        <v>185.38076523847528</v>
      </c>
      <c r="DM32" s="679">
        <f>DH32*(1+DM33)</f>
        <v>195.0121168865636</v>
      </c>
      <c r="DN32" s="1254">
        <f>AVERAGE(DJ32:DM32)</f>
        <v>179.73095031429048</v>
      </c>
      <c r="DO32" s="679">
        <f>DJ32*(1+DO33)</f>
        <v>174.57708764023619</v>
      </c>
      <c r="DP32" s="679">
        <f>DK32*(1+DP33)</f>
        <v>187.65099583113548</v>
      </c>
      <c r="DQ32" s="679">
        <f>DL32*(1+DQ33)</f>
        <v>198.35741880516855</v>
      </c>
      <c r="DR32" s="679">
        <f>DM32*(1+DR33)</f>
        <v>208.66296506862307</v>
      </c>
      <c r="DS32" s="1254">
        <f>AVERAGE(DO32:DR32)</f>
        <v>192.31211683629081</v>
      </c>
      <c r="DT32" s="679">
        <f>DO32*(1+DT33)</f>
        <v>183.30594202224799</v>
      </c>
      <c r="DU32" s="679">
        <f>DP32*(1+DU33)</f>
        <v>197.03354562269226</v>
      </c>
      <c r="DV32" s="679">
        <f>DQ32*(1+DV33)</f>
        <v>208.27528974542699</v>
      </c>
      <c r="DW32" s="679">
        <f>DR32*(1+DW33)</f>
        <v>219.09611332205424</v>
      </c>
      <c r="DX32" s="1254">
        <f>AVERAGE(DT32:DW32)</f>
        <v>201.9277226781054</v>
      </c>
      <c r="DY32" s="679">
        <f>DT32*(1+DY33)</f>
        <v>190.63817970313792</v>
      </c>
      <c r="DZ32" s="679">
        <f>DU32*(1+DZ33)</f>
        <v>204.91488744759997</v>
      </c>
      <c r="EA32" s="679">
        <f>DV32*(1+EA33)</f>
        <v>216.60630133524407</v>
      </c>
      <c r="EB32" s="679">
        <f>DW32*(1+EB33)</f>
        <v>227.85995785493643</v>
      </c>
      <c r="EC32" s="1254">
        <f>AVERAGE(DY32:EB32)</f>
        <v>210.0048315852296</v>
      </c>
      <c r="ED32" s="578"/>
    </row>
    <row r="33" spans="1:134" ht="12" customHeight="1">
      <c r="A33" s="1189"/>
      <c r="B33" s="567"/>
      <c r="C33" s="762" t="s">
        <v>140</v>
      </c>
      <c r="D33" s="589"/>
      <c r="E33" s="590"/>
      <c r="F33" s="590"/>
      <c r="G33" s="590"/>
      <c r="H33" s="590"/>
      <c r="I33" s="591"/>
      <c r="J33" s="591"/>
      <c r="K33" s="591"/>
      <c r="L33" s="591"/>
      <c r="M33" s="590"/>
      <c r="N33" s="419"/>
      <c r="O33" s="419"/>
      <c r="P33" s="419"/>
      <c r="Q33" s="419"/>
      <c r="R33" s="590"/>
      <c r="S33" s="419"/>
      <c r="T33" s="419"/>
      <c r="U33" s="419"/>
      <c r="V33" s="419"/>
      <c r="W33" s="590"/>
      <c r="X33" s="419"/>
      <c r="Y33" s="419"/>
      <c r="Z33" s="419"/>
      <c r="AA33" s="419"/>
      <c r="AB33" s="590"/>
      <c r="AC33" s="419"/>
      <c r="AD33" s="419"/>
      <c r="AE33" s="419"/>
      <c r="AF33" s="419"/>
      <c r="AG33" s="590"/>
      <c r="AH33" s="419"/>
      <c r="AI33" s="419"/>
      <c r="AJ33" s="419"/>
      <c r="AK33" s="419"/>
      <c r="AL33" s="590"/>
      <c r="AM33" s="419"/>
      <c r="AN33" s="419"/>
      <c r="AO33" s="419"/>
      <c r="AP33" s="419"/>
      <c r="AQ33" s="590"/>
      <c r="AR33" s="419"/>
      <c r="AS33" s="419"/>
      <c r="AT33" s="419"/>
      <c r="AU33" s="419"/>
      <c r="AV33" s="590"/>
      <c r="AW33" s="419"/>
      <c r="AX33" s="419"/>
      <c r="AY33" s="419"/>
      <c r="AZ33" s="419"/>
      <c r="BA33" s="590"/>
      <c r="BB33" s="419"/>
      <c r="BC33" s="419"/>
      <c r="BD33" s="419"/>
      <c r="BE33" s="419"/>
      <c r="BF33" s="590"/>
      <c r="BG33" s="628"/>
      <c r="BH33" s="628"/>
      <c r="BI33" s="628"/>
      <c r="BJ33" s="628"/>
      <c r="BK33" s="590"/>
      <c r="BL33" s="419"/>
      <c r="BM33" s="419"/>
      <c r="BN33" s="419"/>
      <c r="BO33" s="419"/>
      <c r="BP33" s="590"/>
      <c r="BQ33" s="419"/>
      <c r="BR33" s="419"/>
      <c r="BS33" s="419"/>
      <c r="BT33" s="419"/>
      <c r="BU33" s="590"/>
      <c r="BV33" s="419"/>
      <c r="BW33" s="419"/>
      <c r="BX33" s="419"/>
      <c r="BY33" s="419"/>
      <c r="BZ33" s="286" t="e">
        <f t="shared" ref="BZ33:DA33" si="194">BZ32/BU32-1</f>
        <v>#DIV/0!</v>
      </c>
      <c r="CA33" s="419">
        <f t="shared" si="194"/>
        <v>-0.16007942659314534</v>
      </c>
      <c r="CB33" s="419">
        <f t="shared" si="194"/>
        <v>-8.1950817419975119E-2</v>
      </c>
      <c r="CC33" s="419">
        <f t="shared" si="194"/>
        <v>-7.1424020433514923E-2</v>
      </c>
      <c r="CD33" s="419">
        <f t="shared" si="194"/>
        <v>3.2451144059774784E-2</v>
      </c>
      <c r="CE33" s="286">
        <f t="shared" si="194"/>
        <v>-7.4136069787124947E-2</v>
      </c>
      <c r="CF33" s="419">
        <f t="shared" si="194"/>
        <v>4.2901467089611289E-2</v>
      </c>
      <c r="CG33" s="419">
        <f t="shared" si="194"/>
        <v>0.10458991272701135</v>
      </c>
      <c r="CH33" s="419">
        <f t="shared" si="194"/>
        <v>9.647297871049898E-2</v>
      </c>
      <c r="CI33" s="419">
        <f t="shared" si="194"/>
        <v>5.6163160494442588E-2</v>
      </c>
      <c r="CJ33" s="286">
        <f t="shared" si="194"/>
        <v>7.4479888157577889E-2</v>
      </c>
      <c r="CK33" s="419">
        <f t="shared" si="194"/>
        <v>7.1914667781322494E-2</v>
      </c>
      <c r="CL33" s="419">
        <f t="shared" si="194"/>
        <v>7.5103689052262501E-2</v>
      </c>
      <c r="CM33" s="419">
        <f t="shared" si="194"/>
        <v>9.9111328692217393E-2</v>
      </c>
      <c r="CN33" s="419">
        <f t="shared" si="194"/>
        <v>5.1973011642602485E-2</v>
      </c>
      <c r="CO33" s="286">
        <f t="shared" si="194"/>
        <v>7.4390412203679812E-2</v>
      </c>
      <c r="CP33" s="419">
        <f t="shared" si="194"/>
        <v>3.2179129440807808E-2</v>
      </c>
      <c r="CQ33" s="419">
        <f t="shared" si="194"/>
        <v>-6.2386955403479938E-2</v>
      </c>
      <c r="CR33" s="419">
        <f t="shared" si="194"/>
        <v>-3.6219383702399632E-2</v>
      </c>
      <c r="CS33" s="419">
        <f t="shared" si="194"/>
        <v>-6.7537002290074089E-2</v>
      </c>
      <c r="CT33" s="286">
        <f t="shared" si="194"/>
        <v>-3.4037037920044422E-2</v>
      </c>
      <c r="CU33" s="419">
        <f t="shared" si="194"/>
        <v>3.3687101293384369E-2</v>
      </c>
      <c r="CV33" s="419">
        <f t="shared" si="194"/>
        <v>0.1081334994360259</v>
      </c>
      <c r="CW33" s="419">
        <f t="shared" si="194"/>
        <v>1.7334152005044956E-2</v>
      </c>
      <c r="CX33" s="419">
        <f t="shared" si="194"/>
        <v>6.5531783739211535E-2</v>
      </c>
      <c r="CY33" s="286">
        <f t="shared" si="194"/>
        <v>5.5292502964637613E-2</v>
      </c>
      <c r="CZ33" s="419">
        <f t="shared" si="194"/>
        <v>-6.1471533921801269E-2</v>
      </c>
      <c r="DA33" s="419">
        <f t="shared" si="194"/>
        <v>-1.4477785842459068E-2</v>
      </c>
      <c r="DB33" s="419">
        <f t="shared" ref="DB33" si="195">DB32/CW32-1</f>
        <v>3.5985811050596839E-2</v>
      </c>
      <c r="DC33" s="419">
        <f>DC32/CX32-1</f>
        <v>-3.8145637296982837E-2</v>
      </c>
      <c r="DD33" s="286">
        <f>DD32/CY32-1</f>
        <v>-1.979455004992714E-2</v>
      </c>
      <c r="DE33" s="419">
        <f>DE32/CZ32-1</f>
        <v>-0.17869058206407173</v>
      </c>
      <c r="DF33" s="419">
        <f t="shared" ref="DF33:DL33" si="196">DF32/DA32-1</f>
        <v>-0.13608664721310504</v>
      </c>
      <c r="DG33" s="419">
        <f t="shared" si="196"/>
        <v>-7.9138018265626942E-2</v>
      </c>
      <c r="DH33" s="419">
        <f t="shared" si="196"/>
        <v>4.9279635216356921E-2</v>
      </c>
      <c r="DI33" s="286">
        <f>DI32/DD32-1</f>
        <v>-8.7016508441298712E-2</v>
      </c>
      <c r="DJ33" s="419">
        <f t="shared" si="196"/>
        <v>0.20060219656956102</v>
      </c>
      <c r="DK33" s="419">
        <f t="shared" si="196"/>
        <v>0.1658225589773854</v>
      </c>
      <c r="DL33" s="419">
        <f t="shared" si="196"/>
        <v>0.13709854594207949</v>
      </c>
      <c r="DM33" s="420">
        <v>0.13500000000000001</v>
      </c>
      <c r="DN33" s="286">
        <f>DN32/DI32-1</f>
        <v>0.15736706891899299</v>
      </c>
      <c r="DO33" s="420">
        <v>7.0000000000000007E-2</v>
      </c>
      <c r="DP33" s="420">
        <v>7.0000000000000007E-2</v>
      </c>
      <c r="DQ33" s="420">
        <v>7.0000000000000007E-2</v>
      </c>
      <c r="DR33" s="420">
        <v>7.0000000000000007E-2</v>
      </c>
      <c r="DS33" s="286">
        <f>DS32/DN32-1</f>
        <v>7.0000000000000062E-2</v>
      </c>
      <c r="DT33" s="420">
        <v>0.05</v>
      </c>
      <c r="DU33" s="420">
        <v>0.05</v>
      </c>
      <c r="DV33" s="420">
        <v>0.05</v>
      </c>
      <c r="DW33" s="420">
        <v>0.05</v>
      </c>
      <c r="DX33" s="286">
        <f>DX32/DS32-1</f>
        <v>5.0000000000000266E-2</v>
      </c>
      <c r="DY33" s="420">
        <v>0.04</v>
      </c>
      <c r="DZ33" s="420">
        <v>0.04</v>
      </c>
      <c r="EA33" s="420">
        <v>0.04</v>
      </c>
      <c r="EB33" s="420">
        <v>0.04</v>
      </c>
      <c r="EC33" s="286">
        <f>EC32/DX32-1</f>
        <v>3.9999999999999813E-2</v>
      </c>
      <c r="ED33" s="578"/>
    </row>
    <row r="34" spans="1:134" ht="12" customHeight="1">
      <c r="A34" s="1189"/>
      <c r="B34" s="567"/>
      <c r="C34" s="766" t="s">
        <v>650</v>
      </c>
      <c r="D34" s="479"/>
      <c r="E34" s="590"/>
      <c r="F34" s="590"/>
      <c r="G34" s="590"/>
      <c r="H34" s="590"/>
      <c r="I34" s="767"/>
      <c r="J34" s="767"/>
      <c r="K34" s="767"/>
      <c r="L34" s="767"/>
      <c r="M34" s="590"/>
      <c r="N34" s="419"/>
      <c r="O34" s="419"/>
      <c r="P34" s="419"/>
      <c r="Q34" s="419"/>
      <c r="R34" s="590"/>
      <c r="S34" s="419"/>
      <c r="T34" s="419"/>
      <c r="U34" s="419"/>
      <c r="V34" s="419"/>
      <c r="W34" s="590"/>
      <c r="X34" s="419"/>
      <c r="Y34" s="419"/>
      <c r="Z34" s="419"/>
      <c r="AA34" s="419"/>
      <c r="AB34" s="590"/>
      <c r="AC34" s="419"/>
      <c r="AD34" s="419"/>
      <c r="AE34" s="419"/>
      <c r="AF34" s="419"/>
      <c r="AG34" s="590"/>
      <c r="AH34" s="419"/>
      <c r="AI34" s="419"/>
      <c r="AJ34" s="419"/>
      <c r="AK34" s="419"/>
      <c r="AL34" s="590"/>
      <c r="AM34" s="419"/>
      <c r="AN34" s="419"/>
      <c r="AO34" s="419"/>
      <c r="AP34" s="419"/>
      <c r="AQ34" s="590"/>
      <c r="AR34" s="419"/>
      <c r="AS34" s="419"/>
      <c r="AT34" s="419"/>
      <c r="AU34" s="419"/>
      <c r="AV34" s="590"/>
      <c r="AW34" s="419"/>
      <c r="AX34" s="419"/>
      <c r="AY34" s="419"/>
      <c r="AZ34" s="419"/>
      <c r="BA34" s="590"/>
      <c r="BB34" s="419"/>
      <c r="BC34" s="419"/>
      <c r="BD34" s="419"/>
      <c r="BE34" s="419"/>
      <c r="BF34" s="590"/>
      <c r="BG34" s="628"/>
      <c r="BH34" s="628"/>
      <c r="BI34" s="628"/>
      <c r="BJ34" s="628"/>
      <c r="BK34" s="590"/>
      <c r="BL34" s="419"/>
      <c r="BM34" s="419"/>
      <c r="BN34" s="419"/>
      <c r="BO34" s="419"/>
      <c r="BP34" s="590"/>
      <c r="BQ34" s="419"/>
      <c r="BR34" s="419"/>
      <c r="BS34" s="419"/>
      <c r="BT34" s="419"/>
      <c r="BU34" s="590"/>
      <c r="BV34" s="624">
        <f>(BV7*1000000)/(BV27*1000)</f>
        <v>58.10088885857828</v>
      </c>
      <c r="BW34" s="624">
        <f>(BW7*1000000)/(BW27*1000)</f>
        <v>51.553571428571431</v>
      </c>
      <c r="BX34" s="624">
        <f>(BX7*1000000)/(BX27*1000)</f>
        <v>50.868749999999991</v>
      </c>
      <c r="BY34" s="624">
        <f>(BY7*1000000)/(BY27*1000)</f>
        <v>48.903311258278144</v>
      </c>
      <c r="BZ34" s="286"/>
      <c r="CA34" s="624">
        <f>(CA7*1000000)/(CA27*1000)</f>
        <v>49.342857142857149</v>
      </c>
      <c r="CB34" s="624">
        <f>(CB7*1000000)/(CB27*1000)</f>
        <v>47.320000000000007</v>
      </c>
      <c r="CC34" s="624">
        <f>(CC7*1000000)/(CC27*1000)</f>
        <v>47.082456140350885</v>
      </c>
      <c r="CD34" s="624">
        <f>(CD7*1000000)/(CD27*1000)</f>
        <v>49.059113300492612</v>
      </c>
      <c r="CE34" s="286"/>
      <c r="CF34" s="624">
        <f>(CF7*1000000)/(CF27*1000)</f>
        <v>49.94</v>
      </c>
      <c r="CG34" s="624">
        <f>(CG7*1000000)/(CG27*1000)</f>
        <v>50.402857142857144</v>
      </c>
      <c r="CH34" s="624">
        <f>(CH7*1000000)/(CH27*1000)</f>
        <v>49.809210526315795</v>
      </c>
      <c r="CI34" s="624">
        <f>(CI7*1000000)/(CI27*1000)</f>
        <v>49.917073170731705</v>
      </c>
      <c r="CJ34" s="286"/>
      <c r="CK34" s="624">
        <f>(CK7*1000000)/(CK27*1000)</f>
        <v>52.015294117647059</v>
      </c>
      <c r="CL34" s="624">
        <f>(CL7*1000000)/(CL27*1000)</f>
        <v>52.355555555555554</v>
      </c>
      <c r="CM34" s="624">
        <f>(CM7*1000000)/(CM27*1000)</f>
        <v>53.315789473684212</v>
      </c>
      <c r="CN34" s="624">
        <f>(CN7*1000000)/(CN27*1000)</f>
        <v>50.419083255378858</v>
      </c>
      <c r="CO34" s="627">
        <f>AVERAGE(CK34:CN34)</f>
        <v>52.026430600566421</v>
      </c>
      <c r="CP34" s="624">
        <f>(CP7*1000000)/(CP27*1000)</f>
        <v>50.36090909090909</v>
      </c>
      <c r="CQ34" s="624">
        <f>(CQ7*1000000)/(CQ27*1000)</f>
        <v>46.288149350649341</v>
      </c>
      <c r="CR34" s="624">
        <f>(CR7*1000000)/(CR27*1000)</f>
        <v>50.926339285714278</v>
      </c>
      <c r="CS34" s="624">
        <f>(CS7*1000000)/(CS27*1000)</f>
        <v>47.233276157804461</v>
      </c>
      <c r="CT34" s="627">
        <f>AVERAGE(CP34:CS34)</f>
        <v>48.702168471269289</v>
      </c>
      <c r="CU34" s="624">
        <f>(CU7*1000000)/(CU27*1000)</f>
        <v>49.440889299379869</v>
      </c>
      <c r="CV34" s="624">
        <f>(CV7*1000000)/(CV27*1000)</f>
        <v>50.278096359373571</v>
      </c>
      <c r="CW34" s="624">
        <f>(CW7*1000000)/(CW27*1000)</f>
        <v>50.208216874302053</v>
      </c>
      <c r="CX34" s="624">
        <f>(CX7*1000000)/(CX27*1000)</f>
        <v>49.442559379544356</v>
      </c>
      <c r="CY34" s="627">
        <f>AVERAGE(CU34:CX34)</f>
        <v>49.84244047814996</v>
      </c>
      <c r="CZ34" s="624">
        <f>(CZ7*1000000)/(CZ27*1000)</f>
        <v>50.48881039339998</v>
      </c>
      <c r="DA34" s="624">
        <f>(DA7*1000000)/(DA27*1000)</f>
        <v>50.93928089986521</v>
      </c>
      <c r="DB34" s="624">
        <f>(DB7*1000000)/(DB27*1000)</f>
        <v>50.340836562412967</v>
      </c>
      <c r="DC34" s="624">
        <f>(DC7*1000000)/(DC27*1000)</f>
        <v>44.797412463098091</v>
      </c>
      <c r="DD34" s="627">
        <f>AVERAGE(CZ34:DC34)</f>
        <v>49.14158507969406</v>
      </c>
      <c r="DE34" s="624">
        <f>(DE7*1000000)/(DE27*1000)</f>
        <v>40.555132188153131</v>
      </c>
      <c r="DF34" s="624">
        <f>(DF7*1000000)/(DF27*1000)</f>
        <v>45.738870888894503</v>
      </c>
      <c r="DG34" s="624">
        <f>(DG7*1000000)/(DG27*1000)</f>
        <v>45.95691464450713</v>
      </c>
      <c r="DH34" s="624">
        <f>(DH7*1000000)/(DH27*1000)</f>
        <v>47.126905528282201</v>
      </c>
      <c r="DI34" s="627">
        <f>AVERAGE(DE34:DH34)</f>
        <v>44.844455812459245</v>
      </c>
      <c r="DJ34" s="624">
        <f>(DJ7*1000000)/(DJ27*1000)</f>
        <v>48.212484652917425</v>
      </c>
      <c r="DK34" s="624">
        <f>(DK7*1000000)/(DK27*1000)</f>
        <v>52.643578784319473</v>
      </c>
      <c r="DL34" s="624">
        <f>(DL7*1000000)/(DL27*1000)</f>
        <v>53.183006420874051</v>
      </c>
      <c r="DM34" s="624">
        <f>DH34*(1+DM35)</f>
        <v>51.839596081110422</v>
      </c>
      <c r="DN34" s="627">
        <f>AVERAGE(DJ34:DM34)</f>
        <v>51.469666484805344</v>
      </c>
      <c r="DO34" s="624">
        <f>DJ34*(1+DO35)</f>
        <v>48.212484652917425</v>
      </c>
      <c r="DP34" s="624">
        <f>DK34*(1+DP35)</f>
        <v>52.643578784319473</v>
      </c>
      <c r="DQ34" s="624">
        <f>DL34*(1+DQ35)</f>
        <v>53.183006420874051</v>
      </c>
      <c r="DR34" s="624">
        <f>DM34*(1+DR35)</f>
        <v>51.839596081110422</v>
      </c>
      <c r="DS34" s="627">
        <f>AVERAGE(DO34:DR34)</f>
        <v>51.469666484805344</v>
      </c>
      <c r="DT34" s="624">
        <f>DO34*(1+DT35)</f>
        <v>48.212484652917425</v>
      </c>
      <c r="DU34" s="624">
        <f>DP34*(1+DU35)</f>
        <v>52.643578784319473</v>
      </c>
      <c r="DV34" s="624">
        <f>DQ34*(1+DV35)</f>
        <v>53.183006420874051</v>
      </c>
      <c r="DW34" s="624">
        <f>DR34*(1+DW35)</f>
        <v>51.839596081110422</v>
      </c>
      <c r="DX34" s="627">
        <f>AVERAGE(DT34:DW34)</f>
        <v>51.469666484805344</v>
      </c>
      <c r="DY34" s="624">
        <f>DT34*(1+DY35)</f>
        <v>48.212484652917425</v>
      </c>
      <c r="DZ34" s="624">
        <f>DU34*(1+DZ35)</f>
        <v>52.643578784319473</v>
      </c>
      <c r="EA34" s="624">
        <f>DV34*(1+EA35)</f>
        <v>53.183006420874051</v>
      </c>
      <c r="EB34" s="624">
        <f>DW34*(1+EB35)</f>
        <v>51.839596081110422</v>
      </c>
      <c r="EC34" s="627">
        <f>AVERAGE(DY34:EB34)</f>
        <v>51.469666484805344</v>
      </c>
      <c r="ED34" s="578"/>
    </row>
    <row r="35" spans="1:134" ht="12" customHeight="1">
      <c r="A35" s="1189"/>
      <c r="B35" s="567"/>
      <c r="C35" s="762" t="s">
        <v>140</v>
      </c>
      <c r="D35" s="589"/>
      <c r="E35" s="590"/>
      <c r="F35" s="590"/>
      <c r="G35" s="590"/>
      <c r="H35" s="590"/>
      <c r="I35" s="591"/>
      <c r="J35" s="591"/>
      <c r="K35" s="591"/>
      <c r="L35" s="591"/>
      <c r="M35" s="590"/>
      <c r="N35" s="419"/>
      <c r="O35" s="419"/>
      <c r="P35" s="419"/>
      <c r="Q35" s="419"/>
      <c r="R35" s="590"/>
      <c r="S35" s="419"/>
      <c r="T35" s="419"/>
      <c r="U35" s="419"/>
      <c r="V35" s="419"/>
      <c r="W35" s="590"/>
      <c r="X35" s="419"/>
      <c r="Y35" s="419"/>
      <c r="Z35" s="419"/>
      <c r="AA35" s="419"/>
      <c r="AB35" s="590"/>
      <c r="AC35" s="419"/>
      <c r="AD35" s="419"/>
      <c r="AE35" s="419"/>
      <c r="AF35" s="419"/>
      <c r="AG35" s="590"/>
      <c r="AH35" s="419"/>
      <c r="AI35" s="419"/>
      <c r="AJ35" s="419"/>
      <c r="AK35" s="419"/>
      <c r="AL35" s="590"/>
      <c r="AM35" s="419"/>
      <c r="AN35" s="419"/>
      <c r="AO35" s="419"/>
      <c r="AP35" s="419"/>
      <c r="AQ35" s="590"/>
      <c r="AR35" s="419"/>
      <c r="AS35" s="419"/>
      <c r="AT35" s="419"/>
      <c r="AU35" s="419"/>
      <c r="AV35" s="590"/>
      <c r="AW35" s="419"/>
      <c r="AX35" s="419"/>
      <c r="AY35" s="419"/>
      <c r="AZ35" s="419"/>
      <c r="BA35" s="590"/>
      <c r="BB35" s="419"/>
      <c r="BC35" s="419"/>
      <c r="BD35" s="419"/>
      <c r="BE35" s="419"/>
      <c r="BF35" s="590"/>
      <c r="BG35" s="628"/>
      <c r="BH35" s="628"/>
      <c r="BI35" s="628"/>
      <c r="BJ35" s="628"/>
      <c r="BK35" s="590"/>
      <c r="BL35" s="419"/>
      <c r="BM35" s="419"/>
      <c r="BN35" s="419"/>
      <c r="BO35" s="419"/>
      <c r="BP35" s="590"/>
      <c r="BQ35" s="419"/>
      <c r="BR35" s="419"/>
      <c r="BS35" s="419"/>
      <c r="BT35" s="419"/>
      <c r="BU35" s="590"/>
      <c r="BV35" s="419"/>
      <c r="BW35" s="419"/>
      <c r="BX35" s="419"/>
      <c r="BY35" s="419"/>
      <c r="BZ35" s="286"/>
      <c r="CA35" s="419">
        <f>CA34/BV34-1</f>
        <v>-0.15073834304047928</v>
      </c>
      <c r="CB35" s="419">
        <f>CB34/BW34-1</f>
        <v>-8.211984759265667E-2</v>
      </c>
      <c r="CC35" s="419">
        <f>CC34/BX34-1</f>
        <v>-7.443261058408368E-2</v>
      </c>
      <c r="CD35" s="419">
        <f>CD34/BY34-1</f>
        <v>3.1859200983674896E-3</v>
      </c>
      <c r="CE35" s="286"/>
      <c r="CF35" s="419">
        <f>CF34/CA34-1</f>
        <v>1.2101910828025364E-2</v>
      </c>
      <c r="CG35" s="419">
        <f>CG34/CB34-1</f>
        <v>6.5149136577707933E-2</v>
      </c>
      <c r="CH35" s="419">
        <f>CH34/CC34-1</f>
        <v>5.7914446473152692E-2</v>
      </c>
      <c r="CI35" s="419">
        <f>CI34/CD34-1</f>
        <v>1.7488287343963904E-2</v>
      </c>
      <c r="CJ35" s="286"/>
      <c r="CK35" s="419">
        <f>CK34/CF34-1</f>
        <v>4.155574925204375E-2</v>
      </c>
      <c r="CL35" s="419">
        <f>CL34/CG34-1</f>
        <v>3.874181987667602E-2</v>
      </c>
      <c r="CM35" s="419">
        <f>CM34/CH34-1</f>
        <v>7.04002113327169E-2</v>
      </c>
      <c r="CN35" s="419">
        <f>CN34/CI34-1</f>
        <v>1.0056881398677442E-2</v>
      </c>
      <c r="CO35" s="286"/>
      <c r="CP35" s="419">
        <f>CP34/CK34-1</f>
        <v>-3.1805742038026663E-2</v>
      </c>
      <c r="CQ35" s="419">
        <f>CQ34/CL34-1</f>
        <v>-0.11588848863360768</v>
      </c>
      <c r="CR35" s="419">
        <f>CR34/CM34-1</f>
        <v>-4.4816933436750972E-2</v>
      </c>
      <c r="CS35" s="419">
        <f>CS34/CN34-1</f>
        <v>-6.3186533587647586E-2</v>
      </c>
      <c r="CT35" s="286"/>
      <c r="CU35" s="419">
        <f>CU34/CP34-1</f>
        <v>-1.8268530257633864E-2</v>
      </c>
      <c r="CV35" s="419">
        <f>CV34/CQ34-1</f>
        <v>8.6198024001757911E-2</v>
      </c>
      <c r="CW35" s="419">
        <f>CW34/CR34-1</f>
        <v>-1.4101198348133948E-2</v>
      </c>
      <c r="CX35" s="419">
        <f>CX34/CS34-1</f>
        <v>4.6773872181949949E-2</v>
      </c>
      <c r="CY35" s="286"/>
      <c r="CZ35" s="419">
        <f>CZ34/CU34-1</f>
        <v>2.1195433756755921E-2</v>
      </c>
      <c r="DA35" s="419">
        <f>DA34/CV34-1</f>
        <v>1.3150548417061758E-2</v>
      </c>
      <c r="DB35" s="419">
        <f t="shared" ref="DB35:DE35" si="197">DB34/CW34-1</f>
        <v>2.6413941057283896E-3</v>
      </c>
      <c r="DC35" s="419">
        <f t="shared" si="197"/>
        <v>-9.395037341792789E-2</v>
      </c>
      <c r="DD35" s="286"/>
      <c r="DE35" s="419">
        <f t="shared" si="197"/>
        <v>-0.19675009428515677</v>
      </c>
      <c r="DF35" s="419">
        <f t="shared" ref="DF35" si="198">DF34/DA34-1</f>
        <v>-0.10209036953610529</v>
      </c>
      <c r="DG35" s="419">
        <f t="shared" ref="DG35:DL35" si="199">DG34/DB34-1</f>
        <v>-8.7084804649017244E-2</v>
      </c>
      <c r="DH35" s="419">
        <f t="shared" si="199"/>
        <v>5.2000616488798945E-2</v>
      </c>
      <c r="DI35" s="286"/>
      <c r="DJ35" s="419">
        <f t="shared" si="199"/>
        <v>0.18881340169817373</v>
      </c>
      <c r="DK35" s="419">
        <f t="shared" si="199"/>
        <v>0.15095929919646189</v>
      </c>
      <c r="DL35" s="419">
        <f t="shared" si="199"/>
        <v>0.15723622510917634</v>
      </c>
      <c r="DM35" s="420">
        <v>0.1</v>
      </c>
      <c r="DN35" s="286"/>
      <c r="DO35" s="420">
        <v>0</v>
      </c>
      <c r="DP35" s="420">
        <v>0</v>
      </c>
      <c r="DQ35" s="420">
        <v>0</v>
      </c>
      <c r="DR35" s="420">
        <v>0</v>
      </c>
      <c r="DS35" s="286"/>
      <c r="DT35" s="420">
        <v>0</v>
      </c>
      <c r="DU35" s="420">
        <v>0</v>
      </c>
      <c r="DV35" s="420">
        <v>0</v>
      </c>
      <c r="DW35" s="420">
        <v>0</v>
      </c>
      <c r="DX35" s="286"/>
      <c r="DY35" s="420">
        <v>0</v>
      </c>
      <c r="DZ35" s="420">
        <v>0</v>
      </c>
      <c r="EA35" s="420">
        <v>0</v>
      </c>
      <c r="EB35" s="420">
        <v>0</v>
      </c>
      <c r="EC35" s="286"/>
      <c r="ED35" s="578"/>
    </row>
    <row r="36" spans="1:134" ht="12" customHeight="1">
      <c r="A36" s="1189"/>
      <c r="B36" s="567"/>
      <c r="C36" s="507" t="s">
        <v>791</v>
      </c>
      <c r="D36" s="629"/>
      <c r="E36" s="629"/>
      <c r="F36" s="629"/>
      <c r="G36" s="629"/>
      <c r="H36" s="629"/>
      <c r="I36" s="630"/>
      <c r="J36" s="630"/>
      <c r="K36" s="630"/>
      <c r="L36" s="630"/>
      <c r="M36" s="631"/>
      <c r="N36" s="630"/>
      <c r="O36" s="630"/>
      <c r="P36" s="630"/>
      <c r="Q36" s="630"/>
      <c r="R36" s="631"/>
      <c r="S36" s="630"/>
      <c r="T36" s="630"/>
      <c r="U36" s="630"/>
      <c r="V36" s="630"/>
      <c r="W36" s="631"/>
      <c r="X36" s="632"/>
      <c r="Y36" s="632"/>
      <c r="Z36" s="632"/>
      <c r="AA36" s="632"/>
      <c r="AB36" s="631"/>
      <c r="AC36" s="632"/>
      <c r="AD36" s="632"/>
      <c r="AE36" s="632"/>
      <c r="AF36" s="632"/>
      <c r="AG36" s="631"/>
      <c r="AH36" s="630"/>
      <c r="AI36" s="630"/>
      <c r="AJ36" s="630"/>
      <c r="AK36" s="630"/>
      <c r="AL36" s="631"/>
      <c r="AM36" s="630"/>
      <c r="AN36" s="630"/>
      <c r="AO36" s="630"/>
      <c r="AP36" s="630"/>
      <c r="AQ36" s="631"/>
      <c r="AR36" s="630"/>
      <c r="AS36" s="630"/>
      <c r="AT36" s="630"/>
      <c r="AU36" s="633"/>
      <c r="AV36" s="631"/>
      <c r="AW36" s="630"/>
      <c r="AX36" s="630"/>
      <c r="AY36" s="630"/>
      <c r="AZ36" s="633"/>
      <c r="BA36" s="631"/>
      <c r="BB36" s="633"/>
      <c r="BC36" s="633"/>
      <c r="BD36" s="633"/>
      <c r="BE36" s="633"/>
      <c r="BF36" s="634"/>
      <c r="BG36" s="635"/>
      <c r="BH36" s="635"/>
      <c r="BI36" s="635"/>
      <c r="BJ36" s="635"/>
      <c r="BK36" s="631"/>
      <c r="BL36" s="635"/>
      <c r="BM36" s="635"/>
      <c r="BN36" s="635"/>
      <c r="BO36" s="635"/>
      <c r="BP36" s="631"/>
      <c r="BQ36" s="636">
        <f>Income!BQ7</f>
        <v>22.352</v>
      </c>
      <c r="BR36" s="636">
        <f>Income!BR7</f>
        <v>25.459</v>
      </c>
      <c r="BS36" s="636">
        <f>Income!BS7</f>
        <v>29.56</v>
      </c>
      <c r="BT36" s="636">
        <f>Income!BT7</f>
        <v>34.607999999999997</v>
      </c>
      <c r="BU36" s="637">
        <f>SUM(BQ36:BT36)</f>
        <v>111.97899999999998</v>
      </c>
      <c r="BV36" s="636">
        <f>Income!BV7</f>
        <v>38.706000000000003</v>
      </c>
      <c r="BW36" s="636">
        <f>Income!BW7</f>
        <v>43.673999999999999</v>
      </c>
      <c r="BX36" s="636">
        <f>Income!BX7</f>
        <v>49.838999999999999</v>
      </c>
      <c r="BY36" s="636">
        <f>Income!BY7</f>
        <v>56.387</v>
      </c>
      <c r="BZ36" s="637">
        <f>SUM(BV36:BY36)</f>
        <v>188.60599999999999</v>
      </c>
      <c r="CA36" s="636">
        <f>Income!CA7</f>
        <v>62.08</v>
      </c>
      <c r="CB36" s="636">
        <f>Income!CB7</f>
        <v>71.597999999999999</v>
      </c>
      <c r="CC36" s="636">
        <f>Income!CC7</f>
        <v>82.435000000000002</v>
      </c>
      <c r="CD36" s="636">
        <f>Income!CD7</f>
        <v>93.918000000000006</v>
      </c>
      <c r="CE36" s="637">
        <f>SUM(CA36:CD36)</f>
        <v>310.03100000000001</v>
      </c>
      <c r="CF36" s="636">
        <f>Income!CF7</f>
        <v>100.19799999999999</v>
      </c>
      <c r="CG36" s="636">
        <f>Income!CG7</f>
        <v>110.721</v>
      </c>
      <c r="CH36" s="636">
        <f>Income!CH7</f>
        <v>120.517</v>
      </c>
      <c r="CI36" s="636">
        <f>Income!CI7</f>
        <v>133.56</v>
      </c>
      <c r="CJ36" s="637">
        <f>SUM(CF36:CI36)</f>
        <v>464.99599999999998</v>
      </c>
      <c r="CK36" s="636">
        <f>Income!CK7</f>
        <v>140.45099999999999</v>
      </c>
      <c r="CL36" s="636">
        <f>Income!CL7</f>
        <v>153.047</v>
      </c>
      <c r="CM36" s="636">
        <f>Income!CM7</f>
        <v>165.577</v>
      </c>
      <c r="CN36" s="636">
        <f>Income!CN7</f>
        <v>183.166</v>
      </c>
      <c r="CO36" s="637">
        <f>SUM(CK36:CN36)</f>
        <v>642.24099999999999</v>
      </c>
      <c r="CP36" s="636">
        <f>Income!CP7</f>
        <v>187.60900000000001</v>
      </c>
      <c r="CQ36" s="636">
        <f>Income!CQ7</f>
        <v>196.434</v>
      </c>
      <c r="CR36" s="636">
        <f>Income!CR7</f>
        <v>245.274</v>
      </c>
      <c r="CS36" s="636">
        <f>Income!CS7</f>
        <v>279.44</v>
      </c>
      <c r="CT36" s="637">
        <f>SUM(CP36:CS36)</f>
        <v>908.75700000000006</v>
      </c>
      <c r="CU36" s="636">
        <f>Income!CU7</f>
        <v>320.68099999999998</v>
      </c>
      <c r="CV36" s="636">
        <f>Income!CV7</f>
        <v>334.23700000000002</v>
      </c>
      <c r="CW36" s="636">
        <f>Income!CW7</f>
        <v>336.20800000000003</v>
      </c>
      <c r="CX36" s="636">
        <f>Income!CX7</f>
        <v>351.20800000000003</v>
      </c>
      <c r="CY36" s="637">
        <f>SUM(CU36:CX36)</f>
        <v>1342.3340000000001</v>
      </c>
      <c r="CZ36" s="636">
        <f>Income!CZ7</f>
        <v>344.76100000000002</v>
      </c>
      <c r="DA36" s="636">
        <f>Income!DA7</f>
        <v>366.44299999999998</v>
      </c>
      <c r="DB36" s="636">
        <f>Income!DB7</f>
        <v>376.30099999999999</v>
      </c>
      <c r="DC36" s="636">
        <f>Income!DC7</f>
        <v>400.25400000000002</v>
      </c>
      <c r="DD36" s="637">
        <f>SUM(CZ36:DC36)</f>
        <v>1487.759</v>
      </c>
      <c r="DE36" s="636">
        <f>Income!DE7</f>
        <v>382</v>
      </c>
      <c r="DF36" s="636">
        <f>Income!DF7</f>
        <v>444</v>
      </c>
      <c r="DG36" s="636">
        <f>Income!DG7</f>
        <v>486</v>
      </c>
      <c r="DH36" s="636">
        <f>Income!DH7</f>
        <v>525</v>
      </c>
      <c r="DI36" s="637">
        <f>SUM(DE36:DH36)</f>
        <v>1837</v>
      </c>
      <c r="DJ36" s="636">
        <f>Income!DJ7</f>
        <v>511</v>
      </c>
      <c r="DK36" s="636">
        <f>Income!DK7</f>
        <v>563</v>
      </c>
      <c r="DL36" s="636">
        <f>Income!DL7</f>
        <v>610</v>
      </c>
      <c r="DM36" s="638">
        <f>(DM27*DM32)/1000</f>
        <v>657.73450620117183</v>
      </c>
      <c r="DN36" s="637">
        <f>SUM(DJ36:DM36)</f>
        <v>2341.7345062011718</v>
      </c>
      <c r="DO36" s="638">
        <f>(DO27*DO32)/1000</f>
        <v>603.53177420703116</v>
      </c>
      <c r="DP36" s="638">
        <f>(DP27*DP32)/1000</f>
        <v>664.94792344140615</v>
      </c>
      <c r="DQ36" s="638">
        <f>(DQ27*DQ32)/1000</f>
        <v>720.45867371093732</v>
      </c>
      <c r="DR36" s="638">
        <f>(DR27*DR32)/1000</f>
        <v>776.83693441248283</v>
      </c>
      <c r="DS36" s="637">
        <f>SUM(DO36:DR36)</f>
        <v>2765.7753057718573</v>
      </c>
      <c r="DT36" s="638">
        <f>(DT27*DT32)/1000</f>
        <v>699.49545988507248</v>
      </c>
      <c r="DU36" s="638">
        <f>(DU27*DU32)/1000</f>
        <v>770.67699396339685</v>
      </c>
      <c r="DV36" s="638">
        <f>(DV27*DV32)/1000</f>
        <v>835.01414976495926</v>
      </c>
      <c r="DW36" s="638">
        <f>(DW27*DW32)/1000</f>
        <v>900.35675322401119</v>
      </c>
      <c r="DX36" s="637">
        <f>SUM(DT36:DW36)</f>
        <v>3205.5433568374401</v>
      </c>
      <c r="DY36" s="638">
        <f>(DY27*DY32)/1000</f>
        <v>802.99658977699755</v>
      </c>
      <c r="DZ36" s="638">
        <f>(DZ27*DZ32)/1000</f>
        <v>884.71052846271948</v>
      </c>
      <c r="EA36" s="638">
        <f>(EA27*EA32)/1000</f>
        <v>958.56735765942938</v>
      </c>
      <c r="EB36" s="638">
        <f>(EB27*EB32)/1000</f>
        <v>1033.5784059847326</v>
      </c>
      <c r="EC36" s="637">
        <f>SUM(DY36:EB36)</f>
        <v>3679.8528818838795</v>
      </c>
      <c r="ED36" s="578"/>
    </row>
    <row r="37" spans="1:134" ht="12" customHeight="1">
      <c r="A37" s="1189"/>
      <c r="B37" s="567"/>
      <c r="C37" s="769" t="s">
        <v>141</v>
      </c>
      <c r="D37" s="589"/>
      <c r="E37" s="590"/>
      <c r="F37" s="590"/>
      <c r="G37" s="590"/>
      <c r="H37" s="590"/>
      <c r="I37" s="591"/>
      <c r="J37" s="591"/>
      <c r="K37" s="591"/>
      <c r="L37" s="591"/>
      <c r="M37" s="590"/>
      <c r="N37" s="419"/>
      <c r="O37" s="419"/>
      <c r="P37" s="419"/>
      <c r="Q37" s="419"/>
      <c r="R37" s="590"/>
      <c r="S37" s="419"/>
      <c r="T37" s="419"/>
      <c r="U37" s="419"/>
      <c r="V37" s="419"/>
      <c r="W37" s="590"/>
      <c r="X37" s="419"/>
      <c r="Y37" s="419"/>
      <c r="Z37" s="419"/>
      <c r="AA37" s="419"/>
      <c r="AB37" s="590"/>
      <c r="AC37" s="419"/>
      <c r="AD37" s="419"/>
      <c r="AE37" s="419"/>
      <c r="AF37" s="419"/>
      <c r="AG37" s="590"/>
      <c r="AH37" s="419"/>
      <c r="AI37" s="419"/>
      <c r="AJ37" s="419"/>
      <c r="AK37" s="419"/>
      <c r="AL37" s="590"/>
      <c r="AM37" s="419"/>
      <c r="AN37" s="419"/>
      <c r="AO37" s="419"/>
      <c r="AP37" s="419"/>
      <c r="AQ37" s="590"/>
      <c r="AR37" s="419"/>
      <c r="AS37" s="419"/>
      <c r="AT37" s="419"/>
      <c r="AU37" s="419"/>
      <c r="AV37" s="590"/>
      <c r="AW37" s="419"/>
      <c r="AX37" s="419"/>
      <c r="AY37" s="419"/>
      <c r="AZ37" s="419"/>
      <c r="BA37" s="590"/>
      <c r="BB37" s="419"/>
      <c r="BC37" s="419"/>
      <c r="BD37" s="419"/>
      <c r="BE37" s="419"/>
      <c r="BF37" s="590"/>
      <c r="BG37" s="285"/>
      <c r="BH37" s="285"/>
      <c r="BI37" s="285"/>
      <c r="BJ37" s="285"/>
      <c r="BK37" s="590"/>
      <c r="BL37" s="287"/>
      <c r="BM37" s="287"/>
      <c r="BN37" s="287"/>
      <c r="BO37" s="287"/>
      <c r="BP37" s="281"/>
      <c r="BQ37" s="409"/>
      <c r="BR37" s="409">
        <f>BR36/BQ36-1</f>
        <v>0.13900322118826058</v>
      </c>
      <c r="BS37" s="409">
        <f>BS36/BR36-1</f>
        <v>0.16108252484386654</v>
      </c>
      <c r="BT37" s="409">
        <f>BT36/BS36-1</f>
        <v>0.17077131258457379</v>
      </c>
      <c r="BU37" s="639"/>
      <c r="BV37" s="409">
        <f>BV36/BT36-1</f>
        <v>0.11841192787794741</v>
      </c>
      <c r="BW37" s="409">
        <f>BW36/BV36-1</f>
        <v>0.12835219345837845</v>
      </c>
      <c r="BX37" s="409">
        <f>BX36/BW36-1</f>
        <v>0.14115949993130927</v>
      </c>
      <c r="BY37" s="409">
        <f>BY36/BX36-1</f>
        <v>0.13138305343205126</v>
      </c>
      <c r="BZ37" s="639"/>
      <c r="CA37" s="409">
        <f>CA36/BY36-1</f>
        <v>0.10096298792274805</v>
      </c>
      <c r="CB37" s="409">
        <f>CB36/CA36-1</f>
        <v>0.15331829896907223</v>
      </c>
      <c r="CC37" s="409">
        <f>CC36/CB36-1</f>
        <v>0.15135897650772367</v>
      </c>
      <c r="CD37" s="409">
        <f>CD36/CC36-1</f>
        <v>0.1392976284345242</v>
      </c>
      <c r="CE37" s="639"/>
      <c r="CF37" s="409">
        <f>CF36/CD36-1</f>
        <v>6.6866841287080092E-2</v>
      </c>
      <c r="CG37" s="409">
        <f>CG36/CF36-1</f>
        <v>0.10502205632846984</v>
      </c>
      <c r="CH37" s="409">
        <f>CH36/CG36-1</f>
        <v>8.8474634441524147E-2</v>
      </c>
      <c r="CI37" s="409">
        <f>CI36/CH36-1</f>
        <v>0.10822539558734467</v>
      </c>
      <c r="CJ37" s="639"/>
      <c r="CK37" s="409">
        <f>CK36/CI36-1</f>
        <v>5.1594788858939644E-2</v>
      </c>
      <c r="CL37" s="409">
        <f>CL36/CK36-1</f>
        <v>8.9682522730347269E-2</v>
      </c>
      <c r="CM37" s="409">
        <f>CM36/CL36-1</f>
        <v>8.1870275144236837E-2</v>
      </c>
      <c r="CN37" s="409">
        <f>CN36/CM36-1</f>
        <v>0.10622852207734157</v>
      </c>
      <c r="CO37" s="639"/>
      <c r="CP37" s="409">
        <f>CP36/CN36-1</f>
        <v>2.4256685192666883E-2</v>
      </c>
      <c r="CQ37" s="409">
        <f>CQ36/CP36-1</f>
        <v>4.703932114130982E-2</v>
      </c>
      <c r="CR37" s="409">
        <f>CR36/CQ36-1</f>
        <v>0.24863312868444365</v>
      </c>
      <c r="CS37" s="409">
        <f>CS36/CR36-1</f>
        <v>0.13929727569982964</v>
      </c>
      <c r="CT37" s="639"/>
      <c r="CU37" s="409">
        <f>CU36/CS36-1</f>
        <v>0.14758445462353276</v>
      </c>
      <c r="CV37" s="409">
        <f>CV36/CU36-1</f>
        <v>4.2272538753465483E-2</v>
      </c>
      <c r="CW37" s="409">
        <f>CW36/CV36-1</f>
        <v>5.897013197222245E-3</v>
      </c>
      <c r="CX37" s="410">
        <f>CX36/CW36-1</f>
        <v>4.4615238185884865E-2</v>
      </c>
      <c r="CY37" s="639"/>
      <c r="CZ37" s="409">
        <f>CZ36/CX36-1</f>
        <v>-1.8356643356643332E-2</v>
      </c>
      <c r="DA37" s="409">
        <f>DA36/CZ36-1</f>
        <v>6.288994404819559E-2</v>
      </c>
      <c r="DB37" s="409">
        <f>DB36/DA36-1</f>
        <v>2.6901864682911114E-2</v>
      </c>
      <c r="DC37" s="410">
        <f>DC36/DB36-1</f>
        <v>6.3653830311373172E-2</v>
      </c>
      <c r="DD37" s="639"/>
      <c r="DE37" s="409">
        <f>DE36/DC36-1</f>
        <v>-4.5606040164495543E-2</v>
      </c>
      <c r="DF37" s="409">
        <f>DF36/DE36-1</f>
        <v>0.16230366492146597</v>
      </c>
      <c r="DG37" s="409">
        <f>DG36/DF36-1</f>
        <v>9.4594594594594517E-2</v>
      </c>
      <c r="DH37" s="409">
        <f>DH36/DG36-1</f>
        <v>8.0246913580246826E-2</v>
      </c>
      <c r="DI37" s="639"/>
      <c r="DJ37" s="409">
        <f>DJ36/DH36-1</f>
        <v>-2.6666666666666616E-2</v>
      </c>
      <c r="DK37" s="409">
        <f>DK36/DJ36-1</f>
        <v>0.10176125244618395</v>
      </c>
      <c r="DL37" s="409">
        <f>DL36/DK36-1</f>
        <v>8.3481349911190161E-2</v>
      </c>
      <c r="DM37" s="410">
        <f>DM36/DL36-1</f>
        <v>7.8253288854380099E-2</v>
      </c>
      <c r="DN37" s="639"/>
      <c r="DO37" s="409">
        <f>DO36/DM36-1</f>
        <v>-8.2408223201174802E-2</v>
      </c>
      <c r="DP37" s="409">
        <f>DP36/DO36-1</f>
        <v>0.10176125244618395</v>
      </c>
      <c r="DQ37" s="409">
        <f>DQ36/DP36-1</f>
        <v>8.3481349911189939E-2</v>
      </c>
      <c r="DR37" s="410">
        <f>DR36/DQ36-1</f>
        <v>7.8253288854380099E-2</v>
      </c>
      <c r="DS37" s="639"/>
      <c r="DT37" s="409">
        <f>DT36/DR36-1</f>
        <v>-9.955947136563903E-2</v>
      </c>
      <c r="DU37" s="409">
        <f>DU36/DT36-1</f>
        <v>0.10176125244618395</v>
      </c>
      <c r="DV37" s="409">
        <f>DV36/DU36-1</f>
        <v>8.3481349911189939E-2</v>
      </c>
      <c r="DW37" s="410">
        <f>DW36/DV36-1</f>
        <v>7.8253288854380099E-2</v>
      </c>
      <c r="DX37" s="639"/>
      <c r="DY37" s="409">
        <f>DY36/DW36-1</f>
        <v>-0.10813509544787092</v>
      </c>
      <c r="DZ37" s="409">
        <f>DZ36/DY36-1</f>
        <v>0.10176125244618395</v>
      </c>
      <c r="EA37" s="409">
        <f>EA36/DZ36-1</f>
        <v>8.3481349911189717E-2</v>
      </c>
      <c r="EB37" s="410">
        <f>EB36/EA36-1</f>
        <v>7.8253288854380099E-2</v>
      </c>
      <c r="EC37" s="639"/>
      <c r="ED37" s="578"/>
    </row>
    <row r="38" spans="1:134" ht="12" customHeight="1">
      <c r="A38" s="1189"/>
      <c r="B38" s="567"/>
      <c r="C38" s="769" t="s">
        <v>140</v>
      </c>
      <c r="D38" s="589"/>
      <c r="E38" s="590"/>
      <c r="F38" s="590"/>
      <c r="G38" s="590"/>
      <c r="H38" s="590"/>
      <c r="I38" s="591"/>
      <c r="J38" s="591"/>
      <c r="K38" s="591"/>
      <c r="L38" s="591"/>
      <c r="M38" s="590"/>
      <c r="N38" s="419"/>
      <c r="O38" s="419"/>
      <c r="P38" s="419"/>
      <c r="Q38" s="419"/>
      <c r="R38" s="590"/>
      <c r="S38" s="419"/>
      <c r="T38" s="419"/>
      <c r="U38" s="419"/>
      <c r="V38" s="419"/>
      <c r="W38" s="590"/>
      <c r="X38" s="419"/>
      <c r="Y38" s="419"/>
      <c r="Z38" s="419"/>
      <c r="AA38" s="419"/>
      <c r="AB38" s="590"/>
      <c r="AC38" s="419"/>
      <c r="AD38" s="419"/>
      <c r="AE38" s="419"/>
      <c r="AF38" s="419"/>
      <c r="AG38" s="590"/>
      <c r="AH38" s="419"/>
      <c r="AI38" s="419"/>
      <c r="AJ38" s="419"/>
      <c r="AK38" s="419"/>
      <c r="AL38" s="590"/>
      <c r="AM38" s="419"/>
      <c r="AN38" s="419"/>
      <c r="AO38" s="419"/>
      <c r="AP38" s="419"/>
      <c r="AQ38" s="590"/>
      <c r="AR38" s="419"/>
      <c r="AS38" s="419"/>
      <c r="AT38" s="419"/>
      <c r="AU38" s="419"/>
      <c r="AV38" s="590"/>
      <c r="AW38" s="419"/>
      <c r="AX38" s="419"/>
      <c r="AY38" s="419"/>
      <c r="AZ38" s="419"/>
      <c r="BA38" s="590"/>
      <c r="BB38" s="419"/>
      <c r="BC38" s="419"/>
      <c r="BD38" s="419"/>
      <c r="BE38" s="419"/>
      <c r="BF38" s="590"/>
      <c r="BG38" s="285"/>
      <c r="BH38" s="285"/>
      <c r="BI38" s="285"/>
      <c r="BJ38" s="285"/>
      <c r="BK38" s="590"/>
      <c r="BL38" s="287"/>
      <c r="BM38" s="287"/>
      <c r="BN38" s="287"/>
      <c r="BO38" s="287"/>
      <c r="BP38" s="286"/>
      <c r="BQ38" s="409"/>
      <c r="BR38" s="409"/>
      <c r="BS38" s="409"/>
      <c r="BT38" s="409"/>
      <c r="BU38" s="408"/>
      <c r="BV38" s="409">
        <f t="shared" ref="BV38:CV38" si="200">BV36/BQ36-1</f>
        <v>0.73165712240515401</v>
      </c>
      <c r="BW38" s="409">
        <f t="shared" si="200"/>
        <v>0.71546407950037305</v>
      </c>
      <c r="BX38" s="409">
        <f t="shared" si="200"/>
        <v>0.68602841677943172</v>
      </c>
      <c r="BY38" s="409">
        <f t="shared" si="200"/>
        <v>0.62930536292186789</v>
      </c>
      <c r="BZ38" s="408">
        <f t="shared" si="200"/>
        <v>0.68429794872252847</v>
      </c>
      <c r="CA38" s="409">
        <f t="shared" si="200"/>
        <v>0.60388570247506834</v>
      </c>
      <c r="CB38" s="409">
        <f t="shared" si="200"/>
        <v>0.63937354032147264</v>
      </c>
      <c r="CC38" s="409">
        <f t="shared" si="200"/>
        <v>0.65402596360280119</v>
      </c>
      <c r="CD38" s="409">
        <f t="shared" si="200"/>
        <v>0.6655966800858355</v>
      </c>
      <c r="CE38" s="408">
        <f t="shared" si="200"/>
        <v>0.64380242410103605</v>
      </c>
      <c r="CF38" s="409">
        <f t="shared" si="200"/>
        <v>0.61401417525773194</v>
      </c>
      <c r="CG38" s="409">
        <f t="shared" si="200"/>
        <v>0.54642587781781615</v>
      </c>
      <c r="CH38" s="409">
        <f t="shared" si="200"/>
        <v>0.46196397161399871</v>
      </c>
      <c r="CI38" s="409">
        <f t="shared" si="200"/>
        <v>0.4220916118315976</v>
      </c>
      <c r="CJ38" s="408">
        <f t="shared" si="200"/>
        <v>0.49983711306288714</v>
      </c>
      <c r="CK38" s="409">
        <f t="shared" si="200"/>
        <v>0.40173456556019094</v>
      </c>
      <c r="CL38" s="409">
        <f t="shared" si="200"/>
        <v>0.38227617163862315</v>
      </c>
      <c r="CM38" s="409">
        <f t="shared" si="200"/>
        <v>0.37388916086527213</v>
      </c>
      <c r="CN38" s="409">
        <f t="shared" si="200"/>
        <v>0.37141359688529496</v>
      </c>
      <c r="CO38" s="408">
        <f t="shared" si="200"/>
        <v>0.38117532193825321</v>
      </c>
      <c r="CP38" s="409">
        <f t="shared" si="200"/>
        <v>0.33576122633516325</v>
      </c>
      <c r="CQ38" s="409">
        <f t="shared" si="200"/>
        <v>0.28348807882545879</v>
      </c>
      <c r="CR38" s="409">
        <f t="shared" si="200"/>
        <v>0.48132892853476039</v>
      </c>
      <c r="CS38" s="409">
        <f t="shared" si="200"/>
        <v>0.52561064826441584</v>
      </c>
      <c r="CT38" s="408">
        <f t="shared" si="200"/>
        <v>0.41497817797368919</v>
      </c>
      <c r="CU38" s="409">
        <f t="shared" si="200"/>
        <v>0.70930499069874031</v>
      </c>
      <c r="CV38" s="409">
        <f t="shared" si="200"/>
        <v>0.70152315790545439</v>
      </c>
      <c r="CW38" s="409">
        <f t="shared" ref="CW38:DN38" si="201">CW36/CR36-1</f>
        <v>0.37074455506902493</v>
      </c>
      <c r="CX38" s="410">
        <f t="shared" si="201"/>
        <v>0.25682794159748079</v>
      </c>
      <c r="CY38" s="408">
        <f t="shared" si="201"/>
        <v>0.47710994248187366</v>
      </c>
      <c r="CZ38" s="409">
        <f t="shared" si="201"/>
        <v>7.5090198670953567E-2</v>
      </c>
      <c r="DA38" s="409">
        <f t="shared" si="201"/>
        <v>9.6356776778154352E-2</v>
      </c>
      <c r="DB38" s="409">
        <f t="shared" si="201"/>
        <v>0.11925058297244551</v>
      </c>
      <c r="DC38" s="409">
        <f t="shared" si="201"/>
        <v>0.13964943850937339</v>
      </c>
      <c r="DD38" s="408">
        <f t="shared" si="201"/>
        <v>0.10833741825804899</v>
      </c>
      <c r="DE38" s="409">
        <f t="shared" si="201"/>
        <v>0.10801395749519216</v>
      </c>
      <c r="DF38" s="409">
        <f t="shared" si="201"/>
        <v>0.21164819630883946</v>
      </c>
      <c r="DG38" s="409">
        <f t="shared" si="201"/>
        <v>0.29151928907975266</v>
      </c>
      <c r="DH38" s="409">
        <f t="shared" si="201"/>
        <v>0.3116670913969628</v>
      </c>
      <c r="DI38" s="408">
        <f t="shared" si="201"/>
        <v>0.23474299264867504</v>
      </c>
      <c r="DJ38" s="409">
        <f t="shared" si="201"/>
        <v>0.33769633507853403</v>
      </c>
      <c r="DK38" s="409">
        <f t="shared" si="201"/>
        <v>0.26801801801801806</v>
      </c>
      <c r="DL38" s="409">
        <f t="shared" si="201"/>
        <v>0.25514403292181065</v>
      </c>
      <c r="DM38" s="409">
        <f t="shared" si="201"/>
        <v>0.25282763085937487</v>
      </c>
      <c r="DN38" s="408">
        <f t="shared" si="201"/>
        <v>0.27476021023471531</v>
      </c>
      <c r="DO38" s="409">
        <f t="shared" ref="DO38" si="202">DO36/DJ36-1</f>
        <v>0.18107979296874976</v>
      </c>
      <c r="DP38" s="409">
        <f t="shared" ref="DP38" si="203">DP36/DK36-1</f>
        <v>0.18107979296874976</v>
      </c>
      <c r="DQ38" s="409">
        <f t="shared" ref="DQ38" si="204">DQ36/DL36-1</f>
        <v>0.18107979296874976</v>
      </c>
      <c r="DR38" s="409">
        <f t="shared" ref="DR38:DS38" si="205">DR36/DM36-1</f>
        <v>0.18107979296874976</v>
      </c>
      <c r="DS38" s="408">
        <f t="shared" si="205"/>
        <v>0.18107979296874976</v>
      </c>
      <c r="DT38" s="409">
        <f t="shared" ref="DT38" si="206">DT36/DO36-1</f>
        <v>0.15900353515624954</v>
      </c>
      <c r="DU38" s="409">
        <f t="shared" ref="DU38" si="207">DU36/DP36-1</f>
        <v>0.15900353515624954</v>
      </c>
      <c r="DV38" s="409">
        <f t="shared" ref="DV38" si="208">DV36/DQ36-1</f>
        <v>0.15900353515624954</v>
      </c>
      <c r="DW38" s="409">
        <f t="shared" ref="DW38" si="209">DW36/DR36-1</f>
        <v>0.15900353515624954</v>
      </c>
      <c r="DX38" s="408">
        <f t="shared" ref="DX38" si="210">DX36/DS36-1</f>
        <v>0.15900353515624976</v>
      </c>
      <c r="DY38" s="409">
        <f t="shared" ref="DY38" si="211">DY36/DT36-1</f>
        <v>0.14796540624999954</v>
      </c>
      <c r="DZ38" s="409">
        <f t="shared" ref="DZ38" si="212">DZ36/DU36-1</f>
        <v>0.14796540624999976</v>
      </c>
      <c r="EA38" s="409">
        <f t="shared" ref="EA38" si="213">EA36/DV36-1</f>
        <v>0.14796540624999954</v>
      </c>
      <c r="EB38" s="409">
        <f t="shared" ref="EB38" si="214">EB36/DW36-1</f>
        <v>0.14796540624999954</v>
      </c>
      <c r="EC38" s="408">
        <f t="shared" ref="EC38" si="215">EC36/DX36-1</f>
        <v>0.14796540624999954</v>
      </c>
      <c r="ED38" s="578"/>
    </row>
    <row r="39" spans="1:134" ht="12" customHeight="1">
      <c r="A39" s="1189"/>
      <c r="B39" s="567"/>
      <c r="C39" s="769" t="s">
        <v>335</v>
      </c>
      <c r="D39" s="589"/>
      <c r="E39" s="590"/>
      <c r="F39" s="590"/>
      <c r="G39" s="590"/>
      <c r="H39" s="590"/>
      <c r="I39" s="591"/>
      <c r="J39" s="591"/>
      <c r="K39" s="591"/>
      <c r="L39" s="591"/>
      <c r="M39" s="590"/>
      <c r="N39" s="419"/>
      <c r="O39" s="419"/>
      <c r="P39" s="419"/>
      <c r="Q39" s="419"/>
      <c r="R39" s="590"/>
      <c r="S39" s="419"/>
      <c r="T39" s="419"/>
      <c r="U39" s="419"/>
      <c r="V39" s="419"/>
      <c r="W39" s="590"/>
      <c r="X39" s="419"/>
      <c r="Y39" s="419"/>
      <c r="Z39" s="419"/>
      <c r="AA39" s="419"/>
      <c r="AB39" s="590"/>
      <c r="AC39" s="419"/>
      <c r="AD39" s="419"/>
      <c r="AE39" s="419"/>
      <c r="AF39" s="419"/>
      <c r="AG39" s="590"/>
      <c r="AH39" s="419"/>
      <c r="AI39" s="419"/>
      <c r="AJ39" s="419"/>
      <c r="AK39" s="419"/>
      <c r="AL39" s="590"/>
      <c r="AM39" s="419"/>
      <c r="AN39" s="419"/>
      <c r="AO39" s="419"/>
      <c r="AP39" s="419"/>
      <c r="AQ39" s="590"/>
      <c r="AR39" s="419"/>
      <c r="AS39" s="419"/>
      <c r="AT39" s="419"/>
      <c r="AU39" s="419"/>
      <c r="AV39" s="590"/>
      <c r="AW39" s="419"/>
      <c r="AX39" s="419"/>
      <c r="AY39" s="419"/>
      <c r="AZ39" s="419"/>
      <c r="BA39" s="590"/>
      <c r="BB39" s="419"/>
      <c r="BC39" s="419"/>
      <c r="BD39" s="419"/>
      <c r="BE39" s="419"/>
      <c r="BF39" s="590"/>
      <c r="BG39" s="285"/>
      <c r="BH39" s="285"/>
      <c r="BI39" s="285"/>
      <c r="BJ39" s="285"/>
      <c r="BK39" s="590"/>
      <c r="BL39" s="287"/>
      <c r="BM39" s="287"/>
      <c r="BN39" s="287"/>
      <c r="BO39" s="287"/>
      <c r="BP39" s="286"/>
      <c r="BQ39" s="409">
        <f t="shared" ref="BQ39:CV39" si="216">BQ36/BQ21</f>
        <v>0.59847916889793296</v>
      </c>
      <c r="BR39" s="409">
        <f t="shared" si="216"/>
        <v>0.56668744157058271</v>
      </c>
      <c r="BS39" s="409">
        <f t="shared" si="216"/>
        <v>0.55999696889326711</v>
      </c>
      <c r="BT39" s="409">
        <f t="shared" si="216"/>
        <v>0.493181138044547</v>
      </c>
      <c r="BU39" s="408">
        <f t="shared" si="216"/>
        <v>0.5456188819536818</v>
      </c>
      <c r="BV39" s="409">
        <f t="shared" si="216"/>
        <v>0.53224608784136851</v>
      </c>
      <c r="BW39" s="409">
        <f t="shared" si="216"/>
        <v>0.50404514870682193</v>
      </c>
      <c r="BX39" s="409">
        <f t="shared" si="216"/>
        <v>0.50050211894193497</v>
      </c>
      <c r="BY39" s="409">
        <f t="shared" si="216"/>
        <v>0.43247202472715007</v>
      </c>
      <c r="BZ39" s="408">
        <f t="shared" si="216"/>
        <v>0.48443736675827703</v>
      </c>
      <c r="CA39" s="409">
        <f t="shared" si="216"/>
        <v>0.48736447923127041</v>
      </c>
      <c r="CB39" s="409">
        <f t="shared" si="216"/>
        <v>0.47211104150868749</v>
      </c>
      <c r="CC39" s="409">
        <f t="shared" si="216"/>
        <v>0.48079390630832397</v>
      </c>
      <c r="CD39" s="409">
        <f t="shared" si="216"/>
        <v>0.4215085228037736</v>
      </c>
      <c r="CE39" s="408">
        <f t="shared" si="216"/>
        <v>0.46046213894466692</v>
      </c>
      <c r="CF39" s="409">
        <f t="shared" si="216"/>
        <v>0.46747224036577401</v>
      </c>
      <c r="CG39" s="409">
        <f t="shared" si="216"/>
        <v>0.45199070880092096</v>
      </c>
      <c r="CH39" s="409">
        <f t="shared" si="216"/>
        <v>0.44625348065643705</v>
      </c>
      <c r="CI39" s="409">
        <f t="shared" si="216"/>
        <v>0.38841163024701775</v>
      </c>
      <c r="CJ39" s="408">
        <f t="shared" si="216"/>
        <v>0.43326820277871736</v>
      </c>
      <c r="CK39" s="409">
        <f t="shared" si="216"/>
        <v>0.43824926204903863</v>
      </c>
      <c r="CL39" s="409">
        <f t="shared" si="216"/>
        <v>0.42280629539282666</v>
      </c>
      <c r="CM39" s="409">
        <f t="shared" si="216"/>
        <v>0.42395634896249407</v>
      </c>
      <c r="CN39" s="409">
        <f t="shared" si="216"/>
        <v>0.36259007047272152</v>
      </c>
      <c r="CO39" s="408">
        <f t="shared" si="216"/>
        <v>0.40695221626526368</v>
      </c>
      <c r="CP39" s="409">
        <f t="shared" si="216"/>
        <v>0.3991672358143919</v>
      </c>
      <c r="CQ39" s="409">
        <f t="shared" si="216"/>
        <v>0.27498631605913704</v>
      </c>
      <c r="CR39" s="409">
        <f t="shared" si="216"/>
        <v>0.31961480574142731</v>
      </c>
      <c r="CS39" s="409">
        <f t="shared" si="216"/>
        <v>0.28580078220883998</v>
      </c>
      <c r="CT39" s="408">
        <f t="shared" si="216"/>
        <v>0.31020986239589066</v>
      </c>
      <c r="CU39" s="409">
        <f t="shared" si="216"/>
        <v>0.32436349880189796</v>
      </c>
      <c r="CV39" s="409">
        <f t="shared" si="216"/>
        <v>0.29857384686161448</v>
      </c>
      <c r="CW39" s="409">
        <f t="shared" ref="CW39:EC39" si="217">CW36/CW21</f>
        <v>0.29918664459750477</v>
      </c>
      <c r="CX39" s="409">
        <f t="shared" si="217"/>
        <v>0.25449412473985961</v>
      </c>
      <c r="CY39" s="408">
        <f t="shared" si="217"/>
        <v>0.29106155959769781</v>
      </c>
      <c r="CZ39" s="409">
        <f t="shared" si="217"/>
        <v>0.28643603520371413</v>
      </c>
      <c r="DA39" s="409">
        <f t="shared" si="217"/>
        <v>0.2829538022474582</v>
      </c>
      <c r="DB39" s="409">
        <f t="shared" si="217"/>
        <v>0.27543624652320303</v>
      </c>
      <c r="DC39" s="409">
        <f t="shared" si="217"/>
        <v>0.23069687338974904</v>
      </c>
      <c r="DD39" s="408">
        <f t="shared" si="217"/>
        <v>0.26567770217276704</v>
      </c>
      <c r="DE39" s="409">
        <f t="shared" si="217"/>
        <v>0.25331564986737398</v>
      </c>
      <c r="DF39" s="409">
        <f t="shared" si="217"/>
        <v>0.26210153482880755</v>
      </c>
      <c r="DG39" s="409">
        <f t="shared" si="217"/>
        <v>0.28354725787631274</v>
      </c>
      <c r="DH39" s="409">
        <f t="shared" si="217"/>
        <v>0.24486940298507462</v>
      </c>
      <c r="DI39" s="408">
        <f t="shared" si="217"/>
        <v>0.26019830028328611</v>
      </c>
      <c r="DJ39" s="409">
        <f t="shared" si="217"/>
        <v>0.27458355722729716</v>
      </c>
      <c r="DK39" s="409">
        <f t="shared" si="217"/>
        <v>0.27530562347188264</v>
      </c>
      <c r="DL39" s="409">
        <f t="shared" si="217"/>
        <v>0.28214616096207218</v>
      </c>
      <c r="DM39" s="409">
        <f t="shared" si="217"/>
        <v>0.2432819704019987</v>
      </c>
      <c r="DN39" s="408">
        <f t="shared" si="217"/>
        <v>0.26696810059034209</v>
      </c>
      <c r="DO39" s="409">
        <f t="shared" si="217"/>
        <v>0.25804269163678006</v>
      </c>
      <c r="DP39" s="409">
        <f t="shared" si="217"/>
        <v>0.26512775068352917</v>
      </c>
      <c r="DQ39" s="409">
        <f t="shared" si="217"/>
        <v>0.27374031210383487</v>
      </c>
      <c r="DR39" s="409">
        <f t="shared" si="217"/>
        <v>0.23413237148901356</v>
      </c>
      <c r="DS39" s="408">
        <f t="shared" si="217"/>
        <v>0.25616723956044429</v>
      </c>
      <c r="DT39" s="409">
        <f t="shared" si="217"/>
        <v>0.24989073529760941</v>
      </c>
      <c r="DU39" s="409">
        <f t="shared" si="217"/>
        <v>0.2567942261760503</v>
      </c>
      <c r="DV39" s="409">
        <f t="shared" si="217"/>
        <v>0.26528894723683838</v>
      </c>
      <c r="DW39" s="409">
        <f t="shared" si="217"/>
        <v>0.22647552761696876</v>
      </c>
      <c r="DX39" s="408">
        <f t="shared" si="217"/>
        <v>0.24804120752141223</v>
      </c>
      <c r="DY39" s="409">
        <f t="shared" si="217"/>
        <v>0.24330516927500775</v>
      </c>
      <c r="DZ39" s="409">
        <f t="shared" si="217"/>
        <v>0.25006388546883929</v>
      </c>
      <c r="EA39" s="409">
        <f t="shared" si="217"/>
        <v>0.2584502153821121</v>
      </c>
      <c r="EB39" s="409">
        <f t="shared" si="217"/>
        <v>0.22030604651975796</v>
      </c>
      <c r="EC39" s="408">
        <f t="shared" si="217"/>
        <v>0.24147967799642994</v>
      </c>
      <c r="ED39" s="578"/>
    </row>
    <row r="40" spans="1:134" ht="12" customHeight="1">
      <c r="A40" s="1189"/>
      <c r="B40" s="567"/>
      <c r="C40" s="1200" t="s">
        <v>523</v>
      </c>
      <c r="D40" s="589"/>
      <c r="E40" s="590"/>
      <c r="F40" s="590"/>
      <c r="G40" s="590"/>
      <c r="H40" s="590"/>
      <c r="I40" s="591"/>
      <c r="J40" s="591"/>
      <c r="K40" s="591"/>
      <c r="L40" s="591"/>
      <c r="M40" s="590"/>
      <c r="N40" s="419"/>
      <c r="O40" s="419"/>
      <c r="P40" s="419"/>
      <c r="Q40" s="419"/>
      <c r="R40" s="590"/>
      <c r="S40" s="419"/>
      <c r="T40" s="419"/>
      <c r="U40" s="419"/>
      <c r="V40" s="419"/>
      <c r="W40" s="590"/>
      <c r="X40" s="419"/>
      <c r="Y40" s="419"/>
      <c r="Z40" s="419"/>
      <c r="AA40" s="419"/>
      <c r="AB40" s="590"/>
      <c r="AC40" s="419"/>
      <c r="AD40" s="419"/>
      <c r="AE40" s="419"/>
      <c r="AF40" s="419"/>
      <c r="AG40" s="590"/>
      <c r="AH40" s="419"/>
      <c r="AI40" s="419"/>
      <c r="AJ40" s="419"/>
      <c r="AK40" s="419"/>
      <c r="AL40" s="590"/>
      <c r="AM40" s="419"/>
      <c r="AN40" s="419"/>
      <c r="AO40" s="419"/>
      <c r="AP40" s="419"/>
      <c r="AQ40" s="590"/>
      <c r="AR40" s="419"/>
      <c r="AS40" s="419"/>
      <c r="AT40" s="419"/>
      <c r="AU40" s="419"/>
      <c r="AV40" s="590"/>
      <c r="AW40" s="419"/>
      <c r="AX40" s="419"/>
      <c r="AY40" s="419"/>
      <c r="AZ40" s="419"/>
      <c r="BA40" s="590"/>
      <c r="BB40" s="419"/>
      <c r="BC40" s="419"/>
      <c r="BD40" s="419"/>
      <c r="BE40" s="419"/>
      <c r="BF40" s="590"/>
      <c r="BG40" s="628"/>
      <c r="BH40" s="628"/>
      <c r="BI40" s="628"/>
      <c r="BJ40" s="628"/>
      <c r="BK40" s="590"/>
      <c r="BL40" s="419"/>
      <c r="BM40" s="419"/>
      <c r="BN40" s="419"/>
      <c r="BO40" s="419"/>
      <c r="BP40" s="590"/>
      <c r="BQ40" s="419"/>
      <c r="BR40" s="419"/>
      <c r="BS40" s="419"/>
      <c r="BT40" s="419"/>
      <c r="BU40" s="590"/>
      <c r="BV40" s="419"/>
      <c r="BW40" s="419"/>
      <c r="BX40" s="419"/>
      <c r="BY40" s="419"/>
      <c r="BZ40" s="286"/>
      <c r="CA40" s="419"/>
      <c r="CB40" s="419"/>
      <c r="CC40" s="419"/>
      <c r="CD40" s="419"/>
      <c r="CE40" s="286"/>
      <c r="CF40" s="419"/>
      <c r="CG40" s="419"/>
      <c r="CH40" s="419"/>
      <c r="CI40" s="419"/>
      <c r="CJ40" s="286"/>
      <c r="CK40" s="595"/>
      <c r="CL40" s="595"/>
      <c r="CM40" s="595"/>
      <c r="CN40" s="595"/>
      <c r="CO40" s="286"/>
      <c r="CP40" s="287"/>
      <c r="CQ40" s="287"/>
      <c r="CR40" s="287"/>
      <c r="CS40" s="287"/>
      <c r="CT40" s="286"/>
      <c r="CU40" s="287"/>
      <c r="CV40" s="287"/>
      <c r="CW40" s="287"/>
      <c r="CX40" s="287"/>
      <c r="CY40" s="286"/>
      <c r="CZ40" s="287"/>
      <c r="DA40" s="287"/>
      <c r="DB40" s="287"/>
      <c r="DC40" s="287"/>
      <c r="DD40" s="286"/>
      <c r="DE40" s="287"/>
      <c r="DF40" s="287"/>
      <c r="DG40" s="287"/>
      <c r="DH40" s="287"/>
      <c r="DI40" s="286"/>
      <c r="DJ40" s="287"/>
      <c r="DK40" s="287"/>
      <c r="DL40" s="287"/>
      <c r="DM40" s="287"/>
      <c r="DN40" s="286"/>
      <c r="DO40" s="287"/>
      <c r="DP40" s="287"/>
      <c r="DQ40" s="287"/>
      <c r="DR40" s="287"/>
      <c r="DS40" s="286"/>
      <c r="DT40" s="287"/>
      <c r="DU40" s="287"/>
      <c r="DV40" s="287"/>
      <c r="DW40" s="287"/>
      <c r="DX40" s="286"/>
      <c r="DY40" s="287"/>
      <c r="DZ40" s="287"/>
      <c r="EA40" s="287"/>
      <c r="EB40" s="287"/>
      <c r="EC40" s="286"/>
      <c r="ED40" s="578"/>
    </row>
    <row r="41" spans="1:134" ht="12" customHeight="1">
      <c r="A41" s="1190" t="s">
        <v>368</v>
      </c>
      <c r="B41" s="89"/>
      <c r="C41" s="640" t="s">
        <v>312</v>
      </c>
      <c r="D41" s="641"/>
      <c r="E41" s="641"/>
      <c r="F41" s="641"/>
      <c r="G41" s="641"/>
      <c r="H41" s="641"/>
      <c r="I41" s="642"/>
      <c r="J41" s="642"/>
      <c r="K41" s="642"/>
      <c r="L41" s="642"/>
      <c r="M41" s="643"/>
      <c r="N41" s="581"/>
      <c r="O41" s="581"/>
      <c r="P41" s="581"/>
      <c r="Q41" s="581"/>
      <c r="R41" s="643"/>
      <c r="S41" s="642"/>
      <c r="T41" s="642"/>
      <c r="U41" s="642"/>
      <c r="V41" s="642"/>
      <c r="W41" s="643"/>
      <c r="X41" s="644"/>
      <c r="Y41" s="644"/>
      <c r="Z41" s="644"/>
      <c r="AA41" s="644"/>
      <c r="AB41" s="643"/>
      <c r="AC41" s="644"/>
      <c r="AD41" s="644"/>
      <c r="AE41" s="644"/>
      <c r="AF41" s="644"/>
      <c r="AG41" s="643"/>
      <c r="AH41" s="645"/>
      <c r="AI41" s="646"/>
      <c r="AJ41" s="646"/>
      <c r="AK41" s="646"/>
      <c r="AL41" s="643"/>
      <c r="AM41" s="646"/>
      <c r="AN41" s="646"/>
      <c r="AO41" s="646"/>
      <c r="AP41" s="646"/>
      <c r="AQ41" s="643"/>
      <c r="AR41" s="646"/>
      <c r="AS41" s="646"/>
      <c r="AT41" s="646"/>
      <c r="AU41" s="646"/>
      <c r="AV41" s="643"/>
      <c r="AW41" s="646"/>
      <c r="AX41" s="646"/>
      <c r="AY41" s="646"/>
      <c r="AZ41" s="646"/>
      <c r="BA41" s="643"/>
      <c r="BB41" s="646"/>
      <c r="BC41" s="646"/>
      <c r="BD41" s="646"/>
      <c r="BE41" s="646"/>
      <c r="BF41" s="582"/>
      <c r="BG41" s="647"/>
      <c r="BH41" s="647"/>
      <c r="BI41" s="647"/>
      <c r="BJ41" s="647"/>
      <c r="BK41" s="582"/>
      <c r="BL41" s="586"/>
      <c r="BM41" s="586"/>
      <c r="BN41" s="586"/>
      <c r="BO41" s="586"/>
      <c r="BP41" s="584"/>
      <c r="BQ41" s="648">
        <v>1324.0820000000001</v>
      </c>
      <c r="BR41" s="648">
        <v>1634.5709999999999</v>
      </c>
      <c r="BS41" s="648">
        <v>1909.2629999999999</v>
      </c>
      <c r="BT41" s="648">
        <v>2838.7449999999999</v>
      </c>
      <c r="BU41" s="649">
        <f>SUM(BQ41:BT41)</f>
        <v>7706.6610000000001</v>
      </c>
      <c r="BV41" s="648">
        <v>2671.8009999999999</v>
      </c>
      <c r="BW41" s="648">
        <v>3366.6990000000001</v>
      </c>
      <c r="BX41" s="648">
        <v>3810.3609999999999</v>
      </c>
      <c r="BY41" s="648">
        <v>5525.3049999999985</v>
      </c>
      <c r="BZ41" s="649">
        <f>SUM(BV41:BY41)</f>
        <v>15374.165999999999</v>
      </c>
      <c r="CA41" s="648">
        <v>4852.4250000000002</v>
      </c>
      <c r="CB41" s="648">
        <v>5865.8459999999995</v>
      </c>
      <c r="CC41" s="648">
        <v>6430.9</v>
      </c>
      <c r="CD41" s="648">
        <v>9170.9789999999994</v>
      </c>
      <c r="CE41" s="649">
        <f>SUM(CA41:CD41)</f>
        <v>26320.15</v>
      </c>
      <c r="CF41" s="648">
        <v>7952.4319999999998</v>
      </c>
      <c r="CG41" s="648">
        <v>9135.6389999999992</v>
      </c>
      <c r="CH41" s="648">
        <v>9994.6080000000002</v>
      </c>
      <c r="CI41" s="648">
        <v>14020.558999999997</v>
      </c>
      <c r="CJ41" s="649">
        <f>SUM(CF41:CI41)</f>
        <v>41103.237999999998</v>
      </c>
      <c r="CK41" s="648">
        <v>11913.825999999999</v>
      </c>
      <c r="CL41" s="648">
        <v>13772.195</v>
      </c>
      <c r="CM41" s="648">
        <v>14821.11</v>
      </c>
      <c r="CN41" s="648">
        <v>20631.326000000001</v>
      </c>
      <c r="CO41" s="649">
        <f>SUM(CK41:CN41)</f>
        <v>61138.457000000002</v>
      </c>
      <c r="CP41" s="650">
        <v>17415.252</v>
      </c>
      <c r="CQ41" s="650">
        <v>30105.466</v>
      </c>
      <c r="CR41" s="650">
        <v>30917.154999999999</v>
      </c>
      <c r="CS41" s="650">
        <v>41139.273999999998</v>
      </c>
      <c r="CT41" s="649">
        <f>SUM(CP41:CS41)</f>
        <v>119577.147</v>
      </c>
      <c r="CU41" s="650">
        <v>37346.885999999999</v>
      </c>
      <c r="CV41" s="650">
        <v>42193.370999999999</v>
      </c>
      <c r="CW41" s="650">
        <v>41764.997000000003</v>
      </c>
      <c r="CX41" s="650">
        <f>175361.814-SUM(CU41:CW41)</f>
        <v>54056.560000000012</v>
      </c>
      <c r="CY41" s="649">
        <f>SUM(CU41:CX41)</f>
        <v>175361.81400000001</v>
      </c>
      <c r="CZ41" s="650">
        <v>43199.951999999997</v>
      </c>
      <c r="DA41" s="650">
        <v>46850.218999999997</v>
      </c>
      <c r="DB41" s="650">
        <v>46200</v>
      </c>
      <c r="DC41" s="650">
        <v>61000</v>
      </c>
      <c r="DD41" s="649">
        <f>SUM(CZ41:DC41)</f>
        <v>197250.171</v>
      </c>
      <c r="DE41" s="650">
        <v>49600</v>
      </c>
      <c r="DF41" s="650">
        <v>55000</v>
      </c>
      <c r="DG41" s="650">
        <v>56200</v>
      </c>
      <c r="DH41" s="650">
        <v>75125</v>
      </c>
      <c r="DI41" s="649">
        <f>SUM(DE41:DH41)</f>
        <v>235925</v>
      </c>
      <c r="DJ41" s="650">
        <v>60855</v>
      </c>
      <c r="DK41" s="650">
        <v>67245</v>
      </c>
      <c r="DL41" s="650">
        <v>69715</v>
      </c>
      <c r="DM41" s="651">
        <f>DH41*(1+DM43)</f>
        <v>92779.374999999985</v>
      </c>
      <c r="DN41" s="649">
        <f>SUM(DJ41:DM41)</f>
        <v>290594.375</v>
      </c>
      <c r="DO41" s="651">
        <f t="shared" ref="DO41:DR41" si="218">DJ41*(1+DO43)</f>
        <v>74851.649999999994</v>
      </c>
      <c r="DP41" s="651">
        <f t="shared" si="218"/>
        <v>79998.931997927313</v>
      </c>
      <c r="DQ41" s="651">
        <f t="shared" si="218"/>
        <v>82170.125986001265</v>
      </c>
      <c r="DR41" s="651">
        <f t="shared" si="218"/>
        <v>110239.46018424167</v>
      </c>
      <c r="DS41" s="649">
        <f>SUM(DO41:DR41)</f>
        <v>347260.16816817026</v>
      </c>
      <c r="DT41" s="651">
        <f>DO41*(1+DT43)</f>
        <v>87913.262925000003</v>
      </c>
      <c r="DU41" s="651">
        <f>DP41*(1+DU43)</f>
        <v>93958.745631565631</v>
      </c>
      <c r="DV41" s="651">
        <f>DQ41*(1+DV43)</f>
        <v>96508.812970558487</v>
      </c>
      <c r="DW41" s="651">
        <f>DR41*(1+DW43)</f>
        <v>129476.24598639186</v>
      </c>
      <c r="DX41" s="649">
        <f>SUM(DT41:DW41)</f>
        <v>407857.06751351594</v>
      </c>
      <c r="DY41" s="651">
        <f>DT41*(1+DY43)</f>
        <v>102418.951307625</v>
      </c>
      <c r="DZ41" s="651">
        <f>DU41*(1+DZ43)</f>
        <v>109461.93866077396</v>
      </c>
      <c r="EA41" s="651">
        <f>DV41*(1+EA43)</f>
        <v>112432.76711070065</v>
      </c>
      <c r="EB41" s="651">
        <f>DW41*(1+EB43)</f>
        <v>150839.82657414651</v>
      </c>
      <c r="EC41" s="649">
        <f>SUM(DY41:EB41)</f>
        <v>475153.48365324613</v>
      </c>
      <c r="ED41" s="588"/>
    </row>
    <row r="42" spans="1:134" ht="12" customHeight="1">
      <c r="A42" s="1189"/>
      <c r="B42" s="567"/>
      <c r="C42" s="762" t="s">
        <v>141</v>
      </c>
      <c r="D42" s="652"/>
      <c r="E42" s="652"/>
      <c r="F42" s="652"/>
      <c r="G42" s="652"/>
      <c r="H42" s="652"/>
      <c r="I42" s="653"/>
      <c r="J42" s="653"/>
      <c r="K42" s="653"/>
      <c r="L42" s="653"/>
      <c r="M42" s="654"/>
      <c r="N42" s="655"/>
      <c r="O42" s="655"/>
      <c r="P42" s="655"/>
      <c r="Q42" s="655"/>
      <c r="R42" s="654"/>
      <c r="S42" s="653"/>
      <c r="T42" s="653"/>
      <c r="U42" s="653"/>
      <c r="V42" s="653"/>
      <c r="W42" s="654"/>
      <c r="X42" s="656"/>
      <c r="Y42" s="656"/>
      <c r="Z42" s="656"/>
      <c r="AA42" s="656"/>
      <c r="AB42" s="654"/>
      <c r="AC42" s="656"/>
      <c r="AD42" s="656"/>
      <c r="AE42" s="656"/>
      <c r="AF42" s="656"/>
      <c r="AG42" s="654"/>
      <c r="AH42" s="91"/>
      <c r="AI42" s="657"/>
      <c r="AJ42" s="657"/>
      <c r="AK42" s="657"/>
      <c r="AL42" s="654"/>
      <c r="AM42" s="657"/>
      <c r="AN42" s="657"/>
      <c r="AO42" s="657"/>
      <c r="AP42" s="657"/>
      <c r="AQ42" s="654"/>
      <c r="AR42" s="657"/>
      <c r="AS42" s="657"/>
      <c r="AT42" s="657"/>
      <c r="AU42" s="657"/>
      <c r="AV42" s="654"/>
      <c r="AW42" s="657"/>
      <c r="AX42" s="657"/>
      <c r="AY42" s="657"/>
      <c r="AZ42" s="657"/>
      <c r="BA42" s="654"/>
      <c r="BB42" s="657"/>
      <c r="BC42" s="657"/>
      <c r="BD42" s="657"/>
      <c r="BE42" s="657"/>
      <c r="BF42" s="658"/>
      <c r="BG42" s="659"/>
      <c r="BH42" s="659"/>
      <c r="BI42" s="659"/>
      <c r="BJ42" s="659"/>
      <c r="BK42" s="658"/>
      <c r="BL42" s="287"/>
      <c r="BM42" s="287"/>
      <c r="BN42" s="287"/>
      <c r="BO42" s="287"/>
      <c r="BP42" s="593"/>
      <c r="BQ42" s="287"/>
      <c r="BR42" s="287">
        <f t="shared" ref="BR42:BT42" si="219">BR41/BQ41-1</f>
        <v>0.23449378512811125</v>
      </c>
      <c r="BS42" s="287">
        <f t="shared" si="219"/>
        <v>0.16805143367892872</v>
      </c>
      <c r="BT42" s="287">
        <f t="shared" si="219"/>
        <v>0.48682763977513832</v>
      </c>
      <c r="BU42" s="593"/>
      <c r="BV42" s="287">
        <f t="shared" ref="BV42" si="220">BV41/BT41-1</f>
        <v>-5.8809086409663425E-2</v>
      </c>
      <c r="BW42" s="287">
        <f t="shared" ref="BW42:BY42" si="221">BW41/BV41-1</f>
        <v>0.26008598694288998</v>
      </c>
      <c r="BX42" s="287">
        <f t="shared" si="221"/>
        <v>0.1317795264738546</v>
      </c>
      <c r="BY42" s="287">
        <f t="shared" si="221"/>
        <v>0.45007389063660863</v>
      </c>
      <c r="BZ42" s="593"/>
      <c r="CA42" s="287">
        <f t="shared" ref="CA42" si="222">CA41/BY41-1</f>
        <v>-0.12178151251378855</v>
      </c>
      <c r="CB42" s="287">
        <f t="shared" ref="CB42:CD42" si="223">CB41/CA41-1</f>
        <v>0.20884835932549173</v>
      </c>
      <c r="CC42" s="287">
        <f t="shared" si="223"/>
        <v>9.6329497910446316E-2</v>
      </c>
      <c r="CD42" s="287">
        <f t="shared" si="223"/>
        <v>0.42608017540313181</v>
      </c>
      <c r="CE42" s="593"/>
      <c r="CF42" s="287">
        <f t="shared" ref="CF42" si="224">CF41/CD41-1</f>
        <v>-0.13286989317062003</v>
      </c>
      <c r="CG42" s="287">
        <f t="shared" ref="CG42:CI42" si="225">CG41/CF41-1</f>
        <v>0.14878555390351011</v>
      </c>
      <c r="CH42" s="287">
        <f t="shared" si="225"/>
        <v>9.4023964826105866E-2</v>
      </c>
      <c r="CI42" s="287">
        <f t="shared" si="225"/>
        <v>0.40281229639021343</v>
      </c>
      <c r="CJ42" s="593"/>
      <c r="CK42" s="287">
        <f t="shared" ref="CK42" si="226">CK41/CI41-1</f>
        <v>-0.15026027136293196</v>
      </c>
      <c r="CL42" s="287">
        <f t="shared" ref="CL42:CN42" si="227">CL41/CK41-1</f>
        <v>0.15598423210142576</v>
      </c>
      <c r="CM42" s="287">
        <f t="shared" si="227"/>
        <v>7.6161788298815258E-2</v>
      </c>
      <c r="CN42" s="287">
        <f t="shared" si="227"/>
        <v>0.39202299962688358</v>
      </c>
      <c r="CO42" s="593"/>
      <c r="CP42" s="287">
        <f t="shared" ref="CP42" si="228">CP41/CN41-1</f>
        <v>-0.15588304891309457</v>
      </c>
      <c r="CQ42" s="287">
        <f t="shared" ref="CQ42:CS42" si="229">CQ41/CP41-1</f>
        <v>0.72868391453652226</v>
      </c>
      <c r="CR42" s="287">
        <f t="shared" si="229"/>
        <v>2.696151589216389E-2</v>
      </c>
      <c r="CS42" s="287">
        <f t="shared" si="229"/>
        <v>0.33062935447973785</v>
      </c>
      <c r="CT42" s="593"/>
      <c r="CU42" s="287">
        <f t="shared" ref="CU42" si="230">CU41/CS41-1</f>
        <v>-9.2184125563324226E-2</v>
      </c>
      <c r="CV42" s="287">
        <f t="shared" ref="CV42:CX42" si="231">CV41/CU41-1</f>
        <v>0.1297694538709333</v>
      </c>
      <c r="CW42" s="287">
        <f t="shared" si="231"/>
        <v>-1.0152637484215132E-2</v>
      </c>
      <c r="CX42" s="287">
        <f t="shared" si="231"/>
        <v>0.29430297816135376</v>
      </c>
      <c r="CY42" s="593"/>
      <c r="CZ42" s="287">
        <f t="shared" ref="CZ42" si="232">CZ41/CX41-1</f>
        <v>-0.20083793715323384</v>
      </c>
      <c r="DA42" s="287">
        <f t="shared" ref="DA42:DC42" si="233">DA41/CZ41-1</f>
        <v>8.4497015181868695E-2</v>
      </c>
      <c r="DB42" s="287">
        <f t="shared" si="233"/>
        <v>-1.3878675785912509E-2</v>
      </c>
      <c r="DC42" s="287">
        <f t="shared" si="233"/>
        <v>0.32034632034632038</v>
      </c>
      <c r="DD42" s="593"/>
      <c r="DE42" s="287">
        <f t="shared" ref="DE42" si="234">DE41/DC41-1</f>
        <v>-0.18688524590163935</v>
      </c>
      <c r="DF42" s="287">
        <f t="shared" ref="DF42:DH42" si="235">DF41/DE41-1</f>
        <v>0.1088709677419355</v>
      </c>
      <c r="DG42" s="287">
        <f t="shared" si="235"/>
        <v>2.1818181818181737E-2</v>
      </c>
      <c r="DH42" s="287">
        <f t="shared" si="235"/>
        <v>0.33674377224199281</v>
      </c>
      <c r="DI42" s="593"/>
      <c r="DJ42" s="287">
        <f t="shared" ref="DJ42" si="236">DJ41/DH41-1</f>
        <v>-0.18995008319467555</v>
      </c>
      <c r="DK42" s="287">
        <f t="shared" ref="DK42:DM42" si="237">DK41/DJ41-1</f>
        <v>0.10500369731328574</v>
      </c>
      <c r="DL42" s="287">
        <f t="shared" si="237"/>
        <v>3.6731355491114615E-2</v>
      </c>
      <c r="DM42" s="287">
        <f t="shared" si="237"/>
        <v>0.33083805493796148</v>
      </c>
      <c r="DN42" s="593"/>
      <c r="DO42" s="287">
        <f>DO41/DM41-1</f>
        <v>-0.19322963751372535</v>
      </c>
      <c r="DP42" s="287">
        <f t="shared" ref="DP42" si="238">DP41/DO41-1</f>
        <v>6.8766446670545323E-2</v>
      </c>
      <c r="DQ42" s="287">
        <f t="shared" ref="DQ42" si="239">DQ41/DP41-1</f>
        <v>2.7140287174461264E-2</v>
      </c>
      <c r="DR42" s="287">
        <f t="shared" ref="DR42" si="240">DR41/DQ41-1</f>
        <v>0.34160023319207733</v>
      </c>
      <c r="DS42" s="593"/>
      <c r="DT42" s="287">
        <f t="shared" ref="DT42" si="241">DT41/DR41-1</f>
        <v>-0.20252455175241435</v>
      </c>
      <c r="DU42" s="287">
        <f t="shared" ref="DU42:DW42" si="242">DU41/DT41-1</f>
        <v>6.8766446670545101E-2</v>
      </c>
      <c r="DV42" s="287">
        <f t="shared" si="242"/>
        <v>2.7140287174461264E-2</v>
      </c>
      <c r="DW42" s="287">
        <f t="shared" si="242"/>
        <v>0.34160023319207755</v>
      </c>
      <c r="DX42" s="593"/>
      <c r="DY42" s="287">
        <f t="shared" ref="DY42" si="243">DY41/DW41-1</f>
        <v>-0.20897497044832936</v>
      </c>
      <c r="DZ42" s="287">
        <f t="shared" ref="DZ42:EB42" si="244">DZ41/DY41-1</f>
        <v>6.8766446670545101E-2</v>
      </c>
      <c r="EA42" s="287">
        <f t="shared" si="244"/>
        <v>2.7140287174461486E-2</v>
      </c>
      <c r="EB42" s="287">
        <f t="shared" si="244"/>
        <v>0.34160023319207733</v>
      </c>
      <c r="EC42" s="593"/>
      <c r="ED42" s="578"/>
    </row>
    <row r="43" spans="1:134" ht="12" customHeight="1">
      <c r="A43" s="1189" t="s">
        <v>620</v>
      </c>
      <c r="B43" s="567"/>
      <c r="C43" s="762" t="s">
        <v>140</v>
      </c>
      <c r="D43" s="660"/>
      <c r="E43" s="660"/>
      <c r="F43" s="660"/>
      <c r="G43" s="660"/>
      <c r="H43" s="660"/>
      <c r="I43" s="661"/>
      <c r="J43" s="661"/>
      <c r="K43" s="661"/>
      <c r="L43" s="661"/>
      <c r="M43" s="662"/>
      <c r="N43" s="663"/>
      <c r="O43" s="663"/>
      <c r="P43" s="663"/>
      <c r="Q43" s="663"/>
      <c r="R43" s="662"/>
      <c r="S43" s="661"/>
      <c r="T43" s="661"/>
      <c r="U43" s="661"/>
      <c r="V43" s="661"/>
      <c r="W43" s="662"/>
      <c r="X43" s="664"/>
      <c r="Y43" s="664"/>
      <c r="Z43" s="664"/>
      <c r="AA43" s="664"/>
      <c r="AB43" s="662"/>
      <c r="AC43" s="664"/>
      <c r="AD43" s="664"/>
      <c r="AE43" s="664"/>
      <c r="AF43" s="664"/>
      <c r="AG43" s="662"/>
      <c r="AH43" s="665"/>
      <c r="AI43" s="666"/>
      <c r="AJ43" s="666"/>
      <c r="AK43" s="666"/>
      <c r="AL43" s="662"/>
      <c r="AM43" s="666"/>
      <c r="AN43" s="666"/>
      <c r="AO43" s="666"/>
      <c r="AP43" s="666"/>
      <c r="AQ43" s="662"/>
      <c r="AR43" s="666"/>
      <c r="AS43" s="666"/>
      <c r="AT43" s="666"/>
      <c r="AU43" s="666"/>
      <c r="AV43" s="662"/>
      <c r="AW43" s="419"/>
      <c r="AX43" s="419"/>
      <c r="AY43" s="419"/>
      <c r="AZ43" s="419"/>
      <c r="BA43" s="590"/>
      <c r="BB43" s="419"/>
      <c r="BC43" s="419"/>
      <c r="BD43" s="419"/>
      <c r="BE43" s="419"/>
      <c r="BF43" s="590"/>
      <c r="BG43" s="419"/>
      <c r="BH43" s="419"/>
      <c r="BI43" s="419"/>
      <c r="BJ43" s="419"/>
      <c r="BK43" s="590"/>
      <c r="BL43" s="287"/>
      <c r="BM43" s="287"/>
      <c r="BN43" s="287"/>
      <c r="BO43" s="287"/>
      <c r="BP43" s="286"/>
      <c r="BQ43" s="287"/>
      <c r="BR43" s="287"/>
      <c r="BS43" s="287"/>
      <c r="BT43" s="287"/>
      <c r="BU43" s="286"/>
      <c r="BV43" s="287">
        <f t="shared" ref="BV43:CN43" si="245">BV41/BQ41-1</f>
        <v>1.0178516134197126</v>
      </c>
      <c r="BW43" s="287">
        <f t="shared" si="245"/>
        <v>1.0596835499956869</v>
      </c>
      <c r="BX43" s="287">
        <f t="shared" si="245"/>
        <v>0.99572348073576045</v>
      </c>
      <c r="BY43" s="287">
        <f t="shared" si="245"/>
        <v>0.94639004207845323</v>
      </c>
      <c r="BZ43" s="286">
        <f t="shared" si="245"/>
        <v>0.99491920041636694</v>
      </c>
      <c r="CA43" s="287">
        <f t="shared" si="245"/>
        <v>0.81616258097066363</v>
      </c>
      <c r="CB43" s="287">
        <f t="shared" si="245"/>
        <v>0.74231376193713761</v>
      </c>
      <c r="CC43" s="287">
        <f t="shared" si="245"/>
        <v>0.68774034796178096</v>
      </c>
      <c r="CD43" s="287">
        <f t="shared" si="245"/>
        <v>0.65981407361222622</v>
      </c>
      <c r="CE43" s="286">
        <f t="shared" si="245"/>
        <v>0.71197253886812484</v>
      </c>
      <c r="CF43" s="287">
        <f t="shared" si="245"/>
        <v>0.63885727239473034</v>
      </c>
      <c r="CG43" s="287">
        <f t="shared" si="245"/>
        <v>0.55742905626912131</v>
      </c>
      <c r="CH43" s="287">
        <f t="shared" si="245"/>
        <v>0.55415385093843805</v>
      </c>
      <c r="CI43" s="287">
        <f t="shared" si="245"/>
        <v>0.52879632588843561</v>
      </c>
      <c r="CJ43" s="286">
        <f t="shared" si="245"/>
        <v>0.56166427622942861</v>
      </c>
      <c r="CK43" s="287">
        <f t="shared" si="245"/>
        <v>0.49813616765286395</v>
      </c>
      <c r="CL43" s="287">
        <f t="shared" si="245"/>
        <v>0.50752399476380372</v>
      </c>
      <c r="CM43" s="287">
        <f t="shared" si="245"/>
        <v>0.48291058538764098</v>
      </c>
      <c r="CN43" s="287">
        <f t="shared" si="245"/>
        <v>0.47150523741599781</v>
      </c>
      <c r="CO43" s="286">
        <f t="shared" ref="CO43:DD43" si="246">CO41/CJ41-1</f>
        <v>0.48743651290927503</v>
      </c>
      <c r="CP43" s="287">
        <f t="shared" si="246"/>
        <v>0.46176820107998906</v>
      </c>
      <c r="CQ43" s="287">
        <f t="shared" si="246"/>
        <v>1.1859598996383656</v>
      </c>
      <c r="CR43" s="287">
        <f t="shared" si="246"/>
        <v>1.0860215597887066</v>
      </c>
      <c r="CS43" s="287">
        <f t="shared" si="246"/>
        <v>0.99401987055994345</v>
      </c>
      <c r="CT43" s="286">
        <f t="shared" si="246"/>
        <v>0.9558417543969091</v>
      </c>
      <c r="CU43" s="287">
        <f t="shared" si="246"/>
        <v>1.1444929995845019</v>
      </c>
      <c r="CV43" s="287">
        <f t="shared" si="246"/>
        <v>0.40151861459311067</v>
      </c>
      <c r="CW43" s="287">
        <f t="shared" si="246"/>
        <v>0.35086805367440843</v>
      </c>
      <c r="CX43" s="287">
        <f t="shared" si="246"/>
        <v>0.31398915790298143</v>
      </c>
      <c r="CY43" s="286">
        <f t="shared" si="246"/>
        <v>0.4665161228507988</v>
      </c>
      <c r="CZ43" s="287">
        <f t="shared" si="246"/>
        <v>0.15672166080995353</v>
      </c>
      <c r="DA43" s="287">
        <f t="shared" si="246"/>
        <v>0.11036918571877075</v>
      </c>
      <c r="DB43" s="287">
        <f t="shared" ref="DB43" si="247">DB41/CW41-1</f>
        <v>0.10618947249056432</v>
      </c>
      <c r="DC43" s="287">
        <f t="shared" ref="DC43:DE43" si="248">DC41/CX41-1</f>
        <v>0.12844768516531557</v>
      </c>
      <c r="DD43" s="286">
        <f t="shared" si="246"/>
        <v>0.12481826288589826</v>
      </c>
      <c r="DE43" s="287">
        <f t="shared" si="248"/>
        <v>0.14814942386973029</v>
      </c>
      <c r="DF43" s="287">
        <f t="shared" ref="DF43" si="249">DF41/DA41-1</f>
        <v>0.17395395739772312</v>
      </c>
      <c r="DG43" s="287">
        <f t="shared" ref="DG43:DL43" si="250">DG41/DB41-1</f>
        <v>0.21645021645021645</v>
      </c>
      <c r="DH43" s="287">
        <f t="shared" si="250"/>
        <v>0.23155737704918034</v>
      </c>
      <c r="DI43" s="286">
        <f>DI41/DD41-1</f>
        <v>0.19606993902175129</v>
      </c>
      <c r="DJ43" s="287">
        <f t="shared" si="250"/>
        <v>0.22691532258064506</v>
      </c>
      <c r="DK43" s="287">
        <f t="shared" si="250"/>
        <v>0.22263636363636374</v>
      </c>
      <c r="DL43" s="287">
        <f t="shared" si="250"/>
        <v>0.24048042704626327</v>
      </c>
      <c r="DM43" s="420">
        <v>0.23499999999999999</v>
      </c>
      <c r="DN43" s="286">
        <f>DN41/DI41-1</f>
        <v>0.23172353502172305</v>
      </c>
      <c r="DO43" s="420">
        <v>0.23</v>
      </c>
      <c r="DP43" s="420">
        <v>0.18966364782403611</v>
      </c>
      <c r="DQ43" s="420">
        <v>0.17865776355162111</v>
      </c>
      <c r="DR43" s="420">
        <v>0.1881892951342008</v>
      </c>
      <c r="DS43" s="286">
        <f>DS41/DN41-1</f>
        <v>0.19499962161404616</v>
      </c>
      <c r="DT43" s="420">
        <v>0.17449999999999999</v>
      </c>
      <c r="DU43" s="420">
        <v>0.17449999999999999</v>
      </c>
      <c r="DV43" s="420">
        <v>0.17449999999999999</v>
      </c>
      <c r="DW43" s="420">
        <v>0.17449999999999999</v>
      </c>
      <c r="DX43" s="286">
        <f>DX41/DS41-1</f>
        <v>0.17449999999999988</v>
      </c>
      <c r="DY43" s="420">
        <v>0.16500000000000001</v>
      </c>
      <c r="DZ43" s="420">
        <v>0.16500000000000001</v>
      </c>
      <c r="EA43" s="420">
        <v>0.16500000000000001</v>
      </c>
      <c r="EB43" s="420">
        <v>0.16500000000000001</v>
      </c>
      <c r="EC43" s="286">
        <f>EC41/DX41-1</f>
        <v>0.16500000000000026</v>
      </c>
      <c r="ED43" s="567"/>
    </row>
    <row r="44" spans="1:134" ht="12" customHeight="1">
      <c r="A44" s="1189"/>
      <c r="B44" s="567"/>
      <c r="C44" s="762" t="s">
        <v>701</v>
      </c>
      <c r="D44" s="660"/>
      <c r="E44" s="660"/>
      <c r="F44" s="660"/>
      <c r="G44" s="660"/>
      <c r="H44" s="660"/>
      <c r="I44" s="661"/>
      <c r="J44" s="661"/>
      <c r="K44" s="661"/>
      <c r="L44" s="661"/>
      <c r="M44" s="662"/>
      <c r="N44" s="663"/>
      <c r="O44" s="663"/>
      <c r="P44" s="663"/>
      <c r="Q44" s="663"/>
      <c r="R44" s="662"/>
      <c r="S44" s="661"/>
      <c r="T44" s="661"/>
      <c r="U44" s="661"/>
      <c r="V44" s="661"/>
      <c r="W44" s="662"/>
      <c r="X44" s="664"/>
      <c r="Y44" s="664"/>
      <c r="Z44" s="664"/>
      <c r="AA44" s="664"/>
      <c r="AB44" s="662"/>
      <c r="AC44" s="664"/>
      <c r="AD44" s="664"/>
      <c r="AE44" s="664"/>
      <c r="AF44" s="664"/>
      <c r="AG44" s="662"/>
      <c r="AH44" s="665"/>
      <c r="AI44" s="666"/>
      <c r="AJ44" s="666"/>
      <c r="AK44" s="666"/>
      <c r="AL44" s="662"/>
      <c r="AM44" s="666"/>
      <c r="AN44" s="666"/>
      <c r="AO44" s="666"/>
      <c r="AP44" s="666"/>
      <c r="AQ44" s="662"/>
      <c r="AR44" s="666"/>
      <c r="AS44" s="666"/>
      <c r="AT44" s="666"/>
      <c r="AU44" s="666"/>
      <c r="AV44" s="662"/>
      <c r="AW44" s="419"/>
      <c r="AX44" s="419"/>
      <c r="AY44" s="419"/>
      <c r="AZ44" s="419"/>
      <c r="BA44" s="590"/>
      <c r="BB44" s="419"/>
      <c r="BC44" s="419"/>
      <c r="BD44" s="419"/>
      <c r="BE44" s="419"/>
      <c r="BF44" s="590"/>
      <c r="BG44" s="419"/>
      <c r="BH44" s="419"/>
      <c r="BI44" s="419"/>
      <c r="BJ44" s="419"/>
      <c r="BK44" s="590"/>
      <c r="BL44" s="287"/>
      <c r="BM44" s="287"/>
      <c r="BN44" s="287"/>
      <c r="BO44" s="287"/>
      <c r="BP44" s="286"/>
      <c r="BQ44" s="287"/>
      <c r="BR44" s="287"/>
      <c r="BS44" s="287"/>
      <c r="BT44" s="1402">
        <f t="shared" ref="BT44:EC44" si="251">BT41/BT27</f>
        <v>17.20451515151515</v>
      </c>
      <c r="BU44" s="1363">
        <f t="shared" si="251"/>
        <v>46.707036363636362</v>
      </c>
      <c r="BV44" s="1402">
        <f>BV41/BV27</f>
        <v>12.147586896724182</v>
      </c>
      <c r="BW44" s="1402">
        <f t="shared" si="251"/>
        <v>12.023925</v>
      </c>
      <c r="BX44" s="1402">
        <f t="shared" si="251"/>
        <v>11.907378124999999</v>
      </c>
      <c r="BY44" s="1402">
        <f t="shared" si="251"/>
        <v>14.636569536423837</v>
      </c>
      <c r="BZ44" s="1363">
        <f t="shared" si="251"/>
        <v>40.726267549668876</v>
      </c>
      <c r="CA44" s="1402">
        <f>CA41/CA27</f>
        <v>11.553392857142859</v>
      </c>
      <c r="CB44" s="1402">
        <f t="shared" si="251"/>
        <v>11.731692000000001</v>
      </c>
      <c r="CC44" s="1402">
        <f t="shared" si="251"/>
        <v>11.282280701754388</v>
      </c>
      <c r="CD44" s="1402">
        <f t="shared" si="251"/>
        <v>15.059078817733988</v>
      </c>
      <c r="CE44" s="1363">
        <f t="shared" si="251"/>
        <v>43.218637110016424</v>
      </c>
      <c r="CF44" s="1402">
        <f>CF41/CF27</f>
        <v>12.234510769230768</v>
      </c>
      <c r="CG44" s="1402">
        <f t="shared" si="251"/>
        <v>13.050912857142857</v>
      </c>
      <c r="CH44" s="1402">
        <f t="shared" si="251"/>
        <v>13.150800000000002</v>
      </c>
      <c r="CI44" s="1402">
        <f t="shared" si="251"/>
        <v>17.098242682926827</v>
      </c>
      <c r="CJ44" s="1363">
        <f t="shared" si="251"/>
        <v>50.125899999999994</v>
      </c>
      <c r="CK44" s="1402">
        <f>CK41/CK27</f>
        <v>14.01626588235294</v>
      </c>
      <c r="CL44" s="1402">
        <f t="shared" si="251"/>
        <v>15.302438888888888</v>
      </c>
      <c r="CM44" s="1402">
        <f t="shared" si="251"/>
        <v>15.601168421052632</v>
      </c>
      <c r="CN44" s="1402">
        <f t="shared" si="251"/>
        <v>19.299650140318054</v>
      </c>
      <c r="CO44" s="1363">
        <f t="shared" si="251"/>
        <v>61.138457000000002</v>
      </c>
      <c r="CP44" s="1402">
        <f>CP41/CP27</f>
        <v>15.832047272727273</v>
      </c>
      <c r="CQ44" s="1402">
        <f t="shared" si="251"/>
        <v>24.436254870129865</v>
      </c>
      <c r="CR44" s="1402">
        <f t="shared" si="251"/>
        <v>21.173985009131492</v>
      </c>
      <c r="CS44" s="1402">
        <f t="shared" si="251"/>
        <v>23.521597484276729</v>
      </c>
      <c r="CT44" s="1363">
        <f t="shared" si="251"/>
        <v>68.368866209262436</v>
      </c>
      <c r="CU44" s="1402">
        <f>CU41/CU27</f>
        <v>20.531999604169414</v>
      </c>
      <c r="CV44" s="1402">
        <f t="shared" si="251"/>
        <v>22.304255749692974</v>
      </c>
      <c r="CW44" s="1402">
        <f t="shared" si="251"/>
        <v>21.228662237222231</v>
      </c>
      <c r="CX44" s="1402">
        <f t="shared" si="251"/>
        <v>26.202888996606887</v>
      </c>
      <c r="CY44" s="1363">
        <f t="shared" si="251"/>
        <v>85.003302956858946</v>
      </c>
      <c r="CZ44" s="1402">
        <f>CZ41/CZ27</f>
        <v>20.733024577300188</v>
      </c>
      <c r="DA44" s="1402">
        <f t="shared" si="251"/>
        <v>22.262280465123151</v>
      </c>
      <c r="DB44" s="1402">
        <f t="shared" si="251"/>
        <v>21.735949992368962</v>
      </c>
      <c r="DC44" s="1402">
        <f t="shared" si="251"/>
        <v>24.955636166657381</v>
      </c>
      <c r="DD44" s="1363">
        <f t="shared" si="251"/>
        <v>80.69677870962218</v>
      </c>
      <c r="DE44" s="1402">
        <f>DE41/DE27</f>
        <v>17.645039969582413</v>
      </c>
      <c r="DF44" s="1402">
        <f t="shared" si="251"/>
        <v>18.63435480658665</v>
      </c>
      <c r="DG44" s="1402">
        <f t="shared" si="251"/>
        <v>18.852398562199276</v>
      </c>
      <c r="DH44" s="1402">
        <f t="shared" si="251"/>
        <v>24.586172068140279</v>
      </c>
      <c r="DI44" s="1363">
        <f t="shared" si="251"/>
        <v>77.211216574722073</v>
      </c>
      <c r="DJ44" s="1402">
        <f>DJ41/DJ27</f>
        <v>19.430269891081391</v>
      </c>
      <c r="DK44" s="1402">
        <f t="shared" si="251"/>
        <v>20.946848848234101</v>
      </c>
      <c r="DL44" s="1402">
        <f t="shared" si="251"/>
        <v>21.186590243607057</v>
      </c>
      <c r="DM44" s="1402">
        <f t="shared" si="251"/>
        <v>27.508215171287421</v>
      </c>
      <c r="DN44" s="1363">
        <f t="shared" si="251"/>
        <v>86.158508774884368</v>
      </c>
      <c r="DO44" s="1402">
        <f>DO41/DO27</f>
        <v>21.651524609843896</v>
      </c>
      <c r="DP44" s="1402">
        <f t="shared" si="251"/>
        <v>22.576022460744124</v>
      </c>
      <c r="DQ44" s="1402">
        <f t="shared" si="251"/>
        <v>22.623163115693472</v>
      </c>
      <c r="DR44" s="1402">
        <f t="shared" si="251"/>
        <v>29.610966742982217</v>
      </c>
      <c r="DS44" s="1363">
        <f t="shared" si="251"/>
        <v>93.276121577561725</v>
      </c>
      <c r="DT44" s="1402">
        <f>DT41/DT27</f>
        <v>23.03806729405278</v>
      </c>
      <c r="DU44" s="1402">
        <f t="shared" si="251"/>
        <v>24.021769092704091</v>
      </c>
      <c r="DV44" s="1402">
        <f t="shared" si="251"/>
        <v>24.071928589579201</v>
      </c>
      <c r="DW44" s="1402">
        <f t="shared" si="251"/>
        <v>31.50722439918292</v>
      </c>
      <c r="DX44" s="1363">
        <f t="shared" si="251"/>
        <v>99.24943414170076</v>
      </c>
      <c r="DY44" s="1402">
        <f>DY41/DY27</f>
        <v>24.315124986785161</v>
      </c>
      <c r="DZ44" s="1402">
        <f t="shared" si="251"/>
        <v>25.353355836562503</v>
      </c>
      <c r="EA44" s="1402">
        <f t="shared" si="251"/>
        <v>25.406295799807925</v>
      </c>
      <c r="EB44" s="1402">
        <f t="shared" si="251"/>
        <v>33.253748653238254</v>
      </c>
      <c r="EC44" s="1363">
        <f t="shared" si="251"/>
        <v>104.75107851803762</v>
      </c>
      <c r="ED44" s="567"/>
    </row>
    <row r="45" spans="1:134" ht="12" customHeight="1">
      <c r="A45" s="1189"/>
      <c r="B45" s="567"/>
      <c r="C45" s="775" t="s">
        <v>704</v>
      </c>
      <c r="D45" s="589"/>
      <c r="E45" s="764"/>
      <c r="F45" s="764"/>
      <c r="G45" s="764"/>
      <c r="H45" s="764"/>
      <c r="I45" s="591"/>
      <c r="J45" s="591"/>
      <c r="K45" s="591"/>
      <c r="L45" s="591"/>
      <c r="M45" s="764"/>
      <c r="N45" s="765"/>
      <c r="O45" s="765"/>
      <c r="P45" s="765"/>
      <c r="Q45" s="765"/>
      <c r="R45" s="764"/>
      <c r="S45" s="765"/>
      <c r="T45" s="765"/>
      <c r="U45" s="765"/>
      <c r="V45" s="765"/>
      <c r="W45" s="764"/>
      <c r="X45" s="765"/>
      <c r="Y45" s="765"/>
      <c r="Z45" s="765"/>
      <c r="AA45" s="765"/>
      <c r="AB45" s="764"/>
      <c r="AC45" s="765"/>
      <c r="AD45" s="765"/>
      <c r="AE45" s="765"/>
      <c r="AF45" s="765"/>
      <c r="AG45" s="764"/>
      <c r="AH45" s="765"/>
      <c r="AI45" s="765"/>
      <c r="AJ45" s="765"/>
      <c r="AK45" s="765"/>
      <c r="AL45" s="764"/>
      <c r="AM45" s="765"/>
      <c r="AN45" s="765"/>
      <c r="AO45" s="765"/>
      <c r="AP45" s="765"/>
      <c r="AQ45" s="764"/>
      <c r="AR45" s="765"/>
      <c r="AS45" s="765"/>
      <c r="AT45" s="765"/>
      <c r="AU45" s="765"/>
      <c r="AV45" s="764"/>
      <c r="AW45" s="765"/>
      <c r="AX45" s="765"/>
      <c r="AY45" s="765"/>
      <c r="AZ45" s="765"/>
      <c r="BA45" s="764"/>
      <c r="BB45" s="765"/>
      <c r="BC45" s="765"/>
      <c r="BD45" s="765"/>
      <c r="BE45" s="765"/>
      <c r="BF45" s="764"/>
      <c r="BG45" s="776"/>
      <c r="BH45" s="776"/>
      <c r="BI45" s="776"/>
      <c r="BJ45" s="776"/>
      <c r="BK45" s="764"/>
      <c r="BL45" s="765"/>
      <c r="BM45" s="765"/>
      <c r="BN45" s="765"/>
      <c r="BO45" s="765"/>
      <c r="BP45" s="764"/>
      <c r="BQ45" s="765">
        <f t="shared" ref="BQ45:CY45" si="252">BQ48/BQ41</f>
        <v>1.1325582554554778E-2</v>
      </c>
      <c r="BR45" s="765">
        <f t="shared" si="252"/>
        <v>1.1909546908638413E-2</v>
      </c>
      <c r="BS45" s="765">
        <f t="shared" si="252"/>
        <v>1.2164903420848777E-2</v>
      </c>
      <c r="BT45" s="765">
        <f t="shared" si="252"/>
        <v>1.2528423652001148E-2</v>
      </c>
      <c r="BU45" s="777">
        <f t="shared" si="252"/>
        <v>1.2100441423334956E-2</v>
      </c>
      <c r="BV45" s="765">
        <f t="shared" si="252"/>
        <v>1.2731487112999807E-2</v>
      </c>
      <c r="BW45" s="765">
        <f t="shared" si="252"/>
        <v>1.2764134839497085E-2</v>
      </c>
      <c r="BX45" s="765">
        <f t="shared" si="252"/>
        <v>1.3053618804097564E-2</v>
      </c>
      <c r="BY45" s="765">
        <f t="shared" si="252"/>
        <v>1.3392201878448341E-2</v>
      </c>
      <c r="BZ45" s="777">
        <f t="shared" si="252"/>
        <v>1.3055927716664436E-2</v>
      </c>
      <c r="CA45" s="765">
        <f t="shared" si="252"/>
        <v>1.3456982848781796E-2</v>
      </c>
      <c r="CB45" s="765">
        <f t="shared" si="252"/>
        <v>1.3647988712966554E-2</v>
      </c>
      <c r="CC45" s="765">
        <f t="shared" si="252"/>
        <v>1.3842696978649956E-2</v>
      </c>
      <c r="CD45" s="765">
        <f t="shared" si="252"/>
        <v>1.4054769943317938E-2</v>
      </c>
      <c r="CE45" s="777">
        <f t="shared" si="252"/>
        <v>1.3802086994185064E-2</v>
      </c>
      <c r="CF45" s="765">
        <f t="shared" si="252"/>
        <v>1.4353093493914818E-2</v>
      </c>
      <c r="CG45" s="765">
        <f t="shared" si="252"/>
        <v>1.4694319685793189E-2</v>
      </c>
      <c r="CH45" s="765">
        <f t="shared" si="252"/>
        <v>1.4962767924464871E-2</v>
      </c>
      <c r="CI45" s="765">
        <f t="shared" si="252"/>
        <v>1.4999544597330251E-2</v>
      </c>
      <c r="CJ45" s="777">
        <f t="shared" si="252"/>
        <v>1.4797690634494537E-2</v>
      </c>
      <c r="CK45" s="765">
        <f t="shared" si="252"/>
        <v>1.5111098651264507E-2</v>
      </c>
      <c r="CL45" s="765">
        <f t="shared" si="252"/>
        <v>1.5170566492850267E-2</v>
      </c>
      <c r="CM45" s="765">
        <f t="shared" si="252"/>
        <v>1.5179362409428172E-2</v>
      </c>
      <c r="CN45" s="765">
        <f t="shared" si="252"/>
        <v>1.5607043386353355E-2</v>
      </c>
      <c r="CO45" s="777">
        <f t="shared" si="252"/>
        <v>1.530840073376402E-2</v>
      </c>
      <c r="CP45" s="765">
        <f t="shared" si="252"/>
        <v>1.6215211815482199E-2</v>
      </c>
      <c r="CQ45" s="765">
        <f t="shared" si="252"/>
        <v>1.7203088635133569E-2</v>
      </c>
      <c r="CR45" s="765">
        <f t="shared" si="252"/>
        <v>1.6888067482276427E-2</v>
      </c>
      <c r="CS45" s="765">
        <f t="shared" si="252"/>
        <v>1.6974144949665374E-2</v>
      </c>
      <c r="CT45" s="777">
        <f t="shared" si="252"/>
        <v>1.6898998267620483E-2</v>
      </c>
      <c r="CU45" s="765">
        <f t="shared" si="252"/>
        <v>1.788545368949904E-2</v>
      </c>
      <c r="CV45" s="765">
        <f t="shared" si="252"/>
        <v>1.860974796254132E-2</v>
      </c>
      <c r="CW45" s="765">
        <f t="shared" si="252"/>
        <v>1.8856268563840671E-2</v>
      </c>
      <c r="CX45" s="765">
        <f t="shared" si="252"/>
        <v>1.9032213666574413E-2</v>
      </c>
      <c r="CY45" s="777">
        <f t="shared" si="252"/>
        <v>1.8644435327294227E-2</v>
      </c>
      <c r="CZ45" s="765">
        <f t="shared" ref="CZ45:DK45" si="253">CZ48/CZ41</f>
        <v>1.9881086904911378E-2</v>
      </c>
      <c r="DA45" s="765">
        <f t="shared" si="253"/>
        <v>1.982103861670316E-2</v>
      </c>
      <c r="DB45" s="765">
        <f t="shared" si="253"/>
        <v>2.1426385281385282E-2</v>
      </c>
      <c r="DC45" s="765">
        <f t="shared" si="253"/>
        <v>2.188072131147541E-2</v>
      </c>
      <c r="DD45" s="777">
        <f t="shared" si="253"/>
        <v>2.0847155564696566E-2</v>
      </c>
      <c r="DE45" s="765">
        <f t="shared" si="253"/>
        <v>2.2701612903225806E-2</v>
      </c>
      <c r="DF45" s="765">
        <f t="shared" si="253"/>
        <v>2.2727272727272728E-2</v>
      </c>
      <c r="DG45" s="765">
        <f t="shared" si="253"/>
        <v>2.185053380782918E-2</v>
      </c>
      <c r="DH45" s="765">
        <f t="shared" si="253"/>
        <v>2.1550748752079865E-2</v>
      </c>
      <c r="DI45" s="777">
        <f t="shared" si="253"/>
        <v>2.2138391437956977E-2</v>
      </c>
      <c r="DJ45" s="765">
        <f t="shared" si="253"/>
        <v>2.2183879714074439E-2</v>
      </c>
      <c r="DK45" s="765">
        <f t="shared" si="253"/>
        <v>2.2038813294668749E-2</v>
      </c>
      <c r="DL45" s="765">
        <f>DL48/DL41</f>
        <v>2.2262066987018575E-2</v>
      </c>
      <c r="DM45" s="765">
        <f>(DH45+DM47/10000)</f>
        <v>2.2050748752079866E-2</v>
      </c>
      <c r="DN45" s="777">
        <f>DN48/DN41</f>
        <v>2.2126562799090654E-2</v>
      </c>
      <c r="DO45" s="765">
        <f>(DJ45+DO47/10000)</f>
        <v>2.3183879714074439E-2</v>
      </c>
      <c r="DP45" s="765">
        <f>(DK45+DP47/10000)</f>
        <v>2.3038813294668749E-2</v>
      </c>
      <c r="DQ45" s="765">
        <f>(DL45+DQ47/10000)</f>
        <v>2.3262066987018576E-2</v>
      </c>
      <c r="DR45" s="765">
        <f>(DM45+DR47/10000)</f>
        <v>2.3050748752079867E-2</v>
      </c>
      <c r="DS45" s="777">
        <f>DS48/DS41</f>
        <v>2.3126698419595044E-2</v>
      </c>
      <c r="DT45" s="765">
        <f>(DO45+DT47/10000)</f>
        <v>2.3883879714074439E-2</v>
      </c>
      <c r="DU45" s="765">
        <f>(DP45+DU47/10000)</f>
        <v>2.3738813294668749E-2</v>
      </c>
      <c r="DV45" s="765">
        <f>(DQ45+DV47/10000)</f>
        <v>2.3962066987018575E-2</v>
      </c>
      <c r="DW45" s="765">
        <f>(DR45+DW47/10000)</f>
        <v>2.3750748752079866E-2</v>
      </c>
      <c r="DX45" s="777">
        <f>DX48/DX41</f>
        <v>2.3826698419595047E-2</v>
      </c>
      <c r="DY45" s="765">
        <f>(DT45+DY47/10000)</f>
        <v>2.4383879714074439E-2</v>
      </c>
      <c r="DZ45" s="765">
        <f>(DU45+DZ47/10000)</f>
        <v>2.4238813294668749E-2</v>
      </c>
      <c r="EA45" s="765">
        <f>(DV45+EA47/10000)</f>
        <v>2.4462066987018576E-2</v>
      </c>
      <c r="EB45" s="765">
        <f>(DW45+EB47/10000)</f>
        <v>2.4250748752079866E-2</v>
      </c>
      <c r="EC45" s="777">
        <f>EC48/EC41</f>
        <v>2.4326698419595044E-2</v>
      </c>
      <c r="ED45" s="578"/>
    </row>
    <row r="46" spans="1:134" s="1368" customFormat="1" ht="12" customHeight="1">
      <c r="A46" s="1192"/>
      <c r="B46" s="1081"/>
      <c r="C46" s="1082" t="s">
        <v>298</v>
      </c>
      <c r="D46" s="1083"/>
      <c r="E46" s="1084"/>
      <c r="F46" s="1084"/>
      <c r="G46" s="1084"/>
      <c r="H46" s="1084"/>
      <c r="I46" s="680"/>
      <c r="J46" s="680"/>
      <c r="K46" s="680"/>
      <c r="L46" s="680"/>
      <c r="M46" s="1084"/>
      <c r="N46" s="1085"/>
      <c r="O46" s="1085"/>
      <c r="P46" s="1085"/>
      <c r="Q46" s="1085"/>
      <c r="R46" s="1084"/>
      <c r="S46" s="1085"/>
      <c r="T46" s="1085"/>
      <c r="U46" s="1085"/>
      <c r="V46" s="1085"/>
      <c r="W46" s="1084"/>
      <c r="X46" s="1085"/>
      <c r="Y46" s="1085"/>
      <c r="Z46" s="1085"/>
      <c r="AA46" s="1085"/>
      <c r="AB46" s="1084"/>
      <c r="AC46" s="1085"/>
      <c r="AD46" s="1085"/>
      <c r="AE46" s="1085"/>
      <c r="AF46" s="1085"/>
      <c r="AG46" s="1084"/>
      <c r="AH46" s="1085"/>
      <c r="AI46" s="1085"/>
      <c r="AJ46" s="1085"/>
      <c r="AK46" s="1085"/>
      <c r="AL46" s="1084"/>
      <c r="AM46" s="1085"/>
      <c r="AN46" s="1085"/>
      <c r="AO46" s="1085"/>
      <c r="AP46" s="1085"/>
      <c r="AQ46" s="1084"/>
      <c r="AR46" s="1085"/>
      <c r="AS46" s="1085"/>
      <c r="AT46" s="1085"/>
      <c r="AU46" s="1085"/>
      <c r="AV46" s="1084"/>
      <c r="AW46" s="1085"/>
      <c r="AX46" s="1085"/>
      <c r="AY46" s="1085"/>
      <c r="AZ46" s="1085"/>
      <c r="BA46" s="1084"/>
      <c r="BB46" s="1085"/>
      <c r="BC46" s="1085"/>
      <c r="BD46" s="1085"/>
      <c r="BE46" s="1085"/>
      <c r="BF46" s="1084"/>
      <c r="BG46" s="1086"/>
      <c r="BH46" s="1086"/>
      <c r="BI46" s="1086"/>
      <c r="BJ46" s="1086"/>
      <c r="BK46" s="1084"/>
      <c r="BL46" s="1085"/>
      <c r="BM46" s="1085"/>
      <c r="BN46" s="1085"/>
      <c r="BO46" s="1085"/>
      <c r="BP46" s="1084"/>
      <c r="BQ46" s="1085"/>
      <c r="BR46" s="1085">
        <f>(BR45-BQ45)*10000</f>
        <v>5.8396435408363496</v>
      </c>
      <c r="BS46" s="1085">
        <f>(BS45-BR45)*10000</f>
        <v>2.5535651221036439</v>
      </c>
      <c r="BT46" s="1085">
        <f>(BT45-BS45)*10000</f>
        <v>3.6352023115237069</v>
      </c>
      <c r="BU46" s="1084"/>
      <c r="BV46" s="1085">
        <f>(BV45-BT45)*10000</f>
        <v>2.0306346099865924</v>
      </c>
      <c r="BW46" s="1085">
        <f>(BW45-BV45)*10000</f>
        <v>0.32647726497277496</v>
      </c>
      <c r="BX46" s="1085">
        <f>(BX45-BW45)*10000</f>
        <v>2.8948396460047947</v>
      </c>
      <c r="BY46" s="1085">
        <f>(BY45-BX45)*10000</f>
        <v>3.3858307435077721</v>
      </c>
      <c r="BZ46" s="626"/>
      <c r="CA46" s="1085">
        <f>(CA45-BY45)*10000</f>
        <v>0.64780970333454602</v>
      </c>
      <c r="CB46" s="1085">
        <f>(CB45-CA45)*10000</f>
        <v>1.9100586418475778</v>
      </c>
      <c r="CC46" s="1085">
        <f>(CC45-CB45)*10000</f>
        <v>1.947082656834024</v>
      </c>
      <c r="CD46" s="1085">
        <f>(CD45-CC45)*10000</f>
        <v>2.1207296466798158</v>
      </c>
      <c r="CE46" s="626"/>
      <c r="CF46" s="1085">
        <f>(CF45-CD45)*10000</f>
        <v>2.9832355059688025</v>
      </c>
      <c r="CG46" s="1085">
        <f>(CG45-CF45)*10000</f>
        <v>3.4122619187837087</v>
      </c>
      <c r="CH46" s="1085">
        <f>(CH45-CG45)*10000</f>
        <v>2.6844823867168235</v>
      </c>
      <c r="CI46" s="1085">
        <f>(CI45-CH45)*10000</f>
        <v>0.3677667286538025</v>
      </c>
      <c r="CJ46" s="626"/>
      <c r="CK46" s="1085">
        <f>(CK45-CI45)*10000</f>
        <v>1.1155405393425619</v>
      </c>
      <c r="CL46" s="1085">
        <f>(CL45-CK45)*10000</f>
        <v>0.59467841585759962</v>
      </c>
      <c r="CM46" s="1085">
        <f>(CM45-CL45)*10000</f>
        <v>8.7959165779045306E-2</v>
      </c>
      <c r="CN46" s="1085">
        <f>(CN45-CM45)*10000</f>
        <v>4.2768097692518285</v>
      </c>
      <c r="CO46" s="626"/>
      <c r="CP46" s="1085">
        <f>(CP45-CN45)*10000</f>
        <v>6.081684291288445</v>
      </c>
      <c r="CQ46" s="1085">
        <f>(CQ45-CP45)*10000</f>
        <v>9.8787681965136969</v>
      </c>
      <c r="CR46" s="1085">
        <f>(CR45-CQ45)*10000</f>
        <v>-3.1502115285714227</v>
      </c>
      <c r="CS46" s="1085">
        <f>(CS45-CR45)*10000</f>
        <v>0.86077467388947371</v>
      </c>
      <c r="CT46" s="626"/>
      <c r="CU46" s="1085">
        <f>(CU45-CS45)*10000</f>
        <v>9.1130873983366616</v>
      </c>
      <c r="CV46" s="1085">
        <f>(CV45-CU45)*10000</f>
        <v>7.2429427304228007</v>
      </c>
      <c r="CW46" s="1085">
        <f t="shared" ref="CW46:DC46" si="254">(CW45-CV45)*10000</f>
        <v>2.4652060129935065</v>
      </c>
      <c r="CX46" s="1085">
        <f t="shared" si="254"/>
        <v>1.7594510273374193</v>
      </c>
      <c r="CY46" s="626"/>
      <c r="CZ46" s="1085">
        <f>(CZ45-CX45)*10000</f>
        <v>8.4887323833696477</v>
      </c>
      <c r="DA46" s="1085">
        <f t="shared" si="254"/>
        <v>-0.60048288208217748</v>
      </c>
      <c r="DB46" s="1085">
        <f t="shared" si="254"/>
        <v>16.053466646821224</v>
      </c>
      <c r="DC46" s="1085">
        <f t="shared" si="254"/>
        <v>4.5433603009012797</v>
      </c>
      <c r="DD46" s="626"/>
      <c r="DE46" s="1085">
        <f>(DE45-DD45)*10000</f>
        <v>18.544573385292399</v>
      </c>
      <c r="DF46" s="1085">
        <f>(DF45-DE45)*10000</f>
        <v>0.2565982404692177</v>
      </c>
      <c r="DG46" s="1085">
        <f>(DG45-DF45)*10000</f>
        <v>-8.7673891944354754</v>
      </c>
      <c r="DH46" s="1085">
        <f>(DH45-DG45)*10000</f>
        <v>-2.9978505574931522</v>
      </c>
      <c r="DI46" s="626"/>
      <c r="DJ46" s="1085">
        <f>(DJ45-DH45)*10000</f>
        <v>6.3313096199457339</v>
      </c>
      <c r="DK46" s="1085">
        <f>(DK45-DJ45)*10000</f>
        <v>-1.4506641940568998</v>
      </c>
      <c r="DL46" s="1085">
        <f>(DL45-DK45)*10000</f>
        <v>2.2325369234982642</v>
      </c>
      <c r="DM46" s="1085">
        <f>(DM45-DL45)*10000</f>
        <v>-2.1131823493870936</v>
      </c>
      <c r="DN46" s="626"/>
      <c r="DO46" s="1085">
        <f>(DO45-DN45)*10000</f>
        <v>10.573169149837858</v>
      </c>
      <c r="DP46" s="1085">
        <f>(DP45-DO45)*10000</f>
        <v>-1.4506641940568998</v>
      </c>
      <c r="DQ46" s="1085">
        <f>(DQ45-DP45)*10000</f>
        <v>2.2325369234982642</v>
      </c>
      <c r="DR46" s="1085">
        <f>(DR45-DQ45)*10000</f>
        <v>-2.1131823493870936</v>
      </c>
      <c r="DS46" s="626"/>
      <c r="DT46" s="1085">
        <f>(DT45-DS45)*10000</f>
        <v>7.5718129447939484</v>
      </c>
      <c r="DU46" s="1085">
        <f>(DU45-DT45)*10000</f>
        <v>-1.4506641940568998</v>
      </c>
      <c r="DV46" s="1085">
        <f>(DV45-DU45)*10000</f>
        <v>2.2325369234982642</v>
      </c>
      <c r="DW46" s="1085">
        <f>(DW45-DV45)*10000</f>
        <v>-2.1131823493870936</v>
      </c>
      <c r="DX46" s="626"/>
      <c r="DY46" s="1085">
        <f>(DY45-DX45)*10000</f>
        <v>5.5718129447939262</v>
      </c>
      <c r="DZ46" s="1085">
        <f>(DZ45-DY45)*10000</f>
        <v>-1.4506641940568998</v>
      </c>
      <c r="EA46" s="1085">
        <f>(EA45-DZ45)*10000</f>
        <v>2.2325369234982642</v>
      </c>
      <c r="EB46" s="1085">
        <f>(EB45-EA45)*10000</f>
        <v>-2.1131823493870936</v>
      </c>
      <c r="EC46" s="626"/>
      <c r="ED46" s="1087"/>
    </row>
    <row r="47" spans="1:134" s="1368" customFormat="1" ht="12" customHeight="1">
      <c r="A47" s="1192"/>
      <c r="B47" s="1081"/>
      <c r="C47" s="1082" t="s">
        <v>297</v>
      </c>
      <c r="D47" s="1083"/>
      <c r="E47" s="1084"/>
      <c r="F47" s="1084"/>
      <c r="G47" s="1084"/>
      <c r="H47" s="1084"/>
      <c r="I47" s="680"/>
      <c r="J47" s="680"/>
      <c r="K47" s="680"/>
      <c r="L47" s="680"/>
      <c r="M47" s="1084"/>
      <c r="N47" s="1085"/>
      <c r="O47" s="1085"/>
      <c r="P47" s="1085"/>
      <c r="Q47" s="1085"/>
      <c r="R47" s="1084"/>
      <c r="S47" s="1085"/>
      <c r="T47" s="1085"/>
      <c r="U47" s="1085"/>
      <c r="V47" s="1085"/>
      <c r="W47" s="1084"/>
      <c r="X47" s="1085"/>
      <c r="Y47" s="1085"/>
      <c r="Z47" s="1085"/>
      <c r="AA47" s="1085"/>
      <c r="AB47" s="1084"/>
      <c r="AC47" s="1085"/>
      <c r="AD47" s="1085"/>
      <c r="AE47" s="1085"/>
      <c r="AF47" s="1085"/>
      <c r="AG47" s="1084"/>
      <c r="AH47" s="1085"/>
      <c r="AI47" s="1085"/>
      <c r="AJ47" s="1085"/>
      <c r="AK47" s="1085"/>
      <c r="AL47" s="1084"/>
      <c r="AM47" s="1085"/>
      <c r="AN47" s="1085"/>
      <c r="AO47" s="1085"/>
      <c r="AP47" s="1085"/>
      <c r="AQ47" s="1084"/>
      <c r="AR47" s="1085"/>
      <c r="AS47" s="1085"/>
      <c r="AT47" s="1085"/>
      <c r="AU47" s="1085"/>
      <c r="AV47" s="1084"/>
      <c r="AW47" s="1085"/>
      <c r="AX47" s="1085"/>
      <c r="AY47" s="1085"/>
      <c r="AZ47" s="1085"/>
      <c r="BA47" s="1084"/>
      <c r="BB47" s="1085"/>
      <c r="BC47" s="1085"/>
      <c r="BD47" s="1085"/>
      <c r="BE47" s="1085"/>
      <c r="BF47" s="1084"/>
      <c r="BG47" s="1086"/>
      <c r="BH47" s="1086"/>
      <c r="BI47" s="1086"/>
      <c r="BJ47" s="1086"/>
      <c r="BK47" s="1084"/>
      <c r="BL47" s="1085"/>
      <c r="BM47" s="1085"/>
      <c r="BN47" s="1085"/>
      <c r="BO47" s="1085"/>
      <c r="BP47" s="1084"/>
      <c r="BQ47" s="1085"/>
      <c r="BR47" s="1085"/>
      <c r="BS47" s="1085"/>
      <c r="BT47" s="1085"/>
      <c r="BU47" s="1084"/>
      <c r="BV47" s="1085">
        <f t="shared" ref="BV47:CZ47" si="255">(BV45-BQ45)*10000</f>
        <v>14.059045584450294</v>
      </c>
      <c r="BW47" s="1085">
        <f t="shared" si="255"/>
        <v>8.5458793085867182</v>
      </c>
      <c r="BX47" s="1085">
        <f t="shared" si="255"/>
        <v>8.8871538324878685</v>
      </c>
      <c r="BY47" s="1085">
        <f t="shared" si="255"/>
        <v>8.6377822644719338</v>
      </c>
      <c r="BZ47" s="626">
        <f t="shared" si="255"/>
        <v>9.5548629332948067</v>
      </c>
      <c r="CA47" s="1085">
        <f t="shared" si="255"/>
        <v>7.2549573578198876</v>
      </c>
      <c r="CB47" s="1085">
        <f t="shared" si="255"/>
        <v>8.8385387346946906</v>
      </c>
      <c r="CC47" s="1085">
        <f t="shared" si="255"/>
        <v>7.8907817455239195</v>
      </c>
      <c r="CD47" s="1085">
        <f t="shared" si="255"/>
        <v>6.6256806486959636</v>
      </c>
      <c r="CE47" s="626">
        <f t="shared" si="255"/>
        <v>7.4615927752062774</v>
      </c>
      <c r="CF47" s="1085">
        <f t="shared" si="255"/>
        <v>8.9611064513302203</v>
      </c>
      <c r="CG47" s="1085">
        <f t="shared" si="255"/>
        <v>10.463309728266351</v>
      </c>
      <c r="CH47" s="1085">
        <f t="shared" si="255"/>
        <v>11.20070945814915</v>
      </c>
      <c r="CI47" s="1085">
        <f t="shared" si="255"/>
        <v>9.4477465401231377</v>
      </c>
      <c r="CJ47" s="626">
        <f t="shared" si="255"/>
        <v>9.9560364030947319</v>
      </c>
      <c r="CK47" s="1085">
        <f t="shared" si="255"/>
        <v>7.5800515734968963</v>
      </c>
      <c r="CL47" s="1085">
        <f t="shared" si="255"/>
        <v>4.7624680705707876</v>
      </c>
      <c r="CM47" s="1085">
        <f t="shared" si="255"/>
        <v>2.1659448496330094</v>
      </c>
      <c r="CN47" s="1085">
        <f t="shared" si="255"/>
        <v>6.0749878902310348</v>
      </c>
      <c r="CO47" s="626">
        <f t="shared" si="255"/>
        <v>5.1071009926948259</v>
      </c>
      <c r="CP47" s="1085">
        <f t="shared" si="255"/>
        <v>11.041131642176918</v>
      </c>
      <c r="CQ47" s="1085">
        <f t="shared" si="255"/>
        <v>20.325221422833017</v>
      </c>
      <c r="CR47" s="1085">
        <f t="shared" si="255"/>
        <v>17.087050728482549</v>
      </c>
      <c r="CS47" s="1085">
        <f t="shared" si="255"/>
        <v>13.671015633120193</v>
      </c>
      <c r="CT47" s="626">
        <f t="shared" si="255"/>
        <v>15.905975338564634</v>
      </c>
      <c r="CU47" s="1085">
        <f t="shared" si="255"/>
        <v>16.702418740168408</v>
      </c>
      <c r="CV47" s="1085">
        <f t="shared" si="255"/>
        <v>14.066593274077514</v>
      </c>
      <c r="CW47" s="1085">
        <f t="shared" si="255"/>
        <v>19.682010815642442</v>
      </c>
      <c r="CX47" s="1085">
        <f t="shared" si="255"/>
        <v>20.580687169090389</v>
      </c>
      <c r="CY47" s="626">
        <f t="shared" si="255"/>
        <v>17.454370596737441</v>
      </c>
      <c r="CZ47" s="1085">
        <f t="shared" si="255"/>
        <v>19.956332154123373</v>
      </c>
      <c r="DA47" s="1085">
        <f>(DA45-CV45)*10000</f>
        <v>12.112906541618395</v>
      </c>
      <c r="DB47" s="1085">
        <f t="shared" ref="DB47:DC47" si="256">(DB45-CW45)*10000</f>
        <v>25.701167175446113</v>
      </c>
      <c r="DC47" s="1085">
        <f t="shared" si="256"/>
        <v>28.485076449009973</v>
      </c>
      <c r="DD47" s="626">
        <f>(DD45-CY45)*10000</f>
        <v>22.027202374023393</v>
      </c>
      <c r="DE47" s="1085">
        <f>(DE45-CZ45)*10000</f>
        <v>28.205259983144284</v>
      </c>
      <c r="DF47" s="1085">
        <f>(DF45-DA45)*10000</f>
        <v>29.06234110569568</v>
      </c>
      <c r="DG47" s="1085">
        <f t="shared" ref="DG47" si="257">(DG45-DB45)*10000</f>
        <v>4.2414852644389809</v>
      </c>
      <c r="DH47" s="1085">
        <f t="shared" ref="DH47" si="258">(DH45-DC45)*10000</f>
        <v>-3.2997255939554506</v>
      </c>
      <c r="DI47" s="626">
        <f>(DI45-DD45)*10000</f>
        <v>12.912358732604101</v>
      </c>
      <c r="DJ47" s="1085">
        <f>(DJ45-DE45)*10000</f>
        <v>-5.1773318915136759</v>
      </c>
      <c r="DK47" s="1085">
        <f>(DK45-DF45)*10000</f>
        <v>-6.8845943260397933</v>
      </c>
      <c r="DL47" s="1085">
        <f>(DL45-DG45)*10000</f>
        <v>4.1153317918939463</v>
      </c>
      <c r="DM47" s="1088">
        <v>5</v>
      </c>
      <c r="DN47" s="626">
        <f>(DN45-DI45)*10000</f>
        <v>-0.11828638866322877</v>
      </c>
      <c r="DO47" s="1088">
        <v>10</v>
      </c>
      <c r="DP47" s="1088">
        <v>10</v>
      </c>
      <c r="DQ47" s="1088">
        <v>10</v>
      </c>
      <c r="DR47" s="1088">
        <v>10</v>
      </c>
      <c r="DS47" s="626">
        <f>(DS45-DN45)*10000</f>
        <v>10.001356205043901</v>
      </c>
      <c r="DT47" s="1088">
        <v>7</v>
      </c>
      <c r="DU47" s="1088">
        <v>7</v>
      </c>
      <c r="DV47" s="1088">
        <v>7</v>
      </c>
      <c r="DW47" s="1088">
        <v>7</v>
      </c>
      <c r="DX47" s="626">
        <f>(DX45-DS45)*10000</f>
        <v>7.0000000000000266</v>
      </c>
      <c r="DY47" s="1088">
        <v>5</v>
      </c>
      <c r="DZ47" s="1088">
        <v>5</v>
      </c>
      <c r="EA47" s="1088">
        <v>5</v>
      </c>
      <c r="EB47" s="1088">
        <v>5</v>
      </c>
      <c r="EC47" s="626">
        <f>(EC45-DX45)*10000</f>
        <v>4.9999999999999698</v>
      </c>
      <c r="ED47" s="1087"/>
    </row>
    <row r="48" spans="1:134" ht="12" customHeight="1">
      <c r="A48" s="1189"/>
      <c r="B48" s="567"/>
      <c r="C48" s="291" t="s">
        <v>790</v>
      </c>
      <c r="D48" s="772"/>
      <c r="E48" s="686"/>
      <c r="F48" s="686"/>
      <c r="G48" s="686"/>
      <c r="H48" s="686"/>
      <c r="I48" s="773"/>
      <c r="J48" s="773"/>
      <c r="K48" s="773"/>
      <c r="L48" s="773"/>
      <c r="M48" s="686"/>
      <c r="N48" s="685"/>
      <c r="O48" s="685"/>
      <c r="P48" s="685"/>
      <c r="Q48" s="685"/>
      <c r="R48" s="686"/>
      <c r="S48" s="685"/>
      <c r="T48" s="685"/>
      <c r="U48" s="685"/>
      <c r="V48" s="685"/>
      <c r="W48" s="686"/>
      <c r="X48" s="685"/>
      <c r="Y48" s="685"/>
      <c r="Z48" s="685"/>
      <c r="AA48" s="685"/>
      <c r="AB48" s="686"/>
      <c r="AC48" s="685"/>
      <c r="AD48" s="685"/>
      <c r="AE48" s="685"/>
      <c r="AF48" s="685"/>
      <c r="AG48" s="686"/>
      <c r="AH48" s="685"/>
      <c r="AI48" s="685"/>
      <c r="AJ48" s="685"/>
      <c r="AK48" s="685"/>
      <c r="AL48" s="686"/>
      <c r="AM48" s="685"/>
      <c r="AN48" s="685"/>
      <c r="AO48" s="685"/>
      <c r="AP48" s="685"/>
      <c r="AQ48" s="686"/>
      <c r="AR48" s="685"/>
      <c r="AS48" s="685"/>
      <c r="AT48" s="685"/>
      <c r="AU48" s="685"/>
      <c r="AV48" s="686"/>
      <c r="AW48" s="685"/>
      <c r="AX48" s="685"/>
      <c r="AY48" s="685"/>
      <c r="AZ48" s="685"/>
      <c r="BA48" s="686"/>
      <c r="BB48" s="685"/>
      <c r="BC48" s="685"/>
      <c r="BD48" s="685"/>
      <c r="BE48" s="685"/>
      <c r="BF48" s="686"/>
      <c r="BG48" s="774"/>
      <c r="BH48" s="774"/>
      <c r="BI48" s="774"/>
      <c r="BJ48" s="774"/>
      <c r="BK48" s="686"/>
      <c r="BL48" s="685"/>
      <c r="BM48" s="685"/>
      <c r="BN48" s="685"/>
      <c r="BO48" s="685"/>
      <c r="BP48" s="686"/>
      <c r="BQ48" s="671">
        <f>Income!BQ9</f>
        <v>14.996</v>
      </c>
      <c r="BR48" s="671">
        <f>Income!BR9</f>
        <v>19.466999999999999</v>
      </c>
      <c r="BS48" s="671">
        <f>Income!BS9</f>
        <v>23.225999999999999</v>
      </c>
      <c r="BT48" s="671">
        <f>Income!BT9</f>
        <v>35.564999999999998</v>
      </c>
      <c r="BU48" s="672">
        <f>SUM(BQ48:BT48)</f>
        <v>93.253999999999991</v>
      </c>
      <c r="BV48" s="671">
        <f>Income!BV9</f>
        <v>34.015999999999998</v>
      </c>
      <c r="BW48" s="671">
        <f>Income!BW9</f>
        <v>42.972999999999999</v>
      </c>
      <c r="BX48" s="671">
        <f>Income!BX9</f>
        <v>49.738999999999997</v>
      </c>
      <c r="BY48" s="671">
        <f>Income!BY9</f>
        <v>73.995999999999995</v>
      </c>
      <c r="BZ48" s="672">
        <f>SUM(BV48:BY48)</f>
        <v>200.72399999999999</v>
      </c>
      <c r="CA48" s="671">
        <f>Income!CA9</f>
        <v>65.299000000000007</v>
      </c>
      <c r="CB48" s="671">
        <f>Income!CB9</f>
        <v>80.057000000000002</v>
      </c>
      <c r="CC48" s="671">
        <f>Income!CC9</f>
        <v>89.021000000000001</v>
      </c>
      <c r="CD48" s="671">
        <f>Income!CD9</f>
        <v>128.89599999999999</v>
      </c>
      <c r="CE48" s="672">
        <f>SUM(CA48:CD48)</f>
        <v>363.27300000000002</v>
      </c>
      <c r="CF48" s="671">
        <f>Income!CF9</f>
        <v>114.142</v>
      </c>
      <c r="CG48" s="671">
        <f>Income!CG9</f>
        <v>134.24199999999999</v>
      </c>
      <c r="CH48" s="671">
        <f>Income!CH9</f>
        <v>149.547</v>
      </c>
      <c r="CI48" s="671">
        <f>Income!CI9</f>
        <v>210.30199999999999</v>
      </c>
      <c r="CJ48" s="672">
        <f>SUM(CF48:CI48)</f>
        <v>608.23299999999995</v>
      </c>
      <c r="CK48" s="671">
        <f>Income!CK9</f>
        <v>180.03100000000001</v>
      </c>
      <c r="CL48" s="671">
        <f>Income!CL9</f>
        <v>208.93199999999999</v>
      </c>
      <c r="CM48" s="671">
        <f>Income!CM9</f>
        <v>224.97499999999999</v>
      </c>
      <c r="CN48" s="671">
        <f>Income!CN9</f>
        <v>321.99400000000003</v>
      </c>
      <c r="CO48" s="672">
        <f>SUM(CK48:CN48)</f>
        <v>935.93200000000002</v>
      </c>
      <c r="CP48" s="671">
        <f>Income!CP9</f>
        <v>282.392</v>
      </c>
      <c r="CQ48" s="671">
        <f>Income!CQ9</f>
        <v>517.90700000000004</v>
      </c>
      <c r="CR48" s="671">
        <f>Income!CR9</f>
        <v>522.13099999999997</v>
      </c>
      <c r="CS48" s="671">
        <f>Income!CS9</f>
        <v>698.30399999999997</v>
      </c>
      <c r="CT48" s="672">
        <f>SUM(CP48:CS48)</f>
        <v>2020.7339999999999</v>
      </c>
      <c r="CU48" s="671">
        <f>Income!CU9</f>
        <v>667.96600000000001</v>
      </c>
      <c r="CV48" s="671">
        <f>Income!CV9</f>
        <v>785.20799999999997</v>
      </c>
      <c r="CW48" s="671">
        <f>Income!CW9</f>
        <v>787.53200000000004</v>
      </c>
      <c r="CX48" s="671">
        <f>Income!CX9</f>
        <v>1028.816</v>
      </c>
      <c r="CY48" s="672">
        <f>SUM(CU48:CX48)</f>
        <v>3269.5219999999999</v>
      </c>
      <c r="CZ48" s="671">
        <f>Income!CZ9</f>
        <v>858.86199999999997</v>
      </c>
      <c r="DA48" s="671">
        <f>Income!DA9</f>
        <v>928.62</v>
      </c>
      <c r="DB48" s="671">
        <f>Income!DB9</f>
        <v>989.899</v>
      </c>
      <c r="DC48" s="671">
        <f>Income!DC9</f>
        <v>1334.7239999999999</v>
      </c>
      <c r="DD48" s="672">
        <f>SUM(CZ48:DC48)</f>
        <v>4112.1049999999996</v>
      </c>
      <c r="DE48" s="671">
        <f>Income!DE9</f>
        <v>1126</v>
      </c>
      <c r="DF48" s="671">
        <f>Income!DF9</f>
        <v>1250</v>
      </c>
      <c r="DG48" s="671">
        <f>Income!DG9</f>
        <v>1228</v>
      </c>
      <c r="DH48" s="671">
        <f>Income!DH9</f>
        <v>1619</v>
      </c>
      <c r="DI48" s="672">
        <f>SUM(DE48:DH48)</f>
        <v>5223</v>
      </c>
      <c r="DJ48" s="671">
        <f>Income!DJ9</f>
        <v>1350</v>
      </c>
      <c r="DK48" s="671">
        <f>Income!DK9</f>
        <v>1482</v>
      </c>
      <c r="DL48" s="671">
        <f>Income!DL9</f>
        <v>1552</v>
      </c>
      <c r="DM48" s="673">
        <f>DM45*DM41</f>
        <v>2045.8546874999995</v>
      </c>
      <c r="DN48" s="672">
        <f>SUM(DJ48:DM48)</f>
        <v>6429.8546874999993</v>
      </c>
      <c r="DO48" s="673">
        <f>DO45*DO41</f>
        <v>1735.3516499999998</v>
      </c>
      <c r="DP48" s="673">
        <f>DP45*DP41</f>
        <v>1843.080458073149</v>
      </c>
      <c r="DQ48" s="673">
        <f>DQ45*DQ41</f>
        <v>1911.4469750181172</v>
      </c>
      <c r="DR48" s="673">
        <f>DR45*DR41</f>
        <v>2541.1020992718668</v>
      </c>
      <c r="DS48" s="672">
        <f>SUM(DO48:DR48)</f>
        <v>8030.9811823631326</v>
      </c>
      <c r="DT48" s="673">
        <f>DT45*DT41</f>
        <v>2099.7097969725</v>
      </c>
      <c r="DU48" s="673">
        <f>DU45*DU41</f>
        <v>2230.4691199490094</v>
      </c>
      <c r="DV48" s="673">
        <f>DV45*DV41</f>
        <v>2312.5506412381696</v>
      </c>
      <c r="DW48" s="673">
        <f>DW45*DW41</f>
        <v>3075.1577877852824</v>
      </c>
      <c r="DX48" s="672">
        <f>SUM(DT48:DW48)</f>
        <v>9717.8873459449605</v>
      </c>
      <c r="DY48" s="673">
        <f>DY45*DY41</f>
        <v>2497.3713891267748</v>
      </c>
      <c r="DZ48" s="673">
        <f>DZ45*DZ41</f>
        <v>2653.2274940709831</v>
      </c>
      <c r="EA48" s="673">
        <f>EA45*EA41</f>
        <v>2750.3378805978182</v>
      </c>
      <c r="EB48" s="673">
        <f>EB45*EB41</f>
        <v>3657.9787360569271</v>
      </c>
      <c r="EC48" s="672">
        <f>SUM(DY48:EB48)</f>
        <v>11558.915499852503</v>
      </c>
      <c r="ED48" s="578"/>
    </row>
    <row r="49" spans="1:135" ht="12" customHeight="1">
      <c r="A49" s="1189"/>
      <c r="B49" s="567"/>
      <c r="C49" s="769" t="s">
        <v>140</v>
      </c>
      <c r="D49" s="772"/>
      <c r="E49" s="686"/>
      <c r="F49" s="686"/>
      <c r="G49" s="686"/>
      <c r="H49" s="686"/>
      <c r="I49" s="773"/>
      <c r="J49" s="773"/>
      <c r="K49" s="773"/>
      <c r="L49" s="773"/>
      <c r="M49" s="686"/>
      <c r="N49" s="685"/>
      <c r="O49" s="685"/>
      <c r="P49" s="685"/>
      <c r="Q49" s="685"/>
      <c r="R49" s="686"/>
      <c r="S49" s="685"/>
      <c r="T49" s="685"/>
      <c r="U49" s="685"/>
      <c r="V49" s="685"/>
      <c r="W49" s="686"/>
      <c r="X49" s="685"/>
      <c r="Y49" s="685"/>
      <c r="Z49" s="685"/>
      <c r="AA49" s="685"/>
      <c r="AB49" s="686"/>
      <c r="AC49" s="685"/>
      <c r="AD49" s="685"/>
      <c r="AE49" s="685"/>
      <c r="AF49" s="685"/>
      <c r="AG49" s="686"/>
      <c r="AH49" s="685"/>
      <c r="AI49" s="685"/>
      <c r="AJ49" s="685"/>
      <c r="AK49" s="685"/>
      <c r="AL49" s="686"/>
      <c r="AM49" s="685"/>
      <c r="AN49" s="685"/>
      <c r="AO49" s="685"/>
      <c r="AP49" s="685"/>
      <c r="AQ49" s="686"/>
      <c r="AR49" s="685"/>
      <c r="AS49" s="685"/>
      <c r="AT49" s="685"/>
      <c r="AU49" s="685"/>
      <c r="AV49" s="686"/>
      <c r="AW49" s="685"/>
      <c r="AX49" s="685"/>
      <c r="AY49" s="685"/>
      <c r="AZ49" s="685"/>
      <c r="BA49" s="686"/>
      <c r="BB49" s="685"/>
      <c r="BC49" s="685"/>
      <c r="BD49" s="685"/>
      <c r="BE49" s="685"/>
      <c r="BF49" s="686"/>
      <c r="BG49" s="674"/>
      <c r="BH49" s="674"/>
      <c r="BI49" s="674"/>
      <c r="BJ49" s="674"/>
      <c r="BK49" s="686"/>
      <c r="BL49" s="409"/>
      <c r="BM49" s="409"/>
      <c r="BN49" s="409"/>
      <c r="BO49" s="409"/>
      <c r="BP49" s="408"/>
      <c r="BQ49" s="409"/>
      <c r="BR49" s="409"/>
      <c r="BS49" s="409"/>
      <c r="BT49" s="409"/>
      <c r="BU49" s="408"/>
      <c r="BV49" s="409">
        <f t="shared" ref="BV49:CV49" si="259">BV48/BQ48-1</f>
        <v>1.2683382235262735</v>
      </c>
      <c r="BW49" s="409">
        <f t="shared" si="259"/>
        <v>1.2074793239841783</v>
      </c>
      <c r="BX49" s="409">
        <f t="shared" si="259"/>
        <v>1.141522431757513</v>
      </c>
      <c r="BY49" s="409">
        <f t="shared" si="259"/>
        <v>1.0805848446506396</v>
      </c>
      <c r="BZ49" s="408">
        <f t="shared" si="259"/>
        <v>1.152443862997834</v>
      </c>
      <c r="CA49" s="409">
        <f t="shared" si="259"/>
        <v>0.91965545625587986</v>
      </c>
      <c r="CB49" s="409">
        <f t="shared" si="259"/>
        <v>0.86296046354687839</v>
      </c>
      <c r="CC49" s="409">
        <f t="shared" si="259"/>
        <v>0.78976256056615535</v>
      </c>
      <c r="CD49" s="409">
        <f t="shared" si="259"/>
        <v>0.74193199632412554</v>
      </c>
      <c r="CE49" s="408">
        <f t="shared" si="259"/>
        <v>0.80981347521970481</v>
      </c>
      <c r="CF49" s="409">
        <f t="shared" si="259"/>
        <v>0.74799001516102837</v>
      </c>
      <c r="CG49" s="409">
        <f t="shared" si="259"/>
        <v>0.67683025844086075</v>
      </c>
      <c r="CH49" s="409">
        <f t="shared" si="259"/>
        <v>0.67990698823873008</v>
      </c>
      <c r="CI49" s="409">
        <f t="shared" si="259"/>
        <v>0.63156343098311818</v>
      </c>
      <c r="CJ49" s="408">
        <f t="shared" si="259"/>
        <v>0.67431380807271646</v>
      </c>
      <c r="CK49" s="409">
        <f t="shared" si="259"/>
        <v>0.5772546477195073</v>
      </c>
      <c r="CL49" s="409">
        <f t="shared" si="259"/>
        <v>0.55638324816376405</v>
      </c>
      <c r="CM49" s="409">
        <f t="shared" si="259"/>
        <v>0.50437655051589125</v>
      </c>
      <c r="CN49" s="409">
        <f t="shared" si="259"/>
        <v>0.53110289012943301</v>
      </c>
      <c r="CO49" s="408">
        <f t="shared" si="259"/>
        <v>0.53877214817347974</v>
      </c>
      <c r="CP49" s="409">
        <f t="shared" si="259"/>
        <v>0.56857430109258944</v>
      </c>
      <c r="CQ49" s="409">
        <f t="shared" si="259"/>
        <v>1.4788304328681106</v>
      </c>
      <c r="CR49" s="409">
        <f t="shared" si="259"/>
        <v>1.3208400933437048</v>
      </c>
      <c r="CS49" s="409">
        <f t="shared" si="259"/>
        <v>1.1686863730380068</v>
      </c>
      <c r="CT49" s="408">
        <f t="shared" si="259"/>
        <v>1.1590607009910974</v>
      </c>
      <c r="CU49" s="409">
        <f t="shared" si="259"/>
        <v>1.365385704977478</v>
      </c>
      <c r="CV49" s="409">
        <f t="shared" si="259"/>
        <v>0.51611775859372422</v>
      </c>
      <c r="CW49" s="409">
        <f t="shared" ref="CW49:EB49" si="260">CW48/CR48-1</f>
        <v>0.50830347173410528</v>
      </c>
      <c r="CX49" s="409">
        <f t="shared" si="260"/>
        <v>0.47330675465126948</v>
      </c>
      <c r="CY49" s="408">
        <f t="shared" si="260"/>
        <v>0.61798732539760315</v>
      </c>
      <c r="CZ49" s="409">
        <f t="shared" si="260"/>
        <v>0.28578700113478828</v>
      </c>
      <c r="DA49" s="409">
        <f t="shared" si="260"/>
        <v>0.18264205153284241</v>
      </c>
      <c r="DB49" s="409">
        <f t="shared" si="260"/>
        <v>0.25696352656146026</v>
      </c>
      <c r="DC49" s="409">
        <f t="shared" si="260"/>
        <v>0.29733985474564917</v>
      </c>
      <c r="DD49" s="408">
        <f t="shared" si="260"/>
        <v>0.25770831332531174</v>
      </c>
      <c r="DE49" s="409">
        <f t="shared" si="260"/>
        <v>0.31103716312981611</v>
      </c>
      <c r="DF49" s="409">
        <f t="shared" si="260"/>
        <v>0.34608343563567434</v>
      </c>
      <c r="DG49" s="409">
        <f t="shared" si="260"/>
        <v>0.24053059958642242</v>
      </c>
      <c r="DH49" s="409">
        <f t="shared" si="260"/>
        <v>0.21298485679436352</v>
      </c>
      <c r="DI49" s="408">
        <f t="shared" si="260"/>
        <v>0.27015239153669479</v>
      </c>
      <c r="DJ49" s="409">
        <f t="shared" si="260"/>
        <v>0.19893428063943164</v>
      </c>
      <c r="DK49" s="409">
        <f t="shared" si="260"/>
        <v>0.18559999999999999</v>
      </c>
      <c r="DL49" s="409">
        <f t="shared" si="260"/>
        <v>0.26384364820846895</v>
      </c>
      <c r="DM49" s="409">
        <f t="shared" si="260"/>
        <v>0.26365329678814042</v>
      </c>
      <c r="DN49" s="408">
        <f t="shared" si="260"/>
        <v>0.23106541977790518</v>
      </c>
      <c r="DO49" s="409">
        <f t="shared" si="260"/>
        <v>0.28544566666666649</v>
      </c>
      <c r="DP49" s="409">
        <f t="shared" si="260"/>
        <v>0.24364403378754984</v>
      </c>
      <c r="DQ49" s="409">
        <f t="shared" si="260"/>
        <v>0.23160243235703426</v>
      </c>
      <c r="DR49" s="409">
        <f t="shared" si="260"/>
        <v>0.24207360121800803</v>
      </c>
      <c r="DS49" s="408">
        <f t="shared" si="260"/>
        <v>0.24901441365009602</v>
      </c>
      <c r="DT49" s="409">
        <f t="shared" si="260"/>
        <v>0.20996214051054163</v>
      </c>
      <c r="DU49" s="409">
        <f t="shared" si="260"/>
        <v>0.21018543177483218</v>
      </c>
      <c r="DV49" s="409">
        <f t="shared" si="260"/>
        <v>0.20984294697280359</v>
      </c>
      <c r="DW49" s="409">
        <f t="shared" si="260"/>
        <v>0.21016695419930009</v>
      </c>
      <c r="DX49" s="408">
        <f t="shared" si="260"/>
        <v>0.21004982146969153</v>
      </c>
      <c r="DY49" s="409">
        <f t="shared" si="260"/>
        <v>0.18938883493692771</v>
      </c>
      <c r="DZ49" s="409">
        <f t="shared" si="260"/>
        <v>0.18953787359837482</v>
      </c>
      <c r="EA49" s="409">
        <f t="shared" si="260"/>
        <v>0.18930925513711205</v>
      </c>
      <c r="EB49" s="409">
        <f t="shared" si="260"/>
        <v>0.18952554258732546</v>
      </c>
      <c r="EC49" s="408">
        <f t="shared" ref="EC49" si="261">EC48/DX48-1</f>
        <v>0.18944736529342032</v>
      </c>
      <c r="ED49" s="578"/>
    </row>
    <row r="50" spans="1:135" ht="12" customHeight="1">
      <c r="A50" s="1189"/>
      <c r="B50" s="567"/>
      <c r="C50" s="1200" t="s">
        <v>337</v>
      </c>
      <c r="D50" s="589"/>
      <c r="E50" s="590"/>
      <c r="F50" s="590"/>
      <c r="G50" s="590"/>
      <c r="H50" s="590"/>
      <c r="I50" s="591"/>
      <c r="J50" s="591"/>
      <c r="K50" s="591"/>
      <c r="L50" s="591"/>
      <c r="M50" s="590"/>
      <c r="N50" s="419"/>
      <c r="O50" s="419"/>
      <c r="P50" s="419"/>
      <c r="Q50" s="419"/>
      <c r="R50" s="590"/>
      <c r="S50" s="419"/>
      <c r="T50" s="419"/>
      <c r="U50" s="419"/>
      <c r="V50" s="419"/>
      <c r="W50" s="590"/>
      <c r="X50" s="419"/>
      <c r="Y50" s="419"/>
      <c r="Z50" s="419"/>
      <c r="AA50" s="419"/>
      <c r="AB50" s="590"/>
      <c r="AC50" s="419"/>
      <c r="AD50" s="419"/>
      <c r="AE50" s="419"/>
      <c r="AF50" s="419"/>
      <c r="AG50" s="590"/>
      <c r="AH50" s="419"/>
      <c r="AI50" s="419"/>
      <c r="AJ50" s="419"/>
      <c r="AK50" s="419"/>
      <c r="AL50" s="590"/>
      <c r="AM50" s="419"/>
      <c r="AN50" s="419"/>
      <c r="AO50" s="419"/>
      <c r="AP50" s="419"/>
      <c r="AQ50" s="590"/>
      <c r="AR50" s="419"/>
      <c r="AS50" s="419"/>
      <c r="AT50" s="419"/>
      <c r="AU50" s="419"/>
      <c r="AV50" s="590"/>
      <c r="AW50" s="419"/>
      <c r="AX50" s="419"/>
      <c r="AY50" s="419"/>
      <c r="AZ50" s="419"/>
      <c r="BA50" s="590"/>
      <c r="BB50" s="419"/>
      <c r="BC50" s="419"/>
      <c r="BD50" s="419"/>
      <c r="BE50" s="419"/>
      <c r="BF50" s="590"/>
      <c r="BG50" s="628"/>
      <c r="BH50" s="628"/>
      <c r="BI50" s="628"/>
      <c r="BJ50" s="628"/>
      <c r="BK50" s="590"/>
      <c r="BL50" s="419"/>
      <c r="BM50" s="419"/>
      <c r="BN50" s="419"/>
      <c r="BO50" s="419"/>
      <c r="BP50" s="590"/>
      <c r="BQ50" s="667"/>
      <c r="BR50" s="667"/>
      <c r="BS50" s="667"/>
      <c r="BT50" s="667"/>
      <c r="BU50" s="668"/>
      <c r="BV50" s="667"/>
      <c r="BW50" s="667"/>
      <c r="BX50" s="667"/>
      <c r="BY50" s="667"/>
      <c r="BZ50" s="669"/>
      <c r="CA50" s="667"/>
      <c r="CB50" s="667"/>
      <c r="CC50" s="667"/>
      <c r="CD50" s="667"/>
      <c r="CE50" s="669"/>
      <c r="CF50" s="667"/>
      <c r="CG50" s="667"/>
      <c r="CH50" s="667"/>
      <c r="CI50" s="667"/>
      <c r="CJ50" s="669"/>
      <c r="CK50" s="667"/>
      <c r="CL50" s="667"/>
      <c r="CM50" s="667"/>
      <c r="CN50" s="667"/>
      <c r="CO50" s="669"/>
      <c r="CP50" s="667"/>
      <c r="CQ50" s="667"/>
      <c r="CR50" s="667"/>
      <c r="CS50" s="667"/>
      <c r="CT50" s="669"/>
      <c r="CU50" s="667"/>
      <c r="CV50" s="667"/>
      <c r="CW50" s="667"/>
      <c r="CX50" s="670"/>
      <c r="CY50" s="669"/>
      <c r="CZ50" s="670"/>
      <c r="DA50" s="670"/>
      <c r="DB50" s="670"/>
      <c r="DC50" s="670"/>
      <c r="DD50" s="669"/>
      <c r="DE50" s="670"/>
      <c r="DF50" s="670"/>
      <c r="DG50" s="670"/>
      <c r="DH50" s="670"/>
      <c r="DI50" s="669"/>
      <c r="DJ50" s="670"/>
      <c r="DK50" s="670"/>
      <c r="DL50" s="670"/>
      <c r="DM50" s="670"/>
      <c r="DN50" s="669"/>
      <c r="DO50" s="670"/>
      <c r="DP50" s="670"/>
      <c r="DQ50" s="670"/>
      <c r="DR50" s="670"/>
      <c r="DS50" s="669"/>
      <c r="DT50" s="670"/>
      <c r="DU50" s="670"/>
      <c r="DV50" s="670"/>
      <c r="DW50" s="670"/>
      <c r="DX50" s="669"/>
      <c r="DY50" s="670"/>
      <c r="DZ50" s="670"/>
      <c r="EA50" s="670"/>
      <c r="EB50" s="670"/>
      <c r="EC50" s="669"/>
      <c r="ED50" s="578"/>
    </row>
    <row r="51" spans="1:135" s="1367" customFormat="1" ht="12" customHeight="1">
      <c r="A51" s="1190" t="s">
        <v>622</v>
      </c>
      <c r="B51" s="89"/>
      <c r="C51" s="1227" t="s">
        <v>637</v>
      </c>
      <c r="D51" s="589"/>
      <c r="E51" s="764"/>
      <c r="F51" s="764"/>
      <c r="G51" s="764"/>
      <c r="H51" s="764"/>
      <c r="I51" s="591"/>
      <c r="J51" s="591"/>
      <c r="K51" s="591"/>
      <c r="L51" s="591"/>
      <c r="M51" s="764"/>
      <c r="N51" s="765"/>
      <c r="O51" s="765"/>
      <c r="P51" s="765"/>
      <c r="Q51" s="765"/>
      <c r="R51" s="764"/>
      <c r="S51" s="765"/>
      <c r="T51" s="765"/>
      <c r="U51" s="765"/>
      <c r="V51" s="765"/>
      <c r="W51" s="764"/>
      <c r="X51" s="765"/>
      <c r="Y51" s="765"/>
      <c r="Z51" s="765"/>
      <c r="AA51" s="765"/>
      <c r="AB51" s="764"/>
      <c r="AC51" s="765"/>
      <c r="AD51" s="765"/>
      <c r="AE51" s="765"/>
      <c r="AF51" s="765"/>
      <c r="AG51" s="764"/>
      <c r="AH51" s="765"/>
      <c r="AI51" s="765"/>
      <c r="AJ51" s="765"/>
      <c r="AK51" s="765"/>
      <c r="AL51" s="764"/>
      <c r="AM51" s="765"/>
      <c r="AN51" s="765"/>
      <c r="AO51" s="765"/>
      <c r="AP51" s="765"/>
      <c r="AQ51" s="764"/>
      <c r="AR51" s="765"/>
      <c r="AS51" s="765"/>
      <c r="AT51" s="765"/>
      <c r="AU51" s="765"/>
      <c r="AV51" s="764"/>
      <c r="AW51" s="765"/>
      <c r="AX51" s="765"/>
      <c r="AY51" s="765"/>
      <c r="AZ51" s="765"/>
      <c r="BA51" s="764"/>
      <c r="BB51" s="765"/>
      <c r="BC51" s="765"/>
      <c r="BD51" s="765"/>
      <c r="BE51" s="765"/>
      <c r="BF51" s="764"/>
      <c r="BG51" s="776"/>
      <c r="BH51" s="776"/>
      <c r="BI51" s="776"/>
      <c r="BJ51" s="776"/>
      <c r="BK51" s="764"/>
      <c r="BL51" s="765"/>
      <c r="BM51" s="765"/>
      <c r="BN51" s="765"/>
      <c r="BO51" s="765"/>
      <c r="BP51" s="764"/>
      <c r="BQ51" s="676"/>
      <c r="BR51" s="676"/>
      <c r="BS51" s="676"/>
      <c r="BT51" s="676"/>
      <c r="BU51" s="677"/>
      <c r="BV51" s="676"/>
      <c r="BW51" s="676"/>
      <c r="BX51" s="676"/>
      <c r="BY51" s="676"/>
      <c r="BZ51" s="678"/>
      <c r="CA51" s="1336">
        <f>CF51/(CF52+1)</f>
        <v>1786.5621160726962</v>
      </c>
      <c r="CB51" s="1336">
        <f>CG51/(CG52+1)</f>
        <v>2304.2615770228658</v>
      </c>
      <c r="CC51" s="1336">
        <f>CH51/(CH52+1)</f>
        <v>2420.5104372410051</v>
      </c>
      <c r="CD51" s="1336">
        <f>CD53*CD41</f>
        <v>3576.68181</v>
      </c>
      <c r="CE51" s="1223">
        <f>SUM(CA51:CD51)</f>
        <v>10088.015940336567</v>
      </c>
      <c r="CF51" s="1336">
        <f>CK51/(CK52+1)</f>
        <v>2929.9618703592218</v>
      </c>
      <c r="CG51" s="1336">
        <f>CL51/(CL52+1)</f>
        <v>3825.0742178579576</v>
      </c>
      <c r="CH51" s="1336">
        <f>CM51/(CM52+1)</f>
        <v>4139.0728476821187</v>
      </c>
      <c r="CI51" s="1336">
        <f>CN51/(CN52+1)</f>
        <v>5817.4951267056522</v>
      </c>
      <c r="CJ51" s="1223">
        <f>SUM(CF51:CI51)</f>
        <v>16711.604062604951</v>
      </c>
      <c r="CK51" s="1336">
        <f>CP51/(CP52+1)</f>
        <v>4834.4370860927156</v>
      </c>
      <c r="CL51" s="1336">
        <f>CQ51/(CQ52+1)</f>
        <v>5775.8620689655163</v>
      </c>
      <c r="CM51" s="1336">
        <f>CR51/(CR52+1)</f>
        <v>6249.9999999999991</v>
      </c>
      <c r="CN51" s="1336">
        <f>CS51/(CS52+1)</f>
        <v>8842.5925925925912</v>
      </c>
      <c r="CO51" s="1223">
        <f>SUM(CK51:CN51)</f>
        <v>25702.891747650821</v>
      </c>
      <c r="CP51" s="1430">
        <v>7300</v>
      </c>
      <c r="CQ51" s="1430">
        <v>13400</v>
      </c>
      <c r="CR51" s="1430">
        <v>14000</v>
      </c>
      <c r="CS51" s="1430">
        <v>19100</v>
      </c>
      <c r="CT51" s="1223">
        <f>SUM(CP51:CS51)</f>
        <v>53800</v>
      </c>
      <c r="CU51" s="1430">
        <v>17300</v>
      </c>
      <c r="CV51" s="1430">
        <v>20300</v>
      </c>
      <c r="CW51" s="1430">
        <v>20500</v>
      </c>
      <c r="CX51" s="1430">
        <v>27700</v>
      </c>
      <c r="CY51" s="1223">
        <f>SUM(CU51:CX51)</f>
        <v>85800</v>
      </c>
      <c r="CZ51" s="1430">
        <v>22000</v>
      </c>
      <c r="DA51" s="1430">
        <v>24900</v>
      </c>
      <c r="DB51" s="1430">
        <v>25000</v>
      </c>
      <c r="DC51" s="1430">
        <v>34200</v>
      </c>
      <c r="DD51" s="1223">
        <f>SUM(CZ51:DC51)</f>
        <v>106100</v>
      </c>
      <c r="DE51" s="1430">
        <v>27500</v>
      </c>
      <c r="DF51" s="1430">
        <v>31700</v>
      </c>
      <c r="DG51" s="1430">
        <v>32800</v>
      </c>
      <c r="DH51" s="1430">
        <v>45074</v>
      </c>
      <c r="DI51" s="1223">
        <f>SUM(DE51:DH51)</f>
        <v>137074</v>
      </c>
      <c r="DJ51" s="1430">
        <v>36238</v>
      </c>
      <c r="DK51" s="1430">
        <v>41400</v>
      </c>
      <c r="DL51" s="1430">
        <v>42900</v>
      </c>
      <c r="DM51" s="1331">
        <f>DM41*DM53</f>
        <v>58449.771249999998</v>
      </c>
      <c r="DN51" s="1223">
        <f>SUM(DJ51:DM51)</f>
        <v>178987.77124999999</v>
      </c>
      <c r="DO51" s="1431">
        <f>DO41*DO53</f>
        <v>46518.882899999997</v>
      </c>
      <c r="DP51" s="1431">
        <f>DP41*DP53</f>
        <v>51332.047251861208</v>
      </c>
      <c r="DQ51" s="1431">
        <f>DQ41*DQ53</f>
        <v>52700.841332000586</v>
      </c>
      <c r="DR51" s="1431">
        <f>DR41*DR53</f>
        <v>72315.618467083055</v>
      </c>
      <c r="DS51" s="1223">
        <f>SUM(DO51:DR51)</f>
        <v>222867.38995094484</v>
      </c>
      <c r="DT51" s="1431">
        <f>DT41*DT53</f>
        <v>56570.519750400003</v>
      </c>
      <c r="DU51" s="1431">
        <f>DU41*DU53</f>
        <v>62356.581901205434</v>
      </c>
      <c r="DV51" s="1431">
        <f>DV41*DV53</f>
        <v>64020.332029786972</v>
      </c>
      <c r="DW51" s="1431">
        <f>DW41*DW53</f>
        <v>87783.17130128968</v>
      </c>
      <c r="DX51" s="1223">
        <f>SUM(DT51:DW51)</f>
        <v>270730.6049826821</v>
      </c>
      <c r="DY51" s="1431">
        <f>DY41*DY53</f>
        <v>67748.196632753257</v>
      </c>
      <c r="DZ51" s="1431">
        <f>DZ41*DZ53</f>
        <v>74615.732810798261</v>
      </c>
      <c r="EA51" s="1431">
        <f>EA41*EA53</f>
        <v>76607.476622694448</v>
      </c>
      <c r="EB51" s="1431">
        <f>EB41*EB53</f>
        <v>104982.51144433713</v>
      </c>
      <c r="EC51" s="1223">
        <f>SUM(DY51:EB51)</f>
        <v>323953.91751058312</v>
      </c>
      <c r="ED51" s="588"/>
    </row>
    <row r="52" spans="1:135" ht="12" customHeight="1">
      <c r="A52" s="1189" t="s">
        <v>644</v>
      </c>
      <c r="B52" s="567"/>
      <c r="C52" s="1224" t="s">
        <v>140</v>
      </c>
      <c r="D52" s="589"/>
      <c r="E52" s="590"/>
      <c r="F52" s="590"/>
      <c r="G52" s="590"/>
      <c r="H52" s="590"/>
      <c r="I52" s="591"/>
      <c r="J52" s="591"/>
      <c r="K52" s="591"/>
      <c r="L52" s="591"/>
      <c r="M52" s="590"/>
      <c r="N52" s="419"/>
      <c r="O52" s="419"/>
      <c r="P52" s="419"/>
      <c r="Q52" s="419"/>
      <c r="R52" s="590"/>
      <c r="S52" s="419"/>
      <c r="T52" s="419"/>
      <c r="U52" s="419"/>
      <c r="V52" s="419"/>
      <c r="W52" s="590"/>
      <c r="X52" s="419"/>
      <c r="Y52" s="419"/>
      <c r="Z52" s="419"/>
      <c r="AA52" s="419"/>
      <c r="AB52" s="590"/>
      <c r="AC52" s="419"/>
      <c r="AD52" s="419"/>
      <c r="AE52" s="419"/>
      <c r="AF52" s="419"/>
      <c r="AG52" s="590"/>
      <c r="AH52" s="419"/>
      <c r="AI52" s="419"/>
      <c r="AJ52" s="419"/>
      <c r="AK52" s="419"/>
      <c r="AL52" s="590"/>
      <c r="AM52" s="419"/>
      <c r="AN52" s="419"/>
      <c r="AO52" s="419"/>
      <c r="AP52" s="419"/>
      <c r="AQ52" s="590"/>
      <c r="AR52" s="419"/>
      <c r="AS52" s="419"/>
      <c r="AT52" s="419"/>
      <c r="AU52" s="419"/>
      <c r="AV52" s="590"/>
      <c r="AW52" s="419"/>
      <c r="AX52" s="419"/>
      <c r="AY52" s="419"/>
      <c r="AZ52" s="419"/>
      <c r="BA52" s="590"/>
      <c r="BB52" s="419"/>
      <c r="BC52" s="419"/>
      <c r="BD52" s="419"/>
      <c r="BE52" s="419"/>
      <c r="BF52" s="590"/>
      <c r="BG52" s="628"/>
      <c r="BH52" s="628"/>
      <c r="BI52" s="628"/>
      <c r="BJ52" s="628"/>
      <c r="BK52" s="590"/>
      <c r="BL52" s="419"/>
      <c r="BM52" s="419"/>
      <c r="BN52" s="419"/>
      <c r="BO52" s="419"/>
      <c r="BP52" s="590"/>
      <c r="BQ52" s="667"/>
      <c r="BR52" s="667"/>
      <c r="BS52" s="667"/>
      <c r="BT52" s="667"/>
      <c r="BU52" s="668"/>
      <c r="BV52" s="667"/>
      <c r="BW52" s="667"/>
      <c r="BX52" s="667"/>
      <c r="BY52" s="667"/>
      <c r="BZ52" s="669"/>
      <c r="CA52" s="667"/>
      <c r="CB52" s="667"/>
      <c r="CC52" s="667"/>
      <c r="CD52" s="667"/>
      <c r="CE52" s="286"/>
      <c r="CF52" s="675">
        <v>0.64</v>
      </c>
      <c r="CG52" s="675">
        <v>0.66</v>
      </c>
      <c r="CH52" s="675">
        <v>0.71</v>
      </c>
      <c r="CI52" s="675">
        <v>0.65</v>
      </c>
      <c r="CJ52" s="286">
        <f>CJ51/CE51-1</f>
        <v>0.65657986282359104</v>
      </c>
      <c r="CK52" s="675">
        <v>0.65</v>
      </c>
      <c r="CL52" s="675">
        <v>0.51</v>
      </c>
      <c r="CM52" s="675">
        <v>0.51</v>
      </c>
      <c r="CN52" s="675">
        <v>0.52</v>
      </c>
      <c r="CO52" s="286">
        <f>CO51/CJ51-1</f>
        <v>0.53802661021424036</v>
      </c>
      <c r="CP52" s="675">
        <v>0.51</v>
      </c>
      <c r="CQ52" s="675">
        <v>1.32</v>
      </c>
      <c r="CR52" s="675">
        <v>1.24</v>
      </c>
      <c r="CS52" s="675">
        <v>1.1599999999999999</v>
      </c>
      <c r="CT52" s="286">
        <f t="shared" ref="CT52:DN52" si="262">CT51/CO51-1</f>
        <v>1.0931496941357652</v>
      </c>
      <c r="CU52" s="419">
        <f t="shared" si="262"/>
        <v>1.3698630136986303</v>
      </c>
      <c r="CV52" s="419">
        <f t="shared" si="262"/>
        <v>0.5149253731343284</v>
      </c>
      <c r="CW52" s="419">
        <f t="shared" si="262"/>
        <v>0.46428571428571419</v>
      </c>
      <c r="CX52" s="419">
        <f t="shared" si="262"/>
        <v>0.45026178010471196</v>
      </c>
      <c r="CY52" s="286">
        <f t="shared" si="262"/>
        <v>0.59479553903345717</v>
      </c>
      <c r="CZ52" s="419">
        <f t="shared" si="262"/>
        <v>0.27167630057803471</v>
      </c>
      <c r="DA52" s="419">
        <f t="shared" si="262"/>
        <v>0.22660098522167482</v>
      </c>
      <c r="DB52" s="419">
        <f t="shared" si="262"/>
        <v>0.21951219512195119</v>
      </c>
      <c r="DC52" s="419">
        <f t="shared" si="262"/>
        <v>0.23465703971119134</v>
      </c>
      <c r="DD52" s="286">
        <f t="shared" si="262"/>
        <v>0.23659673659673652</v>
      </c>
      <c r="DE52" s="419">
        <f t="shared" si="262"/>
        <v>0.25</v>
      </c>
      <c r="DF52" s="419">
        <f t="shared" si="262"/>
        <v>0.27309236947791171</v>
      </c>
      <c r="DG52" s="419">
        <f t="shared" si="262"/>
        <v>0.31200000000000006</v>
      </c>
      <c r="DH52" s="419">
        <f t="shared" si="262"/>
        <v>0.3179532163742691</v>
      </c>
      <c r="DI52" s="286">
        <f t="shared" si="262"/>
        <v>0.29193213949104613</v>
      </c>
      <c r="DJ52" s="419">
        <f t="shared" si="262"/>
        <v>0.31774545454545455</v>
      </c>
      <c r="DK52" s="419">
        <f>DK51/DF51-1</f>
        <v>0.30599369085173511</v>
      </c>
      <c r="DL52" s="419">
        <f>DL51/DG51-1</f>
        <v>0.30792682926829262</v>
      </c>
      <c r="DM52" s="419">
        <f t="shared" si="262"/>
        <v>0.29675136996938356</v>
      </c>
      <c r="DN52" s="286">
        <f t="shared" si="262"/>
        <v>0.30577477311525159</v>
      </c>
      <c r="DO52" s="419">
        <f t="shared" ref="DO52" si="263">DO51/DJ51-1</f>
        <v>0.28370447872399129</v>
      </c>
      <c r="DP52" s="419">
        <f t="shared" ref="DP52" si="264">DP51/DK51-1</f>
        <v>0.23990452299181664</v>
      </c>
      <c r="DQ52" s="419">
        <f t="shared" ref="DQ52" si="265">DQ51/DL51-1</f>
        <v>0.2284578399067736</v>
      </c>
      <c r="DR52" s="419">
        <f t="shared" ref="DR52:DS52" si="266">DR51/DM51-1</f>
        <v>0.23722671484506552</v>
      </c>
      <c r="DS52" s="286">
        <f t="shared" si="266"/>
        <v>0.2451542828568789</v>
      </c>
      <c r="DT52" s="419">
        <f t="shared" ref="DT52" si="267">DT51/DO51-1</f>
        <v>0.21607648816519642</v>
      </c>
      <c r="DU52" s="419">
        <f t="shared" ref="DU52" si="268">DU51/DP51-1</f>
        <v>0.2147690427239779</v>
      </c>
      <c r="DV52" s="419">
        <f t="shared" ref="DV52" si="269">DV51/DQ51-1</f>
        <v>0.21478766584534692</v>
      </c>
      <c r="DW52" s="419">
        <f t="shared" ref="DW52" si="270">DW51/DR51-1</f>
        <v>0.21388951878005735</v>
      </c>
      <c r="DX52" s="286">
        <f t="shared" ref="DX52" si="271">DX51/DS51-1</f>
        <v>0.21476096185391857</v>
      </c>
      <c r="DY52" s="419">
        <f t="shared" ref="DY52" si="272">DY51/DT51-1</f>
        <v>0.19758837167611887</v>
      </c>
      <c r="DZ52" s="419">
        <f t="shared" ref="DZ52" si="273">DZ51/DU51-1</f>
        <v>0.19659754489134107</v>
      </c>
      <c r="EA52" s="419">
        <f t="shared" ref="EA52" si="274">EA51/DV51-1</f>
        <v>0.19661167310177352</v>
      </c>
      <c r="EB52" s="419">
        <f t="shared" ref="EB52" si="275">EB51/DW51-1</f>
        <v>0.19592981078361604</v>
      </c>
      <c r="EC52" s="286">
        <f t="shared" ref="EC52" si="276">EC51/DX51-1</f>
        <v>0.19659141430022498</v>
      </c>
      <c r="ED52" s="578"/>
    </row>
    <row r="53" spans="1:135" ht="12" customHeight="1">
      <c r="A53" s="1189"/>
      <c r="B53" s="567"/>
      <c r="C53" s="1224" t="s">
        <v>342</v>
      </c>
      <c r="D53" s="589"/>
      <c r="E53" s="590"/>
      <c r="F53" s="590"/>
      <c r="G53" s="590"/>
      <c r="H53" s="590"/>
      <c r="I53" s="591"/>
      <c r="J53" s="591"/>
      <c r="K53" s="591"/>
      <c r="L53" s="591"/>
      <c r="M53" s="590"/>
      <c r="N53" s="419"/>
      <c r="O53" s="419"/>
      <c r="P53" s="419"/>
      <c r="Q53" s="419"/>
      <c r="R53" s="590"/>
      <c r="S53" s="419"/>
      <c r="T53" s="419"/>
      <c r="U53" s="419"/>
      <c r="V53" s="419"/>
      <c r="W53" s="590"/>
      <c r="X53" s="419"/>
      <c r="Y53" s="419"/>
      <c r="Z53" s="419"/>
      <c r="AA53" s="419"/>
      <c r="AB53" s="590"/>
      <c r="AC53" s="419"/>
      <c r="AD53" s="419"/>
      <c r="AE53" s="419"/>
      <c r="AF53" s="419"/>
      <c r="AG53" s="590"/>
      <c r="AH53" s="419"/>
      <c r="AI53" s="419"/>
      <c r="AJ53" s="419"/>
      <c r="AK53" s="419"/>
      <c r="AL53" s="590"/>
      <c r="AM53" s="419"/>
      <c r="AN53" s="419"/>
      <c r="AO53" s="419"/>
      <c r="AP53" s="419"/>
      <c r="AQ53" s="590"/>
      <c r="AR53" s="419"/>
      <c r="AS53" s="419"/>
      <c r="AT53" s="419"/>
      <c r="AU53" s="419"/>
      <c r="AV53" s="590"/>
      <c r="AW53" s="419"/>
      <c r="AX53" s="419"/>
      <c r="AY53" s="419"/>
      <c r="AZ53" s="419"/>
      <c r="BA53" s="590"/>
      <c r="BB53" s="419"/>
      <c r="BC53" s="419"/>
      <c r="BD53" s="419"/>
      <c r="BE53" s="419"/>
      <c r="BF53" s="590"/>
      <c r="BG53" s="628"/>
      <c r="BH53" s="628"/>
      <c r="BI53" s="628"/>
      <c r="BJ53" s="628"/>
      <c r="BK53" s="590"/>
      <c r="BL53" s="419"/>
      <c r="BM53" s="419"/>
      <c r="BN53" s="419"/>
      <c r="BO53" s="419"/>
      <c r="BP53" s="590"/>
      <c r="BQ53" s="667"/>
      <c r="BR53" s="667"/>
      <c r="BS53" s="667"/>
      <c r="BT53" s="667"/>
      <c r="BU53" s="668"/>
      <c r="BV53" s="667"/>
      <c r="BW53" s="667"/>
      <c r="BX53" s="667"/>
      <c r="BY53" s="667"/>
      <c r="BZ53" s="669"/>
      <c r="CA53" s="419">
        <f>CA51/CA41</f>
        <v>0.36817923328494434</v>
      </c>
      <c r="CB53" s="419">
        <f>CB51/CB41</f>
        <v>0.39282681083391313</v>
      </c>
      <c r="CC53" s="419">
        <f>CC51/CC41</f>
        <v>0.37638750987280245</v>
      </c>
      <c r="CD53" s="675">
        <v>0.39</v>
      </c>
      <c r="CE53" s="286">
        <f t="shared" ref="CE53:DK53" si="277">CE51/CE41</f>
        <v>0.38328109605517319</v>
      </c>
      <c r="CF53" s="419">
        <f t="shared" si="277"/>
        <v>0.36843595397725148</v>
      </c>
      <c r="CG53" s="419">
        <f t="shared" si="277"/>
        <v>0.41869804814506767</v>
      </c>
      <c r="CH53" s="419">
        <f t="shared" si="277"/>
        <v>0.41413058397909336</v>
      </c>
      <c r="CI53" s="419">
        <f t="shared" si="277"/>
        <v>0.41492604729281146</v>
      </c>
      <c r="CJ53" s="286">
        <f t="shared" si="277"/>
        <v>0.40657633986414771</v>
      </c>
      <c r="CK53" s="419">
        <f t="shared" si="277"/>
        <v>0.40578375797100913</v>
      </c>
      <c r="CL53" s="419">
        <f t="shared" si="277"/>
        <v>0.4193857311028138</v>
      </c>
      <c r="CM53" s="419">
        <f t="shared" si="277"/>
        <v>0.42169581090755004</v>
      </c>
      <c r="CN53" s="419">
        <f t="shared" si="277"/>
        <v>0.42860030385795805</v>
      </c>
      <c r="CO53" s="286">
        <f t="shared" si="277"/>
        <v>0.42040465214309908</v>
      </c>
      <c r="CP53" s="419">
        <f t="shared" si="277"/>
        <v>0.41917280324166423</v>
      </c>
      <c r="CQ53" s="419">
        <f t="shared" si="277"/>
        <v>0.44510189611414752</v>
      </c>
      <c r="CR53" s="419">
        <f t="shared" si="277"/>
        <v>0.45282303627225728</v>
      </c>
      <c r="CS53" s="419">
        <f t="shared" si="277"/>
        <v>0.46427654508438826</v>
      </c>
      <c r="CT53" s="286">
        <f t="shared" si="277"/>
        <v>0.44991874576167973</v>
      </c>
      <c r="CU53" s="419">
        <f t="shared" si="277"/>
        <v>0.46322469830550267</v>
      </c>
      <c r="CV53" s="419">
        <f t="shared" si="277"/>
        <v>0.48111823063390691</v>
      </c>
      <c r="CW53" s="419">
        <f t="shared" si="277"/>
        <v>0.49084164904884342</v>
      </c>
      <c r="CX53" s="419">
        <f t="shared" si="277"/>
        <v>0.51242624391933178</v>
      </c>
      <c r="CY53" s="286">
        <f t="shared" si="277"/>
        <v>0.4892741358161361</v>
      </c>
      <c r="CZ53" s="419">
        <f t="shared" si="277"/>
        <v>0.50925982510350942</v>
      </c>
      <c r="DA53" s="419">
        <f t="shared" si="277"/>
        <v>0.53148097344006018</v>
      </c>
      <c r="DB53" s="419">
        <f t="shared" si="277"/>
        <v>0.54112554112554112</v>
      </c>
      <c r="DC53" s="419">
        <f t="shared" si="277"/>
        <v>0.56065573770491806</v>
      </c>
      <c r="DD53" s="286">
        <f t="shared" si="277"/>
        <v>0.53789560466337949</v>
      </c>
      <c r="DE53" s="419">
        <f t="shared" si="277"/>
        <v>0.55443548387096775</v>
      </c>
      <c r="DF53" s="419">
        <f t="shared" si="277"/>
        <v>0.57636363636363641</v>
      </c>
      <c r="DG53" s="419">
        <f t="shared" si="277"/>
        <v>0.58362989323843417</v>
      </c>
      <c r="DH53" s="419">
        <f t="shared" si="277"/>
        <v>0.59998668885191353</v>
      </c>
      <c r="DI53" s="286">
        <f t="shared" si="277"/>
        <v>0.58100667585037613</v>
      </c>
      <c r="DJ53" s="419">
        <f t="shared" si="277"/>
        <v>0.59548106153972558</v>
      </c>
      <c r="DK53" s="419">
        <f t="shared" si="277"/>
        <v>0.61565915681463301</v>
      </c>
      <c r="DL53" s="419">
        <f t="shared" ref="DL53" si="278">DL51/DL41</f>
        <v>0.61536254751488206</v>
      </c>
      <c r="DM53" s="419">
        <f>+DH53+DM55/10000</f>
        <v>0.62998668885191356</v>
      </c>
      <c r="DN53" s="286">
        <f>DN51/DN41</f>
        <v>0.61593680624409886</v>
      </c>
      <c r="DO53" s="419">
        <f>+DJ53+DO55/10000</f>
        <v>0.6214810615397256</v>
      </c>
      <c r="DP53" s="419">
        <f t="shared" ref="DP53:DR53" si="279">+DK53+DP55/10000</f>
        <v>0.64165915681463304</v>
      </c>
      <c r="DQ53" s="419">
        <f t="shared" si="279"/>
        <v>0.64136254751488209</v>
      </c>
      <c r="DR53" s="419">
        <f t="shared" si="279"/>
        <v>0.65598668885191358</v>
      </c>
      <c r="DS53" s="286">
        <f>DS51/DS41</f>
        <v>0.64178794569671227</v>
      </c>
      <c r="DT53" s="419">
        <f>+DO53+DT55/10000</f>
        <v>0.64348106153972562</v>
      </c>
      <c r="DU53" s="419">
        <f t="shared" ref="DU53" si="280">+DP53+DU55/10000</f>
        <v>0.66365915681463306</v>
      </c>
      <c r="DV53" s="419">
        <f t="shared" ref="DV53" si="281">+DQ53+DV55/10000</f>
        <v>0.66336254751488211</v>
      </c>
      <c r="DW53" s="419">
        <f t="shared" ref="DW53" si="282">+DR53+DW55/10000</f>
        <v>0.6779866888519136</v>
      </c>
      <c r="DX53" s="286">
        <f>DX51/DX41</f>
        <v>0.6637879456967124</v>
      </c>
      <c r="DY53" s="419">
        <f>+DT53+DY55/10000</f>
        <v>0.66148106153972563</v>
      </c>
      <c r="DZ53" s="419">
        <f t="shared" ref="DZ53" si="283">+DU53+DZ55/10000</f>
        <v>0.68165915681463307</v>
      </c>
      <c r="EA53" s="419">
        <f t="shared" ref="EA53" si="284">+DV53+EA55/10000</f>
        <v>0.68136254751488212</v>
      </c>
      <c r="EB53" s="419">
        <f t="shared" ref="EB53" si="285">+DW53+EB55/10000</f>
        <v>0.69598668885191362</v>
      </c>
      <c r="EC53" s="286">
        <f>EC51/EC41</f>
        <v>0.68178794569671242</v>
      </c>
      <c r="ED53" s="578"/>
    </row>
    <row r="54" spans="1:135" s="1369" customFormat="1" ht="12" customHeight="1">
      <c r="A54" s="1194"/>
      <c r="B54" s="1089"/>
      <c r="C54" s="1238" t="s">
        <v>298</v>
      </c>
      <c r="D54" s="1233"/>
      <c r="E54" s="1233"/>
      <c r="F54" s="1233"/>
      <c r="G54" s="1233"/>
      <c r="H54" s="1233"/>
      <c r="I54" s="1234"/>
      <c r="J54" s="1234"/>
      <c r="K54" s="1234"/>
      <c r="L54" s="1234"/>
      <c r="M54" s="1233"/>
      <c r="N54" s="1234"/>
      <c r="O54" s="1234"/>
      <c r="P54" s="1234"/>
      <c r="Q54" s="1234"/>
      <c r="R54" s="1233"/>
      <c r="S54" s="1234"/>
      <c r="T54" s="1234"/>
      <c r="U54" s="1234"/>
      <c r="V54" s="1234"/>
      <c r="W54" s="1233"/>
      <c r="X54" s="1234"/>
      <c r="Y54" s="1234"/>
      <c r="Z54" s="1234"/>
      <c r="AA54" s="1234"/>
      <c r="AB54" s="1233"/>
      <c r="AC54" s="1234"/>
      <c r="AD54" s="1234"/>
      <c r="AE54" s="1234"/>
      <c r="AF54" s="1234"/>
      <c r="AG54" s="1233"/>
      <c r="AH54" s="1234"/>
      <c r="AI54" s="1234"/>
      <c r="AJ54" s="1234"/>
      <c r="AK54" s="1234"/>
      <c r="AL54" s="1233"/>
      <c r="AM54" s="1234"/>
      <c r="AN54" s="1234"/>
      <c r="AO54" s="1234"/>
      <c r="AP54" s="1234"/>
      <c r="AQ54" s="1233"/>
      <c r="AR54" s="1234"/>
      <c r="AS54" s="1234"/>
      <c r="AT54" s="1234"/>
      <c r="AU54" s="1234"/>
      <c r="AV54" s="1233"/>
      <c r="AW54" s="1234"/>
      <c r="AX54" s="1234"/>
      <c r="AY54" s="1234"/>
      <c r="AZ54" s="1234"/>
      <c r="BA54" s="1233"/>
      <c r="BB54" s="1234"/>
      <c r="BC54" s="1234"/>
      <c r="BD54" s="1234"/>
      <c r="BE54" s="1234"/>
      <c r="BF54" s="1233"/>
      <c r="BG54" s="1235"/>
      <c r="BH54" s="1235"/>
      <c r="BI54" s="1235"/>
      <c r="BJ54" s="1235"/>
      <c r="BK54" s="1233"/>
      <c r="BL54" s="1234"/>
      <c r="BM54" s="1234"/>
      <c r="BN54" s="1234"/>
      <c r="BO54" s="1234"/>
      <c r="BP54" s="1233"/>
      <c r="BQ54" s="1234"/>
      <c r="BR54" s="1234"/>
      <c r="BS54" s="1234"/>
      <c r="BT54" s="1234"/>
      <c r="BU54" s="1233"/>
      <c r="BV54" s="1234"/>
      <c r="BW54" s="1234"/>
      <c r="BX54" s="1234"/>
      <c r="BY54" s="1234"/>
      <c r="BZ54" s="1236"/>
      <c r="CA54" s="1247">
        <f t="shared" ref="CA54" si="286">(CA53-BY53)*10000</f>
        <v>3681.7923328494435</v>
      </c>
      <c r="CB54" s="1247">
        <f t="shared" ref="CB54" si="287">(CB53-CA53)*10000</f>
        <v>246.47577548968792</v>
      </c>
      <c r="CC54" s="1247">
        <f t="shared" ref="CC54" si="288">(CC53-CB53)*10000</f>
        <v>-164.39300961110681</v>
      </c>
      <c r="CD54" s="1247">
        <f t="shared" ref="CD54" si="289">(CD53-CC53)*10000</f>
        <v>136.12490127197563</v>
      </c>
      <c r="CE54" s="1248"/>
      <c r="CF54" s="1247">
        <f t="shared" ref="CF54" si="290">(CF53-CD53)*10000</f>
        <v>-215.64046022748528</v>
      </c>
      <c r="CG54" s="1247">
        <f t="shared" ref="CG54" si="291">(CG53-CF53)*10000</f>
        <v>502.62094167816184</v>
      </c>
      <c r="CH54" s="1247">
        <f t="shared" ref="CH54" si="292">(CH53-CG53)*10000</f>
        <v>-45.674641659743109</v>
      </c>
      <c r="CI54" s="1247">
        <f t="shared" ref="CI54" si="293">(CI53-CH53)*10000</f>
        <v>7.954633137181033</v>
      </c>
      <c r="CJ54" s="1248"/>
      <c r="CK54" s="1247">
        <f t="shared" ref="CK54" si="294">(CK53-CI53)*10000</f>
        <v>-91.422893218023333</v>
      </c>
      <c r="CL54" s="1247">
        <f t="shared" ref="CL54" si="295">(CL53-CK53)*10000</f>
        <v>136.01973131804667</v>
      </c>
      <c r="CM54" s="1247">
        <f t="shared" ref="CM54" si="296">(CM53-CL53)*10000</f>
        <v>23.100798047362424</v>
      </c>
      <c r="CN54" s="1247">
        <f t="shared" ref="CN54" si="297">(CN53-CM53)*10000</f>
        <v>69.044929504080145</v>
      </c>
      <c r="CO54" s="1248"/>
      <c r="CP54" s="1247">
        <f t="shared" ref="CP54" si="298">(CP53-CN53)*10000</f>
        <v>-94.275006162938269</v>
      </c>
      <c r="CQ54" s="1247">
        <f t="shared" ref="CQ54" si="299">(CQ53-CP53)*10000</f>
        <v>259.29092872483295</v>
      </c>
      <c r="CR54" s="1247">
        <f t="shared" ref="CR54" si="300">(CR53-CQ53)*10000</f>
        <v>77.211401581097633</v>
      </c>
      <c r="CS54" s="1247">
        <f t="shared" ref="CS54" si="301">(CS53-CR53)*10000</f>
        <v>114.53508812130974</v>
      </c>
      <c r="CT54" s="1248"/>
      <c r="CU54" s="1247">
        <f t="shared" ref="CU54" si="302">(CU53-CS53)*10000</f>
        <v>-10.518467788855901</v>
      </c>
      <c r="CV54" s="1247">
        <f t="shared" ref="CV54" si="303">(CV53-CU53)*10000</f>
        <v>178.93532328404237</v>
      </c>
      <c r="CW54" s="1247">
        <f t="shared" ref="CW54" si="304">(CW53-CV53)*10000</f>
        <v>97.234184149365134</v>
      </c>
      <c r="CX54" s="1247">
        <f t="shared" ref="CX54" si="305">(CX53-CW53)*10000</f>
        <v>215.8459487048836</v>
      </c>
      <c r="CY54" s="1248"/>
      <c r="CZ54" s="1247">
        <f t="shared" ref="CZ54" si="306">(CZ53-CX53)*10000</f>
        <v>-31.664188158223581</v>
      </c>
      <c r="DA54" s="1247">
        <f t="shared" ref="DA54" si="307">(DA53-CZ53)*10000</f>
        <v>222.21148336550755</v>
      </c>
      <c r="DB54" s="1247">
        <f t="shared" ref="DB54" si="308">(DB53-DA53)*10000</f>
        <v>96.44567685480942</v>
      </c>
      <c r="DC54" s="1247">
        <f t="shared" ref="DC54" si="309">(DC53-DB53)*10000</f>
        <v>195.30196579376934</v>
      </c>
      <c r="DD54" s="1248"/>
      <c r="DE54" s="1247">
        <f t="shared" ref="DE54" si="310">(DE53-DC53)*10000</f>
        <v>-62.202538339503064</v>
      </c>
      <c r="DF54" s="1247">
        <f t="shared" ref="DF54" si="311">(DF53-DE53)*10000</f>
        <v>219.28152492668661</v>
      </c>
      <c r="DG54" s="1247">
        <f t="shared" ref="DG54" si="312">(DG53-DF53)*10000</f>
        <v>72.662568747977602</v>
      </c>
      <c r="DH54" s="1247">
        <f t="shared" ref="DH54" si="313">(DH53-DG53)*10000</f>
        <v>163.56795613479358</v>
      </c>
      <c r="DI54" s="1248"/>
      <c r="DJ54" s="1247">
        <f>(DJ53-DH53)*10000</f>
        <v>-45.056273121879542</v>
      </c>
      <c r="DK54" s="1247">
        <f>(DK53-DJ53)*10000</f>
        <v>201.78095274907437</v>
      </c>
      <c r="DL54" s="1247">
        <f>(DL53-DK53)*10000</f>
        <v>-2.9660929975094952</v>
      </c>
      <c r="DM54" s="1247">
        <f>(DM53-DL53)*10000</f>
        <v>146.24141337031494</v>
      </c>
      <c r="DN54" s="1248"/>
      <c r="DO54" s="1247">
        <f>(DO53-DM53)*10000</f>
        <v>-85.05627312187957</v>
      </c>
      <c r="DP54" s="1247">
        <f>(DP53-DO53)*10000</f>
        <v>201.78095274907437</v>
      </c>
      <c r="DQ54" s="1247">
        <f>(DQ53-DP53)*10000</f>
        <v>-2.9660929975094952</v>
      </c>
      <c r="DR54" s="1247">
        <f>(DR53-DQ53)*10000</f>
        <v>146.24141337031494</v>
      </c>
      <c r="DS54" s="1248"/>
      <c r="DT54" s="1247">
        <f>(DT53-DR53)*10000</f>
        <v>-125.05627312187961</v>
      </c>
      <c r="DU54" s="1247">
        <f>(DU53-DT53)*10000</f>
        <v>201.78095274907437</v>
      </c>
      <c r="DV54" s="1247">
        <f>(DV53-DU53)*10000</f>
        <v>-2.9660929975094952</v>
      </c>
      <c r="DW54" s="1247">
        <f>(DW53-DV53)*10000</f>
        <v>146.24141337031494</v>
      </c>
      <c r="DX54" s="1248"/>
      <c r="DY54" s="1247">
        <f>(DY53-DW53)*10000</f>
        <v>-165.05627312187966</v>
      </c>
      <c r="DZ54" s="1247">
        <f>(DZ53-DY53)*10000</f>
        <v>201.78095274907437</v>
      </c>
      <c r="EA54" s="1247">
        <f>(EA53-DZ53)*10000</f>
        <v>-2.9660929975094952</v>
      </c>
      <c r="EB54" s="1247">
        <f>(EB53-EA53)*10000</f>
        <v>146.24141337031494</v>
      </c>
      <c r="EC54" s="1248"/>
      <c r="ED54" s="1089"/>
    </row>
    <row r="55" spans="1:135" s="1369" customFormat="1" ht="12" customHeight="1">
      <c r="A55" s="1194"/>
      <c r="B55" s="1089"/>
      <c r="C55" s="1238" t="s">
        <v>297</v>
      </c>
      <c r="D55" s="1233"/>
      <c r="E55" s="1233"/>
      <c r="F55" s="1233"/>
      <c r="G55" s="1233"/>
      <c r="H55" s="1233"/>
      <c r="I55" s="1234"/>
      <c r="J55" s="1234"/>
      <c r="K55" s="1234"/>
      <c r="L55" s="1234"/>
      <c r="M55" s="1233"/>
      <c r="N55" s="1234"/>
      <c r="O55" s="1234"/>
      <c r="P55" s="1234"/>
      <c r="Q55" s="1234"/>
      <c r="R55" s="1233"/>
      <c r="S55" s="1234"/>
      <c r="T55" s="1234"/>
      <c r="U55" s="1234"/>
      <c r="V55" s="1234"/>
      <c r="W55" s="1233"/>
      <c r="X55" s="1234"/>
      <c r="Y55" s="1234"/>
      <c r="Z55" s="1234"/>
      <c r="AA55" s="1234"/>
      <c r="AB55" s="1233"/>
      <c r="AC55" s="1234"/>
      <c r="AD55" s="1234"/>
      <c r="AE55" s="1234"/>
      <c r="AF55" s="1234"/>
      <c r="AG55" s="1233"/>
      <c r="AH55" s="1234"/>
      <c r="AI55" s="1234"/>
      <c r="AJ55" s="1234"/>
      <c r="AK55" s="1234"/>
      <c r="AL55" s="1233"/>
      <c r="AM55" s="1234"/>
      <c r="AN55" s="1234"/>
      <c r="AO55" s="1234"/>
      <c r="AP55" s="1234"/>
      <c r="AQ55" s="1233"/>
      <c r="AR55" s="1234"/>
      <c r="AS55" s="1234"/>
      <c r="AT55" s="1234"/>
      <c r="AU55" s="1234"/>
      <c r="AV55" s="1233"/>
      <c r="AW55" s="1234"/>
      <c r="AX55" s="1234"/>
      <c r="AY55" s="1234"/>
      <c r="AZ55" s="1234"/>
      <c r="BA55" s="1233"/>
      <c r="BB55" s="1234"/>
      <c r="BC55" s="1234"/>
      <c r="BD55" s="1234"/>
      <c r="BE55" s="1234"/>
      <c r="BF55" s="1233"/>
      <c r="BG55" s="1235"/>
      <c r="BH55" s="1235"/>
      <c r="BI55" s="1235"/>
      <c r="BJ55" s="1235"/>
      <c r="BK55" s="1233"/>
      <c r="BL55" s="1234"/>
      <c r="BM55" s="1234"/>
      <c r="BN55" s="1234"/>
      <c r="BO55" s="1234"/>
      <c r="BP55" s="1233"/>
      <c r="BQ55" s="1234"/>
      <c r="BR55" s="1234"/>
      <c r="BS55" s="1234"/>
      <c r="BT55" s="1234"/>
      <c r="BU55" s="1233"/>
      <c r="BV55" s="1234"/>
      <c r="BW55" s="1234"/>
      <c r="BX55" s="1234"/>
      <c r="BY55" s="1234"/>
      <c r="BZ55" s="1236"/>
      <c r="CA55" s="1237"/>
      <c r="CB55" s="1237"/>
      <c r="CC55" s="1237"/>
      <c r="CD55" s="1237"/>
      <c r="CE55" s="1236"/>
      <c r="CF55" s="1247">
        <f t="shared" ref="CF55" si="314">(CF53-CA53)*10000</f>
        <v>2.5672069230714412</v>
      </c>
      <c r="CG55" s="1247">
        <f t="shared" ref="CG55" si="315">(CG53-CB53)*10000</f>
        <v>258.71237311154539</v>
      </c>
      <c r="CH55" s="1247">
        <f t="shared" ref="CH55" si="316">(CH53-CC53)*10000</f>
        <v>377.43074106290908</v>
      </c>
      <c r="CI55" s="1247">
        <f t="shared" ref="CI55" si="317">(CI53-CD53)*10000</f>
        <v>249.2604729281145</v>
      </c>
      <c r="CJ55" s="1248">
        <f t="shared" ref="CJ55" si="318">(CJ53-CE53)*10000</f>
        <v>232.95243808974519</v>
      </c>
      <c r="CK55" s="1247">
        <f t="shared" ref="CK55" si="319">(CK53-CF53)*10000</f>
        <v>373.47803993757645</v>
      </c>
      <c r="CL55" s="1247">
        <f t="shared" ref="CL55" si="320">(CL53-CG53)*10000</f>
        <v>6.8768295774612742</v>
      </c>
      <c r="CM55" s="1247">
        <f t="shared" ref="CM55" si="321">(CM53-CH53)*10000</f>
        <v>75.652269284566813</v>
      </c>
      <c r="CN55" s="1247">
        <f t="shared" ref="CN55" si="322">(CN53-CI53)*10000</f>
        <v>136.74256565146592</v>
      </c>
      <c r="CO55" s="1248">
        <f t="shared" ref="CO55" si="323">(CO53-CJ53)*10000</f>
        <v>138.28312278951373</v>
      </c>
      <c r="CP55" s="1247">
        <f t="shared" ref="CP55" si="324">(CP53-CK53)*10000</f>
        <v>133.89045270655097</v>
      </c>
      <c r="CQ55" s="1247">
        <f t="shared" ref="CQ55" si="325">(CQ53-CL53)*10000</f>
        <v>257.16165011333726</v>
      </c>
      <c r="CR55" s="1247">
        <f t="shared" ref="CR55" si="326">(CR53-CM53)*10000</f>
        <v>311.27225364707243</v>
      </c>
      <c r="CS55" s="1247">
        <f t="shared" ref="CS55" si="327">(CS53-CN53)*10000</f>
        <v>356.76241226430204</v>
      </c>
      <c r="CT55" s="1248">
        <f t="shared" ref="CT55" si="328">(CT53-CO53)*10000</f>
        <v>295.14093618580648</v>
      </c>
      <c r="CU55" s="1247">
        <f t="shared" ref="CU55" si="329">(CU53-CP53)*10000</f>
        <v>440.51895063838441</v>
      </c>
      <c r="CV55" s="1247">
        <f t="shared" ref="CV55" si="330">(CV53-CQ53)*10000</f>
        <v>360.16334519759386</v>
      </c>
      <c r="CW55" s="1247">
        <f t="shared" ref="CW55" si="331">(CW53-CR53)*10000</f>
        <v>380.18612776586139</v>
      </c>
      <c r="CX55" s="1247">
        <f t="shared" ref="CX55" si="332">(CX53-CS53)*10000</f>
        <v>481.49698834943524</v>
      </c>
      <c r="CY55" s="1248">
        <f t="shared" ref="CY55" si="333">(CY53-CT53)*10000</f>
        <v>393.55390054456376</v>
      </c>
      <c r="CZ55" s="1247">
        <f t="shared" ref="CZ55" si="334">(CZ53-CU53)*10000</f>
        <v>460.35126798006752</v>
      </c>
      <c r="DA55" s="1247">
        <f t="shared" ref="DA55" si="335">(DA53-CV53)*10000</f>
        <v>503.62742806153273</v>
      </c>
      <c r="DB55" s="1247">
        <f t="shared" ref="DB55" si="336">(DB53-CW53)*10000</f>
        <v>502.83892076697703</v>
      </c>
      <c r="DC55" s="1247">
        <f t="shared" ref="DC55" si="337">(DC53-CX53)*10000</f>
        <v>482.29493785586277</v>
      </c>
      <c r="DD55" s="1248">
        <f t="shared" ref="DD55" si="338">(DD53-CY53)*10000</f>
        <v>486.21468847243386</v>
      </c>
      <c r="DE55" s="1247">
        <f t="shared" ref="DE55" si="339">(DE53-CZ53)*10000</f>
        <v>451.75658767458327</v>
      </c>
      <c r="DF55" s="1247">
        <f t="shared" ref="DF55" si="340">(DF53-DA53)*10000</f>
        <v>448.82662923576231</v>
      </c>
      <c r="DG55" s="1247">
        <f t="shared" ref="DG55" si="341">(DG53-DB53)*10000</f>
        <v>425.04352112893054</v>
      </c>
      <c r="DH55" s="1247">
        <f t="shared" ref="DH55" si="342">(DH53-DC53)*10000</f>
        <v>393.30951146995471</v>
      </c>
      <c r="DI55" s="1248">
        <f>(DI53-DD53)*10000</f>
        <v>431.11071186996639</v>
      </c>
      <c r="DJ55" s="1247">
        <f>(DJ53-DE53)*10000</f>
        <v>410.45577668757829</v>
      </c>
      <c r="DK55" s="1247">
        <f>(DK53-DF53)*10000</f>
        <v>392.95520450996599</v>
      </c>
      <c r="DL55" s="1247">
        <f>(DL53-DG53)*10000</f>
        <v>317.32654276447892</v>
      </c>
      <c r="DM55" s="1332">
        <v>300</v>
      </c>
      <c r="DN55" s="1248">
        <f>(DN53-DI53)*10000</f>
        <v>349.30130393722726</v>
      </c>
      <c r="DO55" s="1332">
        <v>260</v>
      </c>
      <c r="DP55" s="1332">
        <v>260</v>
      </c>
      <c r="DQ55" s="1332">
        <v>260</v>
      </c>
      <c r="DR55" s="1332">
        <v>260</v>
      </c>
      <c r="DS55" s="1248">
        <f>(DS53-DN53)*10000</f>
        <v>258.51139452613415</v>
      </c>
      <c r="DT55" s="1332">
        <v>220</v>
      </c>
      <c r="DU55" s="1332">
        <v>220</v>
      </c>
      <c r="DV55" s="1332">
        <v>220</v>
      </c>
      <c r="DW55" s="1332">
        <v>220</v>
      </c>
      <c r="DX55" s="1248">
        <f t="shared" ref="DX55" si="343">(DX53-DS53)*10000</f>
        <v>220.00000000000131</v>
      </c>
      <c r="DY55" s="1332">
        <v>180</v>
      </c>
      <c r="DZ55" s="1332">
        <v>180</v>
      </c>
      <c r="EA55" s="1332">
        <v>180</v>
      </c>
      <c r="EB55" s="1332">
        <v>180</v>
      </c>
      <c r="EC55" s="1248">
        <f t="shared" ref="EC55" si="344">(EC53-DX53)*10000</f>
        <v>180.00000000000017</v>
      </c>
      <c r="ED55" s="1089"/>
    </row>
    <row r="56" spans="1:135" s="1370" customFormat="1" ht="12" customHeight="1">
      <c r="A56" s="1342"/>
      <c r="B56" s="1343"/>
      <c r="C56" s="1344" t="s">
        <v>641</v>
      </c>
      <c r="D56" s="1345"/>
      <c r="E56" s="1346"/>
      <c r="F56" s="1346"/>
      <c r="G56" s="1346"/>
      <c r="H56" s="1346"/>
      <c r="I56" s="1347"/>
      <c r="J56" s="1347"/>
      <c r="K56" s="1347"/>
      <c r="L56" s="1347"/>
      <c r="M56" s="1346"/>
      <c r="N56" s="1348"/>
      <c r="O56" s="1348"/>
      <c r="P56" s="1348"/>
      <c r="Q56" s="1348"/>
      <c r="R56" s="1346"/>
      <c r="S56" s="1348"/>
      <c r="T56" s="1348"/>
      <c r="U56" s="1348"/>
      <c r="V56" s="1348"/>
      <c r="W56" s="1346"/>
      <c r="X56" s="1348"/>
      <c r="Y56" s="1348"/>
      <c r="Z56" s="1348"/>
      <c r="AA56" s="1348"/>
      <c r="AB56" s="1346"/>
      <c r="AC56" s="1348"/>
      <c r="AD56" s="1348"/>
      <c r="AE56" s="1348"/>
      <c r="AF56" s="1348"/>
      <c r="AG56" s="1346"/>
      <c r="AH56" s="1348"/>
      <c r="AI56" s="1348"/>
      <c r="AJ56" s="1348"/>
      <c r="AK56" s="1348"/>
      <c r="AL56" s="1346"/>
      <c r="AM56" s="1348"/>
      <c r="AN56" s="1348"/>
      <c r="AO56" s="1348"/>
      <c r="AP56" s="1348"/>
      <c r="AQ56" s="1346"/>
      <c r="AR56" s="1348"/>
      <c r="AS56" s="1348"/>
      <c r="AT56" s="1348"/>
      <c r="AU56" s="1348"/>
      <c r="AV56" s="1346"/>
      <c r="AW56" s="1348"/>
      <c r="AX56" s="1348"/>
      <c r="AY56" s="1348"/>
      <c r="AZ56" s="1348"/>
      <c r="BA56" s="1346"/>
      <c r="BB56" s="1348"/>
      <c r="BC56" s="1348"/>
      <c r="BD56" s="1348"/>
      <c r="BE56" s="1348"/>
      <c r="BF56" s="1346"/>
      <c r="BG56" s="1349"/>
      <c r="BH56" s="1349"/>
      <c r="BI56" s="1349"/>
      <c r="BJ56" s="1349"/>
      <c r="BK56" s="1346"/>
      <c r="BL56" s="1348"/>
      <c r="BM56" s="1348"/>
      <c r="BN56" s="1348"/>
      <c r="BO56" s="1348"/>
      <c r="BP56" s="1346"/>
      <c r="BQ56" s="1348"/>
      <c r="BR56" s="1348"/>
      <c r="BS56" s="1348"/>
      <c r="BT56" s="1348"/>
      <c r="BU56" s="1346"/>
      <c r="BV56" s="1348"/>
      <c r="BW56" s="1348"/>
      <c r="BX56" s="1348"/>
      <c r="BY56" s="1348"/>
      <c r="BZ56" s="1350"/>
      <c r="CA56" s="1348">
        <f>+CA59/CA51</f>
        <v>2.1199050208931505E-2</v>
      </c>
      <c r="CB56" s="1351">
        <f>+CB59/CB51</f>
        <v>2.0150950075725378E-2</v>
      </c>
      <c r="CC56" s="1351">
        <f>+CC59/CC51</f>
        <v>2.1331112316480001E-2</v>
      </c>
      <c r="CD56" s="1351">
        <f>+CD59/CD51</f>
        <v>2.0901965556729237E-2</v>
      </c>
      <c r="CE56" s="1350">
        <f>CE59/CE51</f>
        <v>2.0886003872925128E-2</v>
      </c>
      <c r="CF56" s="1351">
        <f>+CF59/CF51</f>
        <v>2.2400172051369856E-2</v>
      </c>
      <c r="CG56" s="1351">
        <f>+CG59/CG51</f>
        <v>2.0179778379104479E-2</v>
      </c>
      <c r="CH56" s="1351">
        <f>+CH59/CH51</f>
        <v>2.0775069239999999E-2</v>
      </c>
      <c r="CI56" s="1351">
        <f>+CI59/CI51</f>
        <v>2.0786205637696335E-2</v>
      </c>
      <c r="CJ56" s="1350">
        <f>CJ59/CJ51</f>
        <v>2.0927612555313529E-2</v>
      </c>
      <c r="CK56" s="1351">
        <f>+CK59/CK51</f>
        <v>2.1226394753424655E-2</v>
      </c>
      <c r="CL56" s="1351">
        <f>+CL59/CL51</f>
        <v>2.0618781850746268E-2</v>
      </c>
      <c r="CM56" s="1351">
        <f>+CM59/CM51</f>
        <v>2.0517720000000003E-2</v>
      </c>
      <c r="CN56" s="1351">
        <f>+CN59/CN51</f>
        <v>2.0755969256544504E-2</v>
      </c>
      <c r="CO56" s="1352">
        <f>CO59/CO51</f>
        <v>2.0755689485746628E-2</v>
      </c>
      <c r="CP56" s="1351">
        <f>+CP59/CP51</f>
        <v>2.1856367123287666E-2</v>
      </c>
      <c r="CQ56" s="1351">
        <f>+CQ59/CQ51</f>
        <v>2.1837123507462686E-2</v>
      </c>
      <c r="CR56" s="1351">
        <f>+CR59/CR51</f>
        <v>2.1071715357142855E-2</v>
      </c>
      <c r="CS56" s="1351">
        <f>+CS59/CS51</f>
        <v>2.0656636649214657E-2</v>
      </c>
      <c r="CT56" s="1352">
        <f>CT59/CT51</f>
        <v>2.1221463011152412E-2</v>
      </c>
      <c r="CU56" s="1351">
        <f>+CU59/CU51</f>
        <v>2.1622020809248556E-2</v>
      </c>
      <c r="CV56" s="1351">
        <f>+CV59/CV51</f>
        <v>2.1660910344827589E-2</v>
      </c>
      <c r="CW56" s="1351">
        <f>+CW59/CW51</f>
        <v>2.1513069268292686E-2</v>
      </c>
      <c r="CX56" s="1351">
        <f>+CX59/CX51</f>
        <v>2.0799168231046931E-2</v>
      </c>
      <c r="CY56" s="1352">
        <f>CY59/CY51</f>
        <v>2.1339537529137531E-2</v>
      </c>
      <c r="CZ56" s="1351">
        <f>+CZ59/CZ51</f>
        <v>2.1588667545454545E-2</v>
      </c>
      <c r="DA56" s="1351">
        <f>+DA59/DA51</f>
        <v>2.0623568674698799E-2</v>
      </c>
      <c r="DB56" s="1351">
        <f>+DB59/DB51</f>
        <v>2.1896565880000003E-2</v>
      </c>
      <c r="DC56" s="1351">
        <f>+DC59/DC51</f>
        <v>2.1581940701754388E-2</v>
      </c>
      <c r="DD56" s="1352">
        <f>DD59/DD51</f>
        <v>2.1432554806786051E-2</v>
      </c>
      <c r="DE56" s="1351">
        <f>+DE59/DE51</f>
        <v>2.3134181818181818E-2</v>
      </c>
      <c r="DF56" s="1351">
        <f>+DF59/DF51</f>
        <v>2.2279179810725549E-2</v>
      </c>
      <c r="DG56" s="1351">
        <f>+DG59/DG51</f>
        <v>2.1153048780487804E-2</v>
      </c>
      <c r="DH56" s="1351">
        <f>+DH59/DH51</f>
        <v>2.0294071970537335E-2</v>
      </c>
      <c r="DI56" s="1352">
        <f>DI59/DI51</f>
        <v>2.1528480966485256E-2</v>
      </c>
      <c r="DJ56" s="1351">
        <f>+DJ59/DJ51</f>
        <v>2.1053935095755833E-2</v>
      </c>
      <c r="DK56" s="1351">
        <f>+DK59/DK51</f>
        <v>2.0236101449275359E-2</v>
      </c>
      <c r="DL56" s="1351">
        <f>+DL59/DL51</f>
        <v>2.0456372960372959E-2</v>
      </c>
      <c r="DM56" s="1353">
        <f>DL56-9/10000</f>
        <v>1.9556372960372957E-2</v>
      </c>
      <c r="DN56" s="1352">
        <f>DN59/DN51</f>
        <v>2.0232505275208763E-2</v>
      </c>
      <c r="DO56" s="1354">
        <f>+DJ56+DO58/10000</f>
        <v>2.0553935095755833E-2</v>
      </c>
      <c r="DP56" s="1354">
        <f t="shared" ref="DP56:DR56" si="345">+DK56+DP58/10000</f>
        <v>1.9736101449275359E-2</v>
      </c>
      <c r="DQ56" s="1354">
        <f t="shared" si="345"/>
        <v>1.9956372960372958E-2</v>
      </c>
      <c r="DR56" s="1354">
        <f t="shared" si="345"/>
        <v>1.9056372960372957E-2</v>
      </c>
      <c r="DS56" s="1350">
        <f>DS59/DS51</f>
        <v>1.9738336928966024E-2</v>
      </c>
      <c r="DT56" s="1354">
        <f>+DO56+DT58/10000</f>
        <v>2.0053935095755832E-2</v>
      </c>
      <c r="DU56" s="1354">
        <f t="shared" ref="DU56" si="346">+DP56+DU58/10000</f>
        <v>1.9236101449275358E-2</v>
      </c>
      <c r="DV56" s="1354">
        <f t="shared" ref="DV56" si="347">+DQ56+DV58/10000</f>
        <v>1.9456372960372958E-2</v>
      </c>
      <c r="DW56" s="1354">
        <f t="shared" ref="DW56" si="348">+DR56+DW58/10000</f>
        <v>1.8556372960372956E-2</v>
      </c>
      <c r="DX56" s="1350">
        <f>DX59/DX51</f>
        <v>1.9238681162597002E-2</v>
      </c>
      <c r="DY56" s="1354">
        <f>+DT56+DY58/10000</f>
        <v>1.9553935095755832E-2</v>
      </c>
      <c r="DZ56" s="1354">
        <f t="shared" ref="DZ56" si="349">+DU56+DZ58/10000</f>
        <v>1.8736101449275358E-2</v>
      </c>
      <c r="EA56" s="1354">
        <f t="shared" ref="EA56" si="350">+DV56+EA58/10000</f>
        <v>1.8956372960372957E-2</v>
      </c>
      <c r="EB56" s="1354">
        <f t="shared" ref="EB56" si="351">+DW56+EB58/10000</f>
        <v>1.8056372960372956E-2</v>
      </c>
      <c r="EC56" s="1350">
        <f>EC59/EC51</f>
        <v>1.873894628434801E-2</v>
      </c>
      <c r="ED56" s="1355"/>
      <c r="EE56" s="1370" t="s">
        <v>699</v>
      </c>
    </row>
    <row r="57" spans="1:135" s="1369" customFormat="1" ht="12" customHeight="1">
      <c r="A57" s="1194"/>
      <c r="B57" s="1089"/>
      <c r="C57" s="1238" t="s">
        <v>298</v>
      </c>
      <c r="D57" s="1233"/>
      <c r="E57" s="1233"/>
      <c r="F57" s="1233"/>
      <c r="G57" s="1233"/>
      <c r="H57" s="1233"/>
      <c r="I57" s="1234"/>
      <c r="J57" s="1234"/>
      <c r="K57" s="1234"/>
      <c r="L57" s="1234"/>
      <c r="M57" s="1233"/>
      <c r="N57" s="1234"/>
      <c r="O57" s="1234"/>
      <c r="P57" s="1234"/>
      <c r="Q57" s="1234"/>
      <c r="R57" s="1233"/>
      <c r="S57" s="1234"/>
      <c r="T57" s="1234"/>
      <c r="U57" s="1234"/>
      <c r="V57" s="1234"/>
      <c r="W57" s="1233"/>
      <c r="X57" s="1234"/>
      <c r="Y57" s="1234"/>
      <c r="Z57" s="1234"/>
      <c r="AA57" s="1234"/>
      <c r="AB57" s="1233"/>
      <c r="AC57" s="1234"/>
      <c r="AD57" s="1234"/>
      <c r="AE57" s="1234"/>
      <c r="AF57" s="1234"/>
      <c r="AG57" s="1233"/>
      <c r="AH57" s="1234"/>
      <c r="AI57" s="1234"/>
      <c r="AJ57" s="1234"/>
      <c r="AK57" s="1234"/>
      <c r="AL57" s="1233"/>
      <c r="AM57" s="1234"/>
      <c r="AN57" s="1234"/>
      <c r="AO57" s="1234"/>
      <c r="AP57" s="1234"/>
      <c r="AQ57" s="1233"/>
      <c r="AR57" s="1234"/>
      <c r="AS57" s="1234"/>
      <c r="AT57" s="1234"/>
      <c r="AU57" s="1234"/>
      <c r="AV57" s="1233"/>
      <c r="AW57" s="1234"/>
      <c r="AX57" s="1234"/>
      <c r="AY57" s="1234"/>
      <c r="AZ57" s="1234"/>
      <c r="BA57" s="1233"/>
      <c r="BB57" s="1234"/>
      <c r="BC57" s="1234"/>
      <c r="BD57" s="1234"/>
      <c r="BE57" s="1234"/>
      <c r="BF57" s="1233"/>
      <c r="BG57" s="1235"/>
      <c r="BH57" s="1235"/>
      <c r="BI57" s="1235"/>
      <c r="BJ57" s="1235"/>
      <c r="BK57" s="1233"/>
      <c r="BL57" s="1234"/>
      <c r="BM57" s="1234"/>
      <c r="BN57" s="1234"/>
      <c r="BO57" s="1234"/>
      <c r="BP57" s="1233"/>
      <c r="BQ57" s="1234"/>
      <c r="BR57" s="1234"/>
      <c r="BS57" s="1234"/>
      <c r="BT57" s="1234"/>
      <c r="BU57" s="1233"/>
      <c r="BV57" s="1234"/>
      <c r="BW57" s="1234"/>
      <c r="BX57" s="1234"/>
      <c r="BY57" s="1234"/>
      <c r="BZ57" s="1236"/>
      <c r="CA57" s="1247">
        <f t="shared" ref="CA57" si="352">(CA56-BY56)*10000</f>
        <v>211.99050208931504</v>
      </c>
      <c r="CB57" s="1247">
        <f t="shared" ref="CB57:CD57" si="353">(CB56-CA56)*10000</f>
        <v>-10.481001332061265</v>
      </c>
      <c r="CC57" s="1247">
        <f t="shared" si="353"/>
        <v>11.80162240754623</v>
      </c>
      <c r="CD57" s="1247">
        <f t="shared" si="353"/>
        <v>-4.2914675975076406</v>
      </c>
      <c r="CE57" s="1248"/>
      <c r="CF57" s="1247">
        <f t="shared" ref="CF57" si="354">(CF56-CD56)*10000</f>
        <v>14.982064946406187</v>
      </c>
      <c r="CG57" s="1247">
        <f t="shared" ref="CG57:CI57" si="355">(CG56-CF56)*10000</f>
        <v>-22.203936722653765</v>
      </c>
      <c r="CH57" s="1247">
        <f t="shared" si="355"/>
        <v>5.9529086089551981</v>
      </c>
      <c r="CI57" s="1247">
        <f t="shared" si="355"/>
        <v>0.11136397696336064</v>
      </c>
      <c r="CJ57" s="1248"/>
      <c r="CK57" s="1247">
        <f t="shared" ref="CK57" si="356">(CK56-CI56)*10000</f>
        <v>4.401891157283198</v>
      </c>
      <c r="CL57" s="1247">
        <f t="shared" ref="CL57:CN57" si="357">(CL56-CK56)*10000</f>
        <v>-6.0761290267838737</v>
      </c>
      <c r="CM57" s="1247">
        <f t="shared" si="357"/>
        <v>-1.0106185074626461</v>
      </c>
      <c r="CN57" s="1247">
        <f t="shared" si="357"/>
        <v>2.3824925654450033</v>
      </c>
      <c r="CO57" s="1248"/>
      <c r="CP57" s="1247">
        <f t="shared" ref="CP57" si="358">(CP56-CN56)*10000</f>
        <v>11.003978667431628</v>
      </c>
      <c r="CQ57" s="1247">
        <f t="shared" ref="CQ57:CS57" si="359">(CQ56-CP56)*10000</f>
        <v>-0.19243615824979937</v>
      </c>
      <c r="CR57" s="1247">
        <f t="shared" si="359"/>
        <v>-7.6540815031983165</v>
      </c>
      <c r="CS57" s="1247">
        <f t="shared" si="359"/>
        <v>-4.1507870792819794</v>
      </c>
      <c r="CT57" s="1248"/>
      <c r="CU57" s="1247">
        <f t="shared" ref="CU57" si="360">(CU56-CS56)*10000</f>
        <v>9.6538416003389909</v>
      </c>
      <c r="CV57" s="1247">
        <f t="shared" ref="CV57:CX57" si="361">(CV56-CU56)*10000</f>
        <v>0.38889535579032797</v>
      </c>
      <c r="CW57" s="1247">
        <f t="shared" si="361"/>
        <v>-1.4784107653490266</v>
      </c>
      <c r="CX57" s="1247">
        <f t="shared" si="361"/>
        <v>-7.1390103724575456</v>
      </c>
      <c r="CY57" s="1248"/>
      <c r="CZ57" s="1247">
        <f t="shared" ref="CZ57" si="362">(CZ56-CX56)*10000</f>
        <v>7.8949931440761363</v>
      </c>
      <c r="DA57" s="1247">
        <f t="shared" ref="DA57:DC57" si="363">(DA56-CZ56)*10000</f>
        <v>-9.6509887075574632</v>
      </c>
      <c r="DB57" s="1247">
        <f t="shared" si="363"/>
        <v>12.729972053012045</v>
      </c>
      <c r="DC57" s="1247">
        <f t="shared" si="363"/>
        <v>-3.1462517824561513</v>
      </c>
      <c r="DD57" s="1248"/>
      <c r="DE57" s="1247">
        <f t="shared" ref="DE57" si="364">(DE56-DC56)*10000</f>
        <v>15.522411164274295</v>
      </c>
      <c r="DF57" s="1247">
        <f t="shared" ref="DF57:DH57" si="365">(DF56-DE56)*10000</f>
        <v>-8.5500200745626884</v>
      </c>
      <c r="DG57" s="1247">
        <f t="shared" si="365"/>
        <v>-11.261310302377453</v>
      </c>
      <c r="DH57" s="1247">
        <f t="shared" si="365"/>
        <v>-8.5897680995046866</v>
      </c>
      <c r="DI57" s="1248"/>
      <c r="DJ57" s="1247">
        <f>(DJ56-DH56)*10000</f>
        <v>7.5986312521849824</v>
      </c>
      <c r="DK57" s="1247">
        <f>(DK56-DJ56)*10000</f>
        <v>-8.1783364648047385</v>
      </c>
      <c r="DL57" s="1247">
        <f>(DL56-DK56)*10000</f>
        <v>2.2027151109759933</v>
      </c>
      <c r="DM57" s="1247">
        <f>(DM56-DL56)*10000</f>
        <v>-9.0000000000000142</v>
      </c>
      <c r="DN57" s="1248"/>
      <c r="DO57" s="1247">
        <f>(DO56-DM56)*10000</f>
        <v>9.975621353828755</v>
      </c>
      <c r="DP57" s="1247">
        <f>(DP56-DO56)*10000</f>
        <v>-8.1783364648047385</v>
      </c>
      <c r="DQ57" s="1247">
        <f>(DQ56-DP56)*10000</f>
        <v>2.2027151109759933</v>
      </c>
      <c r="DR57" s="1247">
        <f>(DR56-DQ56)*10000</f>
        <v>-9.0000000000000142</v>
      </c>
      <c r="DS57" s="1248"/>
      <c r="DT57" s="1247">
        <f>(DT56-DR56)*10000</f>
        <v>9.975621353828755</v>
      </c>
      <c r="DU57" s="1247">
        <f>(DU56-DT56)*10000</f>
        <v>-8.1783364648047385</v>
      </c>
      <c r="DV57" s="1247">
        <f>(DV56-DU56)*10000</f>
        <v>2.2027151109759933</v>
      </c>
      <c r="DW57" s="1247">
        <f>(DW56-DV56)*10000</f>
        <v>-9.0000000000000142</v>
      </c>
      <c r="DX57" s="1248"/>
      <c r="DY57" s="1247">
        <f>(DY56-DW56)*10000</f>
        <v>9.975621353828755</v>
      </c>
      <c r="DZ57" s="1247">
        <f>(DZ56-DY56)*10000</f>
        <v>-8.1783364648047385</v>
      </c>
      <c r="EA57" s="1247">
        <f>(EA56-DZ56)*10000</f>
        <v>2.2027151109759933</v>
      </c>
      <c r="EB57" s="1247">
        <f>(EB56-EA56)*10000</f>
        <v>-9.0000000000000142</v>
      </c>
      <c r="EC57" s="1248"/>
      <c r="ED57" s="1089"/>
    </row>
    <row r="58" spans="1:135" s="1369" customFormat="1" ht="12" customHeight="1">
      <c r="A58" s="1194"/>
      <c r="B58" s="1089"/>
      <c r="C58" s="1238" t="s">
        <v>297</v>
      </c>
      <c r="D58" s="1233"/>
      <c r="E58" s="1233"/>
      <c r="F58" s="1233"/>
      <c r="G58" s="1233"/>
      <c r="H58" s="1233"/>
      <c r="I58" s="1234"/>
      <c r="J58" s="1234"/>
      <c r="K58" s="1234"/>
      <c r="L58" s="1234"/>
      <c r="M58" s="1233"/>
      <c r="N58" s="1234"/>
      <c r="O58" s="1234"/>
      <c r="P58" s="1234"/>
      <c r="Q58" s="1234"/>
      <c r="R58" s="1233"/>
      <c r="S58" s="1234"/>
      <c r="T58" s="1234"/>
      <c r="U58" s="1234"/>
      <c r="V58" s="1234"/>
      <c r="W58" s="1233"/>
      <c r="X58" s="1234"/>
      <c r="Y58" s="1234"/>
      <c r="Z58" s="1234"/>
      <c r="AA58" s="1234"/>
      <c r="AB58" s="1233"/>
      <c r="AC58" s="1234"/>
      <c r="AD58" s="1234"/>
      <c r="AE58" s="1234"/>
      <c r="AF58" s="1234"/>
      <c r="AG58" s="1233"/>
      <c r="AH58" s="1234"/>
      <c r="AI58" s="1234"/>
      <c r="AJ58" s="1234"/>
      <c r="AK58" s="1234"/>
      <c r="AL58" s="1233"/>
      <c r="AM58" s="1234"/>
      <c r="AN58" s="1234"/>
      <c r="AO58" s="1234"/>
      <c r="AP58" s="1234"/>
      <c r="AQ58" s="1233"/>
      <c r="AR58" s="1234"/>
      <c r="AS58" s="1234"/>
      <c r="AT58" s="1234"/>
      <c r="AU58" s="1234"/>
      <c r="AV58" s="1233"/>
      <c r="AW58" s="1234"/>
      <c r="AX58" s="1234"/>
      <c r="AY58" s="1234"/>
      <c r="AZ58" s="1234"/>
      <c r="BA58" s="1233"/>
      <c r="BB58" s="1234"/>
      <c r="BC58" s="1234"/>
      <c r="BD58" s="1234"/>
      <c r="BE58" s="1234"/>
      <c r="BF58" s="1233"/>
      <c r="BG58" s="1235"/>
      <c r="BH58" s="1235"/>
      <c r="BI58" s="1235"/>
      <c r="BJ58" s="1235"/>
      <c r="BK58" s="1233"/>
      <c r="BL58" s="1234"/>
      <c r="BM58" s="1234"/>
      <c r="BN58" s="1234"/>
      <c r="BO58" s="1234"/>
      <c r="BP58" s="1233"/>
      <c r="BQ58" s="1234"/>
      <c r="BR58" s="1234"/>
      <c r="BS58" s="1234"/>
      <c r="BT58" s="1234"/>
      <c r="BU58" s="1233"/>
      <c r="BV58" s="1234"/>
      <c r="BW58" s="1234"/>
      <c r="BX58" s="1234"/>
      <c r="BY58" s="1234"/>
      <c r="BZ58" s="1236"/>
      <c r="CA58" s="1237"/>
      <c r="CB58" s="1237"/>
      <c r="CC58" s="1237"/>
      <c r="CD58" s="1237"/>
      <c r="CE58" s="1236"/>
      <c r="CF58" s="1247">
        <f t="shared" ref="CF58" si="366">(CF56-CA56)*10000</f>
        <v>12.011218424383511</v>
      </c>
      <c r="CG58" s="1247">
        <f t="shared" ref="CG58" si="367">(CG56-CB56)*10000</f>
        <v>0.28828303379101194</v>
      </c>
      <c r="CH58" s="1247">
        <f t="shared" ref="CH58" si="368">(CH56-CC56)*10000</f>
        <v>-5.56043076480002</v>
      </c>
      <c r="CI58" s="1247">
        <f t="shared" ref="CI58:CJ58" si="369">(CI56-CD56)*10000</f>
        <v>-1.1575991903290186</v>
      </c>
      <c r="CJ58" s="1248">
        <f t="shared" si="369"/>
        <v>0.41608682388401264</v>
      </c>
      <c r="CK58" s="1247">
        <f t="shared" ref="CK58" si="370">(CK56-CF56)*10000</f>
        <v>-11.737772979452005</v>
      </c>
      <c r="CL58" s="1247">
        <f t="shared" ref="CL58" si="371">(CL56-CG56)*10000</f>
        <v>4.3900347164178841</v>
      </c>
      <c r="CM58" s="1247">
        <f t="shared" ref="CM58" si="372">(CM56-CH56)*10000</f>
        <v>-2.5734923999999602</v>
      </c>
      <c r="CN58" s="1247">
        <f t="shared" ref="CN58:CO58" si="373">(CN56-CI56)*10000</f>
        <v>-0.30236381151831776</v>
      </c>
      <c r="CO58" s="1248">
        <f t="shared" si="373"/>
        <v>-1.7192306956690175</v>
      </c>
      <c r="CP58" s="1247">
        <f t="shared" ref="CP58" si="374">(CP56-CK56)*10000</f>
        <v>6.2997236986301122</v>
      </c>
      <c r="CQ58" s="1247">
        <f t="shared" ref="CQ58" si="375">(CQ56-CL56)*10000</f>
        <v>12.183416567164187</v>
      </c>
      <c r="CR58" s="1247">
        <f t="shared" ref="CR58" si="376">(CR56-CM56)*10000</f>
        <v>5.5399535714285157</v>
      </c>
      <c r="CS58" s="1247">
        <f t="shared" ref="CS58:CT58" si="377">(CS56-CN56)*10000</f>
        <v>-0.99332607329846723</v>
      </c>
      <c r="CT58" s="1248">
        <f t="shared" si="377"/>
        <v>4.6577352540578403</v>
      </c>
      <c r="CU58" s="1247">
        <f t="shared" ref="CU58" si="378">(CU56-CP56)*10000</f>
        <v>-2.3434631403911057</v>
      </c>
      <c r="CV58" s="1247">
        <f t="shared" ref="CV58" si="379">(CV56-CQ56)*10000</f>
        <v>-1.7621316263509781</v>
      </c>
      <c r="CW58" s="1247">
        <f t="shared" ref="CW58" si="380">(CW56-CR56)*10000</f>
        <v>4.413539111498312</v>
      </c>
      <c r="CX58" s="1247">
        <f t="shared" ref="CX58:CY58" si="381">(CX56-CS56)*10000</f>
        <v>1.4253158183227463</v>
      </c>
      <c r="CY58" s="1248">
        <f t="shared" si="381"/>
        <v>1.1807451798511934</v>
      </c>
      <c r="CZ58" s="1247">
        <f t="shared" ref="CZ58" si="382">(CZ56-CU56)*10000</f>
        <v>-0.33353263794010796</v>
      </c>
      <c r="DA58" s="1247">
        <f t="shared" ref="DA58" si="383">(DA56-CV56)*10000</f>
        <v>-10.373416701287899</v>
      </c>
      <c r="DB58" s="1247">
        <f t="shared" ref="DB58" si="384">(DB56-CW56)*10000</f>
        <v>3.8349661170731726</v>
      </c>
      <c r="DC58" s="1247">
        <f t="shared" ref="DC58:DD58" si="385">(DC56-CX56)*10000</f>
        <v>7.8277247070745668</v>
      </c>
      <c r="DD58" s="1248">
        <f t="shared" si="385"/>
        <v>0.93017277648519547</v>
      </c>
      <c r="DE58" s="1247">
        <f t="shared" ref="DE58:DH58" si="386">(DE56-CZ56)*10000</f>
        <v>15.455142727272726</v>
      </c>
      <c r="DF58" s="1247">
        <f t="shared" si="386"/>
        <v>16.556111360267501</v>
      </c>
      <c r="DG58" s="1247">
        <f t="shared" si="386"/>
        <v>-7.4351709951219966</v>
      </c>
      <c r="DH58" s="1247">
        <f t="shared" si="386"/>
        <v>-12.878687312170532</v>
      </c>
      <c r="DI58" s="1248">
        <f t="shared" ref="DI58:DN58" si="387">(DI56-DD56)*10000</f>
        <v>0.95926159699204905</v>
      </c>
      <c r="DJ58" s="1247">
        <f t="shared" si="387"/>
        <v>-20.802467224259846</v>
      </c>
      <c r="DK58" s="1247">
        <f t="shared" si="387"/>
        <v>-20.430783614501895</v>
      </c>
      <c r="DL58" s="1247">
        <f t="shared" si="387"/>
        <v>-6.9667582011484486</v>
      </c>
      <c r="DM58" s="1247">
        <f t="shared" si="387"/>
        <v>-7.3769901016437771</v>
      </c>
      <c r="DN58" s="1248">
        <f t="shared" si="387"/>
        <v>-12.959756912764922</v>
      </c>
      <c r="DO58" s="1332">
        <v>-5</v>
      </c>
      <c r="DP58" s="1332">
        <v>-5</v>
      </c>
      <c r="DQ58" s="1332">
        <v>-5</v>
      </c>
      <c r="DR58" s="1332">
        <v>-5</v>
      </c>
      <c r="DS58" s="1248">
        <f>(DS56-DN56)*10000</f>
        <v>-4.94168346242739</v>
      </c>
      <c r="DT58" s="1332">
        <v>-5</v>
      </c>
      <c r="DU58" s="1332">
        <v>-5</v>
      </c>
      <c r="DV58" s="1332">
        <v>-5</v>
      </c>
      <c r="DW58" s="1332">
        <v>-5</v>
      </c>
      <c r="DX58" s="1248">
        <f t="shared" ref="DX58" si="388">(DX56-DS56)*10000</f>
        <v>-4.9965576636902194</v>
      </c>
      <c r="DY58" s="1332">
        <v>-5</v>
      </c>
      <c r="DZ58" s="1332">
        <v>-5</v>
      </c>
      <c r="EA58" s="1332">
        <v>-5</v>
      </c>
      <c r="EB58" s="1332">
        <v>-5</v>
      </c>
      <c r="EC58" s="1248">
        <f t="shared" ref="EC58" si="389">(EC56-DX56)*10000</f>
        <v>-4.9973487824899259</v>
      </c>
      <c r="ED58" s="1089"/>
    </row>
    <row r="59" spans="1:135" ht="12" hidden="1" customHeight="1" outlineLevel="1">
      <c r="A59" s="1189"/>
      <c r="B59" s="567"/>
      <c r="C59" s="1429" t="s">
        <v>623</v>
      </c>
      <c r="D59" s="589"/>
      <c r="E59" s="590"/>
      <c r="F59" s="590"/>
      <c r="G59" s="590"/>
      <c r="H59" s="590"/>
      <c r="I59" s="591"/>
      <c r="J59" s="591"/>
      <c r="K59" s="591"/>
      <c r="L59" s="591"/>
      <c r="M59" s="590"/>
      <c r="N59" s="419"/>
      <c r="O59" s="419"/>
      <c r="P59" s="419"/>
      <c r="Q59" s="419"/>
      <c r="R59" s="590"/>
      <c r="S59" s="419"/>
      <c r="T59" s="419"/>
      <c r="U59" s="419"/>
      <c r="V59" s="419"/>
      <c r="W59" s="590"/>
      <c r="X59" s="419"/>
      <c r="Y59" s="419"/>
      <c r="Z59" s="419"/>
      <c r="AA59" s="419"/>
      <c r="AB59" s="590"/>
      <c r="AC59" s="419"/>
      <c r="AD59" s="419"/>
      <c r="AE59" s="419"/>
      <c r="AF59" s="419"/>
      <c r="AG59" s="590"/>
      <c r="AH59" s="419"/>
      <c r="AI59" s="419"/>
      <c r="AJ59" s="419"/>
      <c r="AK59" s="419"/>
      <c r="AL59" s="590"/>
      <c r="AM59" s="419"/>
      <c r="AN59" s="419"/>
      <c r="AO59" s="419"/>
      <c r="AP59" s="419"/>
      <c r="AQ59" s="590"/>
      <c r="AR59" s="419"/>
      <c r="AS59" s="419"/>
      <c r="AT59" s="419"/>
      <c r="AU59" s="419"/>
      <c r="AV59" s="590"/>
      <c r="AW59" s="419"/>
      <c r="AX59" s="419"/>
      <c r="AY59" s="419"/>
      <c r="AZ59" s="419"/>
      <c r="BA59" s="590"/>
      <c r="BB59" s="419"/>
      <c r="BC59" s="419"/>
      <c r="BD59" s="419"/>
      <c r="BE59" s="419"/>
      <c r="BF59" s="590"/>
      <c r="BG59" s="628"/>
      <c r="BH59" s="628"/>
      <c r="BI59" s="628"/>
      <c r="BJ59" s="628"/>
      <c r="BK59" s="590"/>
      <c r="BL59" s="419"/>
      <c r="BM59" s="419"/>
      <c r="BN59" s="419"/>
      <c r="BO59" s="419"/>
      <c r="BP59" s="590"/>
      <c r="BQ59" s="667"/>
      <c r="BR59" s="667"/>
      <c r="BS59" s="667"/>
      <c r="BT59" s="667"/>
      <c r="BU59" s="668"/>
      <c r="BV59" s="667"/>
      <c r="BW59" s="667"/>
      <c r="BX59" s="667"/>
      <c r="BY59" s="667"/>
      <c r="BZ59" s="669"/>
      <c r="CA59" s="1229">
        <f>+CA60*CA48</f>
        <v>37.873420000000003</v>
      </c>
      <c r="CB59" s="1229">
        <f>+CB60*CB48</f>
        <v>46.433059999999998</v>
      </c>
      <c r="CC59" s="1229">
        <f>+CC60*CC48</f>
        <v>51.632179999999998</v>
      </c>
      <c r="CD59" s="1229">
        <f>+CD60*CD48</f>
        <v>74.759679999999989</v>
      </c>
      <c r="CE59" s="1230">
        <f>SUM(CA59:CD59)</f>
        <v>210.69833999999997</v>
      </c>
      <c r="CF59" s="1229">
        <f>+CF60*CF48</f>
        <v>65.631649999999993</v>
      </c>
      <c r="CG59" s="1229">
        <f>+CG60*CG48</f>
        <v>77.189149999999984</v>
      </c>
      <c r="CH59" s="1229">
        <f>+CH60*CH48</f>
        <v>85.989524999999986</v>
      </c>
      <c r="CI59" s="1229">
        <f>+CI60*CI48</f>
        <v>120.92364999999998</v>
      </c>
      <c r="CJ59" s="1230">
        <f>SUM(CF59:CI59)</f>
        <v>349.73397499999993</v>
      </c>
      <c r="CK59" s="1229">
        <f>+CK60*CK48</f>
        <v>102.61766999999999</v>
      </c>
      <c r="CL59" s="1229">
        <f>+CL60*CL48</f>
        <v>119.09123999999998</v>
      </c>
      <c r="CM59" s="1229">
        <f>+CM60*CM48</f>
        <v>128.23575</v>
      </c>
      <c r="CN59" s="1229">
        <f>+CN60*CN48</f>
        <v>183.53657999999999</v>
      </c>
      <c r="CO59" s="1230">
        <f>SUM(CK59:CN59)</f>
        <v>533.48123999999996</v>
      </c>
      <c r="CP59" s="1229">
        <f>+CP60*CP48</f>
        <v>159.55147999999997</v>
      </c>
      <c r="CQ59" s="1229">
        <f>+CQ60*CQ48</f>
        <v>292.61745500000001</v>
      </c>
      <c r="CR59" s="1229">
        <f>+CR60*CR48</f>
        <v>295.00401499999998</v>
      </c>
      <c r="CS59" s="1229">
        <f>+CS60*CS48</f>
        <v>394.54175999999995</v>
      </c>
      <c r="CT59" s="1230">
        <f>SUM(CP59:CS59)</f>
        <v>1141.7147099999997</v>
      </c>
      <c r="CU59" s="1229">
        <f>+CU60*CU48</f>
        <v>374.06096000000002</v>
      </c>
      <c r="CV59" s="1229">
        <f>+CV60*CV48</f>
        <v>439.71648000000005</v>
      </c>
      <c r="CW59" s="1229">
        <f>+CW60*CW48</f>
        <v>441.01792000000006</v>
      </c>
      <c r="CX59" s="1229">
        <f>+CX60*CX48</f>
        <v>576.13696000000004</v>
      </c>
      <c r="CY59" s="1230">
        <f>SUM(CU59:CX59)</f>
        <v>1830.9323200000001</v>
      </c>
      <c r="CZ59" s="1229">
        <f>+CZ60*CZ48</f>
        <v>474.95068600000002</v>
      </c>
      <c r="DA59" s="1229">
        <f>+DA60*DA48</f>
        <v>513.52686000000006</v>
      </c>
      <c r="DB59" s="1229">
        <f>+DB60*DB48</f>
        <v>547.41414700000007</v>
      </c>
      <c r="DC59" s="1229">
        <f>+DC60*DC48</f>
        <v>738.10237200000006</v>
      </c>
      <c r="DD59" s="1230">
        <f>SUM(CZ59:DC59)</f>
        <v>2273.9940649999999</v>
      </c>
      <c r="DE59" s="1229">
        <f>+DE60*DE48</f>
        <v>636.18999999999994</v>
      </c>
      <c r="DF59" s="1229">
        <f>+DF60*DF48</f>
        <v>706.24999999999989</v>
      </c>
      <c r="DG59" s="1229">
        <f>+DG60*DG48</f>
        <v>693.81999999999994</v>
      </c>
      <c r="DH59" s="1229">
        <f>+DH60*DH48</f>
        <v>914.7349999999999</v>
      </c>
      <c r="DI59" s="1230">
        <f>SUM(DE59:DH59)</f>
        <v>2950.9949999999999</v>
      </c>
      <c r="DJ59" s="1229">
        <f>+DJ60*DJ48</f>
        <v>762.95249999999987</v>
      </c>
      <c r="DK59" s="1229">
        <f>+DK60*DK48</f>
        <v>837.77459999999985</v>
      </c>
      <c r="DL59" s="1229">
        <f>+DL60*DL48</f>
        <v>877.57839999999987</v>
      </c>
      <c r="DM59" s="1229">
        <f>+DM56*DM51</f>
        <v>1143.0655260134847</v>
      </c>
      <c r="DN59" s="1230">
        <f>SUM(DJ59:DM59)</f>
        <v>3621.371026013484</v>
      </c>
      <c r="DO59" s="1229">
        <f t="shared" ref="DO59:EB59" si="390">+DO56*DO51</f>
        <v>956.14609985366576</v>
      </c>
      <c r="DP59" s="1229">
        <f t="shared" si="390"/>
        <v>1013.0944921617291</v>
      </c>
      <c r="DQ59" s="1229">
        <f t="shared" si="390"/>
        <v>1051.717644946842</v>
      </c>
      <c r="DR59" s="1229">
        <f t="shared" si="390"/>
        <v>1378.0733963687687</v>
      </c>
      <c r="DS59" s="1230">
        <f>SUM(DO59:DR59)</f>
        <v>4399.0316333310057</v>
      </c>
      <c r="DT59" s="1229">
        <f t="shared" si="390"/>
        <v>1134.461531407695</v>
      </c>
      <c r="DU59" s="1229">
        <f t="shared" si="390"/>
        <v>1199.4975354816354</v>
      </c>
      <c r="DV59" s="1229">
        <f t="shared" si="390"/>
        <v>1245.6034570184461</v>
      </c>
      <c r="DW59" s="1229">
        <f t="shared" si="390"/>
        <v>1628.9372663110391</v>
      </c>
      <c r="DX59" s="1230">
        <f>SUM(DT59:DW59)</f>
        <v>5208.4997902188161</v>
      </c>
      <c r="DY59" s="1229">
        <f t="shared" si="390"/>
        <v>1324.7438398113609</v>
      </c>
      <c r="DZ59" s="1229">
        <f t="shared" si="390"/>
        <v>1398.0079396551403</v>
      </c>
      <c r="EA59" s="1229">
        <f t="shared" si="390"/>
        <v>1452.1998984128486</v>
      </c>
      <c r="EB59" s="1229">
        <f t="shared" si="390"/>
        <v>1895.6033809555734</v>
      </c>
      <c r="EC59" s="1230">
        <f>SUM(DY59:EB59)</f>
        <v>6070.5550588349233</v>
      </c>
      <c r="ED59" s="578"/>
    </row>
    <row r="60" spans="1:135" ht="12" hidden="1" customHeight="1" outlineLevel="1">
      <c r="A60" s="1189"/>
      <c r="B60" s="567"/>
      <c r="C60" s="1239" t="s">
        <v>339</v>
      </c>
      <c r="D60" s="589"/>
      <c r="E60" s="590"/>
      <c r="F60" s="590"/>
      <c r="G60" s="590"/>
      <c r="H60" s="590"/>
      <c r="I60" s="591"/>
      <c r="J60" s="591"/>
      <c r="K60" s="591"/>
      <c r="L60" s="591"/>
      <c r="M60" s="590"/>
      <c r="N60" s="419"/>
      <c r="O60" s="419"/>
      <c r="P60" s="419"/>
      <c r="Q60" s="419"/>
      <c r="R60" s="590"/>
      <c r="S60" s="419"/>
      <c r="T60" s="419"/>
      <c r="U60" s="419"/>
      <c r="V60" s="419"/>
      <c r="W60" s="590"/>
      <c r="X60" s="419"/>
      <c r="Y60" s="419"/>
      <c r="Z60" s="419"/>
      <c r="AA60" s="419"/>
      <c r="AB60" s="590"/>
      <c r="AC60" s="419"/>
      <c r="AD60" s="419"/>
      <c r="AE60" s="419"/>
      <c r="AF60" s="419"/>
      <c r="AG60" s="590"/>
      <c r="AH60" s="419"/>
      <c r="AI60" s="419"/>
      <c r="AJ60" s="419"/>
      <c r="AK60" s="419"/>
      <c r="AL60" s="590"/>
      <c r="AM60" s="419"/>
      <c r="AN60" s="419"/>
      <c r="AO60" s="419"/>
      <c r="AP60" s="419"/>
      <c r="AQ60" s="590"/>
      <c r="AR60" s="419"/>
      <c r="AS60" s="419"/>
      <c r="AT60" s="419"/>
      <c r="AU60" s="419"/>
      <c r="AV60" s="590"/>
      <c r="AW60" s="419"/>
      <c r="AX60" s="419"/>
      <c r="AY60" s="419"/>
      <c r="AZ60" s="419"/>
      <c r="BA60" s="590"/>
      <c r="BB60" s="419"/>
      <c r="BC60" s="419"/>
      <c r="BD60" s="419"/>
      <c r="BE60" s="419"/>
      <c r="BF60" s="590"/>
      <c r="BG60" s="628"/>
      <c r="BH60" s="628"/>
      <c r="BI60" s="628"/>
      <c r="BJ60" s="628"/>
      <c r="BK60" s="590"/>
      <c r="BL60" s="419"/>
      <c r="BM60" s="419"/>
      <c r="BN60" s="419"/>
      <c r="BO60" s="419"/>
      <c r="BP60" s="590"/>
      <c r="BQ60" s="667"/>
      <c r="BR60" s="667"/>
      <c r="BS60" s="667"/>
      <c r="BT60" s="667"/>
      <c r="BU60" s="668"/>
      <c r="BV60" s="667"/>
      <c r="BW60" s="667"/>
      <c r="BX60" s="667"/>
      <c r="BY60" s="667"/>
      <c r="BZ60" s="669"/>
      <c r="CA60" s="1228">
        <v>0.57999999999999996</v>
      </c>
      <c r="CB60" s="1228">
        <v>0.57999999999999996</v>
      </c>
      <c r="CC60" s="1228">
        <v>0.57999999999999996</v>
      </c>
      <c r="CD60" s="1228">
        <v>0.57999999999999996</v>
      </c>
      <c r="CE60" s="1231">
        <f>CE59/CE$48</f>
        <v>0.57999999999999985</v>
      </c>
      <c r="CF60" s="1228">
        <v>0.57499999999999996</v>
      </c>
      <c r="CG60" s="1228">
        <v>0.57499999999999996</v>
      </c>
      <c r="CH60" s="1228">
        <v>0.57499999999999996</v>
      </c>
      <c r="CI60" s="1228">
        <v>0.57499999999999996</v>
      </c>
      <c r="CJ60" s="1231">
        <f>CJ59/CJ$48</f>
        <v>0.57499999999999996</v>
      </c>
      <c r="CK60" s="1228">
        <v>0.56999999999999995</v>
      </c>
      <c r="CL60" s="1228">
        <v>0.56999999999999995</v>
      </c>
      <c r="CM60" s="1228">
        <v>0.56999999999999995</v>
      </c>
      <c r="CN60" s="1228">
        <v>0.56999999999999995</v>
      </c>
      <c r="CO60" s="1231">
        <f>CO59/CO$48</f>
        <v>0.56999999999999995</v>
      </c>
      <c r="CP60" s="1228">
        <v>0.56499999999999995</v>
      </c>
      <c r="CQ60" s="1228">
        <v>0.56499999999999995</v>
      </c>
      <c r="CR60" s="1228">
        <v>0.56499999999999995</v>
      </c>
      <c r="CS60" s="1228">
        <v>0.56499999999999995</v>
      </c>
      <c r="CT60" s="1231">
        <f>CT59/CT$48</f>
        <v>0.56499999999999995</v>
      </c>
      <c r="CU60" s="1228">
        <v>0.56000000000000005</v>
      </c>
      <c r="CV60" s="1228">
        <v>0.56000000000000005</v>
      </c>
      <c r="CW60" s="1228">
        <v>0.56000000000000005</v>
      </c>
      <c r="CX60" s="1228">
        <v>0.56000000000000005</v>
      </c>
      <c r="CY60" s="1231">
        <f>CY59/CY$48</f>
        <v>0.56000000000000005</v>
      </c>
      <c r="CZ60" s="1228">
        <v>0.55300000000000005</v>
      </c>
      <c r="DA60" s="1228">
        <v>0.55300000000000005</v>
      </c>
      <c r="DB60" s="1228">
        <v>0.55300000000000005</v>
      </c>
      <c r="DC60" s="1228">
        <v>0.55300000000000005</v>
      </c>
      <c r="DD60" s="1231">
        <f>DD59/DD$48</f>
        <v>0.55300000000000005</v>
      </c>
      <c r="DE60" s="1228">
        <v>0.56499999999999995</v>
      </c>
      <c r="DF60" s="1228">
        <v>0.56499999999999995</v>
      </c>
      <c r="DG60" s="1228">
        <v>0.56499999999999995</v>
      </c>
      <c r="DH60" s="1228">
        <v>0.56499999999999995</v>
      </c>
      <c r="DI60" s="1231">
        <f>DI59/DI$48</f>
        <v>0.56499999999999995</v>
      </c>
      <c r="DJ60" s="1228">
        <f>+DH60+0.015%</f>
        <v>0.56514999999999993</v>
      </c>
      <c r="DK60" s="1228">
        <f>+DJ60+0.015%</f>
        <v>0.56529999999999991</v>
      </c>
      <c r="DL60" s="1228">
        <f>+DK60+0.015%</f>
        <v>0.5654499999999999</v>
      </c>
      <c r="DM60" s="1232">
        <f>+DM59/DM48</f>
        <v>0.55872273480492973</v>
      </c>
      <c r="DN60" s="1231">
        <f>DN59/DN$48</f>
        <v>0.56321195454908701</v>
      </c>
      <c r="DO60" s="1232">
        <f>+DO59/DO48</f>
        <v>0.5509811800125155</v>
      </c>
      <c r="DP60" s="1232">
        <f>+DP59/DP48</f>
        <v>0.54967458839038974</v>
      </c>
      <c r="DQ60" s="1232">
        <f>+DQ59/DQ48</f>
        <v>0.55022067506574357</v>
      </c>
      <c r="DR60" s="1232">
        <f>+DR59/DR48</f>
        <v>0.5423132729549297</v>
      </c>
      <c r="DS60" s="1231">
        <f>DS59/DS$48</f>
        <v>0.54775768158836369</v>
      </c>
      <c r="DT60" s="1232">
        <f t="shared" ref="DT60:DW60" si="391">+DT59/DT48</f>
        <v>0.54029444118584213</v>
      </c>
      <c r="DU60" s="1232">
        <f t="shared" si="391"/>
        <v>0.53777814037123139</v>
      </c>
      <c r="DV60" s="1232">
        <f t="shared" si="391"/>
        <v>0.53862753740671976</v>
      </c>
      <c r="DW60" s="1232">
        <f t="shared" si="391"/>
        <v>0.529708515374814</v>
      </c>
      <c r="DX60" s="1231">
        <f t="shared" ref="DX60" si="392">DX59/DX$48</f>
        <v>0.53597038170978561</v>
      </c>
      <c r="DY60" s="1232">
        <f t="shared" ref="DY60:EB60" si="393">+DY59/DY48</f>
        <v>0.53045528013138954</v>
      </c>
      <c r="DZ60" s="1232">
        <f t="shared" si="393"/>
        <v>0.52690843238251872</v>
      </c>
      <c r="EA60" s="1232">
        <f t="shared" si="393"/>
        <v>0.52800781629680926</v>
      </c>
      <c r="EB60" s="1232">
        <f t="shared" si="393"/>
        <v>0.51821060693177112</v>
      </c>
      <c r="EC60" s="1231">
        <f t="shared" ref="EC60" si="394">EC59/EC$48</f>
        <v>0.52518379072088439</v>
      </c>
      <c r="ED60" s="578"/>
    </row>
    <row r="61" spans="1:135" ht="12" hidden="1" customHeight="1" outlineLevel="1">
      <c r="A61" s="1189"/>
      <c r="B61" s="567"/>
      <c r="C61" s="1239" t="s">
        <v>140</v>
      </c>
      <c r="D61" s="1240"/>
      <c r="E61" s="1231"/>
      <c r="F61" s="1231"/>
      <c r="G61" s="1231"/>
      <c r="H61" s="1231"/>
      <c r="I61" s="1241"/>
      <c r="J61" s="1241"/>
      <c r="K61" s="1241"/>
      <c r="L61" s="1241"/>
      <c r="M61" s="1231"/>
      <c r="N61" s="1232"/>
      <c r="O61" s="1232"/>
      <c r="P61" s="1232"/>
      <c r="Q61" s="1232"/>
      <c r="R61" s="1231"/>
      <c r="S61" s="1232"/>
      <c r="T61" s="1232"/>
      <c r="U61" s="1232"/>
      <c r="V61" s="1232"/>
      <c r="W61" s="1231"/>
      <c r="X61" s="1232"/>
      <c r="Y61" s="1232"/>
      <c r="Z61" s="1232"/>
      <c r="AA61" s="1232"/>
      <c r="AB61" s="1231"/>
      <c r="AC61" s="1232"/>
      <c r="AD61" s="1232"/>
      <c r="AE61" s="1232"/>
      <c r="AF61" s="1232"/>
      <c r="AG61" s="1231"/>
      <c r="AH61" s="1232"/>
      <c r="AI61" s="1232"/>
      <c r="AJ61" s="1232"/>
      <c r="AK61" s="1232"/>
      <c r="AL61" s="1231"/>
      <c r="AM61" s="1232"/>
      <c r="AN61" s="1232"/>
      <c r="AO61" s="1232"/>
      <c r="AP61" s="1232"/>
      <c r="AQ61" s="1231"/>
      <c r="AR61" s="1232"/>
      <c r="AS61" s="1232"/>
      <c r="AT61" s="1232"/>
      <c r="AU61" s="1232"/>
      <c r="AV61" s="1231"/>
      <c r="AW61" s="1232"/>
      <c r="AX61" s="1232"/>
      <c r="AY61" s="1232"/>
      <c r="AZ61" s="1232"/>
      <c r="BA61" s="1231"/>
      <c r="BB61" s="1232"/>
      <c r="BC61" s="1232"/>
      <c r="BD61" s="1232"/>
      <c r="BE61" s="1232"/>
      <c r="BF61" s="1231"/>
      <c r="BG61" s="1242"/>
      <c r="BH61" s="1242"/>
      <c r="BI61" s="1242"/>
      <c r="BJ61" s="1242"/>
      <c r="BK61" s="1231"/>
      <c r="BL61" s="1232"/>
      <c r="BM61" s="1232"/>
      <c r="BN61" s="1232"/>
      <c r="BO61" s="1232"/>
      <c r="BP61" s="1231"/>
      <c r="BQ61" s="1243"/>
      <c r="BR61" s="1243"/>
      <c r="BS61" s="1243"/>
      <c r="BT61" s="1243"/>
      <c r="BU61" s="1244"/>
      <c r="BV61" s="1243"/>
      <c r="BW61" s="1243"/>
      <c r="BX61" s="1243"/>
      <c r="BY61" s="1243"/>
      <c r="BZ61" s="1245"/>
      <c r="CA61" s="1232"/>
      <c r="CB61" s="1232"/>
      <c r="CC61" s="1232"/>
      <c r="CD61" s="1232"/>
      <c r="CE61" s="1246"/>
      <c r="CF61" s="1232">
        <f>CF59/CA59-1</f>
        <v>0.73292113571998474</v>
      </c>
      <c r="CG61" s="1232">
        <f>CG59/CB59-1</f>
        <v>0.66237482517843937</v>
      </c>
      <c r="CH61" s="1232">
        <f>CH59/CC59-1</f>
        <v>0.66542503144356857</v>
      </c>
      <c r="CI61" s="1232">
        <f>CI59/CD59-1</f>
        <v>0.61749822899188445</v>
      </c>
      <c r="CJ61" s="1246"/>
      <c r="CK61" s="1232">
        <f>CK59/CF59-1</f>
        <v>0.56353938991325059</v>
      </c>
      <c r="CL61" s="1232">
        <f>CL59/CG59-1</f>
        <v>0.54284948078842699</v>
      </c>
      <c r="CM61" s="1232">
        <f>CM59/CH59-1</f>
        <v>0.49129501529401409</v>
      </c>
      <c r="CN61" s="1232">
        <f>CN59/CI59-1</f>
        <v>0.51778895195439456</v>
      </c>
      <c r="CO61" s="1246"/>
      <c r="CP61" s="1232">
        <f t="shared" ref="CP61:EC61" si="395">CP59/CK59-1</f>
        <v>0.55481487739879487</v>
      </c>
      <c r="CQ61" s="1232">
        <f t="shared" si="395"/>
        <v>1.4570863062640043</v>
      </c>
      <c r="CR61" s="1232">
        <f t="shared" si="395"/>
        <v>1.3004818469108654</v>
      </c>
      <c r="CS61" s="1232">
        <f t="shared" si="395"/>
        <v>1.1496628083622347</v>
      </c>
      <c r="CT61" s="1231">
        <f t="shared" si="395"/>
        <v>1.1401215720350351</v>
      </c>
      <c r="CU61" s="1232">
        <f t="shared" si="395"/>
        <v>1.3444530881192711</v>
      </c>
      <c r="CV61" s="1232">
        <f t="shared" si="395"/>
        <v>0.50270078727873568</v>
      </c>
      <c r="CW61" s="1232">
        <f t="shared" si="395"/>
        <v>0.49495565340017511</v>
      </c>
      <c r="CX61" s="1232">
        <f t="shared" si="395"/>
        <v>0.46026864177824955</v>
      </c>
      <c r="CY61" s="1231">
        <f t="shared" si="395"/>
        <v>0.60366885349143007</v>
      </c>
      <c r="CZ61" s="1232">
        <f t="shared" si="395"/>
        <v>0.26971466362060337</v>
      </c>
      <c r="DA61" s="1232">
        <f t="shared" si="395"/>
        <v>0.16785902588868162</v>
      </c>
      <c r="DB61" s="1232">
        <f t="shared" si="395"/>
        <v>0.24125148247944206</v>
      </c>
      <c r="DC61" s="1232">
        <f t="shared" si="395"/>
        <v>0.28112310656132866</v>
      </c>
      <c r="DD61" s="1231">
        <f t="shared" si="395"/>
        <v>0.24198695940874515</v>
      </c>
      <c r="DE61" s="1232">
        <f t="shared" si="395"/>
        <v>0.339486432492488</v>
      </c>
      <c r="DF61" s="1232">
        <f t="shared" si="395"/>
        <v>0.37529320277424194</v>
      </c>
      <c r="DG61" s="1232">
        <f t="shared" si="395"/>
        <v>0.26744988927003344</v>
      </c>
      <c r="DH61" s="1232">
        <f t="shared" si="395"/>
        <v>0.23930640884053389</v>
      </c>
      <c r="DI61" s="1231">
        <f t="shared" si="395"/>
        <v>0.29771446874906426</v>
      </c>
      <c r="DJ61" s="1232">
        <f t="shared" si="395"/>
        <v>0.19925258177588456</v>
      </c>
      <c r="DK61" s="1232">
        <f t="shared" si="395"/>
        <v>0.18622952212389388</v>
      </c>
      <c r="DL61" s="1232">
        <f t="shared" si="395"/>
        <v>0.2648502493442102</v>
      </c>
      <c r="DM61" s="1232">
        <f t="shared" si="395"/>
        <v>0.24961385102077083</v>
      </c>
      <c r="DN61" s="1231">
        <f t="shared" si="395"/>
        <v>0.22716948893965738</v>
      </c>
      <c r="DO61" s="1232">
        <f t="shared" si="395"/>
        <v>0.25321838496323945</v>
      </c>
      <c r="DP61" s="1232">
        <f t="shared" si="395"/>
        <v>0.20926856956719542</v>
      </c>
      <c r="DQ61" s="1232">
        <f t="shared" si="395"/>
        <v>0.19843155317729133</v>
      </c>
      <c r="DR61" s="1232">
        <f t="shared" si="395"/>
        <v>0.20559439945222491</v>
      </c>
      <c r="DS61" s="1231">
        <f t="shared" si="395"/>
        <v>0.21474204154485488</v>
      </c>
      <c r="DT61" s="1232">
        <f t="shared" si="395"/>
        <v>0.18649391717575359</v>
      </c>
      <c r="DU61" s="1232">
        <f t="shared" si="395"/>
        <v>0.18399373875003677</v>
      </c>
      <c r="DV61" s="1232">
        <f t="shared" si="395"/>
        <v>0.18435158238825955</v>
      </c>
      <c r="DW61" s="1232">
        <f t="shared" si="395"/>
        <v>0.18203955653109483</v>
      </c>
      <c r="DX61" s="1231">
        <f t="shared" si="395"/>
        <v>0.18401053330795669</v>
      </c>
      <c r="DY61" s="1232">
        <f t="shared" si="395"/>
        <v>0.16772918528806735</v>
      </c>
      <c r="DZ61" s="1232">
        <f t="shared" si="395"/>
        <v>0.16549463279538701</v>
      </c>
      <c r="EA61" s="1232">
        <f t="shared" si="395"/>
        <v>0.16586052345176094</v>
      </c>
      <c r="EB61" s="1232">
        <f t="shared" si="395"/>
        <v>0.16370557673374231</v>
      </c>
      <c r="EC61" s="1231">
        <f t="shared" si="395"/>
        <v>0.16550932194237289</v>
      </c>
      <c r="ED61" s="578"/>
    </row>
    <row r="62" spans="1:135" ht="12" hidden="1" customHeight="1" outlineLevel="1">
      <c r="A62" s="1189"/>
      <c r="B62" s="567"/>
      <c r="C62" s="1239" t="s">
        <v>338</v>
      </c>
      <c r="D62" s="1240"/>
      <c r="E62" s="1231"/>
      <c r="F62" s="1231"/>
      <c r="G62" s="1231"/>
      <c r="H62" s="1231"/>
      <c r="I62" s="1241"/>
      <c r="J62" s="1241"/>
      <c r="K62" s="1241"/>
      <c r="L62" s="1241"/>
      <c r="M62" s="1231"/>
      <c r="N62" s="1232"/>
      <c r="O62" s="1232"/>
      <c r="P62" s="1232"/>
      <c r="Q62" s="1232"/>
      <c r="R62" s="1231"/>
      <c r="S62" s="1232"/>
      <c r="T62" s="1232"/>
      <c r="U62" s="1232"/>
      <c r="V62" s="1232"/>
      <c r="W62" s="1231"/>
      <c r="X62" s="1232"/>
      <c r="Y62" s="1232"/>
      <c r="Z62" s="1232"/>
      <c r="AA62" s="1232"/>
      <c r="AB62" s="1231"/>
      <c r="AC62" s="1232"/>
      <c r="AD62" s="1232"/>
      <c r="AE62" s="1232"/>
      <c r="AF62" s="1232"/>
      <c r="AG62" s="1231"/>
      <c r="AH62" s="1232"/>
      <c r="AI62" s="1232"/>
      <c r="AJ62" s="1232"/>
      <c r="AK62" s="1232"/>
      <c r="AL62" s="1231"/>
      <c r="AM62" s="1232"/>
      <c r="AN62" s="1232"/>
      <c r="AO62" s="1232"/>
      <c r="AP62" s="1232"/>
      <c r="AQ62" s="1231"/>
      <c r="AR62" s="1232"/>
      <c r="AS62" s="1232"/>
      <c r="AT62" s="1232"/>
      <c r="AU62" s="1232"/>
      <c r="AV62" s="1231"/>
      <c r="AW62" s="1232"/>
      <c r="AX62" s="1232"/>
      <c r="AY62" s="1232"/>
      <c r="AZ62" s="1232"/>
      <c r="BA62" s="1231"/>
      <c r="BB62" s="1232"/>
      <c r="BC62" s="1232"/>
      <c r="BD62" s="1232"/>
      <c r="BE62" s="1232"/>
      <c r="BF62" s="1231"/>
      <c r="BG62" s="1242"/>
      <c r="BH62" s="1242"/>
      <c r="BI62" s="1242"/>
      <c r="BJ62" s="1242"/>
      <c r="BK62" s="1231"/>
      <c r="BL62" s="1232"/>
      <c r="BM62" s="1232"/>
      <c r="BN62" s="1232"/>
      <c r="BO62" s="1232"/>
      <c r="BP62" s="1231"/>
      <c r="BQ62" s="1243"/>
      <c r="BR62" s="1243"/>
      <c r="BS62" s="1243"/>
      <c r="BT62" s="1243"/>
      <c r="BU62" s="1244"/>
      <c r="BV62" s="1243"/>
      <c r="BW62" s="1243"/>
      <c r="BX62" s="1243"/>
      <c r="BY62" s="1243"/>
      <c r="BZ62" s="1245"/>
      <c r="CA62" s="1232"/>
      <c r="CB62" s="1232">
        <f>CB59/CA59-1</f>
        <v>0.22600652383650566</v>
      </c>
      <c r="CC62" s="1232">
        <f>CC59/CB59-1</f>
        <v>0.11197022121738254</v>
      </c>
      <c r="CD62" s="1232">
        <f>CD59/CC59-1</f>
        <v>0.44792801698475615</v>
      </c>
      <c r="CE62" s="1246"/>
      <c r="CF62" s="1232"/>
      <c r="CG62" s="1232">
        <f>CG59/CF59-1</f>
        <v>0.17609644127490309</v>
      </c>
      <c r="CH62" s="1232">
        <f>CH59/CG59-1</f>
        <v>0.11401051831766518</v>
      </c>
      <c r="CI62" s="1232">
        <f>CI59/CH59-1</f>
        <v>0.40626023925588606</v>
      </c>
      <c r="CJ62" s="1246"/>
      <c r="CK62" s="1232"/>
      <c r="CL62" s="1232">
        <f>CL59/CK59-1</f>
        <v>0.16053346368125476</v>
      </c>
      <c r="CM62" s="1232">
        <f>CM59/CL59-1</f>
        <v>7.6785748473187532E-2</v>
      </c>
      <c r="CN62" s="1232">
        <f>CN59/CM59-1</f>
        <v>0.43124347149683295</v>
      </c>
      <c r="CO62" s="1246"/>
      <c r="CP62" s="1232">
        <f>CP59/CN59-1</f>
        <v>-0.13068294069770736</v>
      </c>
      <c r="CQ62" s="1232">
        <f>CQ59/CP59-1</f>
        <v>0.83400025496473029</v>
      </c>
      <c r="CR62" s="1232">
        <f>CR59/CQ59-1</f>
        <v>8.155904438441608E-3</v>
      </c>
      <c r="CS62" s="1232">
        <f>CS59/CR59-1</f>
        <v>0.33741149251816105</v>
      </c>
      <c r="CT62" s="1246"/>
      <c r="CU62" s="1232">
        <f>CU59/CS59-1</f>
        <v>-5.1910347842519688E-2</v>
      </c>
      <c r="CV62" s="1232">
        <f>CV59/CU59-1</f>
        <v>0.17552090974690326</v>
      </c>
      <c r="CW62" s="1232">
        <f>CW59/CV59-1</f>
        <v>2.9597253211888219E-3</v>
      </c>
      <c r="CX62" s="1232">
        <f>CX59/CW59-1</f>
        <v>0.30637993122819118</v>
      </c>
      <c r="CY62" s="1246"/>
      <c r="CZ62" s="1232">
        <f>CZ59/CX59-1</f>
        <v>-0.17562885394472871</v>
      </c>
      <c r="DA62" s="1232">
        <f>DA59/CZ59-1</f>
        <v>8.1221430218126001E-2</v>
      </c>
      <c r="DB62" s="1232">
        <f>DB59/DA59-1</f>
        <v>6.5989317481854881E-2</v>
      </c>
      <c r="DC62" s="1232">
        <f>DC59/DB59-1</f>
        <v>0.34834361889445287</v>
      </c>
      <c r="DD62" s="1246"/>
      <c r="DE62" s="1232">
        <f>DE59/DC59-1</f>
        <v>-0.13807349206025865</v>
      </c>
      <c r="DF62" s="1232">
        <f>DF59/DE59-1</f>
        <v>0.11012433392539966</v>
      </c>
      <c r="DG62" s="1232">
        <f>DG59/DF59-1</f>
        <v>-1.7599999999999949E-2</v>
      </c>
      <c r="DH62" s="1232">
        <f>DH59/DG59-1</f>
        <v>0.3184039087947883</v>
      </c>
      <c r="DI62" s="1246"/>
      <c r="DJ62" s="1232">
        <f>DJ59/DH59-1</f>
        <v>-0.16593057005580858</v>
      </c>
      <c r="DK62" s="1232">
        <f>DK59/DJ59-1</f>
        <v>9.8069145851150674E-2</v>
      </c>
      <c r="DL62" s="1232">
        <f>DL59/DK59-1</f>
        <v>4.7511347324208808E-2</v>
      </c>
      <c r="DM62" s="1232">
        <f>DM59/DL59-1</f>
        <v>0.30252240257222018</v>
      </c>
      <c r="DN62" s="1246"/>
      <c r="DO62" s="1232">
        <f>DO59/DM59-1</f>
        <v>-0.16352468157421618</v>
      </c>
      <c r="DP62" s="1232">
        <f>DP59/DO59-1</f>
        <v>5.9560345763873368E-2</v>
      </c>
      <c r="DQ62" s="1232">
        <f>DQ59/DP59-1</f>
        <v>3.8123939162574283E-2</v>
      </c>
      <c r="DR62" s="1232">
        <f>DR59/DQ59-1</f>
        <v>0.31030738429649718</v>
      </c>
      <c r="DS62" s="1246"/>
      <c r="DT62" s="1232">
        <f>DT59/DR59-1</f>
        <v>-0.17677713364396441</v>
      </c>
      <c r="DU62" s="1232">
        <f>DU59/DT59-1</f>
        <v>5.7327641593312162E-2</v>
      </c>
      <c r="DV62" s="1232">
        <f>DV59/DU59-1</f>
        <v>3.8437695929319116E-2</v>
      </c>
      <c r="DW62" s="1232">
        <f>DW59/DV59-1</f>
        <v>0.30774947446771272</v>
      </c>
      <c r="DX62" s="1246"/>
      <c r="DY62" s="1232">
        <f>DY59/DW59-1</f>
        <v>-0.18674348778855532</v>
      </c>
      <c r="DZ62" s="1232">
        <f>DZ59/DY59-1</f>
        <v>5.5304352163820569E-2</v>
      </c>
      <c r="EA62" s="1232">
        <f>EA59/DZ59-1</f>
        <v>3.8763698846428829E-2</v>
      </c>
      <c r="EB62" s="1232">
        <f>EB59/EA59-1</f>
        <v>0.30533226384834022</v>
      </c>
      <c r="EC62" s="1246"/>
      <c r="ED62" s="578"/>
    </row>
    <row r="63" spans="1:135" ht="12" hidden="1" customHeight="1" outlineLevel="1">
      <c r="A63" s="1189"/>
      <c r="B63" s="567"/>
      <c r="C63" s="1334" t="s">
        <v>642</v>
      </c>
      <c r="D63" s="589"/>
      <c r="E63" s="764"/>
      <c r="F63" s="764"/>
      <c r="G63" s="764"/>
      <c r="H63" s="764"/>
      <c r="I63" s="591"/>
      <c r="J63" s="591"/>
      <c r="K63" s="591"/>
      <c r="L63" s="591"/>
      <c r="M63" s="764"/>
      <c r="N63" s="765"/>
      <c r="O63" s="765"/>
      <c r="P63" s="765"/>
      <c r="Q63" s="765"/>
      <c r="R63" s="764"/>
      <c r="S63" s="765"/>
      <c r="T63" s="765"/>
      <c r="U63" s="765"/>
      <c r="V63" s="765"/>
      <c r="W63" s="764"/>
      <c r="X63" s="765"/>
      <c r="Y63" s="765"/>
      <c r="Z63" s="765"/>
      <c r="AA63" s="765"/>
      <c r="AB63" s="764"/>
      <c r="AC63" s="765"/>
      <c r="AD63" s="765"/>
      <c r="AE63" s="765"/>
      <c r="AF63" s="765"/>
      <c r="AG63" s="764"/>
      <c r="AH63" s="765"/>
      <c r="AI63" s="765"/>
      <c r="AJ63" s="765"/>
      <c r="AK63" s="765"/>
      <c r="AL63" s="764"/>
      <c r="AM63" s="765"/>
      <c r="AN63" s="765"/>
      <c r="AO63" s="765"/>
      <c r="AP63" s="765"/>
      <c r="AQ63" s="764"/>
      <c r="AR63" s="765"/>
      <c r="AS63" s="765"/>
      <c r="AT63" s="765"/>
      <c r="AU63" s="765"/>
      <c r="AV63" s="764"/>
      <c r="AW63" s="765"/>
      <c r="AX63" s="765"/>
      <c r="AY63" s="765"/>
      <c r="AZ63" s="765"/>
      <c r="BA63" s="764"/>
      <c r="BB63" s="765"/>
      <c r="BC63" s="765"/>
      <c r="BD63" s="765"/>
      <c r="BE63" s="765"/>
      <c r="BF63" s="764"/>
      <c r="BG63" s="776"/>
      <c r="BH63" s="776"/>
      <c r="BI63" s="776"/>
      <c r="BJ63" s="776"/>
      <c r="BK63" s="764"/>
      <c r="BL63" s="765"/>
      <c r="BM63" s="765"/>
      <c r="BN63" s="765"/>
      <c r="BO63" s="765"/>
      <c r="BP63" s="764"/>
      <c r="BQ63" s="676"/>
      <c r="BR63" s="676"/>
      <c r="BS63" s="676"/>
      <c r="BT63" s="676"/>
      <c r="BU63" s="678"/>
      <c r="BV63" s="1335"/>
      <c r="BW63" s="1335"/>
      <c r="BX63" s="1335"/>
      <c r="BY63" s="1335"/>
      <c r="BZ63" s="678"/>
      <c r="CA63" s="1336">
        <f>CA41-CA51</f>
        <v>3065.8628839273042</v>
      </c>
      <c r="CB63" s="1336">
        <f>CB41-CB51</f>
        <v>3561.5844229771337</v>
      </c>
      <c r="CC63" s="1336">
        <f>CC41-CC51</f>
        <v>4010.3895627589945</v>
      </c>
      <c r="CD63" s="1336">
        <f>CD41-CD51</f>
        <v>5594.2971899999993</v>
      </c>
      <c r="CE63" s="1223">
        <f>SUM(CA63:CD63)</f>
        <v>16232.134059663431</v>
      </c>
      <c r="CF63" s="1336">
        <f>CF41-CF51</f>
        <v>5022.4701296407784</v>
      </c>
      <c r="CG63" s="1336">
        <f>CG41-CG51</f>
        <v>5310.5647821420416</v>
      </c>
      <c r="CH63" s="1336">
        <f>CH41-CH51</f>
        <v>5855.5351523178815</v>
      </c>
      <c r="CI63" s="1336">
        <f>CI41-CI51</f>
        <v>8203.0638732943444</v>
      </c>
      <c r="CJ63" s="1223">
        <f>SUM(CF63:CI63)</f>
        <v>24391.633937395047</v>
      </c>
      <c r="CK63" s="1336">
        <f>CK41-CK51</f>
        <v>7079.3889139072835</v>
      </c>
      <c r="CL63" s="1336">
        <f>CL41-CL51</f>
        <v>7996.3329310344834</v>
      </c>
      <c r="CM63" s="1336">
        <f>CM41-CM51</f>
        <v>8571.11</v>
      </c>
      <c r="CN63" s="1336">
        <f>CN41-CN51</f>
        <v>11788.73340740741</v>
      </c>
      <c r="CO63" s="1223">
        <f>SUM(CK63:CN63)</f>
        <v>35435.565252349174</v>
      </c>
      <c r="CP63" s="1336">
        <f>CP41-CP51</f>
        <v>10115.252</v>
      </c>
      <c r="CQ63" s="1336">
        <f>CQ41-CQ51</f>
        <v>16705.466</v>
      </c>
      <c r="CR63" s="1336">
        <f>CR41-CR51</f>
        <v>16917.154999999999</v>
      </c>
      <c r="CS63" s="1336">
        <f>CS41-CS51</f>
        <v>22039.273999999998</v>
      </c>
      <c r="CT63" s="1223">
        <f>SUM(CP63:CS63)</f>
        <v>65777.146999999997</v>
      </c>
      <c r="CU63" s="1336">
        <f>CU41-CU51</f>
        <v>20046.885999999999</v>
      </c>
      <c r="CV63" s="1336">
        <f>CV41-CV51</f>
        <v>21893.370999999999</v>
      </c>
      <c r="CW63" s="1336">
        <f>CW41-CW51</f>
        <v>21264.997000000003</v>
      </c>
      <c r="CX63" s="1336">
        <f>CX41-CX51</f>
        <v>26356.560000000012</v>
      </c>
      <c r="CY63" s="1223">
        <f>SUM(CU63:CX63)</f>
        <v>89561.814000000013</v>
      </c>
      <c r="CZ63" s="1336">
        <f>CZ41-CZ51</f>
        <v>21199.951999999997</v>
      </c>
      <c r="DA63" s="1336">
        <f>DA41-DA51</f>
        <v>21950.218999999997</v>
      </c>
      <c r="DB63" s="1336">
        <f>DB41-DB51</f>
        <v>21200</v>
      </c>
      <c r="DC63" s="1336">
        <f>DC41-DC51</f>
        <v>26800</v>
      </c>
      <c r="DD63" s="1223">
        <f>SUM(CZ63:DC63)</f>
        <v>91150.171000000002</v>
      </c>
      <c r="DE63" s="1336">
        <f>DE41-DE51</f>
        <v>22100</v>
      </c>
      <c r="DF63" s="1336">
        <f>DF41-DF51</f>
        <v>23300</v>
      </c>
      <c r="DG63" s="1336">
        <f>DG41-DG51</f>
        <v>23400</v>
      </c>
      <c r="DH63" s="1336">
        <f>DH41-DH51</f>
        <v>30051</v>
      </c>
      <c r="DI63" s="1223">
        <f>SUM(DE63:DH63)</f>
        <v>98851</v>
      </c>
      <c r="DJ63" s="1336">
        <f>DJ41-DJ51</f>
        <v>24617</v>
      </c>
      <c r="DK63" s="1336">
        <f>DK41-DK51</f>
        <v>25845</v>
      </c>
      <c r="DL63" s="1336">
        <f>DL41-DL51</f>
        <v>26815</v>
      </c>
      <c r="DM63" s="1336">
        <f>DM41-DM51</f>
        <v>34329.603749999987</v>
      </c>
      <c r="DN63" s="1223">
        <f>SUM(DJ63:DM63)</f>
        <v>111606.60374999998</v>
      </c>
      <c r="DO63" s="1336">
        <f>DO41-DO51</f>
        <v>28332.767099999997</v>
      </c>
      <c r="DP63" s="1336">
        <f>DP41-DP51</f>
        <v>28666.884746066105</v>
      </c>
      <c r="DQ63" s="1336">
        <f>DQ41-DQ51</f>
        <v>29469.284654000679</v>
      </c>
      <c r="DR63" s="1336">
        <f>DR41-DR51</f>
        <v>37923.841717158619</v>
      </c>
      <c r="DS63" s="1223">
        <f>SUM(DO63:DR63)</f>
        <v>124392.77821722539</v>
      </c>
      <c r="DT63" s="1336">
        <f>DT41-DT51</f>
        <v>31342.7431746</v>
      </c>
      <c r="DU63" s="1336">
        <f>DU41-DU51</f>
        <v>31602.163730360196</v>
      </c>
      <c r="DV63" s="1336">
        <f>DV41-DV51</f>
        <v>32488.480940771515</v>
      </c>
      <c r="DW63" s="1336">
        <f>DW41-DW51</f>
        <v>41693.074685102183</v>
      </c>
      <c r="DX63" s="1223">
        <f>SUM(DT63:DW63)</f>
        <v>137126.4625308339</v>
      </c>
      <c r="DY63" s="1336">
        <f>DY41-DY51</f>
        <v>34670.754674871743</v>
      </c>
      <c r="DZ63" s="1336">
        <f>DZ41-DZ51</f>
        <v>34846.205849975697</v>
      </c>
      <c r="EA63" s="1336">
        <f>EA41-EA51</f>
        <v>35825.290488006198</v>
      </c>
      <c r="EB63" s="1336">
        <f>EB41-EB51</f>
        <v>45857.315129809387</v>
      </c>
      <c r="EC63" s="1223">
        <f>SUM(DY63:EB63)</f>
        <v>151199.56614266301</v>
      </c>
      <c r="ED63" s="578"/>
    </row>
    <row r="64" spans="1:135" ht="12" hidden="1" customHeight="1" outlineLevel="1">
      <c r="A64" s="1193"/>
      <c r="B64" s="730"/>
      <c r="C64" s="763" t="s">
        <v>140</v>
      </c>
      <c r="D64" s="589"/>
      <c r="E64" s="590"/>
      <c r="F64" s="590"/>
      <c r="G64" s="590"/>
      <c r="H64" s="590"/>
      <c r="I64" s="591"/>
      <c r="J64" s="591"/>
      <c r="K64" s="591"/>
      <c r="L64" s="591"/>
      <c r="M64" s="590"/>
      <c r="N64" s="419"/>
      <c r="O64" s="419"/>
      <c r="P64" s="419"/>
      <c r="Q64" s="419"/>
      <c r="R64" s="590"/>
      <c r="S64" s="419"/>
      <c r="T64" s="419"/>
      <c r="U64" s="419"/>
      <c r="V64" s="419"/>
      <c r="W64" s="590"/>
      <c r="X64" s="419"/>
      <c r="Y64" s="419"/>
      <c r="Z64" s="419"/>
      <c r="AA64" s="419"/>
      <c r="AB64" s="590"/>
      <c r="AC64" s="419"/>
      <c r="AD64" s="419"/>
      <c r="AE64" s="419"/>
      <c r="AF64" s="419"/>
      <c r="AG64" s="590"/>
      <c r="AH64" s="419"/>
      <c r="AI64" s="419"/>
      <c r="AJ64" s="419"/>
      <c r="AK64" s="419"/>
      <c r="AL64" s="590"/>
      <c r="AM64" s="419"/>
      <c r="AN64" s="419"/>
      <c r="AO64" s="419"/>
      <c r="AP64" s="419"/>
      <c r="AQ64" s="590"/>
      <c r="AR64" s="419"/>
      <c r="AS64" s="419"/>
      <c r="AT64" s="419"/>
      <c r="AU64" s="419"/>
      <c r="AV64" s="590"/>
      <c r="AW64" s="419"/>
      <c r="AX64" s="419"/>
      <c r="AY64" s="419"/>
      <c r="AZ64" s="419"/>
      <c r="BA64" s="590"/>
      <c r="BB64" s="419"/>
      <c r="BC64" s="419"/>
      <c r="BD64" s="419"/>
      <c r="BE64" s="419"/>
      <c r="BF64" s="590"/>
      <c r="BG64" s="628"/>
      <c r="BH64" s="628"/>
      <c r="BI64" s="628"/>
      <c r="BJ64" s="628"/>
      <c r="BK64" s="590"/>
      <c r="BL64" s="419"/>
      <c r="BM64" s="419"/>
      <c r="BN64" s="419"/>
      <c r="BO64" s="419"/>
      <c r="BP64" s="590"/>
      <c r="BQ64" s="419"/>
      <c r="BR64" s="419"/>
      <c r="BS64" s="419"/>
      <c r="BT64" s="419"/>
      <c r="BU64" s="590"/>
      <c r="BV64" s="419"/>
      <c r="BW64" s="419"/>
      <c r="BX64" s="419"/>
      <c r="BY64" s="419"/>
      <c r="BZ64" s="286"/>
      <c r="CA64" s="419"/>
      <c r="CB64" s="419"/>
      <c r="CC64" s="419"/>
      <c r="CD64" s="419"/>
      <c r="CE64" s="286"/>
      <c r="CF64" s="419">
        <f>CF63/CA63-1</f>
        <v>0.638191373779607</v>
      </c>
      <c r="CG64" s="419">
        <f>CG63/CB63-1</f>
        <v>0.49106806169792616</v>
      </c>
      <c r="CH64" s="419">
        <f>CH63/CC63-1</f>
        <v>0.46009136037385301</v>
      </c>
      <c r="CI64" s="419">
        <f>CI63/CD63-1</f>
        <v>0.46632608077340021</v>
      </c>
      <c r="CJ64" s="286">
        <f>CJ63/CE63-1</f>
        <v>0.50267573245392483</v>
      </c>
      <c r="CK64" s="419">
        <f t="shared" ref="CK64:CS64" si="396">CK63/CF63-1</f>
        <v>0.40954325882942033</v>
      </c>
      <c r="CL64" s="419">
        <f t="shared" si="396"/>
        <v>0.50574058674963096</v>
      </c>
      <c r="CM64" s="419">
        <f t="shared" si="396"/>
        <v>0.46376202636358066</v>
      </c>
      <c r="CN64" s="419">
        <f t="shared" si="396"/>
        <v>0.43711344803573526</v>
      </c>
      <c r="CO64" s="286">
        <f t="shared" si="396"/>
        <v>0.45277537959531977</v>
      </c>
      <c r="CP64" s="419">
        <f t="shared" si="396"/>
        <v>0.42883123430736214</v>
      </c>
      <c r="CQ64" s="419">
        <f t="shared" si="396"/>
        <v>1.0891408779597698</v>
      </c>
      <c r="CR64" s="419">
        <f t="shared" si="396"/>
        <v>0.97374144072354651</v>
      </c>
      <c r="CS64" s="419">
        <f t="shared" si="396"/>
        <v>0.86952009502154803</v>
      </c>
      <c r="CT64" s="286">
        <f t="shared" ref="CT64:DN64" si="397">CT63/CO63-1</f>
        <v>0.85624658536071618</v>
      </c>
      <c r="CU64" s="419">
        <f t="shared" si="397"/>
        <v>0.98184741220485638</v>
      </c>
      <c r="CV64" s="419">
        <f t="shared" si="397"/>
        <v>0.31055134888185698</v>
      </c>
      <c r="CW64" s="419">
        <f t="shared" si="397"/>
        <v>0.25700787159543115</v>
      </c>
      <c r="CX64" s="419">
        <f t="shared" si="397"/>
        <v>0.1958905724390021</v>
      </c>
      <c r="CY64" s="286">
        <f t="shared" si="397"/>
        <v>0.36159468880582524</v>
      </c>
      <c r="CZ64" s="419">
        <f t="shared" si="397"/>
        <v>5.7518459475451644E-2</v>
      </c>
      <c r="DA64" s="419">
        <f t="shared" si="397"/>
        <v>2.5965850576412652E-3</v>
      </c>
      <c r="DB64" s="419">
        <f t="shared" si="397"/>
        <v>-3.0565252372244389E-3</v>
      </c>
      <c r="DC64" s="419">
        <f t="shared" si="397"/>
        <v>1.6824653900205044E-2</v>
      </c>
      <c r="DD64" s="286">
        <f t="shared" si="397"/>
        <v>1.7734756913253102E-2</v>
      </c>
      <c r="DE64" s="419">
        <f t="shared" si="397"/>
        <v>4.2455190464582238E-2</v>
      </c>
      <c r="DF64" s="419">
        <f t="shared" si="397"/>
        <v>6.1492826108022092E-2</v>
      </c>
      <c r="DG64" s="419">
        <f t="shared" si="397"/>
        <v>0.10377358490566047</v>
      </c>
      <c r="DH64" s="419">
        <f t="shared" si="397"/>
        <v>0.12130597014925382</v>
      </c>
      <c r="DI64" s="286">
        <f t="shared" si="397"/>
        <v>8.4485074635789692E-2</v>
      </c>
      <c r="DJ64" s="419">
        <f t="shared" si="397"/>
        <v>0.11389140271493203</v>
      </c>
      <c r="DK64" s="419">
        <f t="shared" si="397"/>
        <v>0.10922746781115888</v>
      </c>
      <c r="DL64" s="419">
        <f t="shared" si="397"/>
        <v>0.14594017094017087</v>
      </c>
      <c r="DM64" s="419">
        <f t="shared" si="397"/>
        <v>0.14237808226015725</v>
      </c>
      <c r="DN64" s="286">
        <f t="shared" si="397"/>
        <v>0.12903869207190599</v>
      </c>
      <c r="DO64" s="419">
        <f t="shared" ref="DO64" si="398">DO63/DJ63-1</f>
        <v>0.15094313279441018</v>
      </c>
      <c r="DP64" s="419">
        <f t="shared" ref="DP64" si="399">DP63/DK63-1</f>
        <v>0.10918493890756831</v>
      </c>
      <c r="DQ64" s="419">
        <f t="shared" ref="DQ64" si="400">DQ63/DL63-1</f>
        <v>9.8985070072745929E-2</v>
      </c>
      <c r="DR64" s="419">
        <f t="shared" ref="DR64:DS64" si="401">DR63/DM63-1</f>
        <v>0.10469791592507471</v>
      </c>
      <c r="DS64" s="286">
        <f t="shared" si="401"/>
        <v>0.11456467661955361</v>
      </c>
      <c r="DT64" s="419">
        <f t="shared" ref="DT64" si="402">DT63/DO63-1</f>
        <v>0.10623657279842624</v>
      </c>
      <c r="DU64" s="419">
        <f t="shared" ref="DU64" si="403">DU63/DP63-1</f>
        <v>0.10239267399632235</v>
      </c>
      <c r="DV64" s="419">
        <f t="shared" ref="DV64" si="404">DV63/DQ63-1</f>
        <v>0.10245230999731625</v>
      </c>
      <c r="DW64" s="419">
        <f t="shared" ref="DW64" si="405">DW63/DR63-1</f>
        <v>9.93895343213127E-2</v>
      </c>
      <c r="DX64" s="286">
        <f t="shared" ref="DX64" si="406">DX63/DS63-1</f>
        <v>0.10236674906779442</v>
      </c>
      <c r="DY64" s="419">
        <f t="shared" ref="DY64" si="407">DY63/DT63-1</f>
        <v>0.10618124526409511</v>
      </c>
      <c r="DZ64" s="419">
        <f t="shared" ref="DZ64" si="408">DZ63/DU63-1</f>
        <v>0.10265253187391554</v>
      </c>
      <c r="EA64" s="419">
        <f t="shared" ref="EA64" si="409">EA63/DV63-1</f>
        <v>0.10270746586514434</v>
      </c>
      <c r="EB64" s="419">
        <f t="shared" ref="EB64" si="410">EB63/DW63-1</f>
        <v>9.9878468454502656E-2</v>
      </c>
      <c r="EC64" s="286">
        <f t="shared" ref="EC64" si="411">EC63/DX63-1</f>
        <v>0.10262864914687531</v>
      </c>
      <c r="ED64" s="751"/>
    </row>
    <row r="65" spans="1:135" ht="12" hidden="1" customHeight="1" outlineLevel="1">
      <c r="A65" s="1193"/>
      <c r="B65" s="730"/>
      <c r="C65" s="763" t="s">
        <v>624</v>
      </c>
      <c r="D65" s="589"/>
      <c r="E65" s="590"/>
      <c r="F65" s="590"/>
      <c r="G65" s="590"/>
      <c r="H65" s="590"/>
      <c r="I65" s="591"/>
      <c r="J65" s="591"/>
      <c r="K65" s="591"/>
      <c r="L65" s="591"/>
      <c r="M65" s="590"/>
      <c r="N65" s="419"/>
      <c r="O65" s="419"/>
      <c r="P65" s="419"/>
      <c r="Q65" s="419"/>
      <c r="R65" s="590"/>
      <c r="S65" s="419"/>
      <c r="T65" s="419"/>
      <c r="U65" s="419"/>
      <c r="V65" s="419"/>
      <c r="W65" s="590"/>
      <c r="X65" s="419"/>
      <c r="Y65" s="419"/>
      <c r="Z65" s="419"/>
      <c r="AA65" s="419"/>
      <c r="AB65" s="590"/>
      <c r="AC65" s="419"/>
      <c r="AD65" s="419"/>
      <c r="AE65" s="419"/>
      <c r="AF65" s="419"/>
      <c r="AG65" s="590"/>
      <c r="AH65" s="419"/>
      <c r="AI65" s="419"/>
      <c r="AJ65" s="419"/>
      <c r="AK65" s="419"/>
      <c r="AL65" s="590"/>
      <c r="AM65" s="419"/>
      <c r="AN65" s="419"/>
      <c r="AO65" s="419"/>
      <c r="AP65" s="419"/>
      <c r="AQ65" s="590"/>
      <c r="AR65" s="419"/>
      <c r="AS65" s="419"/>
      <c r="AT65" s="419"/>
      <c r="AU65" s="419"/>
      <c r="AV65" s="590"/>
      <c r="AW65" s="419"/>
      <c r="AX65" s="419"/>
      <c r="AY65" s="419"/>
      <c r="AZ65" s="419"/>
      <c r="BA65" s="590"/>
      <c r="BB65" s="419"/>
      <c r="BC65" s="419"/>
      <c r="BD65" s="419"/>
      <c r="BE65" s="419"/>
      <c r="BF65" s="590"/>
      <c r="BG65" s="628"/>
      <c r="BH65" s="628"/>
      <c r="BI65" s="628"/>
      <c r="BJ65" s="628"/>
      <c r="BK65" s="590"/>
      <c r="BL65" s="419"/>
      <c r="BM65" s="419"/>
      <c r="BN65" s="419"/>
      <c r="BO65" s="419"/>
      <c r="BP65" s="590"/>
      <c r="BQ65" s="419"/>
      <c r="BR65" s="419"/>
      <c r="BS65" s="419"/>
      <c r="BT65" s="419"/>
      <c r="BU65" s="590"/>
      <c r="BV65" s="419"/>
      <c r="BW65" s="419"/>
      <c r="BX65" s="419"/>
      <c r="BY65" s="419"/>
      <c r="BZ65" s="286"/>
      <c r="CA65" s="419">
        <f t="shared" ref="CA65:DF65" si="412">CA63/CA41</f>
        <v>0.63182076671505571</v>
      </c>
      <c r="CB65" s="419">
        <f t="shared" si="412"/>
        <v>0.60717318916608687</v>
      </c>
      <c r="CC65" s="419">
        <f t="shared" si="412"/>
        <v>0.62361249012719755</v>
      </c>
      <c r="CD65" s="419">
        <f t="shared" si="412"/>
        <v>0.61</v>
      </c>
      <c r="CE65" s="286">
        <f t="shared" si="412"/>
        <v>0.61671890394482665</v>
      </c>
      <c r="CF65" s="419">
        <f t="shared" si="412"/>
        <v>0.63156404602274863</v>
      </c>
      <c r="CG65" s="419">
        <f t="shared" si="412"/>
        <v>0.58130195185493228</v>
      </c>
      <c r="CH65" s="419">
        <f t="shared" si="412"/>
        <v>0.58586941602090659</v>
      </c>
      <c r="CI65" s="419">
        <f t="shared" si="412"/>
        <v>0.58507395270718854</v>
      </c>
      <c r="CJ65" s="286">
        <f t="shared" si="412"/>
        <v>0.59342366013585224</v>
      </c>
      <c r="CK65" s="419">
        <f t="shared" si="412"/>
        <v>0.59421624202899082</v>
      </c>
      <c r="CL65" s="419">
        <f t="shared" si="412"/>
        <v>0.58061426889718626</v>
      </c>
      <c r="CM65" s="419">
        <f t="shared" si="412"/>
        <v>0.57830418909244996</v>
      </c>
      <c r="CN65" s="419">
        <f t="shared" si="412"/>
        <v>0.57139969614204189</v>
      </c>
      <c r="CO65" s="286">
        <f t="shared" si="412"/>
        <v>0.57959534785690081</v>
      </c>
      <c r="CP65" s="419">
        <f t="shared" si="412"/>
        <v>0.58082719675833572</v>
      </c>
      <c r="CQ65" s="419">
        <f t="shared" si="412"/>
        <v>0.55489810388585248</v>
      </c>
      <c r="CR65" s="419">
        <f t="shared" si="412"/>
        <v>0.54717696372774272</v>
      </c>
      <c r="CS65" s="419">
        <f t="shared" si="412"/>
        <v>0.5357234549156118</v>
      </c>
      <c r="CT65" s="286">
        <f t="shared" si="412"/>
        <v>0.55008125423832033</v>
      </c>
      <c r="CU65" s="419">
        <f t="shared" si="412"/>
        <v>0.53677530169449739</v>
      </c>
      <c r="CV65" s="419">
        <f t="shared" si="412"/>
        <v>0.51888176936609309</v>
      </c>
      <c r="CW65" s="419">
        <f t="shared" si="412"/>
        <v>0.50915835095115658</v>
      </c>
      <c r="CX65" s="419">
        <f t="shared" si="412"/>
        <v>0.48757375608066822</v>
      </c>
      <c r="CY65" s="286">
        <f t="shared" si="412"/>
        <v>0.5107258641838639</v>
      </c>
      <c r="CZ65" s="419">
        <f t="shared" si="412"/>
        <v>0.49074017489649058</v>
      </c>
      <c r="DA65" s="419">
        <f t="shared" si="412"/>
        <v>0.46851902655993982</v>
      </c>
      <c r="DB65" s="419">
        <f t="shared" si="412"/>
        <v>0.45887445887445888</v>
      </c>
      <c r="DC65" s="419">
        <f t="shared" si="412"/>
        <v>0.43934426229508194</v>
      </c>
      <c r="DD65" s="286">
        <f t="shared" si="412"/>
        <v>0.46210439533662051</v>
      </c>
      <c r="DE65" s="419">
        <f t="shared" si="412"/>
        <v>0.44556451612903225</v>
      </c>
      <c r="DF65" s="419">
        <f t="shared" si="412"/>
        <v>0.42363636363636364</v>
      </c>
      <c r="DG65" s="419">
        <f t="shared" ref="DG65:EC65" si="413">DG63/DG41</f>
        <v>0.41637010676156583</v>
      </c>
      <c r="DH65" s="419">
        <f t="shared" si="413"/>
        <v>0.40001331114808653</v>
      </c>
      <c r="DI65" s="286">
        <f t="shared" si="413"/>
        <v>0.41899332414962381</v>
      </c>
      <c r="DJ65" s="419">
        <f t="shared" si="413"/>
        <v>0.40451893846027442</v>
      </c>
      <c r="DK65" s="419">
        <f t="shared" si="413"/>
        <v>0.38434084318536693</v>
      </c>
      <c r="DL65" s="419">
        <f t="shared" si="413"/>
        <v>0.38463745248511799</v>
      </c>
      <c r="DM65" s="419">
        <f t="shared" si="413"/>
        <v>0.37001331114808644</v>
      </c>
      <c r="DN65" s="286">
        <f t="shared" si="413"/>
        <v>0.38406319375590109</v>
      </c>
      <c r="DO65" s="419">
        <f t="shared" si="413"/>
        <v>0.3785189384602744</v>
      </c>
      <c r="DP65" s="419">
        <f t="shared" si="413"/>
        <v>0.35834084318536696</v>
      </c>
      <c r="DQ65" s="419">
        <f t="shared" si="413"/>
        <v>0.35863745248511791</v>
      </c>
      <c r="DR65" s="419">
        <f t="shared" si="413"/>
        <v>0.34401331114808648</v>
      </c>
      <c r="DS65" s="286">
        <f t="shared" si="413"/>
        <v>0.35821205430328762</v>
      </c>
      <c r="DT65" s="419">
        <f t="shared" si="413"/>
        <v>0.35651893846027444</v>
      </c>
      <c r="DU65" s="419">
        <f t="shared" si="413"/>
        <v>0.33634084318536694</v>
      </c>
      <c r="DV65" s="419">
        <f t="shared" si="413"/>
        <v>0.33663745248511789</v>
      </c>
      <c r="DW65" s="419">
        <f t="shared" si="413"/>
        <v>0.32201331114808646</v>
      </c>
      <c r="DX65" s="286">
        <f t="shared" si="413"/>
        <v>0.33621205430328771</v>
      </c>
      <c r="DY65" s="419">
        <f t="shared" si="413"/>
        <v>0.33851893846027437</v>
      </c>
      <c r="DZ65" s="419">
        <f t="shared" si="413"/>
        <v>0.31834084318536693</v>
      </c>
      <c r="EA65" s="419">
        <f t="shared" si="413"/>
        <v>0.31863745248511782</v>
      </c>
      <c r="EB65" s="419">
        <f t="shared" si="413"/>
        <v>0.30401331114808633</v>
      </c>
      <c r="EC65" s="286">
        <f t="shared" si="413"/>
        <v>0.31821205430328753</v>
      </c>
      <c r="ED65" s="751"/>
    </row>
    <row r="66" spans="1:135" ht="12" hidden="1" customHeight="1" outlineLevel="1">
      <c r="A66" s="1195"/>
      <c r="B66" s="588"/>
      <c r="C66" s="1197" t="s">
        <v>340</v>
      </c>
      <c r="D66" s="764"/>
      <c r="E66" s="764"/>
      <c r="F66" s="764"/>
      <c r="G66" s="764"/>
      <c r="H66" s="764"/>
      <c r="I66" s="765"/>
      <c r="J66" s="765"/>
      <c r="K66" s="765"/>
      <c r="L66" s="765"/>
      <c r="M66" s="764"/>
      <c r="N66" s="765"/>
      <c r="O66" s="765"/>
      <c r="P66" s="765"/>
      <c r="Q66" s="765"/>
      <c r="R66" s="764"/>
      <c r="S66" s="765"/>
      <c r="T66" s="765"/>
      <c r="U66" s="765"/>
      <c r="V66" s="765"/>
      <c r="W66" s="764"/>
      <c r="X66" s="765"/>
      <c r="Y66" s="765"/>
      <c r="Z66" s="765"/>
      <c r="AA66" s="765"/>
      <c r="AB66" s="764"/>
      <c r="AC66" s="765"/>
      <c r="AD66" s="765"/>
      <c r="AE66" s="765"/>
      <c r="AF66" s="765"/>
      <c r="AG66" s="764"/>
      <c r="AH66" s="765"/>
      <c r="AI66" s="765"/>
      <c r="AJ66" s="765"/>
      <c r="AK66" s="765"/>
      <c r="AL66" s="764"/>
      <c r="AM66" s="765"/>
      <c r="AN66" s="765"/>
      <c r="AO66" s="765"/>
      <c r="AP66" s="765"/>
      <c r="AQ66" s="764"/>
      <c r="AR66" s="765"/>
      <c r="AS66" s="765"/>
      <c r="AT66" s="765"/>
      <c r="AU66" s="765"/>
      <c r="AV66" s="764"/>
      <c r="AW66" s="765"/>
      <c r="AX66" s="765"/>
      <c r="AY66" s="765"/>
      <c r="AZ66" s="765"/>
      <c r="BA66" s="764"/>
      <c r="BB66" s="765"/>
      <c r="BC66" s="765"/>
      <c r="BD66" s="765"/>
      <c r="BE66" s="765"/>
      <c r="BF66" s="764"/>
      <c r="BG66" s="776"/>
      <c r="BH66" s="776"/>
      <c r="BI66" s="776"/>
      <c r="BJ66" s="776"/>
      <c r="BK66" s="764"/>
      <c r="BL66" s="765"/>
      <c r="BM66" s="765"/>
      <c r="BN66" s="765"/>
      <c r="BO66" s="765"/>
      <c r="BP66" s="764"/>
      <c r="BQ66" s="676"/>
      <c r="BR66" s="676"/>
      <c r="BS66" s="676"/>
      <c r="BT66" s="676"/>
      <c r="BU66" s="677"/>
      <c r="BV66" s="676"/>
      <c r="BW66" s="676"/>
      <c r="BX66" s="676"/>
      <c r="BY66" s="676"/>
      <c r="BZ66" s="678"/>
      <c r="CA66" s="419">
        <f>+CA69/CA63</f>
        <v>7.241569776780153E-3</v>
      </c>
      <c r="CB66" s="743">
        <f>+CB69/CB63</f>
        <v>7.6424918708643949E-3</v>
      </c>
      <c r="CC66" s="743">
        <f>+CC69/CC63</f>
        <v>7.5471820196882236E-3</v>
      </c>
      <c r="CD66" s="743">
        <f>+CD69/CD63</f>
        <v>7.8338061979149158E-3</v>
      </c>
      <c r="CE66" s="286">
        <f>AVERAGE(CA66:CD66)</f>
        <v>7.566262466311922E-3</v>
      </c>
      <c r="CF66" s="743">
        <f>+CF69/CF63</f>
        <v>7.2724056205810432E-3</v>
      </c>
      <c r="CG66" s="743">
        <f>+CG69/CG63</f>
        <v>8.0890530032613431E-3</v>
      </c>
      <c r="CH66" s="743">
        <f>+CH69/CH63</f>
        <v>8.1726159531391156E-3</v>
      </c>
      <c r="CI66" s="743">
        <f>+CI69/CI63</f>
        <v>8.2038420082390165E-3</v>
      </c>
      <c r="CJ66" s="286">
        <f>AVERAGE(CF66:CI66)</f>
        <v>7.934479146305129E-3</v>
      </c>
      <c r="CK66" s="743">
        <f>+CK69/CK63</f>
        <v>7.6290906823751519E-3</v>
      </c>
      <c r="CL66" s="743">
        <f>+CL69/CL63</f>
        <v>7.8385430597486573E-3</v>
      </c>
      <c r="CM66" s="743">
        <f>+CM69/CM63</f>
        <v>7.8744176658565798E-3</v>
      </c>
      <c r="CN66" s="743">
        <f>+CN69/CN63</f>
        <v>8.194111840658205E-3</v>
      </c>
      <c r="CO66" s="286">
        <f>AVERAGE(CK66:CN66)</f>
        <v>7.8840408121596487E-3</v>
      </c>
      <c r="CP66" s="743">
        <f>+CP69/CP63</f>
        <v>7.8168848388552245E-3</v>
      </c>
      <c r="CQ66" s="743">
        <f>+CQ69/CQ63</f>
        <v>8.6806294418844705E-3</v>
      </c>
      <c r="CR66" s="743">
        <f>+CR69/CR63</f>
        <v>8.6419188096343615E-3</v>
      </c>
      <c r="CS66" s="743">
        <f>+CS69/CS63</f>
        <v>8.8716679142879194E-3</v>
      </c>
      <c r="CT66" s="286">
        <f>AVERAGE(CP66:CS66)</f>
        <v>8.5027752511654935E-3</v>
      </c>
      <c r="CU66" s="743">
        <f>+CU69/CU63</f>
        <v>8.6632487459648334E-3</v>
      </c>
      <c r="CV66" s="743">
        <f>+CV69/CV63</f>
        <v>9.3249267095505753E-3</v>
      </c>
      <c r="CW66" s="743">
        <f>+CW69/CW63</f>
        <v>9.6288901428013343E-3</v>
      </c>
      <c r="CX66" s="743">
        <f>+CX69/CX63</f>
        <v>1.0148978470635008E-2</v>
      </c>
      <c r="CY66" s="286">
        <f>AVERAGE(CU66:CX66)</f>
        <v>9.4415110172379382E-3</v>
      </c>
      <c r="CZ66" s="743">
        <f>+CZ69/CZ63</f>
        <v>9.9255503031327602E-3</v>
      </c>
      <c r="DA66" s="743">
        <f>+DA69/DA63</f>
        <v>1.0364903420781358E-2</v>
      </c>
      <c r="DB66" s="743">
        <f>+DB69/DB63</f>
        <v>1.143987051886792E-2</v>
      </c>
      <c r="DC66" s="743">
        <f>+DC69/DC63</f>
        <v>1.2201767910447758E-2</v>
      </c>
      <c r="DD66" s="286">
        <f>AVERAGE(CZ66:DC66)</f>
        <v>1.0983023038307449E-2</v>
      </c>
      <c r="DE66" s="743">
        <f>+DE69/DE63</f>
        <v>1.1973303167420813E-2</v>
      </c>
      <c r="DF66" s="743">
        <f>+DF69/DF63</f>
        <v>1.2607296137339056E-2</v>
      </c>
      <c r="DG66" s="743">
        <f>+DG69/DG63</f>
        <v>1.2332478632478631E-2</v>
      </c>
      <c r="DH66" s="743">
        <f>+DH69/DH63</f>
        <v>1.2660643572593257E-2</v>
      </c>
      <c r="DI66" s="286">
        <f>AVERAGE(DE66:DH66)</f>
        <v>1.2393430377457939E-2</v>
      </c>
      <c r="DJ66" s="743">
        <f>+DJ69/DJ63</f>
        <v>1.2613234756469107E-2</v>
      </c>
      <c r="DK66" s="743">
        <f>+DK69/DK63</f>
        <v>1.3188624492164827E-2</v>
      </c>
      <c r="DL66" s="743">
        <f>+DL69/DL63</f>
        <v>1.3311952265523027E-2</v>
      </c>
      <c r="DM66" s="743">
        <f>+DH66+DM67/10000</f>
        <v>1.2760643572593256E-2</v>
      </c>
      <c r="DN66" s="286">
        <f>AVERAGE(DJ66:DM66)</f>
        <v>1.2968613771687554E-2</v>
      </c>
      <c r="DO66" s="743">
        <f t="shared" ref="DO66:DR66" si="414">+DJ66+DO67/10000</f>
        <v>1.2613234756469107E-2</v>
      </c>
      <c r="DP66" s="743">
        <f t="shared" si="414"/>
        <v>1.3188624492164827E-2</v>
      </c>
      <c r="DQ66" s="743">
        <f t="shared" si="414"/>
        <v>1.3311952265523027E-2</v>
      </c>
      <c r="DR66" s="743">
        <f t="shared" si="414"/>
        <v>1.2760643572593256E-2</v>
      </c>
      <c r="DS66" s="286">
        <f>AVERAGE(DO66:DR66)</f>
        <v>1.2968613771687554E-2</v>
      </c>
      <c r="DT66" s="743">
        <f t="shared" ref="DT66" si="415">+DO66+DT67/10000</f>
        <v>1.2613234756469107E-2</v>
      </c>
      <c r="DU66" s="743">
        <f t="shared" ref="DU66" si="416">+DP66+DU67/10000</f>
        <v>1.3188624492164827E-2</v>
      </c>
      <c r="DV66" s="743">
        <f t="shared" ref="DV66" si="417">+DQ66+DV67/10000</f>
        <v>1.3311952265523027E-2</v>
      </c>
      <c r="DW66" s="743">
        <f t="shared" ref="DW66" si="418">+DR66+DW67/10000</f>
        <v>1.2760643572593256E-2</v>
      </c>
      <c r="DX66" s="286">
        <f t="shared" ref="DX66" si="419">AVERAGE(DT66:DW66)</f>
        <v>1.2968613771687554E-2</v>
      </c>
      <c r="DY66" s="743">
        <f t="shared" ref="DY66" si="420">+DT66+DY67/10000</f>
        <v>1.2613234756469107E-2</v>
      </c>
      <c r="DZ66" s="743">
        <f t="shared" ref="DZ66" si="421">+DU66+DZ67/10000</f>
        <v>1.3188624492164827E-2</v>
      </c>
      <c r="EA66" s="743">
        <f t="shared" ref="EA66" si="422">+DV66+EA67/10000</f>
        <v>1.3311952265523027E-2</v>
      </c>
      <c r="EB66" s="743">
        <f t="shared" ref="EB66" si="423">+DW66+EB67/10000</f>
        <v>1.2760643572593256E-2</v>
      </c>
      <c r="EC66" s="286">
        <f t="shared" ref="EC66" si="424">AVERAGE(DY66:EB66)</f>
        <v>1.2968613771687554E-2</v>
      </c>
      <c r="ED66" s="588"/>
      <c r="EE66" s="240" t="s">
        <v>700</v>
      </c>
    </row>
    <row r="67" spans="1:135" s="1369" customFormat="1" ht="12" hidden="1" customHeight="1" outlineLevel="1">
      <c r="A67" s="1194"/>
      <c r="B67" s="1089"/>
      <c r="C67" s="1198" t="s">
        <v>298</v>
      </c>
      <c r="D67" s="1090"/>
      <c r="E67" s="1090"/>
      <c r="F67" s="1090"/>
      <c r="G67" s="1090"/>
      <c r="H67" s="1090"/>
      <c r="I67" s="1091"/>
      <c r="J67" s="1091"/>
      <c r="K67" s="1091"/>
      <c r="L67" s="1091"/>
      <c r="M67" s="1090"/>
      <c r="N67" s="1091"/>
      <c r="O67" s="1091"/>
      <c r="P67" s="1091"/>
      <c r="Q67" s="1091"/>
      <c r="R67" s="1090"/>
      <c r="S67" s="1091"/>
      <c r="T67" s="1091"/>
      <c r="U67" s="1091"/>
      <c r="V67" s="1091"/>
      <c r="W67" s="1090"/>
      <c r="X67" s="1091"/>
      <c r="Y67" s="1091"/>
      <c r="Z67" s="1091"/>
      <c r="AA67" s="1091"/>
      <c r="AB67" s="1090"/>
      <c r="AC67" s="1091"/>
      <c r="AD67" s="1091"/>
      <c r="AE67" s="1091"/>
      <c r="AF67" s="1091"/>
      <c r="AG67" s="1090"/>
      <c r="AH67" s="1091"/>
      <c r="AI67" s="1091"/>
      <c r="AJ67" s="1091"/>
      <c r="AK67" s="1091"/>
      <c r="AL67" s="1090"/>
      <c r="AM67" s="1091"/>
      <c r="AN67" s="1091"/>
      <c r="AO67" s="1091"/>
      <c r="AP67" s="1091"/>
      <c r="AQ67" s="1090"/>
      <c r="AR67" s="1091"/>
      <c r="AS67" s="1091"/>
      <c r="AT67" s="1091"/>
      <c r="AU67" s="1091"/>
      <c r="AV67" s="1090"/>
      <c r="AW67" s="1091"/>
      <c r="AX67" s="1091"/>
      <c r="AY67" s="1091"/>
      <c r="AZ67" s="1091"/>
      <c r="BA67" s="1090"/>
      <c r="BB67" s="1091"/>
      <c r="BC67" s="1091"/>
      <c r="BD67" s="1091"/>
      <c r="BE67" s="1091"/>
      <c r="BF67" s="1090"/>
      <c r="BG67" s="1092"/>
      <c r="BH67" s="1092"/>
      <c r="BI67" s="1092"/>
      <c r="BJ67" s="1092"/>
      <c r="BK67" s="1090"/>
      <c r="BL67" s="1091"/>
      <c r="BM67" s="1091"/>
      <c r="BN67" s="1091"/>
      <c r="BO67" s="1091"/>
      <c r="BP67" s="1090"/>
      <c r="BQ67" s="1091"/>
      <c r="BR67" s="1091"/>
      <c r="BS67" s="1091"/>
      <c r="BT67" s="1091"/>
      <c r="BU67" s="1090"/>
      <c r="BV67" s="1091"/>
      <c r="BW67" s="1091"/>
      <c r="BX67" s="1091"/>
      <c r="BY67" s="1091"/>
      <c r="BZ67" s="1093"/>
      <c r="CA67" s="1094"/>
      <c r="CB67" s="1091">
        <f>(CB66-CA66)*10000</f>
        <v>4.0092209408424191</v>
      </c>
      <c r="CC67" s="1091">
        <f>(CC66-CB66)*10000</f>
        <v>-0.95309851176171234</v>
      </c>
      <c r="CD67" s="1091">
        <f>(CD66-CC66)*10000</f>
        <v>2.8662417822669215</v>
      </c>
      <c r="CE67" s="1090"/>
      <c r="CF67" s="1094"/>
      <c r="CG67" s="1091">
        <f>(CG66-CF66)*10000</f>
        <v>8.1664738268029993</v>
      </c>
      <c r="CH67" s="1091">
        <f>(CH66-CG66)*10000</f>
        <v>0.83562949877772486</v>
      </c>
      <c r="CI67" s="1091">
        <f>(CI66-CH66)*10000</f>
        <v>0.31226055099900851</v>
      </c>
      <c r="CJ67" s="1090"/>
      <c r="CK67" s="1094"/>
      <c r="CL67" s="1091">
        <f>(CL66-CK66)*10000</f>
        <v>2.0945237737350544</v>
      </c>
      <c r="CM67" s="1091">
        <f>(CM66-CL66)*10000</f>
        <v>0.35874606107922508</v>
      </c>
      <c r="CN67" s="1091">
        <f>(CN66-CM66)*10000</f>
        <v>3.1969417480162514</v>
      </c>
      <c r="CO67" s="1090"/>
      <c r="CP67" s="1091">
        <f>(CP66-CN66)*10000</f>
        <v>-3.7722700180298046</v>
      </c>
      <c r="CQ67" s="1091">
        <f>(CQ66-CP66)*10000</f>
        <v>8.6374460302924589</v>
      </c>
      <c r="CR67" s="1091">
        <f>(CR66-CQ66)*10000</f>
        <v>-0.38710632250109001</v>
      </c>
      <c r="CS67" s="1091">
        <f>(CS66-CR66)*10000</f>
        <v>2.2974910465355798</v>
      </c>
      <c r="CT67" s="1093"/>
      <c r="CU67" s="1091">
        <f>(CU66-CS66)*10000</f>
        <v>-2.08419168323086</v>
      </c>
      <c r="CV67" s="1091">
        <f>(CV66-CU66)*10000</f>
        <v>6.6167796358574185</v>
      </c>
      <c r="CW67" s="1091">
        <f>(CW66-CV66)*10000</f>
        <v>3.0396343325075903</v>
      </c>
      <c r="CX67" s="1091">
        <f>(CX66-CW66)*10000</f>
        <v>5.2008832783367351</v>
      </c>
      <c r="CY67" s="1093"/>
      <c r="CZ67" s="1091">
        <f>(CZ66-CX66)*10000</f>
        <v>-2.2342816750224768</v>
      </c>
      <c r="DA67" s="1091">
        <f>(DA66-CZ66)*10000</f>
        <v>4.3935311764859746</v>
      </c>
      <c r="DB67" s="1091">
        <f t="shared" ref="DB67:DC67" si="425">(DB66-DA66)*10000</f>
        <v>10.749670980865627</v>
      </c>
      <c r="DC67" s="1091">
        <f t="shared" si="425"/>
        <v>7.6189739157983727</v>
      </c>
      <c r="DD67" s="1095"/>
      <c r="DE67" s="1091">
        <f>(DE66-DC66)*10000</f>
        <v>-2.2846474302694495</v>
      </c>
      <c r="DF67" s="1091">
        <f>(DF66-DE66)*10000</f>
        <v>6.3399296991824281</v>
      </c>
      <c r="DG67" s="1091">
        <f t="shared" ref="DG67:DL67" si="426">(DG66-DF66)*10000</f>
        <v>-2.748175048604244</v>
      </c>
      <c r="DH67" s="1091">
        <f t="shared" si="426"/>
        <v>3.281649401146256</v>
      </c>
      <c r="DI67" s="1095"/>
      <c r="DJ67" s="1091">
        <f t="shared" si="426"/>
        <v>2.1980437901116847</v>
      </c>
      <c r="DK67" s="1091">
        <f t="shared" si="426"/>
        <v>5.7538973569572045</v>
      </c>
      <c r="DL67" s="1091">
        <f t="shared" si="426"/>
        <v>1.2332777335819987</v>
      </c>
      <c r="DM67" s="1333">
        <v>1</v>
      </c>
      <c r="DN67" s="1095"/>
      <c r="DO67" s="1096">
        <v>0</v>
      </c>
      <c r="DP67" s="1096">
        <v>0</v>
      </c>
      <c r="DQ67" s="1096">
        <v>0</v>
      </c>
      <c r="DR67" s="1096">
        <v>0</v>
      </c>
      <c r="DS67" s="1095"/>
      <c r="DT67" s="1096">
        <v>0</v>
      </c>
      <c r="DU67" s="1096">
        <v>0</v>
      </c>
      <c r="DV67" s="1096">
        <v>0</v>
      </c>
      <c r="DW67" s="1096">
        <v>0</v>
      </c>
      <c r="DX67" s="1095"/>
      <c r="DY67" s="1096">
        <v>0</v>
      </c>
      <c r="DZ67" s="1096">
        <v>0</v>
      </c>
      <c r="EA67" s="1096">
        <v>0</v>
      </c>
      <c r="EB67" s="1096">
        <v>0</v>
      </c>
      <c r="EC67" s="1095"/>
      <c r="ED67" s="1089"/>
    </row>
    <row r="68" spans="1:135" s="1369" customFormat="1" ht="12" hidden="1" customHeight="1" outlineLevel="1">
      <c r="A68" s="1194"/>
      <c r="B68" s="1089"/>
      <c r="C68" s="1198" t="s">
        <v>297</v>
      </c>
      <c r="D68" s="1090"/>
      <c r="E68" s="1090"/>
      <c r="F68" s="1090"/>
      <c r="G68" s="1090"/>
      <c r="H68" s="1090"/>
      <c r="I68" s="1091"/>
      <c r="J68" s="1091"/>
      <c r="K68" s="1091"/>
      <c r="L68" s="1091"/>
      <c r="M68" s="1090"/>
      <c r="N68" s="1091"/>
      <c r="O68" s="1091"/>
      <c r="P68" s="1091"/>
      <c r="Q68" s="1091"/>
      <c r="R68" s="1090"/>
      <c r="S68" s="1091"/>
      <c r="T68" s="1091"/>
      <c r="U68" s="1091"/>
      <c r="V68" s="1091"/>
      <c r="W68" s="1090"/>
      <c r="X68" s="1091"/>
      <c r="Y68" s="1091"/>
      <c r="Z68" s="1091"/>
      <c r="AA68" s="1091"/>
      <c r="AB68" s="1090"/>
      <c r="AC68" s="1091"/>
      <c r="AD68" s="1091"/>
      <c r="AE68" s="1091"/>
      <c r="AF68" s="1091"/>
      <c r="AG68" s="1090"/>
      <c r="AH68" s="1091"/>
      <c r="AI68" s="1091"/>
      <c r="AJ68" s="1091"/>
      <c r="AK68" s="1091"/>
      <c r="AL68" s="1090"/>
      <c r="AM68" s="1091"/>
      <c r="AN68" s="1091"/>
      <c r="AO68" s="1091"/>
      <c r="AP68" s="1091"/>
      <c r="AQ68" s="1090"/>
      <c r="AR68" s="1091"/>
      <c r="AS68" s="1091"/>
      <c r="AT68" s="1091"/>
      <c r="AU68" s="1091"/>
      <c r="AV68" s="1090"/>
      <c r="AW68" s="1091"/>
      <c r="AX68" s="1091"/>
      <c r="AY68" s="1091"/>
      <c r="AZ68" s="1091"/>
      <c r="BA68" s="1090"/>
      <c r="BB68" s="1091"/>
      <c r="BC68" s="1091"/>
      <c r="BD68" s="1091"/>
      <c r="BE68" s="1091"/>
      <c r="BF68" s="1090"/>
      <c r="BG68" s="1092"/>
      <c r="BH68" s="1092"/>
      <c r="BI68" s="1092"/>
      <c r="BJ68" s="1092"/>
      <c r="BK68" s="1090"/>
      <c r="BL68" s="1091"/>
      <c r="BM68" s="1091"/>
      <c r="BN68" s="1091"/>
      <c r="BO68" s="1091"/>
      <c r="BP68" s="1090"/>
      <c r="BQ68" s="1091"/>
      <c r="BR68" s="1091"/>
      <c r="BS68" s="1091"/>
      <c r="BT68" s="1091"/>
      <c r="BU68" s="1090"/>
      <c r="BV68" s="1091"/>
      <c r="BW68" s="1091"/>
      <c r="BX68" s="1091"/>
      <c r="BY68" s="1091"/>
      <c r="BZ68" s="1093"/>
      <c r="CA68" s="1094"/>
      <c r="CB68" s="1094"/>
      <c r="CC68" s="1094"/>
      <c r="CD68" s="1094"/>
      <c r="CE68" s="1093"/>
      <c r="CF68" s="1094"/>
      <c r="CG68" s="1094"/>
      <c r="CH68" s="1094"/>
      <c r="CI68" s="1094"/>
      <c r="CJ68" s="1093"/>
      <c r="CK68" s="1094"/>
      <c r="CL68" s="1094"/>
      <c r="CM68" s="1094"/>
      <c r="CN68" s="1094"/>
      <c r="CO68" s="1093"/>
      <c r="CP68" s="1091">
        <f t="shared" ref="CP68:DN68" si="427">(CP66-CK66)</f>
        <v>1.8779415648007263E-4</v>
      </c>
      <c r="CQ68" s="1091">
        <f t="shared" si="427"/>
        <v>8.4208638213581315E-4</v>
      </c>
      <c r="CR68" s="1091">
        <f t="shared" si="427"/>
        <v>7.6750114377778164E-4</v>
      </c>
      <c r="CS68" s="1091">
        <f t="shared" si="427"/>
        <v>6.7755607362971447E-4</v>
      </c>
      <c r="CT68" s="1090">
        <f t="shared" si="427"/>
        <v>6.1873443900584482E-4</v>
      </c>
      <c r="CU68" s="1091">
        <f t="shared" si="427"/>
        <v>8.4636390710960893E-4</v>
      </c>
      <c r="CV68" s="1091">
        <f t="shared" si="427"/>
        <v>6.4429726766610483E-4</v>
      </c>
      <c r="CW68" s="1091">
        <f t="shared" si="427"/>
        <v>9.8697133316697286E-4</v>
      </c>
      <c r="CX68" s="1091">
        <f t="shared" si="427"/>
        <v>1.2773105563470884E-3</v>
      </c>
      <c r="CY68" s="1090">
        <f t="shared" si="427"/>
        <v>9.3873576607244463E-4</v>
      </c>
      <c r="CZ68" s="1091">
        <f t="shared" si="427"/>
        <v>1.2623015571679268E-3</v>
      </c>
      <c r="DA68" s="1091">
        <f t="shared" si="427"/>
        <v>1.0399767112307823E-3</v>
      </c>
      <c r="DB68" s="1091">
        <f t="shared" si="427"/>
        <v>1.8109803760665861E-3</v>
      </c>
      <c r="DC68" s="1091">
        <f t="shared" si="427"/>
        <v>2.0527894398127498E-3</v>
      </c>
      <c r="DD68" s="1090">
        <f t="shared" si="427"/>
        <v>1.5415120210695108E-3</v>
      </c>
      <c r="DE68" s="1091">
        <f t="shared" si="427"/>
        <v>2.0477528642880525E-3</v>
      </c>
      <c r="DF68" s="1091">
        <f t="shared" si="427"/>
        <v>2.2423927165576979E-3</v>
      </c>
      <c r="DG68" s="1091">
        <f t="shared" si="427"/>
        <v>8.9260811361071071E-4</v>
      </c>
      <c r="DH68" s="1091">
        <f t="shared" si="427"/>
        <v>4.588756621454991E-4</v>
      </c>
      <c r="DI68" s="1090">
        <f t="shared" si="427"/>
        <v>1.4104073391504896E-3</v>
      </c>
      <c r="DJ68" s="1091">
        <f t="shared" si="427"/>
        <v>6.3993158904829435E-4</v>
      </c>
      <c r="DK68" s="1091">
        <f t="shared" si="427"/>
        <v>5.8132835482577194E-4</v>
      </c>
      <c r="DL68" s="1091">
        <f t="shared" si="427"/>
        <v>9.7947363304439622E-4</v>
      </c>
      <c r="DM68" s="1091">
        <f t="shared" si="427"/>
        <v>9.9999999999999395E-5</v>
      </c>
      <c r="DN68" s="1090">
        <f t="shared" si="427"/>
        <v>5.7518339422961591E-4</v>
      </c>
      <c r="DO68" s="1091">
        <f t="shared" ref="DO68" si="428">(DO66-DJ66)</f>
        <v>0</v>
      </c>
      <c r="DP68" s="1091">
        <f t="shared" ref="DP68" si="429">(DP66-DK66)</f>
        <v>0</v>
      </c>
      <c r="DQ68" s="1091">
        <f t="shared" ref="DQ68" si="430">(DQ66-DL66)</f>
        <v>0</v>
      </c>
      <c r="DR68" s="1091">
        <f t="shared" ref="DR68:DS68" si="431">(DR66-DM66)</f>
        <v>0</v>
      </c>
      <c r="DS68" s="1090">
        <f t="shared" si="431"/>
        <v>0</v>
      </c>
      <c r="DT68" s="1091">
        <f t="shared" ref="DT68" si="432">(DT66-DO66)</f>
        <v>0</v>
      </c>
      <c r="DU68" s="1091">
        <f t="shared" ref="DU68" si="433">(DU66-DP66)</f>
        <v>0</v>
      </c>
      <c r="DV68" s="1091">
        <f t="shared" ref="DV68" si="434">(DV66-DQ66)</f>
        <v>0</v>
      </c>
      <c r="DW68" s="1091">
        <f t="shared" ref="DW68" si="435">(DW66-DR66)</f>
        <v>0</v>
      </c>
      <c r="DX68" s="1090">
        <f t="shared" ref="DX68" si="436">(DX66-DS66)</f>
        <v>0</v>
      </c>
      <c r="DY68" s="1091">
        <f t="shared" ref="DY68" si="437">(DY66-DT66)</f>
        <v>0</v>
      </c>
      <c r="DZ68" s="1091">
        <f t="shared" ref="DZ68" si="438">(DZ66-DU66)</f>
        <v>0</v>
      </c>
      <c r="EA68" s="1091">
        <f t="shared" ref="EA68" si="439">(EA66-DV66)</f>
        <v>0</v>
      </c>
      <c r="EB68" s="1091">
        <f t="shared" ref="EB68" si="440">(EB66-DW66)</f>
        <v>0</v>
      </c>
      <c r="EC68" s="1090">
        <f t="shared" ref="EC68" si="441">(EC66-DX66)</f>
        <v>0</v>
      </c>
      <c r="ED68" s="1089"/>
    </row>
    <row r="69" spans="1:135" ht="12" hidden="1" customHeight="1" outlineLevel="1">
      <c r="A69" s="1190"/>
      <c r="B69" s="89"/>
      <c r="C69" s="775" t="s">
        <v>643</v>
      </c>
      <c r="D69" s="589"/>
      <c r="E69" s="764"/>
      <c r="F69" s="764"/>
      <c r="G69" s="764"/>
      <c r="H69" s="764"/>
      <c r="I69" s="591"/>
      <c r="J69" s="591"/>
      <c r="K69" s="591"/>
      <c r="L69" s="591"/>
      <c r="M69" s="764"/>
      <c r="N69" s="765"/>
      <c r="O69" s="765"/>
      <c r="P69" s="765"/>
      <c r="Q69" s="765"/>
      <c r="R69" s="764"/>
      <c r="S69" s="765"/>
      <c r="T69" s="765"/>
      <c r="U69" s="765"/>
      <c r="V69" s="765"/>
      <c r="W69" s="764"/>
      <c r="X69" s="765"/>
      <c r="Y69" s="765"/>
      <c r="Z69" s="765"/>
      <c r="AA69" s="765"/>
      <c r="AB69" s="764"/>
      <c r="AC69" s="765"/>
      <c r="AD69" s="765"/>
      <c r="AE69" s="765"/>
      <c r="AF69" s="765"/>
      <c r="AG69" s="764"/>
      <c r="AH69" s="765"/>
      <c r="AI69" s="765"/>
      <c r="AJ69" s="765"/>
      <c r="AK69" s="765"/>
      <c r="AL69" s="764"/>
      <c r="AM69" s="765"/>
      <c r="AN69" s="765"/>
      <c r="AO69" s="765"/>
      <c r="AP69" s="765"/>
      <c r="AQ69" s="764"/>
      <c r="AR69" s="765"/>
      <c r="AS69" s="765"/>
      <c r="AT69" s="765"/>
      <c r="AU69" s="765"/>
      <c r="AV69" s="764"/>
      <c r="AW69" s="765"/>
      <c r="AX69" s="765"/>
      <c r="AY69" s="765"/>
      <c r="AZ69" s="765"/>
      <c r="BA69" s="764"/>
      <c r="BB69" s="765"/>
      <c r="BC69" s="765"/>
      <c r="BD69" s="765"/>
      <c r="BE69" s="765"/>
      <c r="BF69" s="764"/>
      <c r="BG69" s="776"/>
      <c r="BH69" s="776"/>
      <c r="BI69" s="776"/>
      <c r="BJ69" s="776"/>
      <c r="BK69" s="764"/>
      <c r="BL69" s="765"/>
      <c r="BM69" s="765"/>
      <c r="BN69" s="765"/>
      <c r="BO69" s="765"/>
      <c r="BP69" s="764"/>
      <c r="BQ69" s="765"/>
      <c r="BR69" s="765"/>
      <c r="BS69" s="765"/>
      <c r="BT69" s="765"/>
      <c r="BU69" s="764"/>
      <c r="BV69" s="765"/>
      <c r="BW69" s="765"/>
      <c r="BX69" s="765"/>
      <c r="BY69" s="765"/>
      <c r="BZ69" s="777"/>
      <c r="CA69" s="1331">
        <f>+CA70*CA48</f>
        <v>22.201660000000004</v>
      </c>
      <c r="CB69" s="1331">
        <f>+CB70*CB48</f>
        <v>27.219380000000001</v>
      </c>
      <c r="CC69" s="1331">
        <f>+CC70*CC48</f>
        <v>30.267140000000001</v>
      </c>
      <c r="CD69" s="1331">
        <f>+CD70*CD48</f>
        <v>43.824639999999995</v>
      </c>
      <c r="CE69" s="1329">
        <f>SUM(CA69:CD69)</f>
        <v>123.51282</v>
      </c>
      <c r="CF69" s="1337">
        <f>+CF70*CF48</f>
        <v>36.525439999999996</v>
      </c>
      <c r="CG69" s="1337">
        <f>+CG70*CG48</f>
        <v>42.957439999999998</v>
      </c>
      <c r="CH69" s="1337">
        <f>+CH70*CH48</f>
        <v>47.855040000000002</v>
      </c>
      <c r="CI69" s="1337">
        <f>+CI70*CI48</f>
        <v>67.296639999999996</v>
      </c>
      <c r="CJ69" s="1338">
        <f>SUM(CF69:CI69)</f>
        <v>194.63455999999999</v>
      </c>
      <c r="CK69" s="1337">
        <f>+CK70*CK48</f>
        <v>54.009300000000003</v>
      </c>
      <c r="CL69" s="1337">
        <f>+CL70*CL48</f>
        <v>62.679599999999994</v>
      </c>
      <c r="CM69" s="1337">
        <f>+CM70*CM48</f>
        <v>67.492499999999993</v>
      </c>
      <c r="CN69" s="1337">
        <f>+CN70*CN48</f>
        <v>96.598200000000006</v>
      </c>
      <c r="CO69" s="1338">
        <f>SUM(CK69:CN69)</f>
        <v>280.77960000000002</v>
      </c>
      <c r="CP69" s="1337">
        <f>+CP70*CP48</f>
        <v>79.069759999999988</v>
      </c>
      <c r="CQ69" s="1337">
        <f>+CQ70*CQ48</f>
        <v>145.01396</v>
      </c>
      <c r="CR69" s="1337">
        <f>+CR70*CR48</f>
        <v>146.19667999999999</v>
      </c>
      <c r="CS69" s="1337">
        <f>+CS70*CS48</f>
        <v>195.52511999999996</v>
      </c>
      <c r="CT69" s="1338">
        <f>SUM(CP69:CS69)</f>
        <v>565.80551999999989</v>
      </c>
      <c r="CU69" s="1337">
        <f>+CU70*CU48</f>
        <v>173.67115999999996</v>
      </c>
      <c r="CV69" s="1337">
        <f>+CV70*CV48</f>
        <v>204.15407999999996</v>
      </c>
      <c r="CW69" s="1337">
        <f>+CW70*CW48</f>
        <v>204.75831999999997</v>
      </c>
      <c r="CX69" s="1337">
        <f>+CX70*CX48</f>
        <v>267.49215999999996</v>
      </c>
      <c r="CY69" s="1338">
        <f>SUM(CU69:CX69)</f>
        <v>850.07571999999982</v>
      </c>
      <c r="CZ69" s="1337">
        <f>+CZ70*CZ48</f>
        <v>210.42118999999994</v>
      </c>
      <c r="DA69" s="1337">
        <f>+DA70*DA48</f>
        <v>227.51189999999994</v>
      </c>
      <c r="DB69" s="1337">
        <f>+DB70*DB48</f>
        <v>242.52525499999993</v>
      </c>
      <c r="DC69" s="1337">
        <f>+DC70*DC48</f>
        <v>327.0073799999999</v>
      </c>
      <c r="DD69" s="1338">
        <f>SUM(CZ69:DC69)</f>
        <v>1007.4657249999997</v>
      </c>
      <c r="DE69" s="1337">
        <f>+DE70*DE48</f>
        <v>264.60999999999996</v>
      </c>
      <c r="DF69" s="1337">
        <f>+DF70*DF48</f>
        <v>293.75</v>
      </c>
      <c r="DG69" s="1337">
        <f>+DG70*DG48</f>
        <v>288.58</v>
      </c>
      <c r="DH69" s="1337">
        <f>+DH70*DH48</f>
        <v>380.46499999999997</v>
      </c>
      <c r="DI69" s="1338">
        <f>SUM(DE69:DH69)</f>
        <v>1227.4049999999997</v>
      </c>
      <c r="DJ69" s="1337">
        <f>+DJ70*DJ48</f>
        <v>310.5</v>
      </c>
      <c r="DK69" s="1337">
        <f>+DK70*DK48</f>
        <v>340.85999999999996</v>
      </c>
      <c r="DL69" s="1337">
        <f>+DL70*DL48</f>
        <v>356.96</v>
      </c>
      <c r="DM69" s="1337">
        <f>+DM66*DM63</f>
        <v>438.06783744211066</v>
      </c>
      <c r="DN69" s="1338">
        <f>SUM(DJ69:DM69)</f>
        <v>1446.3878374421106</v>
      </c>
      <c r="DO69" s="1337">
        <f t="shared" ref="DO69:EB69" si="442">+DO66*DO63</f>
        <v>357.36784273266437</v>
      </c>
      <c r="DP69" s="1337">
        <f t="shared" si="442"/>
        <v>378.07677827603374</v>
      </c>
      <c r="DQ69" s="1337">
        <f t="shared" si="442"/>
        <v>392.29371061316732</v>
      </c>
      <c r="DR69" s="1337">
        <f t="shared" si="442"/>
        <v>483.93262705610414</v>
      </c>
      <c r="DS69" s="1338">
        <f>SUM(DO69:DR69)</f>
        <v>1611.6709586779696</v>
      </c>
      <c r="DT69" s="1337">
        <f t="shared" si="442"/>
        <v>395.33337757294959</v>
      </c>
      <c r="DU69" s="1337">
        <f t="shared" si="442"/>
        <v>416.78907057963147</v>
      </c>
      <c r="DV69" s="1337">
        <f t="shared" si="442"/>
        <v>432.48510746290503</v>
      </c>
      <c r="DW69" s="1337">
        <f t="shared" si="442"/>
        <v>532.03046550209979</v>
      </c>
      <c r="DX69" s="1338">
        <f>SUM(DT69:DW69)</f>
        <v>1776.6380211175858</v>
      </c>
      <c r="DY69" s="1337">
        <f t="shared" si="442"/>
        <v>437.31036789810605</v>
      </c>
      <c r="DZ69" s="1337">
        <f t="shared" si="442"/>
        <v>459.57352393200676</v>
      </c>
      <c r="EA69" s="1337">
        <f t="shared" si="442"/>
        <v>476.90455687483467</v>
      </c>
      <c r="EB69" s="1337">
        <f t="shared" si="442"/>
        <v>585.16885356758564</v>
      </c>
      <c r="EC69" s="1338">
        <f>SUM(DY69:EB69)</f>
        <v>1958.9573022725331</v>
      </c>
      <c r="ED69" s="588"/>
    </row>
    <row r="70" spans="1:135" ht="12" hidden="1" customHeight="1" outlineLevel="1">
      <c r="A70" s="1189"/>
      <c r="B70" s="567"/>
      <c r="C70" s="763" t="s">
        <v>339</v>
      </c>
      <c r="D70" s="589"/>
      <c r="E70" s="590"/>
      <c r="F70" s="590"/>
      <c r="G70" s="590"/>
      <c r="H70" s="590"/>
      <c r="I70" s="591"/>
      <c r="J70" s="591"/>
      <c r="K70" s="591"/>
      <c r="L70" s="591"/>
      <c r="M70" s="590"/>
      <c r="N70" s="419"/>
      <c r="O70" s="419"/>
      <c r="P70" s="419"/>
      <c r="Q70" s="419"/>
      <c r="R70" s="590"/>
      <c r="S70" s="419"/>
      <c r="T70" s="419"/>
      <c r="U70" s="419"/>
      <c r="V70" s="419"/>
      <c r="W70" s="590"/>
      <c r="X70" s="419"/>
      <c r="Y70" s="419"/>
      <c r="Z70" s="419"/>
      <c r="AA70" s="419"/>
      <c r="AB70" s="590"/>
      <c r="AC70" s="419"/>
      <c r="AD70" s="419"/>
      <c r="AE70" s="419"/>
      <c r="AF70" s="419"/>
      <c r="AG70" s="590"/>
      <c r="AH70" s="419"/>
      <c r="AI70" s="419"/>
      <c r="AJ70" s="419"/>
      <c r="AK70" s="419"/>
      <c r="AL70" s="590"/>
      <c r="AM70" s="419"/>
      <c r="AN70" s="419"/>
      <c r="AO70" s="419"/>
      <c r="AP70" s="419"/>
      <c r="AQ70" s="590"/>
      <c r="AR70" s="419"/>
      <c r="AS70" s="419"/>
      <c r="AT70" s="419"/>
      <c r="AU70" s="419"/>
      <c r="AV70" s="590"/>
      <c r="AW70" s="419"/>
      <c r="AX70" s="419"/>
      <c r="AY70" s="419"/>
      <c r="AZ70" s="419"/>
      <c r="BA70" s="590"/>
      <c r="BB70" s="419"/>
      <c r="BC70" s="419"/>
      <c r="BD70" s="419"/>
      <c r="BE70" s="419"/>
      <c r="BF70" s="590"/>
      <c r="BG70" s="628"/>
      <c r="BH70" s="628"/>
      <c r="BI70" s="628"/>
      <c r="BJ70" s="628"/>
      <c r="BK70" s="590"/>
      <c r="BL70" s="419"/>
      <c r="BM70" s="419"/>
      <c r="BN70" s="419"/>
      <c r="BO70" s="419"/>
      <c r="BP70" s="590"/>
      <c r="BQ70" s="419"/>
      <c r="BR70" s="419"/>
      <c r="BS70" s="419"/>
      <c r="BT70" s="419"/>
      <c r="BU70" s="590"/>
      <c r="BV70" s="419"/>
      <c r="BW70" s="419"/>
      <c r="BX70" s="419"/>
      <c r="BY70" s="419"/>
      <c r="BZ70" s="286"/>
      <c r="CA70" s="1228">
        <v>0.34</v>
      </c>
      <c r="CB70" s="1228">
        <v>0.34</v>
      </c>
      <c r="CC70" s="1228">
        <v>0.34</v>
      </c>
      <c r="CD70" s="1228">
        <v>0.34</v>
      </c>
      <c r="CE70" s="286">
        <f>CE69/CE48</f>
        <v>0.33999999999999997</v>
      </c>
      <c r="CF70" s="1228">
        <v>0.32</v>
      </c>
      <c r="CG70" s="1228">
        <v>0.32</v>
      </c>
      <c r="CH70" s="1228">
        <v>0.32</v>
      </c>
      <c r="CI70" s="1228">
        <v>0.32</v>
      </c>
      <c r="CJ70" s="1246">
        <f>CJ69/CJ48</f>
        <v>0.32</v>
      </c>
      <c r="CK70" s="1228">
        <v>0.3</v>
      </c>
      <c r="CL70" s="1228">
        <v>0.3</v>
      </c>
      <c r="CM70" s="1228">
        <v>0.3</v>
      </c>
      <c r="CN70" s="1228">
        <v>0.3</v>
      </c>
      <c r="CO70" s="1246">
        <f>CO69/CO48</f>
        <v>0.3</v>
      </c>
      <c r="CP70" s="1228">
        <f>CK70-2%</f>
        <v>0.27999999999999997</v>
      </c>
      <c r="CQ70" s="1228">
        <f t="shared" ref="CQ70:CS70" si="443">CL70-2%</f>
        <v>0.27999999999999997</v>
      </c>
      <c r="CR70" s="1228">
        <f t="shared" si="443"/>
        <v>0.27999999999999997</v>
      </c>
      <c r="CS70" s="1228">
        <f t="shared" si="443"/>
        <v>0.27999999999999997</v>
      </c>
      <c r="CT70" s="1246">
        <f>CT69/CT48</f>
        <v>0.27999999999999997</v>
      </c>
      <c r="CU70" s="1228">
        <f>CP70-2%</f>
        <v>0.25999999999999995</v>
      </c>
      <c r="CV70" s="1228">
        <f t="shared" ref="CV70" si="444">CQ70-2%</f>
        <v>0.25999999999999995</v>
      </c>
      <c r="CW70" s="1228">
        <f t="shared" ref="CW70" si="445">CR70-2%</f>
        <v>0.25999999999999995</v>
      </c>
      <c r="CX70" s="1228">
        <f t="shared" ref="CX70" si="446">CS70-2%</f>
        <v>0.25999999999999995</v>
      </c>
      <c r="CY70" s="1246">
        <f>CY69/CY48</f>
        <v>0.25999999999999995</v>
      </c>
      <c r="CZ70" s="1228">
        <f>CU70-1.5%</f>
        <v>0.24499999999999994</v>
      </c>
      <c r="DA70" s="1228">
        <f t="shared" ref="DA70:DC70" si="447">CV70-1.5%</f>
        <v>0.24499999999999994</v>
      </c>
      <c r="DB70" s="1228">
        <f t="shared" si="447"/>
        <v>0.24499999999999994</v>
      </c>
      <c r="DC70" s="1228">
        <f t="shared" si="447"/>
        <v>0.24499999999999994</v>
      </c>
      <c r="DD70" s="1246">
        <f>DD69/DD48</f>
        <v>0.24499999999999994</v>
      </c>
      <c r="DE70" s="1228">
        <v>0.23499999999999999</v>
      </c>
      <c r="DF70" s="1228">
        <v>0.23499999999999999</v>
      </c>
      <c r="DG70" s="1228">
        <v>0.23499999999999999</v>
      </c>
      <c r="DH70" s="1228">
        <v>0.23499999999999999</v>
      </c>
      <c r="DI70" s="1246">
        <f>DI69/DI48</f>
        <v>0.23499999999999996</v>
      </c>
      <c r="DJ70" s="1228">
        <f>+DE70-0.5%</f>
        <v>0.22999999999999998</v>
      </c>
      <c r="DK70" s="1228">
        <f>+DF70-0.5%</f>
        <v>0.22999999999999998</v>
      </c>
      <c r="DL70" s="1228">
        <f>+DG70-0.5%</f>
        <v>0.22999999999999998</v>
      </c>
      <c r="DM70" s="1228">
        <f>+DH70-0.5%</f>
        <v>0.22999999999999998</v>
      </c>
      <c r="DN70" s="1246">
        <f>DN69/DN48</f>
        <v>0.22494875976808157</v>
      </c>
      <c r="DO70" s="1232">
        <f>DO69/DO48</f>
        <v>0.20593396314381837</v>
      </c>
      <c r="DP70" s="1232">
        <f t="shared" ref="DP70:DR70" si="448">DP69/DP48</f>
        <v>0.20513308391935023</v>
      </c>
      <c r="DQ70" s="1232">
        <f t="shared" si="448"/>
        <v>0.20523389648799914</v>
      </c>
      <c r="DR70" s="1232">
        <f t="shared" si="448"/>
        <v>0.19044202403152999</v>
      </c>
      <c r="DS70" s="1246">
        <f>DS69/DS48</f>
        <v>0.20068170029054061</v>
      </c>
      <c r="DT70" s="1232">
        <f>DT69/DT48</f>
        <v>0.18828000809586512</v>
      </c>
      <c r="DU70" s="1232">
        <f t="shared" ref="DU70" si="449">DU69/DU48</f>
        <v>0.18686161886390951</v>
      </c>
      <c r="DV70" s="1232">
        <f t="shared" ref="DV70" si="450">DV69/DV48</f>
        <v>0.18701649155295769</v>
      </c>
      <c r="DW70" s="1232">
        <f t="shared" ref="DW70" si="451">DW69/DW48</f>
        <v>0.17300915992517776</v>
      </c>
      <c r="DX70" s="1246">
        <f>DX69/DX48</f>
        <v>0.18282142587904499</v>
      </c>
      <c r="DY70" s="1232">
        <f>DY69/DY48</f>
        <v>0.17510826375368022</v>
      </c>
      <c r="DZ70" s="1232">
        <f t="shared" ref="DZ70" si="452">DZ69/DZ48</f>
        <v>0.1732130113075451</v>
      </c>
      <c r="EA70" s="1232">
        <f t="shared" ref="EA70" si="453">EA69/EA48</f>
        <v>0.17339853413616726</v>
      </c>
      <c r="EB70" s="1232">
        <f t="shared" ref="EB70" si="454">EB69/EB48</f>
        <v>0.15997054542705219</v>
      </c>
      <c r="EC70" s="1246">
        <f>EC69/EC48</f>
        <v>0.16947587360574876</v>
      </c>
      <c r="ED70" s="578"/>
    </row>
    <row r="71" spans="1:135" ht="12" hidden="1" customHeight="1" outlineLevel="1">
      <c r="A71" s="1196"/>
      <c r="B71" s="729"/>
      <c r="C71" s="763" t="s">
        <v>140</v>
      </c>
      <c r="D71" s="589"/>
      <c r="E71" s="590"/>
      <c r="F71" s="590"/>
      <c r="G71" s="590"/>
      <c r="H71" s="590"/>
      <c r="I71" s="591"/>
      <c r="J71" s="591"/>
      <c r="K71" s="591"/>
      <c r="L71" s="591"/>
      <c r="M71" s="590"/>
      <c r="N71" s="419"/>
      <c r="O71" s="419"/>
      <c r="P71" s="419"/>
      <c r="Q71" s="419"/>
      <c r="R71" s="590"/>
      <c r="S71" s="419"/>
      <c r="T71" s="419"/>
      <c r="U71" s="419"/>
      <c r="V71" s="419"/>
      <c r="W71" s="590"/>
      <c r="X71" s="419"/>
      <c r="Y71" s="419"/>
      <c r="Z71" s="419"/>
      <c r="AA71" s="419"/>
      <c r="AB71" s="590"/>
      <c r="AC71" s="419"/>
      <c r="AD71" s="419"/>
      <c r="AE71" s="419"/>
      <c r="AF71" s="419"/>
      <c r="AG71" s="590"/>
      <c r="AH71" s="419"/>
      <c r="AI71" s="419"/>
      <c r="AJ71" s="419"/>
      <c r="AK71" s="419"/>
      <c r="AL71" s="590"/>
      <c r="AM71" s="419"/>
      <c r="AN71" s="419"/>
      <c r="AO71" s="419"/>
      <c r="AP71" s="419"/>
      <c r="AQ71" s="590"/>
      <c r="AR71" s="419"/>
      <c r="AS71" s="419"/>
      <c r="AT71" s="419"/>
      <c r="AU71" s="419"/>
      <c r="AV71" s="590"/>
      <c r="AW71" s="419"/>
      <c r="AX71" s="419"/>
      <c r="AY71" s="419"/>
      <c r="AZ71" s="419"/>
      <c r="BA71" s="590"/>
      <c r="BB71" s="419"/>
      <c r="BC71" s="419"/>
      <c r="BD71" s="419"/>
      <c r="BE71" s="419"/>
      <c r="BF71" s="590"/>
      <c r="BG71" s="628"/>
      <c r="BH71" s="628"/>
      <c r="BI71" s="628"/>
      <c r="BJ71" s="628"/>
      <c r="BK71" s="590"/>
      <c r="BL71" s="419"/>
      <c r="BM71" s="419"/>
      <c r="BN71" s="419"/>
      <c r="BO71" s="419"/>
      <c r="BP71" s="590"/>
      <c r="BQ71" s="419"/>
      <c r="BR71" s="419"/>
      <c r="BS71" s="419"/>
      <c r="BT71" s="419"/>
      <c r="BU71" s="590"/>
      <c r="BV71" s="419"/>
      <c r="BW71" s="419"/>
      <c r="BX71" s="419"/>
      <c r="BY71" s="419"/>
      <c r="BZ71" s="286"/>
      <c r="CA71" s="419"/>
      <c r="CB71" s="419"/>
      <c r="CC71" s="419"/>
      <c r="CD71" s="419"/>
      <c r="CE71" s="590"/>
      <c r="CF71" s="419">
        <f t="shared" ref="CF71" si="455">CF69/CA69-1</f>
        <v>0.64516707309273214</v>
      </c>
      <c r="CG71" s="419">
        <f t="shared" ref="CG71" si="456">CG69/CB69-1</f>
        <v>0.57819318441492773</v>
      </c>
      <c r="CH71" s="419">
        <f t="shared" ref="CH71" si="457">CH69/CC69-1</f>
        <v>0.5810889301070401</v>
      </c>
      <c r="CI71" s="419">
        <f t="shared" ref="CI71" si="458">CI69/CD69-1</f>
        <v>0.53558911151352318</v>
      </c>
      <c r="CJ71" s="590">
        <f t="shared" ref="CJ71" si="459">CJ69/CE69-1</f>
        <v>0.57582476053902742</v>
      </c>
      <c r="CK71" s="419">
        <f t="shared" ref="CK71" si="460">CK69/CF69-1</f>
        <v>0.47867623223703837</v>
      </c>
      <c r="CL71" s="419">
        <f t="shared" ref="CL71" si="461">CL69/CG69-1</f>
        <v>0.45910929515352872</v>
      </c>
      <c r="CM71" s="419">
        <f t="shared" ref="CM71" si="462">CM69/CH69-1</f>
        <v>0.41035301610864794</v>
      </c>
      <c r="CN71" s="419">
        <f t="shared" ref="CN71" si="463">CN69/CI69-1</f>
        <v>0.43540895949634351</v>
      </c>
      <c r="CO71" s="590">
        <f t="shared" ref="CO71" si="464">CO69/CJ69-1</f>
        <v>0.44259888891263732</v>
      </c>
      <c r="CP71" s="419">
        <f t="shared" ref="CP71:DN71" si="465">CP69/CK69-1</f>
        <v>0.46400268101974995</v>
      </c>
      <c r="CQ71" s="419">
        <f t="shared" si="465"/>
        <v>1.3135750706769032</v>
      </c>
      <c r="CR71" s="419">
        <f t="shared" si="465"/>
        <v>1.1661174204541247</v>
      </c>
      <c r="CS71" s="419">
        <f t="shared" si="465"/>
        <v>1.0241072815021393</v>
      </c>
      <c r="CT71" s="590">
        <f t="shared" si="465"/>
        <v>1.0151233209250239</v>
      </c>
      <c r="CU71" s="419">
        <f t="shared" si="465"/>
        <v>1.1964295831933724</v>
      </c>
      <c r="CV71" s="419">
        <f t="shared" si="465"/>
        <v>0.40782363297988677</v>
      </c>
      <c r="CW71" s="419">
        <f t="shared" si="465"/>
        <v>0.40056750946738306</v>
      </c>
      <c r="CX71" s="419">
        <f t="shared" si="465"/>
        <v>0.36807055789046439</v>
      </c>
      <c r="CY71" s="590">
        <f t="shared" si="465"/>
        <v>0.50241680215491713</v>
      </c>
      <c r="CZ71" s="419">
        <f t="shared" si="465"/>
        <v>0.21160698183855042</v>
      </c>
      <c r="DA71" s="419">
        <f t="shared" si="465"/>
        <v>0.11441270240594736</v>
      </c>
      <c r="DB71" s="419">
        <f t="shared" si="465"/>
        <v>0.1844464000290682</v>
      </c>
      <c r="DC71" s="419">
        <f t="shared" si="465"/>
        <v>0.22249332466416938</v>
      </c>
      <c r="DD71" s="590">
        <f t="shared" si="465"/>
        <v>0.18514821832577444</v>
      </c>
      <c r="DE71" s="419">
        <f t="shared" si="465"/>
        <v>0.25752544218574203</v>
      </c>
      <c r="DF71" s="419">
        <f t="shared" si="465"/>
        <v>0.29114125458932083</v>
      </c>
      <c r="DG71" s="419">
        <f t="shared" si="465"/>
        <v>0.18989669756248717</v>
      </c>
      <c r="DH71" s="419">
        <f t="shared" si="465"/>
        <v>0.16347527080275714</v>
      </c>
      <c r="DI71" s="590">
        <f t="shared" si="465"/>
        <v>0.21830943678009507</v>
      </c>
      <c r="DJ71" s="419">
        <f t="shared" si="465"/>
        <v>0.17342504062582687</v>
      </c>
      <c r="DK71" s="419">
        <f t="shared" si="465"/>
        <v>0.16037446808510625</v>
      </c>
      <c r="DL71" s="419">
        <f t="shared" si="465"/>
        <v>0.23695335782105476</v>
      </c>
      <c r="DM71" s="419">
        <f t="shared" si="465"/>
        <v>0.15140114712814756</v>
      </c>
      <c r="DN71" s="590">
        <f t="shared" si="465"/>
        <v>0.17841123137196835</v>
      </c>
      <c r="DO71" s="419">
        <f t="shared" ref="DO71" si="466">DO69/DJ69-1</f>
        <v>0.15094313279441018</v>
      </c>
      <c r="DP71" s="419">
        <f t="shared" ref="DP71" si="467">DP69/DK69-1</f>
        <v>0.10918493890756853</v>
      </c>
      <c r="DQ71" s="419">
        <f t="shared" ref="DQ71" si="468">DQ69/DL69-1</f>
        <v>9.8985070072745707E-2</v>
      </c>
      <c r="DR71" s="419">
        <f t="shared" ref="DR71:DS71" si="469">DR69/DM69-1</f>
        <v>0.10469791592507494</v>
      </c>
      <c r="DS71" s="590">
        <f t="shared" si="469"/>
        <v>0.11427303034306258</v>
      </c>
      <c r="DT71" s="419">
        <f t="shared" ref="DT71" si="470">DT69/DO69-1</f>
        <v>0.10623657279842624</v>
      </c>
      <c r="DU71" s="419">
        <f t="shared" ref="DU71" si="471">DU69/DP69-1</f>
        <v>0.10239267399632235</v>
      </c>
      <c r="DV71" s="419">
        <f t="shared" ref="DV71" si="472">DV69/DQ69-1</f>
        <v>0.10245230999731625</v>
      </c>
      <c r="DW71" s="419">
        <f t="shared" ref="DW71" si="473">DW69/DR69-1</f>
        <v>9.93895343213127E-2</v>
      </c>
      <c r="DX71" s="590">
        <f t="shared" ref="DX71" si="474">DX69/DS69-1</f>
        <v>0.10235778063218093</v>
      </c>
      <c r="DY71" s="419">
        <f t="shared" ref="DY71" si="475">DY69/DT69-1</f>
        <v>0.10618124526409511</v>
      </c>
      <c r="DZ71" s="419">
        <f t="shared" ref="DZ71" si="476">DZ69/DU69-1</f>
        <v>0.10265253187391554</v>
      </c>
      <c r="EA71" s="419">
        <f t="shared" ref="EA71" si="477">EA69/DV69-1</f>
        <v>0.10270746586514434</v>
      </c>
      <c r="EB71" s="419">
        <f t="shared" ref="EB71" si="478">EB69/DW69-1</f>
        <v>9.9878468454502656E-2</v>
      </c>
      <c r="EC71" s="590">
        <f t="shared" ref="EC71" si="479">EC69/DX69-1</f>
        <v>0.10262038692623499</v>
      </c>
      <c r="ED71" s="396"/>
    </row>
    <row r="72" spans="1:135" ht="12" hidden="1" customHeight="1" outlineLevel="1">
      <c r="A72" s="1196"/>
      <c r="B72" s="729"/>
      <c r="C72" s="763" t="s">
        <v>338</v>
      </c>
      <c r="D72" s="589"/>
      <c r="E72" s="590"/>
      <c r="F72" s="590"/>
      <c r="G72" s="590"/>
      <c r="H72" s="590"/>
      <c r="I72" s="591"/>
      <c r="J72" s="591"/>
      <c r="K72" s="591"/>
      <c r="L72" s="591"/>
      <c r="M72" s="590"/>
      <c r="N72" s="419"/>
      <c r="O72" s="419"/>
      <c r="P72" s="419"/>
      <c r="Q72" s="419"/>
      <c r="R72" s="590"/>
      <c r="S72" s="419"/>
      <c r="T72" s="419"/>
      <c r="U72" s="419"/>
      <c r="V72" s="419"/>
      <c r="W72" s="590"/>
      <c r="X72" s="419"/>
      <c r="Y72" s="419"/>
      <c r="Z72" s="419"/>
      <c r="AA72" s="419"/>
      <c r="AB72" s="590"/>
      <c r="AC72" s="419"/>
      <c r="AD72" s="419"/>
      <c r="AE72" s="419"/>
      <c r="AF72" s="419"/>
      <c r="AG72" s="590"/>
      <c r="AH72" s="419"/>
      <c r="AI72" s="419"/>
      <c r="AJ72" s="419"/>
      <c r="AK72" s="419"/>
      <c r="AL72" s="590"/>
      <c r="AM72" s="419"/>
      <c r="AN72" s="419"/>
      <c r="AO72" s="419"/>
      <c r="AP72" s="419"/>
      <c r="AQ72" s="590"/>
      <c r="AR72" s="419"/>
      <c r="AS72" s="419"/>
      <c r="AT72" s="419"/>
      <c r="AU72" s="419"/>
      <c r="AV72" s="590"/>
      <c r="AW72" s="419"/>
      <c r="AX72" s="419"/>
      <c r="AY72" s="419"/>
      <c r="AZ72" s="419"/>
      <c r="BA72" s="590"/>
      <c r="BB72" s="419"/>
      <c r="BC72" s="419"/>
      <c r="BD72" s="419"/>
      <c r="BE72" s="419"/>
      <c r="BF72" s="590"/>
      <c r="BG72" s="628"/>
      <c r="BH72" s="628"/>
      <c r="BI72" s="628"/>
      <c r="BJ72" s="628"/>
      <c r="BK72" s="590"/>
      <c r="BL72" s="419"/>
      <c r="BM72" s="419"/>
      <c r="BN72" s="419"/>
      <c r="BO72" s="419"/>
      <c r="BP72" s="590"/>
      <c r="BQ72" s="419"/>
      <c r="BR72" s="419"/>
      <c r="BS72" s="419"/>
      <c r="BT72" s="419"/>
      <c r="BU72" s="590"/>
      <c r="BV72" s="419"/>
      <c r="BW72" s="419"/>
      <c r="BX72" s="419"/>
      <c r="BY72" s="419"/>
      <c r="BZ72" s="286"/>
      <c r="CA72" s="419"/>
      <c r="CB72" s="419">
        <f>CB69/CA69-1</f>
        <v>0.22600652383650566</v>
      </c>
      <c r="CC72" s="419">
        <f>CC69/CB69-1</f>
        <v>0.11197022121738254</v>
      </c>
      <c r="CD72" s="419">
        <f>CD69/CC69-1</f>
        <v>0.44792801698475615</v>
      </c>
      <c r="CE72" s="286"/>
      <c r="CF72" s="419"/>
      <c r="CG72" s="419">
        <f>CG69/CF69-1</f>
        <v>0.17609644127490331</v>
      </c>
      <c r="CH72" s="419">
        <f>CH69/CG69-1</f>
        <v>0.11401051831766518</v>
      </c>
      <c r="CI72" s="419">
        <f>CI69/CH69-1</f>
        <v>0.40626023925588606</v>
      </c>
      <c r="CJ72" s="286"/>
      <c r="CK72" s="419"/>
      <c r="CL72" s="419">
        <f>CL69/CK69-1</f>
        <v>0.16053346368125476</v>
      </c>
      <c r="CM72" s="419">
        <f>CM69/CL69-1</f>
        <v>7.6785748473187532E-2</v>
      </c>
      <c r="CN72" s="419">
        <f>CN69/CM69-1</f>
        <v>0.43124347149683318</v>
      </c>
      <c r="CO72" s="1363"/>
      <c r="CP72" s="419">
        <f>CP69/CN69-1</f>
        <v>-0.18145721141801829</v>
      </c>
      <c r="CQ72" s="419">
        <f>CQ69/CP69-1</f>
        <v>0.83400025496473007</v>
      </c>
      <c r="CR72" s="419">
        <f>CR69/CQ69-1</f>
        <v>8.155904438441608E-3</v>
      </c>
      <c r="CS72" s="419">
        <f>CS69/CR69-1</f>
        <v>0.33741149251816105</v>
      </c>
      <c r="CT72" s="286"/>
      <c r="CU72" s="419">
        <f>CU69/CS69-1</f>
        <v>-0.111770600115218</v>
      </c>
      <c r="CV72" s="419">
        <f>CV69/CU69-1</f>
        <v>0.17552090974690326</v>
      </c>
      <c r="CW72" s="419">
        <f>CW69/CV69-1</f>
        <v>2.9597253211888219E-3</v>
      </c>
      <c r="CX72" s="419">
        <f>CX69/CW69-1</f>
        <v>0.3063799312281914</v>
      </c>
      <c r="CY72" s="286"/>
      <c r="CZ72" s="419">
        <f>CZ69/CX69-1</f>
        <v>-0.21335567367656694</v>
      </c>
      <c r="DA72" s="419">
        <f>DA69/CZ69-1</f>
        <v>8.1221430218125779E-2</v>
      </c>
      <c r="DB72" s="419">
        <f>DB69/DA69-1</f>
        <v>6.5989317481854659E-2</v>
      </c>
      <c r="DC72" s="419">
        <f>DC69/DB69-1</f>
        <v>0.34834361889445287</v>
      </c>
      <c r="DD72" s="286"/>
      <c r="DE72" s="419">
        <f>DE69/DC69-1</f>
        <v>-0.1908133694108064</v>
      </c>
      <c r="DF72" s="419">
        <f>DF69/DE69-1</f>
        <v>0.11012433392539989</v>
      </c>
      <c r="DG72" s="419">
        <f>DG69/DF69-1</f>
        <v>-1.760000000000006E-2</v>
      </c>
      <c r="DH72" s="419">
        <f>DH69/DG69-1</f>
        <v>0.3184039087947883</v>
      </c>
      <c r="DI72" s="286"/>
      <c r="DJ72" s="419">
        <f>DJ69/DI69-1</f>
        <v>-0.74702726483923398</v>
      </c>
      <c r="DK72" s="419">
        <f>DK69/DJ69-1</f>
        <v>9.7777777777777741E-2</v>
      </c>
      <c r="DL72" s="419">
        <f>DL69/DK69-1</f>
        <v>4.7233468286099978E-2</v>
      </c>
      <c r="DM72" s="419">
        <f>DM69/DL69-1</f>
        <v>0.22721828059757576</v>
      </c>
      <c r="DN72" s="286"/>
      <c r="DO72" s="419">
        <f>DO69/DM69-1</f>
        <v>-0.18421803157395811</v>
      </c>
      <c r="DP72" s="419">
        <f>DP69/DO69-1</f>
        <v>5.7948514295566023E-2</v>
      </c>
      <c r="DQ72" s="419">
        <f>DQ69/DP69-1</f>
        <v>3.7603294235526441E-2</v>
      </c>
      <c r="DR72" s="419">
        <f>DR69/DQ69-1</f>
        <v>0.23359772018700564</v>
      </c>
      <c r="DS72" s="286"/>
      <c r="DT72" s="419">
        <f>DT69/DR69-1</f>
        <v>-0.18308178562402011</v>
      </c>
      <c r="DU72" s="419">
        <f>DU69/DT69-1</f>
        <v>5.4272404567516475E-2</v>
      </c>
      <c r="DV72" s="419">
        <f>DV69/DU69-1</f>
        <v>3.7659425333406604E-2</v>
      </c>
      <c r="DW72" s="419">
        <f>DW69/DV69-1</f>
        <v>0.23017060315246329</v>
      </c>
      <c r="DX72" s="286"/>
      <c r="DY72" s="419">
        <f>DY69/DW69-1</f>
        <v>-0.17803510089333385</v>
      </c>
      <c r="DZ72" s="419">
        <f>DZ69/DY69-1</f>
        <v>5.090928015474816E-2</v>
      </c>
      <c r="EA72" s="419">
        <f>EA69/DZ69-1</f>
        <v>3.771112137737509E-2</v>
      </c>
      <c r="EB72" s="419">
        <f>EB69/EA69-1</f>
        <v>0.22701459890047837</v>
      </c>
      <c r="EC72" s="286"/>
      <c r="ED72" s="396"/>
    </row>
    <row r="73" spans="1:135" ht="12" customHeight="1" collapsed="1">
      <c r="A73" s="1189"/>
      <c r="B73" s="567"/>
      <c r="C73" s="778" t="s">
        <v>341</v>
      </c>
      <c r="D73" s="772"/>
      <c r="E73" s="686"/>
      <c r="F73" s="686"/>
      <c r="G73" s="686"/>
      <c r="H73" s="686"/>
      <c r="I73" s="773"/>
      <c r="J73" s="773"/>
      <c r="K73" s="773"/>
      <c r="L73" s="773"/>
      <c r="M73" s="686"/>
      <c r="N73" s="685"/>
      <c r="O73" s="685"/>
      <c r="P73" s="685"/>
      <c r="Q73" s="685"/>
      <c r="R73" s="686"/>
      <c r="S73" s="685"/>
      <c r="T73" s="685"/>
      <c r="U73" s="685"/>
      <c r="V73" s="685"/>
      <c r="W73" s="686"/>
      <c r="X73" s="685"/>
      <c r="Y73" s="685"/>
      <c r="Z73" s="685"/>
      <c r="AA73" s="685"/>
      <c r="AB73" s="686"/>
      <c r="AC73" s="685"/>
      <c r="AD73" s="685"/>
      <c r="AE73" s="685"/>
      <c r="AF73" s="685"/>
      <c r="AG73" s="686"/>
      <c r="AH73" s="685"/>
      <c r="AI73" s="685"/>
      <c r="AJ73" s="685"/>
      <c r="AK73" s="685"/>
      <c r="AL73" s="686"/>
      <c r="AM73" s="685"/>
      <c r="AN73" s="685"/>
      <c r="AO73" s="685"/>
      <c r="AP73" s="685"/>
      <c r="AQ73" s="686"/>
      <c r="AR73" s="685"/>
      <c r="AS73" s="685"/>
      <c r="AT73" s="685"/>
      <c r="AU73" s="685"/>
      <c r="AV73" s="686"/>
      <c r="AW73" s="685"/>
      <c r="AX73" s="685"/>
      <c r="AY73" s="685"/>
      <c r="AZ73" s="685"/>
      <c r="BA73" s="686"/>
      <c r="BB73" s="685"/>
      <c r="BC73" s="685"/>
      <c r="BD73" s="685"/>
      <c r="BE73" s="685"/>
      <c r="BF73" s="686"/>
      <c r="BG73" s="774"/>
      <c r="BH73" s="774"/>
      <c r="BI73" s="774"/>
      <c r="BJ73" s="774"/>
      <c r="BK73" s="686"/>
      <c r="BL73" s="685"/>
      <c r="BM73" s="685"/>
      <c r="BN73" s="685"/>
      <c r="BO73" s="685"/>
      <c r="BP73" s="686"/>
      <c r="BQ73" s="685"/>
      <c r="BR73" s="685"/>
      <c r="BS73" s="685"/>
      <c r="BT73" s="685"/>
      <c r="BU73" s="686"/>
      <c r="BV73" s="685"/>
      <c r="BW73" s="685"/>
      <c r="BX73" s="685"/>
      <c r="BY73" s="685"/>
      <c r="BZ73" s="408"/>
      <c r="CA73" s="1339">
        <f t="shared" ref="CA73:DF73" si="480">+CA69+CA59</f>
        <v>60.075080000000007</v>
      </c>
      <c r="CB73" s="1339">
        <f t="shared" si="480"/>
        <v>73.652439999999999</v>
      </c>
      <c r="CC73" s="1339">
        <f t="shared" si="480"/>
        <v>81.899320000000003</v>
      </c>
      <c r="CD73" s="1339">
        <f t="shared" si="480"/>
        <v>118.58431999999999</v>
      </c>
      <c r="CE73" s="1340">
        <f t="shared" si="480"/>
        <v>334.21115999999995</v>
      </c>
      <c r="CF73" s="1339">
        <f t="shared" si="480"/>
        <v>102.15708999999998</v>
      </c>
      <c r="CG73" s="1339">
        <f t="shared" si="480"/>
        <v>120.14658999999997</v>
      </c>
      <c r="CH73" s="1339">
        <f t="shared" si="480"/>
        <v>133.84456499999999</v>
      </c>
      <c r="CI73" s="1339">
        <f t="shared" si="480"/>
        <v>188.22028999999998</v>
      </c>
      <c r="CJ73" s="1340">
        <f t="shared" si="480"/>
        <v>544.36853499999995</v>
      </c>
      <c r="CK73" s="1339">
        <f t="shared" si="480"/>
        <v>156.62697</v>
      </c>
      <c r="CL73" s="1339">
        <f t="shared" si="480"/>
        <v>181.77083999999996</v>
      </c>
      <c r="CM73" s="1339">
        <f t="shared" si="480"/>
        <v>195.72825</v>
      </c>
      <c r="CN73" s="1339">
        <f t="shared" si="480"/>
        <v>280.13477999999998</v>
      </c>
      <c r="CO73" s="1340">
        <f t="shared" si="480"/>
        <v>814.26083999999992</v>
      </c>
      <c r="CP73" s="1339">
        <f t="shared" si="480"/>
        <v>238.62123999999994</v>
      </c>
      <c r="CQ73" s="1339">
        <f t="shared" si="480"/>
        <v>437.631415</v>
      </c>
      <c r="CR73" s="1339">
        <f t="shared" si="480"/>
        <v>441.200695</v>
      </c>
      <c r="CS73" s="1339">
        <f t="shared" si="480"/>
        <v>590.06687999999986</v>
      </c>
      <c r="CT73" s="1340">
        <f t="shared" si="480"/>
        <v>1707.5202299999996</v>
      </c>
      <c r="CU73" s="1339">
        <f t="shared" si="480"/>
        <v>547.73212000000001</v>
      </c>
      <c r="CV73" s="1339">
        <f t="shared" si="480"/>
        <v>643.87056000000007</v>
      </c>
      <c r="CW73" s="1339">
        <f t="shared" si="480"/>
        <v>645.77624000000003</v>
      </c>
      <c r="CX73" s="1339">
        <f t="shared" si="480"/>
        <v>843.62912000000006</v>
      </c>
      <c r="CY73" s="1340">
        <f t="shared" si="480"/>
        <v>2681.0080399999997</v>
      </c>
      <c r="CZ73" s="1339">
        <f t="shared" si="480"/>
        <v>685.37187599999993</v>
      </c>
      <c r="DA73" s="1339">
        <f t="shared" si="480"/>
        <v>741.03876000000002</v>
      </c>
      <c r="DB73" s="1339">
        <f t="shared" si="480"/>
        <v>789.93940199999997</v>
      </c>
      <c r="DC73" s="1339">
        <f t="shared" si="480"/>
        <v>1065.1097519999998</v>
      </c>
      <c r="DD73" s="1340">
        <f t="shared" si="480"/>
        <v>3281.4597899999994</v>
      </c>
      <c r="DE73" s="1339">
        <f t="shared" si="480"/>
        <v>900.8</v>
      </c>
      <c r="DF73" s="1339">
        <f t="shared" si="480"/>
        <v>999.99999999999989</v>
      </c>
      <c r="DG73" s="1339">
        <f t="shared" ref="DG73:EC73" si="481">+DG69+DG59</f>
        <v>982.39999999999986</v>
      </c>
      <c r="DH73" s="1339">
        <f t="shared" si="481"/>
        <v>1295.1999999999998</v>
      </c>
      <c r="DI73" s="1340">
        <f t="shared" si="481"/>
        <v>4178.3999999999996</v>
      </c>
      <c r="DJ73" s="1339">
        <f t="shared" si="481"/>
        <v>1073.4524999999999</v>
      </c>
      <c r="DK73" s="1339">
        <f t="shared" si="481"/>
        <v>1178.6345999999999</v>
      </c>
      <c r="DL73" s="1339">
        <f t="shared" si="481"/>
        <v>1234.5383999999999</v>
      </c>
      <c r="DM73" s="1339">
        <f t="shared" si="481"/>
        <v>1581.1333634555954</v>
      </c>
      <c r="DN73" s="1340">
        <f t="shared" si="481"/>
        <v>5067.7588634555941</v>
      </c>
      <c r="DO73" s="1339">
        <f t="shared" si="481"/>
        <v>1313.5139425863301</v>
      </c>
      <c r="DP73" s="1339">
        <f t="shared" si="481"/>
        <v>1391.1712704377628</v>
      </c>
      <c r="DQ73" s="1339">
        <f t="shared" si="481"/>
        <v>1444.0113555600094</v>
      </c>
      <c r="DR73" s="1339">
        <f t="shared" si="481"/>
        <v>1862.0060234248729</v>
      </c>
      <c r="DS73" s="1340">
        <f t="shared" si="481"/>
        <v>6010.7025920089754</v>
      </c>
      <c r="DT73" s="1339">
        <f t="shared" si="481"/>
        <v>1529.7949089806445</v>
      </c>
      <c r="DU73" s="1339">
        <f t="shared" si="481"/>
        <v>1616.2866060612669</v>
      </c>
      <c r="DV73" s="1339">
        <f t="shared" si="481"/>
        <v>1678.0885644813511</v>
      </c>
      <c r="DW73" s="1339">
        <f t="shared" si="481"/>
        <v>2160.9677318131389</v>
      </c>
      <c r="DX73" s="1340">
        <f t="shared" si="481"/>
        <v>6985.1378113364017</v>
      </c>
      <c r="DY73" s="1339">
        <f t="shared" si="481"/>
        <v>1762.0542077094669</v>
      </c>
      <c r="DZ73" s="1339">
        <f t="shared" si="481"/>
        <v>1857.581463587147</v>
      </c>
      <c r="EA73" s="1339">
        <f t="shared" si="481"/>
        <v>1929.1044552876833</v>
      </c>
      <c r="EB73" s="1339">
        <f t="shared" si="481"/>
        <v>2480.7722345231591</v>
      </c>
      <c r="EC73" s="1340">
        <f t="shared" si="481"/>
        <v>8029.5123611074559</v>
      </c>
      <c r="ED73" s="578"/>
    </row>
    <row r="74" spans="1:135" ht="12" customHeight="1">
      <c r="A74" s="1189"/>
      <c r="B74" s="567"/>
      <c r="C74" s="1199" t="s">
        <v>339</v>
      </c>
      <c r="D74" s="772"/>
      <c r="E74" s="686"/>
      <c r="F74" s="686"/>
      <c r="G74" s="686"/>
      <c r="H74" s="686"/>
      <c r="I74" s="773"/>
      <c r="J74" s="773"/>
      <c r="K74" s="773"/>
      <c r="L74" s="773"/>
      <c r="M74" s="686"/>
      <c r="N74" s="685"/>
      <c r="O74" s="685"/>
      <c r="P74" s="685"/>
      <c r="Q74" s="685"/>
      <c r="R74" s="686"/>
      <c r="S74" s="685"/>
      <c r="T74" s="685"/>
      <c r="U74" s="685"/>
      <c r="V74" s="685"/>
      <c r="W74" s="686"/>
      <c r="X74" s="685"/>
      <c r="Y74" s="685"/>
      <c r="Z74" s="685"/>
      <c r="AA74" s="685"/>
      <c r="AB74" s="686"/>
      <c r="AC74" s="685"/>
      <c r="AD74" s="685"/>
      <c r="AE74" s="685"/>
      <c r="AF74" s="685"/>
      <c r="AG74" s="686"/>
      <c r="AH74" s="685"/>
      <c r="AI74" s="685"/>
      <c r="AJ74" s="685"/>
      <c r="AK74" s="685"/>
      <c r="AL74" s="686"/>
      <c r="AM74" s="685"/>
      <c r="AN74" s="685"/>
      <c r="AO74" s="685"/>
      <c r="AP74" s="685"/>
      <c r="AQ74" s="686"/>
      <c r="AR74" s="685"/>
      <c r="AS74" s="685"/>
      <c r="AT74" s="685"/>
      <c r="AU74" s="685"/>
      <c r="AV74" s="686"/>
      <c r="AW74" s="685"/>
      <c r="AX74" s="685"/>
      <c r="AY74" s="685"/>
      <c r="AZ74" s="685"/>
      <c r="BA74" s="686"/>
      <c r="BB74" s="685"/>
      <c r="BC74" s="685"/>
      <c r="BD74" s="685"/>
      <c r="BE74" s="685"/>
      <c r="BF74" s="686"/>
      <c r="BG74" s="774"/>
      <c r="BH74" s="774"/>
      <c r="BI74" s="774"/>
      <c r="BJ74" s="774"/>
      <c r="BK74" s="686"/>
      <c r="BL74" s="685"/>
      <c r="BM74" s="685"/>
      <c r="BN74" s="685"/>
      <c r="BO74" s="685"/>
      <c r="BP74" s="686"/>
      <c r="BQ74" s="685"/>
      <c r="BR74" s="685"/>
      <c r="BS74" s="685"/>
      <c r="BT74" s="685"/>
      <c r="BU74" s="686"/>
      <c r="BV74" s="685"/>
      <c r="BW74" s="685"/>
      <c r="BX74" s="685"/>
      <c r="BY74" s="685"/>
      <c r="BZ74" s="408"/>
      <c r="CA74" s="409">
        <f t="shared" ref="CA74:DF74" si="482">CA73/CA48</f>
        <v>0.92</v>
      </c>
      <c r="CB74" s="409">
        <f t="shared" si="482"/>
        <v>0.91999999999999993</v>
      </c>
      <c r="CC74" s="409">
        <f t="shared" si="482"/>
        <v>0.92</v>
      </c>
      <c r="CD74" s="409">
        <f t="shared" si="482"/>
        <v>0.92</v>
      </c>
      <c r="CE74" s="408">
        <f t="shared" si="482"/>
        <v>0.91999999999999982</v>
      </c>
      <c r="CF74" s="409">
        <f t="shared" si="482"/>
        <v>0.89499999999999991</v>
      </c>
      <c r="CG74" s="409">
        <f t="shared" si="482"/>
        <v>0.89499999999999991</v>
      </c>
      <c r="CH74" s="409">
        <f t="shared" si="482"/>
        <v>0.89499999999999991</v>
      </c>
      <c r="CI74" s="409">
        <f t="shared" si="482"/>
        <v>0.89499999999999991</v>
      </c>
      <c r="CJ74" s="408">
        <f t="shared" si="482"/>
        <v>0.89500000000000002</v>
      </c>
      <c r="CK74" s="409">
        <f t="shared" si="482"/>
        <v>0.87</v>
      </c>
      <c r="CL74" s="409">
        <f t="shared" si="482"/>
        <v>0.86999999999999988</v>
      </c>
      <c r="CM74" s="409">
        <f t="shared" si="482"/>
        <v>0.87</v>
      </c>
      <c r="CN74" s="409">
        <f t="shared" si="482"/>
        <v>0.86999999999999988</v>
      </c>
      <c r="CO74" s="408">
        <f t="shared" si="482"/>
        <v>0.86999999999999988</v>
      </c>
      <c r="CP74" s="409">
        <f t="shared" si="482"/>
        <v>0.84499999999999986</v>
      </c>
      <c r="CQ74" s="409">
        <f t="shared" si="482"/>
        <v>0.84499999999999997</v>
      </c>
      <c r="CR74" s="409">
        <f t="shared" si="482"/>
        <v>0.84500000000000008</v>
      </c>
      <c r="CS74" s="409">
        <f t="shared" si="482"/>
        <v>0.84499999999999986</v>
      </c>
      <c r="CT74" s="408">
        <f t="shared" si="482"/>
        <v>0.84499999999999986</v>
      </c>
      <c r="CU74" s="409">
        <f t="shared" si="482"/>
        <v>0.82</v>
      </c>
      <c r="CV74" s="409">
        <f t="shared" si="482"/>
        <v>0.82000000000000017</v>
      </c>
      <c r="CW74" s="409">
        <f t="shared" si="482"/>
        <v>0.82</v>
      </c>
      <c r="CX74" s="409">
        <f t="shared" si="482"/>
        <v>0.82000000000000006</v>
      </c>
      <c r="CY74" s="408">
        <f t="shared" si="482"/>
        <v>0.82</v>
      </c>
      <c r="CZ74" s="409">
        <f t="shared" si="482"/>
        <v>0.79799999999999993</v>
      </c>
      <c r="DA74" s="409">
        <f t="shared" si="482"/>
        <v>0.79800000000000004</v>
      </c>
      <c r="DB74" s="409">
        <f t="shared" si="482"/>
        <v>0.79799999999999993</v>
      </c>
      <c r="DC74" s="409">
        <f t="shared" si="482"/>
        <v>0.79799999999999993</v>
      </c>
      <c r="DD74" s="408">
        <f t="shared" si="482"/>
        <v>0.79799999999999993</v>
      </c>
      <c r="DE74" s="409">
        <f t="shared" si="482"/>
        <v>0.79999999999999993</v>
      </c>
      <c r="DF74" s="409">
        <f t="shared" si="482"/>
        <v>0.79999999999999993</v>
      </c>
      <c r="DG74" s="409">
        <f t="shared" ref="DG74:EC74" si="483">DG73/DG48</f>
        <v>0.79999999999999993</v>
      </c>
      <c r="DH74" s="409">
        <f t="shared" si="483"/>
        <v>0.79999999999999993</v>
      </c>
      <c r="DI74" s="408">
        <f t="shared" si="483"/>
        <v>0.79999999999999993</v>
      </c>
      <c r="DJ74" s="409">
        <f t="shared" si="483"/>
        <v>0.79514999999999991</v>
      </c>
      <c r="DK74" s="409">
        <f t="shared" si="483"/>
        <v>0.7952999999999999</v>
      </c>
      <c r="DL74" s="409">
        <f t="shared" si="483"/>
        <v>0.79544999999999999</v>
      </c>
      <c r="DM74" s="409">
        <f t="shared" si="483"/>
        <v>0.7728473449830956</v>
      </c>
      <c r="DN74" s="408">
        <f t="shared" si="483"/>
        <v>0.78816071431716861</v>
      </c>
      <c r="DO74" s="409">
        <f t="shared" si="483"/>
        <v>0.7569151431563339</v>
      </c>
      <c r="DP74" s="409">
        <f t="shared" si="483"/>
        <v>0.75480767230973989</v>
      </c>
      <c r="DQ74" s="409">
        <f t="shared" si="483"/>
        <v>0.75545457155374274</v>
      </c>
      <c r="DR74" s="409">
        <f t="shared" si="483"/>
        <v>0.73275529698645969</v>
      </c>
      <c r="DS74" s="408">
        <f t="shared" si="483"/>
        <v>0.74843938187890435</v>
      </c>
      <c r="DT74" s="409">
        <f t="shared" si="483"/>
        <v>0.72857444928170723</v>
      </c>
      <c r="DU74" s="409">
        <f t="shared" si="483"/>
        <v>0.7246397592351409</v>
      </c>
      <c r="DV74" s="409">
        <f t="shared" si="483"/>
        <v>0.7256440289596775</v>
      </c>
      <c r="DW74" s="409">
        <f t="shared" si="483"/>
        <v>0.70271767529999174</v>
      </c>
      <c r="DX74" s="408">
        <f t="shared" si="483"/>
        <v>0.71879180758883054</v>
      </c>
      <c r="DY74" s="409">
        <f t="shared" si="483"/>
        <v>0.70556354388506981</v>
      </c>
      <c r="DZ74" s="409">
        <f t="shared" si="483"/>
        <v>0.7001214436900639</v>
      </c>
      <c r="EA74" s="409">
        <f t="shared" si="483"/>
        <v>0.70140635043297661</v>
      </c>
      <c r="EB74" s="409">
        <f t="shared" si="483"/>
        <v>0.67818115235882337</v>
      </c>
      <c r="EC74" s="408">
        <f t="shared" si="483"/>
        <v>0.69465966432663306</v>
      </c>
      <c r="ED74" s="578"/>
    </row>
    <row r="75" spans="1:135" ht="12" customHeight="1">
      <c r="A75" s="1189"/>
      <c r="B75" s="567"/>
      <c r="C75" s="1199" t="s">
        <v>140</v>
      </c>
      <c r="D75" s="772"/>
      <c r="E75" s="686"/>
      <c r="F75" s="686"/>
      <c r="G75" s="686"/>
      <c r="H75" s="686"/>
      <c r="I75" s="773"/>
      <c r="J75" s="773"/>
      <c r="K75" s="773"/>
      <c r="L75" s="773"/>
      <c r="M75" s="686"/>
      <c r="N75" s="685"/>
      <c r="O75" s="685"/>
      <c r="P75" s="685"/>
      <c r="Q75" s="685"/>
      <c r="R75" s="686"/>
      <c r="S75" s="685"/>
      <c r="T75" s="685"/>
      <c r="U75" s="685"/>
      <c r="V75" s="685"/>
      <c r="W75" s="686"/>
      <c r="X75" s="685"/>
      <c r="Y75" s="685"/>
      <c r="Z75" s="685"/>
      <c r="AA75" s="685"/>
      <c r="AB75" s="686"/>
      <c r="AC75" s="685"/>
      <c r="AD75" s="685"/>
      <c r="AE75" s="685"/>
      <c r="AF75" s="685"/>
      <c r="AG75" s="686"/>
      <c r="AH75" s="685"/>
      <c r="AI75" s="685"/>
      <c r="AJ75" s="685"/>
      <c r="AK75" s="685"/>
      <c r="AL75" s="686"/>
      <c r="AM75" s="685"/>
      <c r="AN75" s="685"/>
      <c r="AO75" s="685"/>
      <c r="AP75" s="685"/>
      <c r="AQ75" s="686"/>
      <c r="AR75" s="685"/>
      <c r="AS75" s="685"/>
      <c r="AT75" s="685"/>
      <c r="AU75" s="685"/>
      <c r="AV75" s="686"/>
      <c r="AW75" s="685"/>
      <c r="AX75" s="685"/>
      <c r="AY75" s="685"/>
      <c r="AZ75" s="685"/>
      <c r="BA75" s="686"/>
      <c r="BB75" s="685"/>
      <c r="BC75" s="685"/>
      <c r="BD75" s="685"/>
      <c r="BE75" s="685"/>
      <c r="BF75" s="686"/>
      <c r="BG75" s="774"/>
      <c r="BH75" s="774"/>
      <c r="BI75" s="774"/>
      <c r="BJ75" s="774"/>
      <c r="BK75" s="686"/>
      <c r="BL75" s="685"/>
      <c r="BM75" s="685"/>
      <c r="BN75" s="685"/>
      <c r="BO75" s="685"/>
      <c r="BP75" s="686"/>
      <c r="BQ75" s="682"/>
      <c r="BR75" s="682"/>
      <c r="BS75" s="682"/>
      <c r="BT75" s="682"/>
      <c r="BU75" s="683"/>
      <c r="BV75" s="682"/>
      <c r="BW75" s="682"/>
      <c r="BX75" s="682"/>
      <c r="BY75" s="682"/>
      <c r="BZ75" s="684"/>
      <c r="CA75" s="685"/>
      <c r="CB75" s="685"/>
      <c r="CC75" s="685"/>
      <c r="CD75" s="685"/>
      <c r="CE75" s="408"/>
      <c r="CF75" s="685"/>
      <c r="CG75" s="685"/>
      <c r="CH75" s="685"/>
      <c r="CI75" s="685"/>
      <c r="CJ75" s="408"/>
      <c r="CK75" s="685"/>
      <c r="CL75" s="685"/>
      <c r="CM75" s="685"/>
      <c r="CN75" s="685"/>
      <c r="CO75" s="408"/>
      <c r="CP75" s="685">
        <f t="shared" ref="CP75:DN75" si="484">CP73/CK73-1</f>
        <v>0.52350032692326187</v>
      </c>
      <c r="CQ75" s="685">
        <f t="shared" si="484"/>
        <v>1.407599673302935</v>
      </c>
      <c r="CR75" s="685">
        <f t="shared" si="484"/>
        <v>1.2541492860637131</v>
      </c>
      <c r="CS75" s="685">
        <f t="shared" si="484"/>
        <v>1.1063677991001328</v>
      </c>
      <c r="CT75" s="686">
        <f t="shared" si="484"/>
        <v>1.0970187268246865</v>
      </c>
      <c r="CU75" s="685">
        <f t="shared" si="484"/>
        <v>1.2954038793864289</v>
      </c>
      <c r="CV75" s="685">
        <f t="shared" si="484"/>
        <v>0.47126220360574456</v>
      </c>
      <c r="CW75" s="685">
        <f t="shared" si="484"/>
        <v>0.46367910866504869</v>
      </c>
      <c r="CX75" s="685">
        <f t="shared" si="484"/>
        <v>0.42971779741306659</v>
      </c>
      <c r="CY75" s="686">
        <f t="shared" si="484"/>
        <v>0.57011787790063262</v>
      </c>
      <c r="CZ75" s="685">
        <f t="shared" si="484"/>
        <v>0.25129027671409876</v>
      </c>
      <c r="DA75" s="685">
        <f t="shared" si="484"/>
        <v>0.1509126306380586</v>
      </c>
      <c r="DB75" s="685">
        <f t="shared" si="484"/>
        <v>0.22324011487322593</v>
      </c>
      <c r="DC75" s="685">
        <f t="shared" si="484"/>
        <v>0.26253317571588775</v>
      </c>
      <c r="DD75" s="686">
        <f t="shared" si="484"/>
        <v>0.22396491955316922</v>
      </c>
      <c r="DE75" s="685">
        <f t="shared" si="484"/>
        <v>0.3143229705562065</v>
      </c>
      <c r="DF75" s="685">
        <f t="shared" si="484"/>
        <v>0.34945707833150297</v>
      </c>
      <c r="DG75" s="685">
        <f t="shared" si="484"/>
        <v>0.24363969883350611</v>
      </c>
      <c r="DH75" s="685">
        <f t="shared" si="484"/>
        <v>0.21602491909209376</v>
      </c>
      <c r="DI75" s="686">
        <f t="shared" si="484"/>
        <v>0.27333573086385443</v>
      </c>
      <c r="DJ75" s="685">
        <f t="shared" si="484"/>
        <v>0.19166574156305494</v>
      </c>
      <c r="DK75" s="685">
        <f t="shared" si="484"/>
        <v>0.17863460000000009</v>
      </c>
      <c r="DL75" s="685">
        <f t="shared" si="484"/>
        <v>0.25665553745928338</v>
      </c>
      <c r="DM75" s="685">
        <f t="shared" si="484"/>
        <v>0.22076386925231284</v>
      </c>
      <c r="DN75" s="686">
        <f t="shared" si="484"/>
        <v>0.21284675077914872</v>
      </c>
      <c r="DO75" s="685">
        <f t="shared" ref="DO75" si="485">DO73/DJ73-1</f>
        <v>0.22363490008764275</v>
      </c>
      <c r="DP75" s="685">
        <f t="shared" ref="DP75" si="486">DP73/DK73-1</f>
        <v>0.1803244792217733</v>
      </c>
      <c r="DQ75" s="685">
        <f t="shared" ref="DQ75" si="487">DQ73/DL73-1</f>
        <v>0.16967714860875094</v>
      </c>
      <c r="DR75" s="685">
        <f t="shared" ref="DR75:DS75" si="488">DR73/DM73-1</f>
        <v>0.17764008176731227</v>
      </c>
      <c r="DS75" s="686">
        <f t="shared" si="488"/>
        <v>0.1860672052399921</v>
      </c>
      <c r="DT75" s="685">
        <f t="shared" ref="DT75" si="489">DT73/DO73-1</f>
        <v>0.1646582951136808</v>
      </c>
      <c r="DU75" s="685">
        <f t="shared" ref="DU75" si="490">DU73/DP73-1</f>
        <v>0.16181712518593527</v>
      </c>
      <c r="DV75" s="685">
        <f t="shared" ref="DV75" si="491">DV73/DQ73-1</f>
        <v>0.16210205551365831</v>
      </c>
      <c r="DW75" s="685">
        <f t="shared" ref="DW75" si="492">DW73/DR73-1</f>
        <v>0.16055893731126192</v>
      </c>
      <c r="DX75" s="686">
        <f t="shared" ref="DX75" si="493">DX73/DS73-1</f>
        <v>0.16211669175295818</v>
      </c>
      <c r="DY75" s="685">
        <f t="shared" ref="DY75" si="494">DY73/DT73-1</f>
        <v>0.15182381465995642</v>
      </c>
      <c r="DZ75" s="685">
        <f t="shared" ref="DZ75" si="495">DZ73/DU73-1</f>
        <v>0.14928964740597106</v>
      </c>
      <c r="EA75" s="685">
        <f t="shared" ref="EA75" si="496">EA73/DV73-1</f>
        <v>0.14958441176429438</v>
      </c>
      <c r="EB75" s="685">
        <f t="shared" ref="EB75" si="497">EB73/DW73-1</f>
        <v>0.14799133647483553</v>
      </c>
      <c r="EC75" s="686">
        <f t="shared" ref="EC75" si="498">EC73/DX73-1</f>
        <v>0.14951380745503773</v>
      </c>
      <c r="ED75" s="578"/>
    </row>
    <row r="76" spans="1:135" ht="12" customHeight="1">
      <c r="A76" s="1193"/>
      <c r="B76" s="730"/>
      <c r="C76" s="1199" t="s">
        <v>338</v>
      </c>
      <c r="D76" s="772"/>
      <c r="E76" s="686"/>
      <c r="F76" s="686"/>
      <c r="G76" s="686"/>
      <c r="H76" s="686"/>
      <c r="I76" s="773"/>
      <c r="J76" s="773"/>
      <c r="K76" s="773"/>
      <c r="L76" s="773"/>
      <c r="M76" s="686"/>
      <c r="N76" s="685"/>
      <c r="O76" s="685"/>
      <c r="P76" s="685"/>
      <c r="Q76" s="685"/>
      <c r="R76" s="686"/>
      <c r="S76" s="685"/>
      <c r="T76" s="685"/>
      <c r="U76" s="685"/>
      <c r="V76" s="685"/>
      <c r="W76" s="686"/>
      <c r="X76" s="685"/>
      <c r="Y76" s="685"/>
      <c r="Z76" s="685"/>
      <c r="AA76" s="685"/>
      <c r="AB76" s="686"/>
      <c r="AC76" s="685"/>
      <c r="AD76" s="685"/>
      <c r="AE76" s="685"/>
      <c r="AF76" s="685"/>
      <c r="AG76" s="686"/>
      <c r="AH76" s="685"/>
      <c r="AI76" s="685"/>
      <c r="AJ76" s="685"/>
      <c r="AK76" s="685"/>
      <c r="AL76" s="686"/>
      <c r="AM76" s="685"/>
      <c r="AN76" s="685"/>
      <c r="AO76" s="685"/>
      <c r="AP76" s="685"/>
      <c r="AQ76" s="686"/>
      <c r="AR76" s="685"/>
      <c r="AS76" s="685"/>
      <c r="AT76" s="685"/>
      <c r="AU76" s="685"/>
      <c r="AV76" s="686"/>
      <c r="AW76" s="685"/>
      <c r="AX76" s="685"/>
      <c r="AY76" s="685"/>
      <c r="AZ76" s="685"/>
      <c r="BA76" s="686"/>
      <c r="BB76" s="685"/>
      <c r="BC76" s="685"/>
      <c r="BD76" s="685"/>
      <c r="BE76" s="685"/>
      <c r="BF76" s="686"/>
      <c r="BG76" s="774"/>
      <c r="BH76" s="774"/>
      <c r="BI76" s="774"/>
      <c r="BJ76" s="774"/>
      <c r="BK76" s="686"/>
      <c r="BL76" s="685"/>
      <c r="BM76" s="685"/>
      <c r="BN76" s="685"/>
      <c r="BO76" s="685"/>
      <c r="BP76" s="686"/>
      <c r="BQ76" s="685"/>
      <c r="BR76" s="685"/>
      <c r="BS76" s="685"/>
      <c r="BT76" s="685"/>
      <c r="BU76" s="686"/>
      <c r="BV76" s="685"/>
      <c r="BW76" s="685"/>
      <c r="BX76" s="685"/>
      <c r="BY76" s="685"/>
      <c r="BZ76" s="408"/>
      <c r="CA76" s="685"/>
      <c r="CB76" s="685">
        <f>CB73/CA73-1</f>
        <v>0.22600652383650566</v>
      </c>
      <c r="CC76" s="685">
        <f>CC73/CB73-1</f>
        <v>0.11197022121738276</v>
      </c>
      <c r="CD76" s="685">
        <f>CD73/CC73-1</f>
        <v>0.44792801698475615</v>
      </c>
      <c r="CE76" s="408"/>
      <c r="CF76" s="685"/>
      <c r="CG76" s="685">
        <f>CG73/CF73-1</f>
        <v>0.17609644127490309</v>
      </c>
      <c r="CH76" s="685">
        <f>CH73/CG73-1</f>
        <v>0.11401051831766518</v>
      </c>
      <c r="CI76" s="685">
        <f>CI73/CH73-1</f>
        <v>0.40626023925588606</v>
      </c>
      <c r="CJ76" s="408"/>
      <c r="CK76" s="685"/>
      <c r="CL76" s="685">
        <f>CL73/CK73-1</f>
        <v>0.16053346368125476</v>
      </c>
      <c r="CM76" s="685">
        <f>CM73/CL73-1</f>
        <v>7.6785748473187754E-2</v>
      </c>
      <c r="CN76" s="685">
        <f>CN73/CM73-1</f>
        <v>0.43124347149683295</v>
      </c>
      <c r="CO76" s="1364"/>
      <c r="CP76" s="685">
        <f>CP73/CN73-1</f>
        <v>-0.14819130991160767</v>
      </c>
      <c r="CQ76" s="685">
        <f>CQ73/CP73-1</f>
        <v>0.83400025496473029</v>
      </c>
      <c r="CR76" s="685">
        <f>CR73/CQ73-1</f>
        <v>8.155904438441608E-3</v>
      </c>
      <c r="CS76" s="685">
        <f>CS73/CR73-1</f>
        <v>0.33741149251816083</v>
      </c>
      <c r="CT76" s="408"/>
      <c r="CU76" s="685">
        <f>CU73/CS73-1</f>
        <v>-7.1745697708029077E-2</v>
      </c>
      <c r="CV76" s="685">
        <f>CV73/CU73-1</f>
        <v>0.17552090974690349</v>
      </c>
      <c r="CW76" s="685">
        <f>CW73/CV73-1</f>
        <v>2.9597253211888219E-3</v>
      </c>
      <c r="CX76" s="685">
        <f>CX73/CW73-1</f>
        <v>0.3063799312281914</v>
      </c>
      <c r="CY76" s="408"/>
      <c r="CZ76" s="685">
        <f>CZ73/CX73-1</f>
        <v>-0.18759101629872632</v>
      </c>
      <c r="DA76" s="685">
        <f>DA73/CZ73-1</f>
        <v>8.1221430218126001E-2</v>
      </c>
      <c r="DB76" s="685">
        <f>DB73/DA73-1</f>
        <v>6.5989317481854659E-2</v>
      </c>
      <c r="DC76" s="685">
        <f>DC73/DB73-1</f>
        <v>0.34834361889445264</v>
      </c>
      <c r="DD76" s="408"/>
      <c r="DE76" s="685">
        <f>DE73/DC73-1</f>
        <v>-0.15426555966788291</v>
      </c>
      <c r="DF76" s="685">
        <f>DF73/DE73-1</f>
        <v>0.11012433392539966</v>
      </c>
      <c r="DG76" s="685">
        <f>DG73/DF73-1</f>
        <v>-1.760000000000006E-2</v>
      </c>
      <c r="DH76" s="685">
        <f>DH73/DG73-1</f>
        <v>0.3184039087947883</v>
      </c>
      <c r="DI76" s="408"/>
      <c r="DJ76" s="685">
        <f>DJ73/DI73-1</f>
        <v>-0.74309484491671451</v>
      </c>
      <c r="DK76" s="685">
        <f>DK73/DJ73-1</f>
        <v>9.7984866587017105E-2</v>
      </c>
      <c r="DL76" s="685">
        <f>DL73/DK73-1</f>
        <v>4.7430984971932766E-2</v>
      </c>
      <c r="DM76" s="685">
        <f>DM73/DL73-1</f>
        <v>0.28074862916827503</v>
      </c>
      <c r="DN76" s="408"/>
      <c r="DO76" s="685">
        <f>DO73/DM73-1</f>
        <v>-0.16925796840082996</v>
      </c>
      <c r="DP76" s="685">
        <f>DP73/DO73-1</f>
        <v>5.9121814648213089E-2</v>
      </c>
      <c r="DQ76" s="685">
        <f>DQ73/DP73-1</f>
        <v>3.7982444178580099E-2</v>
      </c>
      <c r="DR76" s="685">
        <f>DR73/DQ73-1</f>
        <v>0.28946771523327719</v>
      </c>
      <c r="DS76" s="408"/>
      <c r="DT76" s="685">
        <f>DT73/DR73-1</f>
        <v>-0.17841570342139779</v>
      </c>
      <c r="DU76" s="685">
        <f>DU73/DT73-1</f>
        <v>5.653809969746515E-2</v>
      </c>
      <c r="DV76" s="685">
        <f>DV73/DU73-1</f>
        <v>3.8237004618066894E-2</v>
      </c>
      <c r="DW76" s="685">
        <f>DW73/DV73-1</f>
        <v>0.28775547223935227</v>
      </c>
      <c r="DX76" s="408"/>
      <c r="DY76" s="685">
        <f>DY73/DW73-1</f>
        <v>-0.18459948208896548</v>
      </c>
      <c r="DZ76" s="685">
        <f>DZ73/DY73-1</f>
        <v>5.421357382748071E-2</v>
      </c>
      <c r="EA76" s="685">
        <f>EA73/DZ73-1</f>
        <v>3.8503286721229157E-2</v>
      </c>
      <c r="EB76" s="685">
        <f>EB73/EA73-1</f>
        <v>0.28597092175250127</v>
      </c>
      <c r="EC76" s="408"/>
      <c r="ED76" s="751"/>
    </row>
    <row r="77" spans="1:135" ht="12" customHeight="1">
      <c r="A77" s="1193"/>
      <c r="B77" s="730"/>
      <c r="C77" s="1199" t="s">
        <v>335</v>
      </c>
      <c r="D77" s="772"/>
      <c r="E77" s="686"/>
      <c r="F77" s="686"/>
      <c r="G77" s="686"/>
      <c r="H77" s="686"/>
      <c r="I77" s="773"/>
      <c r="J77" s="773"/>
      <c r="K77" s="773"/>
      <c r="L77" s="773"/>
      <c r="M77" s="686"/>
      <c r="N77" s="685"/>
      <c r="O77" s="685"/>
      <c r="P77" s="685"/>
      <c r="Q77" s="685"/>
      <c r="R77" s="686"/>
      <c r="S77" s="685"/>
      <c r="T77" s="685"/>
      <c r="U77" s="685"/>
      <c r="V77" s="685"/>
      <c r="W77" s="686"/>
      <c r="X77" s="685"/>
      <c r="Y77" s="685"/>
      <c r="Z77" s="685"/>
      <c r="AA77" s="685"/>
      <c r="AB77" s="686"/>
      <c r="AC77" s="685"/>
      <c r="AD77" s="685"/>
      <c r="AE77" s="685"/>
      <c r="AF77" s="685"/>
      <c r="AG77" s="686"/>
      <c r="AH77" s="685"/>
      <c r="AI77" s="685"/>
      <c r="AJ77" s="685"/>
      <c r="AK77" s="685"/>
      <c r="AL77" s="686"/>
      <c r="AM77" s="685"/>
      <c r="AN77" s="685"/>
      <c r="AO77" s="685"/>
      <c r="AP77" s="685"/>
      <c r="AQ77" s="686"/>
      <c r="AR77" s="685"/>
      <c r="AS77" s="685"/>
      <c r="AT77" s="685"/>
      <c r="AU77" s="685"/>
      <c r="AV77" s="686"/>
      <c r="AW77" s="685"/>
      <c r="AX77" s="685"/>
      <c r="AY77" s="685"/>
      <c r="AZ77" s="685"/>
      <c r="BA77" s="686"/>
      <c r="BB77" s="685"/>
      <c r="BC77" s="685"/>
      <c r="BD77" s="685"/>
      <c r="BE77" s="685"/>
      <c r="BF77" s="686"/>
      <c r="BG77" s="774"/>
      <c r="BH77" s="774"/>
      <c r="BI77" s="774"/>
      <c r="BJ77" s="774"/>
      <c r="BK77" s="686"/>
      <c r="BL77" s="685"/>
      <c r="BM77" s="685"/>
      <c r="BN77" s="685"/>
      <c r="BO77" s="685"/>
      <c r="BP77" s="686"/>
      <c r="BQ77" s="685"/>
      <c r="BR77" s="685"/>
      <c r="BS77" s="685"/>
      <c r="BT77" s="685"/>
      <c r="BU77" s="686"/>
      <c r="BV77" s="685"/>
      <c r="BW77" s="685"/>
      <c r="BX77" s="685"/>
      <c r="BY77" s="685"/>
      <c r="BZ77" s="408"/>
      <c r="CA77" s="685">
        <f t="shared" ref="CA77:DF77" si="499">CA73/CA21</f>
        <v>0.47162467910723122</v>
      </c>
      <c r="CB77" s="685">
        <f t="shared" si="499"/>
        <v>0.4856578418120075</v>
      </c>
      <c r="CC77" s="685">
        <f t="shared" si="499"/>
        <v>0.47766960619634191</v>
      </c>
      <c r="CD77" s="685">
        <f t="shared" si="499"/>
        <v>0.53221215902052832</v>
      </c>
      <c r="CE77" s="686">
        <f t="shared" si="499"/>
        <v>0.49637483217090639</v>
      </c>
      <c r="CF77" s="685">
        <f t="shared" si="499"/>
        <v>0.47661234487263227</v>
      </c>
      <c r="CG77" s="685">
        <f t="shared" si="499"/>
        <v>0.49046831562317567</v>
      </c>
      <c r="CH77" s="685">
        <f t="shared" si="499"/>
        <v>0.49560313481248891</v>
      </c>
      <c r="CI77" s="685">
        <f t="shared" si="499"/>
        <v>0.54737159092891918</v>
      </c>
      <c r="CJ77" s="686">
        <f t="shared" si="499"/>
        <v>0.50722495851304805</v>
      </c>
      <c r="CK77" s="685">
        <f t="shared" si="499"/>
        <v>0.48872314201733641</v>
      </c>
      <c r="CL77" s="685">
        <f t="shared" si="499"/>
        <v>0.50215852300824071</v>
      </c>
      <c r="CM77" s="685">
        <f t="shared" si="499"/>
        <v>0.50115797640263016</v>
      </c>
      <c r="CN77" s="685">
        <f t="shared" si="499"/>
        <v>0.55454663868873222</v>
      </c>
      <c r="CO77" s="686">
        <f t="shared" si="499"/>
        <v>0.51595157184922058</v>
      </c>
      <c r="CP77" s="685">
        <f t="shared" si="499"/>
        <v>0.50770368573683877</v>
      </c>
      <c r="CQ77" s="685">
        <f t="shared" si="499"/>
        <v>0.61263656293002922</v>
      </c>
      <c r="CR77" s="685">
        <f t="shared" si="499"/>
        <v>0.57492548914849395</v>
      </c>
      <c r="CS77" s="685">
        <f t="shared" si="499"/>
        <v>0.60349833903353012</v>
      </c>
      <c r="CT77" s="686">
        <f t="shared" si="499"/>
        <v>0.5828726662754723</v>
      </c>
      <c r="CU77" s="685">
        <f t="shared" si="499"/>
        <v>0.55402193098244368</v>
      </c>
      <c r="CV77" s="685">
        <f t="shared" si="499"/>
        <v>0.57516944557347627</v>
      </c>
      <c r="CW77" s="685">
        <f t="shared" si="499"/>
        <v>0.57466695143004609</v>
      </c>
      <c r="CX77" s="685">
        <f t="shared" si="499"/>
        <v>0.61131481771331508</v>
      </c>
      <c r="CY77" s="686">
        <f t="shared" si="499"/>
        <v>0.58132952112988778</v>
      </c>
      <c r="CZ77" s="685">
        <f t="shared" si="499"/>
        <v>0.56942404390743606</v>
      </c>
      <c r="DA77" s="685">
        <f t="shared" si="499"/>
        <v>0.57220286580652835</v>
      </c>
      <c r="DB77" s="685">
        <f t="shared" si="499"/>
        <v>0.57820187527448397</v>
      </c>
      <c r="DC77" s="685">
        <f t="shared" si="499"/>
        <v>0.61390389503498011</v>
      </c>
      <c r="DD77" s="686">
        <f t="shared" si="499"/>
        <v>0.58598919366613178</v>
      </c>
      <c r="DE77" s="685">
        <f t="shared" si="499"/>
        <v>0.59734748010610073</v>
      </c>
      <c r="DF77" s="685">
        <f t="shared" si="499"/>
        <v>0.59031877213695394</v>
      </c>
      <c r="DG77" s="685">
        <f t="shared" ref="DG77:EC77" si="500">DG73/DG21</f>
        <v>0.57316219369894972</v>
      </c>
      <c r="DH77" s="685">
        <f t="shared" si="500"/>
        <v>0.60410447761194019</v>
      </c>
      <c r="DI77" s="686">
        <f t="shared" si="500"/>
        <v>0.59184135977337105</v>
      </c>
      <c r="DJ77" s="685">
        <f t="shared" si="500"/>
        <v>0.57681488447071461</v>
      </c>
      <c r="DK77" s="685">
        <f t="shared" si="500"/>
        <v>0.57634943765281166</v>
      </c>
      <c r="DL77" s="685">
        <f t="shared" si="500"/>
        <v>0.57101683626271971</v>
      </c>
      <c r="DM77" s="685">
        <f t="shared" si="500"/>
        <v>0.58482752007565497</v>
      </c>
      <c r="DN77" s="686">
        <f t="shared" si="500"/>
        <v>0.57774694545598682</v>
      </c>
      <c r="DO77" s="685">
        <f t="shared" si="500"/>
        <v>0.56159872227563479</v>
      </c>
      <c r="DP77" s="685">
        <f t="shared" si="500"/>
        <v>0.55468721195158832</v>
      </c>
      <c r="DQ77" s="685">
        <f t="shared" si="500"/>
        <v>0.5486562013563524</v>
      </c>
      <c r="DR77" s="685">
        <f t="shared" si="500"/>
        <v>0.56119356158188338</v>
      </c>
      <c r="DS77" s="686">
        <f t="shared" si="500"/>
        <v>0.55671373144466019</v>
      </c>
      <c r="DT77" s="685">
        <f t="shared" si="500"/>
        <v>0.54651044443165053</v>
      </c>
      <c r="DU77" s="685">
        <f t="shared" si="500"/>
        <v>0.53855645300595356</v>
      </c>
      <c r="DV77" s="685">
        <f t="shared" si="500"/>
        <v>0.53313868844826684</v>
      </c>
      <c r="DW77" s="685">
        <f t="shared" si="500"/>
        <v>0.54356931902065631</v>
      </c>
      <c r="DX77" s="686">
        <f t="shared" si="500"/>
        <v>0.54050181967799837</v>
      </c>
      <c r="DY77" s="685">
        <f t="shared" si="500"/>
        <v>0.53389628640583853</v>
      </c>
      <c r="DZ77" s="685">
        <f t="shared" si="500"/>
        <v>0.52504635518087328</v>
      </c>
      <c r="EA77" s="685">
        <f t="shared" si="500"/>
        <v>0.52012772809319252</v>
      </c>
      <c r="EB77" s="685">
        <f t="shared" si="500"/>
        <v>0.52877374385843734</v>
      </c>
      <c r="EC77" s="686">
        <f t="shared" si="500"/>
        <v>0.52691347226792962</v>
      </c>
      <c r="ED77" s="751"/>
    </row>
    <row r="78" spans="1:135" ht="12" customHeight="1">
      <c r="A78" s="1189"/>
      <c r="B78" s="567"/>
      <c r="C78" s="1225" t="s">
        <v>638</v>
      </c>
      <c r="D78" s="772"/>
      <c r="E78" s="686"/>
      <c r="F78" s="686"/>
      <c r="G78" s="686"/>
      <c r="H78" s="686"/>
      <c r="I78" s="1250"/>
      <c r="J78" s="1250"/>
      <c r="K78" s="1250"/>
      <c r="L78" s="1250"/>
      <c r="M78" s="686"/>
      <c r="N78" s="1251"/>
      <c r="O78" s="1251"/>
      <c r="P78" s="1251"/>
      <c r="Q78" s="1251"/>
      <c r="R78" s="686"/>
      <c r="S78" s="1251"/>
      <c r="T78" s="1251"/>
      <c r="U78" s="1251"/>
      <c r="V78" s="1251"/>
      <c r="W78" s="686"/>
      <c r="X78" s="1251"/>
      <c r="Y78" s="1251"/>
      <c r="Z78" s="1251"/>
      <c r="AA78" s="1251"/>
      <c r="AB78" s="686"/>
      <c r="AC78" s="1251"/>
      <c r="AD78" s="1251"/>
      <c r="AE78" s="1251"/>
      <c r="AF78" s="1251"/>
      <c r="AG78" s="686"/>
      <c r="AH78" s="1251"/>
      <c r="AI78" s="1251"/>
      <c r="AJ78" s="1251"/>
      <c r="AK78" s="1251"/>
      <c r="AL78" s="686"/>
      <c r="AM78" s="1251"/>
      <c r="AN78" s="1251"/>
      <c r="AO78" s="1251"/>
      <c r="AP78" s="1251"/>
      <c r="AQ78" s="686"/>
      <c r="AR78" s="1251"/>
      <c r="AS78" s="1251"/>
      <c r="AT78" s="1251"/>
      <c r="AU78" s="1251"/>
      <c r="AV78" s="686"/>
      <c r="AW78" s="1251"/>
      <c r="AX78" s="1251"/>
      <c r="AY78" s="1251"/>
      <c r="AZ78" s="1251"/>
      <c r="BA78" s="686"/>
      <c r="BB78" s="1251"/>
      <c r="BC78" s="1251"/>
      <c r="BD78" s="1251"/>
      <c r="BE78" s="1251"/>
      <c r="BF78" s="686"/>
      <c r="BG78" s="1252"/>
      <c r="BH78" s="1252"/>
      <c r="BI78" s="1252"/>
      <c r="BJ78" s="1252"/>
      <c r="BK78" s="686"/>
      <c r="BL78" s="1251"/>
      <c r="BM78" s="1251"/>
      <c r="BN78" s="1251"/>
      <c r="BO78" s="1251"/>
      <c r="BP78" s="686"/>
      <c r="BQ78" s="1251"/>
      <c r="BR78" s="1251"/>
      <c r="BS78" s="1251"/>
      <c r="BT78" s="1251"/>
      <c r="BU78" s="686"/>
      <c r="BV78" s="1251"/>
      <c r="BW78" s="1251"/>
      <c r="BX78" s="1251"/>
      <c r="BY78" s="1251"/>
      <c r="BZ78" s="408"/>
      <c r="CA78" s="1341">
        <f>+CA48-CA73</f>
        <v>5.2239199999999997</v>
      </c>
      <c r="CB78" s="1341">
        <f>+CB48-CB73</f>
        <v>6.4045600000000036</v>
      </c>
      <c r="CC78" s="1341">
        <f>+CC48-CC73</f>
        <v>7.1216799999999978</v>
      </c>
      <c r="CD78" s="1341">
        <f>+CD48-CD73</f>
        <v>10.311679999999996</v>
      </c>
      <c r="CE78" s="1340">
        <f>SUM(CA78:CD78)</f>
        <v>29.061839999999997</v>
      </c>
      <c r="CF78" s="1341">
        <f>+CF48-CF73</f>
        <v>11.984910000000013</v>
      </c>
      <c r="CG78" s="1341">
        <f>+CG48-CG73</f>
        <v>14.095410000000015</v>
      </c>
      <c r="CH78" s="1341">
        <f>+CH48-CH73</f>
        <v>15.702435000000008</v>
      </c>
      <c r="CI78" s="1341">
        <f>+CI48-CI73</f>
        <v>22.081710000000015</v>
      </c>
      <c r="CJ78" s="1340">
        <f>SUM(CF78:CI78)</f>
        <v>63.864465000000052</v>
      </c>
      <c r="CK78" s="1341">
        <f>+CK48-CK73</f>
        <v>23.404030000000006</v>
      </c>
      <c r="CL78" s="1341">
        <f>+CL48-CL73</f>
        <v>27.161160000000024</v>
      </c>
      <c r="CM78" s="1341">
        <f>+CM48-CM73</f>
        <v>29.246749999999992</v>
      </c>
      <c r="CN78" s="1341">
        <f>+CN48-CN73</f>
        <v>41.85922000000005</v>
      </c>
      <c r="CO78" s="1340">
        <f>SUM(CK78:CN78)</f>
        <v>121.67116000000007</v>
      </c>
      <c r="CP78" s="1341">
        <f>+CP48-CP73</f>
        <v>43.770760000000053</v>
      </c>
      <c r="CQ78" s="1341">
        <f>+CQ48-CQ73</f>
        <v>80.275585000000035</v>
      </c>
      <c r="CR78" s="1341">
        <f>+CR48-CR73</f>
        <v>80.930304999999976</v>
      </c>
      <c r="CS78" s="1341">
        <f>+CS48-CS73</f>
        <v>108.23712000000012</v>
      </c>
      <c r="CT78" s="1340">
        <f>SUM(CP78:CS78)</f>
        <v>313.21377000000018</v>
      </c>
      <c r="CU78" s="1341">
        <f>+CU48-CU73</f>
        <v>120.23388</v>
      </c>
      <c r="CV78" s="1341">
        <f>+CV48-CV73</f>
        <v>141.3374399999999</v>
      </c>
      <c r="CW78" s="1341">
        <f>+CW48-CW73</f>
        <v>141.75576000000001</v>
      </c>
      <c r="CX78" s="1341">
        <f>+CX48-CX73</f>
        <v>185.18687999999997</v>
      </c>
      <c r="CY78" s="1340">
        <f>SUM(CU78:CX78)</f>
        <v>588.51395999999988</v>
      </c>
      <c r="CZ78" s="1341">
        <f>+CZ48-CZ73</f>
        <v>173.49012400000004</v>
      </c>
      <c r="DA78" s="1341">
        <f>+DA48-DA73</f>
        <v>187.58123999999998</v>
      </c>
      <c r="DB78" s="1341">
        <f>+DB48-DB73</f>
        <v>199.95959800000003</v>
      </c>
      <c r="DC78" s="1341">
        <f>+DC48-DC73</f>
        <v>269.61424800000009</v>
      </c>
      <c r="DD78" s="1340">
        <f>SUM(CZ78:DC78)</f>
        <v>830.64521000000013</v>
      </c>
      <c r="DE78" s="1341">
        <f>+DE48-DE73</f>
        <v>225.20000000000005</v>
      </c>
      <c r="DF78" s="1341">
        <f>+DF48-DF73</f>
        <v>250.00000000000011</v>
      </c>
      <c r="DG78" s="1341">
        <f>+DG48-DG73</f>
        <v>245.60000000000014</v>
      </c>
      <c r="DH78" s="1341">
        <f>+DH48-DH73</f>
        <v>323.80000000000018</v>
      </c>
      <c r="DI78" s="1340">
        <f>SUM(DE78:DH78)</f>
        <v>1044.6000000000004</v>
      </c>
      <c r="DJ78" s="1341">
        <f>+DJ48-DJ73</f>
        <v>276.54750000000013</v>
      </c>
      <c r="DK78" s="1341">
        <f>+DK48-DK73</f>
        <v>303.36540000000014</v>
      </c>
      <c r="DL78" s="1341">
        <f>+DL48-DL73</f>
        <v>317.46160000000009</v>
      </c>
      <c r="DM78" s="1341">
        <f>+DM48-DM73</f>
        <v>464.72132404440413</v>
      </c>
      <c r="DN78" s="1340">
        <f>SUM(DJ78:DM78)</f>
        <v>1362.0958240444045</v>
      </c>
      <c r="DO78" s="1341">
        <f>+DO48-DO73</f>
        <v>421.8377074136697</v>
      </c>
      <c r="DP78" s="1341">
        <f>+DP48-DP73</f>
        <v>451.90918763538616</v>
      </c>
      <c r="DQ78" s="1341">
        <f>+DQ48-DQ73</f>
        <v>467.43561945810779</v>
      </c>
      <c r="DR78" s="1341">
        <f>+DR48-DR73</f>
        <v>679.09607584699393</v>
      </c>
      <c r="DS78" s="1340">
        <f>SUM(DO78:DR78)</f>
        <v>2020.2785903541576</v>
      </c>
      <c r="DT78" s="1341">
        <f>+DT48-DT73</f>
        <v>569.91488799185549</v>
      </c>
      <c r="DU78" s="1341">
        <f>+DU48-DU73</f>
        <v>614.18251388774252</v>
      </c>
      <c r="DV78" s="1341">
        <f>+DV48-DV73</f>
        <v>634.46207675681853</v>
      </c>
      <c r="DW78" s="1341">
        <f>+DW48-DW73</f>
        <v>914.19005597214345</v>
      </c>
      <c r="DX78" s="1340">
        <f>SUM(DT78:DW78)</f>
        <v>2732.7495346085598</v>
      </c>
      <c r="DY78" s="1341">
        <f>+DY48-DY73</f>
        <v>735.31718141730789</v>
      </c>
      <c r="DZ78" s="1341">
        <f>+DZ48-DZ73</f>
        <v>795.64603048383606</v>
      </c>
      <c r="EA78" s="1341">
        <f>+EA48-EA73</f>
        <v>821.23342531013486</v>
      </c>
      <c r="EB78" s="1341">
        <f>+EB48-EB73</f>
        <v>1177.206501533768</v>
      </c>
      <c r="EC78" s="1340">
        <f>SUM(DY78:EB78)</f>
        <v>3529.4031387450468</v>
      </c>
      <c r="ED78" s="578"/>
      <c r="EE78" s="240" t="s">
        <v>698</v>
      </c>
    </row>
    <row r="79" spans="1:135" ht="12" customHeight="1">
      <c r="A79" s="1189"/>
      <c r="B79" s="567"/>
      <c r="C79" s="1249" t="s">
        <v>339</v>
      </c>
      <c r="D79" s="772"/>
      <c r="E79" s="686"/>
      <c r="F79" s="686"/>
      <c r="G79" s="686"/>
      <c r="H79" s="686"/>
      <c r="I79" s="1250"/>
      <c r="J79" s="1250"/>
      <c r="K79" s="1250"/>
      <c r="L79" s="1250"/>
      <c r="M79" s="686"/>
      <c r="N79" s="1251"/>
      <c r="O79" s="1251"/>
      <c r="P79" s="1251"/>
      <c r="Q79" s="1251"/>
      <c r="R79" s="686"/>
      <c r="S79" s="1251"/>
      <c r="T79" s="1251"/>
      <c r="U79" s="1251"/>
      <c r="V79" s="1251"/>
      <c r="W79" s="686"/>
      <c r="X79" s="1251"/>
      <c r="Y79" s="1251"/>
      <c r="Z79" s="1251"/>
      <c r="AA79" s="1251"/>
      <c r="AB79" s="686"/>
      <c r="AC79" s="1251"/>
      <c r="AD79" s="1251"/>
      <c r="AE79" s="1251"/>
      <c r="AF79" s="1251"/>
      <c r="AG79" s="686"/>
      <c r="AH79" s="1251"/>
      <c r="AI79" s="1251"/>
      <c r="AJ79" s="1251"/>
      <c r="AK79" s="1251"/>
      <c r="AL79" s="686"/>
      <c r="AM79" s="1251"/>
      <c r="AN79" s="1251"/>
      <c r="AO79" s="1251"/>
      <c r="AP79" s="1251"/>
      <c r="AQ79" s="686"/>
      <c r="AR79" s="1251"/>
      <c r="AS79" s="1251"/>
      <c r="AT79" s="1251"/>
      <c r="AU79" s="1251"/>
      <c r="AV79" s="686"/>
      <c r="AW79" s="1251"/>
      <c r="AX79" s="1251"/>
      <c r="AY79" s="1251"/>
      <c r="AZ79" s="1251"/>
      <c r="BA79" s="686"/>
      <c r="BB79" s="1251"/>
      <c r="BC79" s="1251"/>
      <c r="BD79" s="1251"/>
      <c r="BE79" s="1251"/>
      <c r="BF79" s="686"/>
      <c r="BG79" s="1252"/>
      <c r="BH79" s="1252"/>
      <c r="BI79" s="1252"/>
      <c r="BJ79" s="1252"/>
      <c r="BK79" s="686"/>
      <c r="BL79" s="1251"/>
      <c r="BM79" s="1251"/>
      <c r="BN79" s="1251"/>
      <c r="BO79" s="1251"/>
      <c r="BP79" s="686"/>
      <c r="BQ79" s="1251"/>
      <c r="BR79" s="1251"/>
      <c r="BS79" s="1251"/>
      <c r="BT79" s="1251"/>
      <c r="BU79" s="686"/>
      <c r="BV79" s="1251"/>
      <c r="BW79" s="1251"/>
      <c r="BX79" s="1251"/>
      <c r="BY79" s="1251"/>
      <c r="BZ79" s="408"/>
      <c r="CA79" s="410">
        <f t="shared" ref="CA79:DF79" si="501">CA78/CA48</f>
        <v>7.9999999999999988E-2</v>
      </c>
      <c r="CB79" s="410">
        <f t="shared" si="501"/>
        <v>8.0000000000000043E-2</v>
      </c>
      <c r="CC79" s="410">
        <f t="shared" si="501"/>
        <v>7.9999999999999974E-2</v>
      </c>
      <c r="CD79" s="410">
        <f t="shared" si="501"/>
        <v>7.9999999999999974E-2</v>
      </c>
      <c r="CE79" s="408">
        <f t="shared" si="501"/>
        <v>7.9999999999999988E-2</v>
      </c>
      <c r="CF79" s="410">
        <f t="shared" si="501"/>
        <v>0.10500000000000012</v>
      </c>
      <c r="CG79" s="410">
        <f t="shared" si="501"/>
        <v>0.10500000000000012</v>
      </c>
      <c r="CH79" s="410">
        <f t="shared" si="501"/>
        <v>0.10500000000000005</v>
      </c>
      <c r="CI79" s="410">
        <f t="shared" si="501"/>
        <v>0.10500000000000008</v>
      </c>
      <c r="CJ79" s="408">
        <f t="shared" si="501"/>
        <v>0.10500000000000009</v>
      </c>
      <c r="CK79" s="410">
        <f t="shared" si="501"/>
        <v>0.13000000000000003</v>
      </c>
      <c r="CL79" s="410">
        <f t="shared" si="501"/>
        <v>0.13000000000000012</v>
      </c>
      <c r="CM79" s="410">
        <f t="shared" si="501"/>
        <v>0.12999999999999998</v>
      </c>
      <c r="CN79" s="410">
        <f t="shared" si="501"/>
        <v>0.13000000000000014</v>
      </c>
      <c r="CO79" s="408">
        <f t="shared" si="501"/>
        <v>0.13000000000000009</v>
      </c>
      <c r="CP79" s="410">
        <f t="shared" si="501"/>
        <v>0.15500000000000019</v>
      </c>
      <c r="CQ79" s="410">
        <f t="shared" si="501"/>
        <v>0.15500000000000005</v>
      </c>
      <c r="CR79" s="410">
        <f t="shared" si="501"/>
        <v>0.15499999999999997</v>
      </c>
      <c r="CS79" s="410">
        <f t="shared" si="501"/>
        <v>0.15500000000000017</v>
      </c>
      <c r="CT79" s="408">
        <f t="shared" si="501"/>
        <v>0.15500000000000008</v>
      </c>
      <c r="CU79" s="410">
        <f t="shared" si="501"/>
        <v>0.18</v>
      </c>
      <c r="CV79" s="410">
        <f t="shared" si="501"/>
        <v>0.17999999999999988</v>
      </c>
      <c r="CW79" s="410">
        <f t="shared" si="501"/>
        <v>0.18</v>
      </c>
      <c r="CX79" s="410">
        <f t="shared" si="501"/>
        <v>0.17999999999999997</v>
      </c>
      <c r="CY79" s="408">
        <f t="shared" si="501"/>
        <v>0.17999999999999997</v>
      </c>
      <c r="CZ79" s="410">
        <f t="shared" si="501"/>
        <v>0.20200000000000004</v>
      </c>
      <c r="DA79" s="410">
        <f t="shared" si="501"/>
        <v>0.20199999999999999</v>
      </c>
      <c r="DB79" s="410">
        <f t="shared" si="501"/>
        <v>0.20200000000000004</v>
      </c>
      <c r="DC79" s="410">
        <f t="shared" si="501"/>
        <v>0.20200000000000007</v>
      </c>
      <c r="DD79" s="408">
        <f t="shared" si="501"/>
        <v>0.20200000000000004</v>
      </c>
      <c r="DE79" s="410">
        <f t="shared" si="501"/>
        <v>0.20000000000000004</v>
      </c>
      <c r="DF79" s="410">
        <f t="shared" si="501"/>
        <v>0.20000000000000009</v>
      </c>
      <c r="DG79" s="410">
        <f t="shared" ref="DG79:EC79" si="502">DG78/DG48</f>
        <v>0.20000000000000012</v>
      </c>
      <c r="DH79" s="410">
        <f t="shared" si="502"/>
        <v>0.20000000000000012</v>
      </c>
      <c r="DI79" s="408">
        <f t="shared" si="502"/>
        <v>0.20000000000000007</v>
      </c>
      <c r="DJ79" s="410">
        <f t="shared" si="502"/>
        <v>0.20485000000000009</v>
      </c>
      <c r="DK79" s="410">
        <f t="shared" si="502"/>
        <v>0.2047000000000001</v>
      </c>
      <c r="DL79" s="410">
        <f t="shared" si="502"/>
        <v>0.20455000000000007</v>
      </c>
      <c r="DM79" s="410">
        <f t="shared" si="502"/>
        <v>0.2271526550169044</v>
      </c>
      <c r="DN79" s="408">
        <f t="shared" si="502"/>
        <v>0.21183928568283134</v>
      </c>
      <c r="DO79" s="410">
        <f t="shared" si="502"/>
        <v>0.2430848568436661</v>
      </c>
      <c r="DP79" s="410">
        <f t="shared" si="502"/>
        <v>0.24519232769026006</v>
      </c>
      <c r="DQ79" s="410">
        <f t="shared" si="502"/>
        <v>0.24454542844625723</v>
      </c>
      <c r="DR79" s="410">
        <f t="shared" si="502"/>
        <v>0.26724470301354031</v>
      </c>
      <c r="DS79" s="408">
        <f t="shared" si="502"/>
        <v>0.2515606181210957</v>
      </c>
      <c r="DT79" s="410">
        <f t="shared" si="502"/>
        <v>0.27142555071829277</v>
      </c>
      <c r="DU79" s="410">
        <f t="shared" si="502"/>
        <v>0.27536024076485904</v>
      </c>
      <c r="DV79" s="410">
        <f t="shared" si="502"/>
        <v>0.2743559710403225</v>
      </c>
      <c r="DW79" s="410">
        <f t="shared" si="502"/>
        <v>0.29728232470000826</v>
      </c>
      <c r="DX79" s="408">
        <f t="shared" si="502"/>
        <v>0.28120819241116951</v>
      </c>
      <c r="DY79" s="410">
        <f t="shared" si="502"/>
        <v>0.29443645611493019</v>
      </c>
      <c r="DZ79" s="410">
        <f t="shared" si="502"/>
        <v>0.29987855630993615</v>
      </c>
      <c r="EA79" s="410">
        <f t="shared" si="502"/>
        <v>0.29859364956702344</v>
      </c>
      <c r="EB79" s="410">
        <f t="shared" si="502"/>
        <v>0.32181884764117663</v>
      </c>
      <c r="EC79" s="408">
        <f t="shared" si="502"/>
        <v>0.30534033567336688</v>
      </c>
      <c r="ED79" s="578"/>
    </row>
    <row r="80" spans="1:135" ht="12" customHeight="1">
      <c r="A80" s="1189"/>
      <c r="B80" s="567"/>
      <c r="C80" s="1249" t="s">
        <v>140</v>
      </c>
      <c r="D80" s="772"/>
      <c r="E80" s="686"/>
      <c r="F80" s="686"/>
      <c r="G80" s="686"/>
      <c r="H80" s="686"/>
      <c r="I80" s="1250"/>
      <c r="J80" s="1250"/>
      <c r="K80" s="1250"/>
      <c r="L80" s="1250"/>
      <c r="M80" s="686"/>
      <c r="N80" s="1251"/>
      <c r="O80" s="1251"/>
      <c r="P80" s="1251"/>
      <c r="Q80" s="1251"/>
      <c r="R80" s="686"/>
      <c r="S80" s="1251"/>
      <c r="T80" s="1251"/>
      <c r="U80" s="1251"/>
      <c r="V80" s="1251"/>
      <c r="W80" s="686"/>
      <c r="X80" s="1251"/>
      <c r="Y80" s="1251"/>
      <c r="Z80" s="1251"/>
      <c r="AA80" s="1251"/>
      <c r="AB80" s="686"/>
      <c r="AC80" s="1251"/>
      <c r="AD80" s="1251"/>
      <c r="AE80" s="1251"/>
      <c r="AF80" s="1251"/>
      <c r="AG80" s="686"/>
      <c r="AH80" s="1251"/>
      <c r="AI80" s="1251"/>
      <c r="AJ80" s="1251"/>
      <c r="AK80" s="1251"/>
      <c r="AL80" s="686"/>
      <c r="AM80" s="1251"/>
      <c r="AN80" s="1251"/>
      <c r="AO80" s="1251"/>
      <c r="AP80" s="1251"/>
      <c r="AQ80" s="686"/>
      <c r="AR80" s="1251"/>
      <c r="AS80" s="1251"/>
      <c r="AT80" s="1251"/>
      <c r="AU80" s="1251"/>
      <c r="AV80" s="686"/>
      <c r="AW80" s="1251"/>
      <c r="AX80" s="1251"/>
      <c r="AY80" s="1251"/>
      <c r="AZ80" s="1251"/>
      <c r="BA80" s="686"/>
      <c r="BB80" s="1251"/>
      <c r="BC80" s="1251"/>
      <c r="BD80" s="1251"/>
      <c r="BE80" s="1251"/>
      <c r="BF80" s="686"/>
      <c r="BG80" s="1252"/>
      <c r="BH80" s="1252"/>
      <c r="BI80" s="1252"/>
      <c r="BJ80" s="1252"/>
      <c r="BK80" s="686"/>
      <c r="BL80" s="1251"/>
      <c r="BM80" s="1251"/>
      <c r="BN80" s="1251"/>
      <c r="BO80" s="1251"/>
      <c r="BP80" s="686"/>
      <c r="BQ80" s="1253"/>
      <c r="BR80" s="1253"/>
      <c r="BS80" s="1253"/>
      <c r="BT80" s="1253"/>
      <c r="BU80" s="683"/>
      <c r="BV80" s="1253"/>
      <c r="BW80" s="1253"/>
      <c r="BX80" s="1253"/>
      <c r="BY80" s="1253"/>
      <c r="BZ80" s="684"/>
      <c r="CA80" s="1251"/>
      <c r="CB80" s="1251"/>
      <c r="CC80" s="1251"/>
      <c r="CD80" s="1251"/>
      <c r="CE80" s="408"/>
      <c r="CF80" s="1251"/>
      <c r="CG80" s="1251"/>
      <c r="CH80" s="1251"/>
      <c r="CI80" s="1251"/>
      <c r="CJ80" s="408"/>
      <c r="CK80" s="1251"/>
      <c r="CL80" s="1251"/>
      <c r="CM80" s="1251"/>
      <c r="CN80" s="1251"/>
      <c r="CO80" s="408"/>
      <c r="CP80" s="1251">
        <f t="shared" ref="CP80:EC80" si="503">CP78/CK78-1</f>
        <v>0.87022320514885854</v>
      </c>
      <c r="CQ80" s="1251">
        <f t="shared" si="503"/>
        <v>1.9555285930350532</v>
      </c>
      <c r="CR80" s="1251">
        <f t="shared" si="503"/>
        <v>1.7671554959098019</v>
      </c>
      <c r="CS80" s="1251">
        <f t="shared" si="503"/>
        <v>1.5857414447760849</v>
      </c>
      <c r="CT80" s="686">
        <f t="shared" si="503"/>
        <v>1.5742646819509241</v>
      </c>
      <c r="CU80" s="1251">
        <f t="shared" si="503"/>
        <v>1.746899528360939</v>
      </c>
      <c r="CV80" s="1251">
        <f t="shared" si="503"/>
        <v>0.76065288094754879</v>
      </c>
      <c r="CW80" s="1251">
        <f t="shared" si="503"/>
        <v>0.7515782252396066</v>
      </c>
      <c r="CX80" s="1251">
        <f t="shared" si="503"/>
        <v>0.71093687636921388</v>
      </c>
      <c r="CY80" s="686">
        <f t="shared" si="503"/>
        <v>0.87895302304237632</v>
      </c>
      <c r="CZ80" s="1251">
        <f t="shared" si="503"/>
        <v>0.44293874571792946</v>
      </c>
      <c r="DA80" s="1251">
        <f t="shared" si="503"/>
        <v>0.32718719116463491</v>
      </c>
      <c r="DB80" s="1251">
        <f t="shared" si="503"/>
        <v>0.41059240203008329</v>
      </c>
      <c r="DC80" s="1251">
        <f t="shared" si="503"/>
        <v>0.45590361477011832</v>
      </c>
      <c r="DD80" s="686">
        <f t="shared" si="503"/>
        <v>0.41142821828729481</v>
      </c>
      <c r="DE80" s="1251">
        <f t="shared" si="503"/>
        <v>0.29805659715823363</v>
      </c>
      <c r="DF80" s="1251">
        <f t="shared" si="503"/>
        <v>0.33275587686700514</v>
      </c>
      <c r="DG80" s="1251">
        <f t="shared" si="503"/>
        <v>0.228248118402399</v>
      </c>
      <c r="DH80" s="1251">
        <f t="shared" si="503"/>
        <v>0.20097510573699373</v>
      </c>
      <c r="DI80" s="686">
        <f t="shared" si="503"/>
        <v>0.25757662528385628</v>
      </c>
      <c r="DJ80" s="1251">
        <f t="shared" si="503"/>
        <v>0.22800843694493822</v>
      </c>
      <c r="DK80" s="1251">
        <f t="shared" si="503"/>
        <v>0.21346160000000003</v>
      </c>
      <c r="DL80" s="1251">
        <f t="shared" si="503"/>
        <v>0.29259609120521146</v>
      </c>
      <c r="DM80" s="1251">
        <f t="shared" si="503"/>
        <v>0.43521100693145121</v>
      </c>
      <c r="DN80" s="686">
        <f t="shared" si="503"/>
        <v>0.30394009577293124</v>
      </c>
      <c r="DO80" s="1251">
        <f t="shared" si="503"/>
        <v>0.52537161758348749</v>
      </c>
      <c r="DP80" s="1251">
        <f t="shared" si="503"/>
        <v>0.48965303108194269</v>
      </c>
      <c r="DQ80" s="1251">
        <f t="shared" si="503"/>
        <v>0.47241625273137799</v>
      </c>
      <c r="DR80" s="1251">
        <f t="shared" si="503"/>
        <v>0.46129742861144529</v>
      </c>
      <c r="DS80" s="686">
        <f t="shared" si="503"/>
        <v>0.48321326201224468</v>
      </c>
      <c r="DT80" s="1251">
        <f t="shared" si="503"/>
        <v>0.35102879134741705</v>
      </c>
      <c r="DU80" s="1251">
        <f t="shared" si="503"/>
        <v>0.35908392812602719</v>
      </c>
      <c r="DV80" s="1251">
        <f t="shared" si="503"/>
        <v>0.35732505257588709</v>
      </c>
      <c r="DW80" s="1251">
        <f t="shared" si="503"/>
        <v>0.34618662732210836</v>
      </c>
      <c r="DX80" s="686">
        <f t="shared" si="503"/>
        <v>0.35265975081659651</v>
      </c>
      <c r="DY80" s="1251">
        <f t="shared" si="503"/>
        <v>0.29022279801859829</v>
      </c>
      <c r="DZ80" s="1251">
        <f t="shared" si="503"/>
        <v>0.29545536138344142</v>
      </c>
      <c r="EA80" s="1251">
        <f t="shared" si="503"/>
        <v>0.29437748195768609</v>
      </c>
      <c r="EB80" s="1251">
        <f t="shared" si="503"/>
        <v>0.28770433876786661</v>
      </c>
      <c r="EC80" s="686">
        <f t="shared" si="503"/>
        <v>0.29152090012178888</v>
      </c>
      <c r="ED80" s="578"/>
    </row>
    <row r="81" spans="1:134" ht="12" customHeight="1">
      <c r="A81" s="1193"/>
      <c r="B81" s="730"/>
      <c r="C81" s="1249" t="s">
        <v>338</v>
      </c>
      <c r="D81" s="772"/>
      <c r="E81" s="686"/>
      <c r="F81" s="686"/>
      <c r="G81" s="686"/>
      <c r="H81" s="686"/>
      <c r="I81" s="1250"/>
      <c r="J81" s="1250"/>
      <c r="K81" s="1250"/>
      <c r="L81" s="1250"/>
      <c r="M81" s="686"/>
      <c r="N81" s="1251"/>
      <c r="O81" s="1251"/>
      <c r="P81" s="1251"/>
      <c r="Q81" s="1251"/>
      <c r="R81" s="686"/>
      <c r="S81" s="1251"/>
      <c r="T81" s="1251"/>
      <c r="U81" s="1251"/>
      <c r="V81" s="1251"/>
      <c r="W81" s="686"/>
      <c r="X81" s="1251"/>
      <c r="Y81" s="1251"/>
      <c r="Z81" s="1251"/>
      <c r="AA81" s="1251"/>
      <c r="AB81" s="686"/>
      <c r="AC81" s="1251"/>
      <c r="AD81" s="1251"/>
      <c r="AE81" s="1251"/>
      <c r="AF81" s="1251"/>
      <c r="AG81" s="686"/>
      <c r="AH81" s="1251"/>
      <c r="AI81" s="1251"/>
      <c r="AJ81" s="1251"/>
      <c r="AK81" s="1251"/>
      <c r="AL81" s="686"/>
      <c r="AM81" s="1251"/>
      <c r="AN81" s="1251"/>
      <c r="AO81" s="1251"/>
      <c r="AP81" s="1251"/>
      <c r="AQ81" s="686"/>
      <c r="AR81" s="1251"/>
      <c r="AS81" s="1251"/>
      <c r="AT81" s="1251"/>
      <c r="AU81" s="1251"/>
      <c r="AV81" s="686"/>
      <c r="AW81" s="1251"/>
      <c r="AX81" s="1251"/>
      <c r="AY81" s="1251"/>
      <c r="AZ81" s="1251"/>
      <c r="BA81" s="686"/>
      <c r="BB81" s="1251"/>
      <c r="BC81" s="1251"/>
      <c r="BD81" s="1251"/>
      <c r="BE81" s="1251"/>
      <c r="BF81" s="686"/>
      <c r="BG81" s="1252"/>
      <c r="BH81" s="1252"/>
      <c r="BI81" s="1252"/>
      <c r="BJ81" s="1252"/>
      <c r="BK81" s="686"/>
      <c r="BL81" s="1251"/>
      <c r="BM81" s="1251"/>
      <c r="BN81" s="1251"/>
      <c r="BO81" s="1251"/>
      <c r="BP81" s="686"/>
      <c r="BQ81" s="1251"/>
      <c r="BR81" s="1251"/>
      <c r="BS81" s="1251"/>
      <c r="BT81" s="1251"/>
      <c r="BU81" s="686"/>
      <c r="BV81" s="1251"/>
      <c r="BW81" s="1251"/>
      <c r="BX81" s="1251"/>
      <c r="BY81" s="1251"/>
      <c r="BZ81" s="408"/>
      <c r="CA81" s="1251"/>
      <c r="CB81" s="1251">
        <f>CB78/CA78-1</f>
        <v>0.22600652383650677</v>
      </c>
      <c r="CC81" s="1251">
        <f>CC78/CB78-1</f>
        <v>0.11197022121738165</v>
      </c>
      <c r="CD81" s="1251">
        <f>CD78/CC78-1</f>
        <v>0.44792801698475615</v>
      </c>
      <c r="CE81" s="408"/>
      <c r="CF81" s="1251"/>
      <c r="CG81" s="1251">
        <f>CG78/CF78-1</f>
        <v>0.17609644127490309</v>
      </c>
      <c r="CH81" s="1251">
        <f>CH78/CG78-1</f>
        <v>0.11401051831766451</v>
      </c>
      <c r="CI81" s="1251">
        <f>CI78/CH78-1</f>
        <v>0.40626023925588628</v>
      </c>
      <c r="CJ81" s="408"/>
      <c r="CK81" s="1251"/>
      <c r="CL81" s="1251">
        <f>CL78/CK78-1</f>
        <v>0.16053346368125565</v>
      </c>
      <c r="CM81" s="1251">
        <f>CM78/CL78-1</f>
        <v>7.6785748473186199E-2</v>
      </c>
      <c r="CN81" s="1251">
        <f>CN78/CM78-1</f>
        <v>0.43124347149683517</v>
      </c>
      <c r="CO81" s="408"/>
      <c r="CP81" s="1251">
        <f>CP78/CN78-1</f>
        <v>4.566592497423505E-2</v>
      </c>
      <c r="CQ81" s="1251">
        <f>CQ78/CP78-1</f>
        <v>0.83400025496472852</v>
      </c>
      <c r="CR81" s="1251">
        <f>CR78/CQ78-1</f>
        <v>8.1559044384409418E-3</v>
      </c>
      <c r="CS81" s="1251">
        <f>CS78/CR78-1</f>
        <v>0.33741149251816305</v>
      </c>
      <c r="CT81" s="408"/>
      <c r="CU81" s="1251">
        <f>CU78/CS78-1</f>
        <v>0.11083776064994955</v>
      </c>
      <c r="CV81" s="1251">
        <f>CV78/CU78-1</f>
        <v>0.17552090974690238</v>
      </c>
      <c r="CW81" s="1251">
        <f>CW78/CV78-1</f>
        <v>2.9597253211894881E-3</v>
      </c>
      <c r="CX81" s="1251">
        <f>CX78/CW78-1</f>
        <v>0.30637993122819118</v>
      </c>
      <c r="CY81" s="408"/>
      <c r="CZ81" s="1251">
        <f>CZ78/CX78-1</f>
        <v>-6.3161904342251107E-2</v>
      </c>
      <c r="DA81" s="1251">
        <f>DA78/CZ78-1</f>
        <v>8.1221430218125557E-2</v>
      </c>
      <c r="DB81" s="1251">
        <f>DB78/DA78-1</f>
        <v>6.5989317481855103E-2</v>
      </c>
      <c r="DC81" s="1251">
        <f>DC78/DB78-1</f>
        <v>0.34834361889445309</v>
      </c>
      <c r="DD81" s="408"/>
      <c r="DE81" s="1251">
        <f>DE78/DC78-1</f>
        <v>-0.16473257006803299</v>
      </c>
      <c r="DF81" s="1251">
        <f>DF78/DE78-1</f>
        <v>0.11012433392539989</v>
      </c>
      <c r="DG81" s="1251">
        <f>DG78/DF78-1</f>
        <v>-1.7599999999999949E-2</v>
      </c>
      <c r="DH81" s="1251">
        <f>DH78/DG78-1</f>
        <v>0.3184039087947883</v>
      </c>
      <c r="DI81" s="408"/>
      <c r="DJ81" s="1251">
        <f>DJ78/DI78-1</f>
        <v>-0.73525990809879382</v>
      </c>
      <c r="DK81" s="1251">
        <f>DK78/DJ78-1</f>
        <v>9.697393756949535E-2</v>
      </c>
      <c r="DL81" s="1251">
        <f>DL78/DK78-1</f>
        <v>4.6466076882861307E-2</v>
      </c>
      <c r="DM81" s="1251">
        <f>DM78/DL78-1</f>
        <v>0.46386625672019544</v>
      </c>
      <c r="DN81" s="408"/>
      <c r="DO81" s="1251">
        <f>DO78/DM78-1</f>
        <v>-9.2278134038533799E-2</v>
      </c>
      <c r="DP81" s="1251">
        <f>DP78/DO78-1</f>
        <v>7.1286847271401665E-2</v>
      </c>
      <c r="DQ81" s="1251">
        <f>DQ78/DP78-1</f>
        <v>3.4357415709920902E-2</v>
      </c>
      <c r="DR81" s="1251">
        <f>DR78/DQ78-1</f>
        <v>0.45281199715644571</v>
      </c>
      <c r="DS81" s="408"/>
      <c r="DT81" s="1251">
        <f>DT78/DR78-1</f>
        <v>-0.16077428767198154</v>
      </c>
      <c r="DU81" s="1251">
        <f>DU78/DT78-1</f>
        <v>7.7674099814917685E-2</v>
      </c>
      <c r="DV81" s="1251">
        <f>DV78/DU78-1</f>
        <v>3.3018789057844389E-2</v>
      </c>
      <c r="DW81" s="1251">
        <f>DW78/DV78-1</f>
        <v>0.44088999084895852</v>
      </c>
      <c r="DX81" s="408"/>
      <c r="DY81" s="1251">
        <f>DY78/DW78-1</f>
        <v>-0.1956626780025772</v>
      </c>
      <c r="DZ81" s="1251">
        <f>DZ78/DY78-1</f>
        <v>8.204466125794263E-2</v>
      </c>
      <c r="EA81" s="1251">
        <f>EA78/DZ78-1</f>
        <v>3.2159269129689472E-2</v>
      </c>
      <c r="EB81" s="1251">
        <f>EB78/EA78-1</f>
        <v>0.43346150467414502</v>
      </c>
      <c r="EC81" s="408"/>
      <c r="ED81" s="751"/>
    </row>
    <row r="82" spans="1:134" ht="12" customHeight="1">
      <c r="A82" s="1193"/>
      <c r="B82" s="730"/>
      <c r="C82" s="1249" t="s">
        <v>335</v>
      </c>
      <c r="D82" s="772"/>
      <c r="E82" s="686"/>
      <c r="F82" s="686"/>
      <c r="G82" s="686"/>
      <c r="H82" s="686"/>
      <c r="I82" s="1250"/>
      <c r="J82" s="1250"/>
      <c r="K82" s="1250"/>
      <c r="L82" s="1250"/>
      <c r="M82" s="686"/>
      <c r="N82" s="1251"/>
      <c r="O82" s="1251"/>
      <c r="P82" s="1251"/>
      <c r="Q82" s="1251"/>
      <c r="R82" s="686"/>
      <c r="S82" s="1251"/>
      <c r="T82" s="1251"/>
      <c r="U82" s="1251"/>
      <c r="V82" s="1251"/>
      <c r="W82" s="686"/>
      <c r="X82" s="1251"/>
      <c r="Y82" s="1251"/>
      <c r="Z82" s="1251"/>
      <c r="AA82" s="1251"/>
      <c r="AB82" s="686"/>
      <c r="AC82" s="1251"/>
      <c r="AD82" s="1251"/>
      <c r="AE82" s="1251"/>
      <c r="AF82" s="1251"/>
      <c r="AG82" s="686"/>
      <c r="AH82" s="1251"/>
      <c r="AI82" s="1251"/>
      <c r="AJ82" s="1251"/>
      <c r="AK82" s="1251"/>
      <c r="AL82" s="686"/>
      <c r="AM82" s="1251"/>
      <c r="AN82" s="1251"/>
      <c r="AO82" s="1251"/>
      <c r="AP82" s="1251"/>
      <c r="AQ82" s="686"/>
      <c r="AR82" s="1251"/>
      <c r="AS82" s="1251"/>
      <c r="AT82" s="1251"/>
      <c r="AU82" s="1251"/>
      <c r="AV82" s="686"/>
      <c r="AW82" s="1251"/>
      <c r="AX82" s="1251"/>
      <c r="AY82" s="1251"/>
      <c r="AZ82" s="1251"/>
      <c r="BA82" s="686"/>
      <c r="BB82" s="1251"/>
      <c r="BC82" s="1251"/>
      <c r="BD82" s="1251"/>
      <c r="BE82" s="1251"/>
      <c r="BF82" s="686"/>
      <c r="BG82" s="1252"/>
      <c r="BH82" s="1252"/>
      <c r="BI82" s="1252"/>
      <c r="BJ82" s="1252"/>
      <c r="BK82" s="686"/>
      <c r="BL82" s="1251"/>
      <c r="BM82" s="1251"/>
      <c r="BN82" s="1251"/>
      <c r="BO82" s="1251"/>
      <c r="BP82" s="686"/>
      <c r="BQ82" s="1251"/>
      <c r="BR82" s="1251"/>
      <c r="BS82" s="1251"/>
      <c r="BT82" s="1251"/>
      <c r="BU82" s="686"/>
      <c r="BV82" s="1251"/>
      <c r="BW82" s="1251"/>
      <c r="BX82" s="1251"/>
      <c r="BY82" s="1251"/>
      <c r="BZ82" s="408"/>
      <c r="CA82" s="1251">
        <f t="shared" ref="CA82:DF82" si="504">CA78/CA21</f>
        <v>4.1010841661498362E-2</v>
      </c>
      <c r="CB82" s="1251">
        <f t="shared" si="504"/>
        <v>4.2231116679305028E-2</v>
      </c>
      <c r="CC82" s="1251">
        <f t="shared" si="504"/>
        <v>4.1536487495334062E-2</v>
      </c>
      <c r="CD82" s="1251">
        <f t="shared" si="504"/>
        <v>4.6279318175698095E-2</v>
      </c>
      <c r="CE82" s="686">
        <f t="shared" si="504"/>
        <v>4.3163028884426642E-2</v>
      </c>
      <c r="CF82" s="1251">
        <f t="shared" si="504"/>
        <v>5.5915414761593799E-2</v>
      </c>
      <c r="CG82" s="1251">
        <f t="shared" si="504"/>
        <v>5.7540975575903361E-2</v>
      </c>
      <c r="CH82" s="1251">
        <f t="shared" si="504"/>
        <v>5.8143384531074156E-2</v>
      </c>
      <c r="CI82" s="1251">
        <f t="shared" si="504"/>
        <v>6.4216778824063195E-2</v>
      </c>
      <c r="CJ82" s="686">
        <f t="shared" si="504"/>
        <v>5.9506838708234741E-2</v>
      </c>
      <c r="CK82" s="1251">
        <f t="shared" si="504"/>
        <v>7.3027595933624997E-2</v>
      </c>
      <c r="CL82" s="1251">
        <f t="shared" si="504"/>
        <v>7.5035181598932604E-2</v>
      </c>
      <c r="CM82" s="1251">
        <f t="shared" si="504"/>
        <v>7.4885674634875735E-2</v>
      </c>
      <c r="CN82" s="1251">
        <f t="shared" si="504"/>
        <v>8.2863290838546294E-2</v>
      </c>
      <c r="CO82" s="686">
        <f t="shared" si="504"/>
        <v>7.709621188551577E-2</v>
      </c>
      <c r="CP82" s="1251">
        <f t="shared" si="504"/>
        <v>9.3129078448769373E-2</v>
      </c>
      <c r="CQ82" s="1251">
        <f t="shared" si="504"/>
        <v>0.1123771210108338</v>
      </c>
      <c r="CR82" s="1251">
        <f t="shared" si="504"/>
        <v>0.10545970511007874</v>
      </c>
      <c r="CS82" s="1251">
        <f t="shared" si="504"/>
        <v>0.11070087875762993</v>
      </c>
      <c r="CT82" s="686">
        <f t="shared" si="504"/>
        <v>0.10691747132863702</v>
      </c>
      <c r="CU82" s="1251">
        <f t="shared" si="504"/>
        <v>0.12161457021565837</v>
      </c>
      <c r="CV82" s="1251">
        <f t="shared" si="504"/>
        <v>0.12625670756490931</v>
      </c>
      <c r="CW82" s="1251">
        <f t="shared" si="504"/>
        <v>0.12614640397244914</v>
      </c>
      <c r="CX82" s="1251">
        <f t="shared" si="504"/>
        <v>0.13419105754682525</v>
      </c>
      <c r="CY82" s="686">
        <f t="shared" si="504"/>
        <v>0.12760891927241438</v>
      </c>
      <c r="CZ82" s="1251">
        <f t="shared" si="504"/>
        <v>0.14413992088884978</v>
      </c>
      <c r="DA82" s="1251">
        <f t="shared" si="504"/>
        <v>0.1448433319460134</v>
      </c>
      <c r="DB82" s="1251">
        <f t="shared" si="504"/>
        <v>0.146361878202313</v>
      </c>
      <c r="DC82" s="1251">
        <f t="shared" si="504"/>
        <v>0.15539923157527075</v>
      </c>
      <c r="DD82" s="686">
        <f t="shared" si="504"/>
        <v>0.14833310416110107</v>
      </c>
      <c r="DE82" s="1251">
        <f t="shared" si="504"/>
        <v>0.14933687002652524</v>
      </c>
      <c r="DF82" s="1251">
        <f t="shared" si="504"/>
        <v>0.14757969303423857</v>
      </c>
      <c r="DG82" s="1251">
        <f t="shared" ref="DG82:EC82" si="505">DG78/DG21</f>
        <v>0.14329054842473754</v>
      </c>
      <c r="DH82" s="1251">
        <f t="shared" si="505"/>
        <v>0.15102611940298516</v>
      </c>
      <c r="DI82" s="686">
        <f t="shared" si="505"/>
        <v>0.14796033994334282</v>
      </c>
      <c r="DJ82" s="1251">
        <f t="shared" si="505"/>
        <v>0.14860155830198823</v>
      </c>
      <c r="DK82" s="1251">
        <f t="shared" si="505"/>
        <v>0.1483449388753057</v>
      </c>
      <c r="DL82" s="1251">
        <f t="shared" si="505"/>
        <v>0.14683700277520817</v>
      </c>
      <c r="DM82" s="1251">
        <f t="shared" si="505"/>
        <v>0.17189050952234647</v>
      </c>
      <c r="DN82" s="686">
        <f t="shared" si="505"/>
        <v>0.15528495395367101</v>
      </c>
      <c r="DO82" s="1251">
        <f t="shared" si="505"/>
        <v>0.18035858608758512</v>
      </c>
      <c r="DP82" s="1251">
        <f t="shared" si="505"/>
        <v>0.18018503736488262</v>
      </c>
      <c r="DQ82" s="1251">
        <f t="shared" si="505"/>
        <v>0.17760348653981275</v>
      </c>
      <c r="DR82" s="1251">
        <f t="shared" si="505"/>
        <v>0.204674066929103</v>
      </c>
      <c r="DS82" s="408">
        <f t="shared" si="505"/>
        <v>0.18711902899489552</v>
      </c>
      <c r="DT82" s="1251">
        <f t="shared" si="505"/>
        <v>0.20359882027073997</v>
      </c>
      <c r="DU82" s="1251">
        <f t="shared" si="505"/>
        <v>0.20464932081799617</v>
      </c>
      <c r="DV82" s="1251">
        <f t="shared" si="505"/>
        <v>0.20157236431489484</v>
      </c>
      <c r="DW82" s="1251">
        <f t="shared" si="505"/>
        <v>0.22995515336237488</v>
      </c>
      <c r="DX82" s="408">
        <f t="shared" si="505"/>
        <v>0.21145697280058937</v>
      </c>
      <c r="DY82" s="1251">
        <f t="shared" si="505"/>
        <v>0.22279854431915372</v>
      </c>
      <c r="DZ82" s="1251">
        <f t="shared" si="505"/>
        <v>0.2248897593502874</v>
      </c>
      <c r="EA82" s="1251">
        <f t="shared" si="505"/>
        <v>0.22142205652469532</v>
      </c>
      <c r="EB82" s="1251">
        <f t="shared" si="505"/>
        <v>0.25092020962180461</v>
      </c>
      <c r="EC82" s="408">
        <f t="shared" si="505"/>
        <v>0.23160684973564041</v>
      </c>
      <c r="ED82" s="751"/>
    </row>
    <row r="83" spans="1:134" ht="12" customHeight="1">
      <c r="A83" s="1189"/>
      <c r="B83" s="567"/>
      <c r="C83" s="688" t="s">
        <v>328</v>
      </c>
      <c r="D83" s="589"/>
      <c r="E83" s="590"/>
      <c r="F83" s="590"/>
      <c r="G83" s="590"/>
      <c r="H83" s="590"/>
      <c r="I83" s="591"/>
      <c r="J83" s="591"/>
      <c r="K83" s="591"/>
      <c r="L83" s="591"/>
      <c r="M83" s="590"/>
      <c r="N83" s="419"/>
      <c r="O83" s="419"/>
      <c r="P83" s="419"/>
      <c r="Q83" s="419"/>
      <c r="R83" s="590"/>
      <c r="S83" s="419"/>
      <c r="T83" s="419"/>
      <c r="U83" s="419"/>
      <c r="V83" s="419"/>
      <c r="W83" s="590"/>
      <c r="X83" s="419"/>
      <c r="Y83" s="419"/>
      <c r="Z83" s="419"/>
      <c r="AA83" s="419"/>
      <c r="AB83" s="590"/>
      <c r="AC83" s="419"/>
      <c r="AD83" s="419"/>
      <c r="AE83" s="419"/>
      <c r="AF83" s="419"/>
      <c r="AG83" s="590"/>
      <c r="AH83" s="419"/>
      <c r="AI83" s="419"/>
      <c r="AJ83" s="419"/>
      <c r="AK83" s="419"/>
      <c r="AL83" s="590"/>
      <c r="AM83" s="419"/>
      <c r="AN83" s="419"/>
      <c r="AO83" s="419"/>
      <c r="AP83" s="419"/>
      <c r="AQ83" s="590"/>
      <c r="AR83" s="419"/>
      <c r="AS83" s="419"/>
      <c r="AT83" s="419"/>
      <c r="AU83" s="419"/>
      <c r="AV83" s="590"/>
      <c r="AW83" s="419"/>
      <c r="AX83" s="419"/>
      <c r="AY83" s="419"/>
      <c r="AZ83" s="419"/>
      <c r="BA83" s="590"/>
      <c r="BB83" s="419"/>
      <c r="BC83" s="419"/>
      <c r="BD83" s="419"/>
      <c r="BE83" s="419"/>
      <c r="BF83" s="590"/>
      <c r="BG83" s="628"/>
      <c r="BH83" s="628"/>
      <c r="BI83" s="628"/>
      <c r="BJ83" s="628"/>
      <c r="BK83" s="590"/>
      <c r="BL83" s="419"/>
      <c r="BM83" s="419"/>
      <c r="BN83" s="419"/>
      <c r="BO83" s="419"/>
      <c r="BP83" s="590"/>
      <c r="BQ83" s="419"/>
      <c r="BR83" s="419"/>
      <c r="BS83" s="419"/>
      <c r="BT83" s="419"/>
      <c r="BU83" s="286"/>
      <c r="BV83" s="419"/>
      <c r="BW83" s="419"/>
      <c r="BX83" s="419"/>
      <c r="BY83" s="419"/>
      <c r="BZ83" s="286"/>
      <c r="CA83" s="419"/>
      <c r="CB83" s="419"/>
      <c r="CC83" s="419"/>
      <c r="CD83" s="419"/>
      <c r="CE83" s="286"/>
      <c r="CF83" s="419"/>
      <c r="CG83" s="419"/>
      <c r="CH83" s="419"/>
      <c r="CI83" s="419"/>
      <c r="CJ83" s="286"/>
      <c r="CK83" s="419"/>
      <c r="CL83" s="419"/>
      <c r="CM83" s="419"/>
      <c r="CN83" s="419"/>
      <c r="CO83" s="286"/>
      <c r="CP83" s="419"/>
      <c r="CQ83" s="419"/>
      <c r="CR83" s="419"/>
      <c r="CS83" s="419"/>
      <c r="CT83" s="286"/>
      <c r="CU83" s="419"/>
      <c r="CV83" s="419"/>
      <c r="CW83" s="419"/>
      <c r="CX83" s="743"/>
      <c r="CY83" s="286"/>
      <c r="CZ83" s="419"/>
      <c r="DA83" s="419"/>
      <c r="DB83" s="419"/>
      <c r="DC83" s="419"/>
      <c r="DD83" s="286"/>
      <c r="DE83" s="419"/>
      <c r="DF83" s="419"/>
      <c r="DG83" s="419"/>
      <c r="DH83" s="419"/>
      <c r="DI83" s="286"/>
      <c r="DJ83" s="419"/>
      <c r="DK83" s="419"/>
      <c r="DL83" s="419"/>
      <c r="DM83" s="419"/>
      <c r="DN83" s="286"/>
      <c r="DO83" s="419"/>
      <c r="DP83" s="419"/>
      <c r="DQ83" s="419"/>
      <c r="DR83" s="419"/>
      <c r="DS83" s="286"/>
      <c r="DT83" s="419"/>
      <c r="DU83" s="419"/>
      <c r="DV83" s="419"/>
      <c r="DW83" s="419"/>
      <c r="DX83" s="286"/>
      <c r="DY83" s="419"/>
      <c r="DZ83" s="419"/>
      <c r="EA83" s="419"/>
      <c r="EB83" s="419"/>
      <c r="EC83" s="286"/>
      <c r="ED83" s="578"/>
    </row>
    <row r="84" spans="1:134" ht="12" customHeight="1">
      <c r="A84" s="1189"/>
      <c r="B84" s="567"/>
      <c r="C84" s="451" t="s">
        <v>151</v>
      </c>
      <c r="D84" s="589"/>
      <c r="E84" s="590"/>
      <c r="F84" s="590"/>
      <c r="G84" s="590"/>
      <c r="H84" s="590"/>
      <c r="I84" s="591"/>
      <c r="J84" s="591"/>
      <c r="K84" s="591"/>
      <c r="L84" s="591"/>
      <c r="M84" s="590"/>
      <c r="N84" s="419"/>
      <c r="O84" s="419"/>
      <c r="P84" s="419"/>
      <c r="Q84" s="419"/>
      <c r="R84" s="590"/>
      <c r="S84" s="419"/>
      <c r="T84" s="419"/>
      <c r="U84" s="419"/>
      <c r="V84" s="419"/>
      <c r="W84" s="590"/>
      <c r="X84" s="419"/>
      <c r="Y84" s="419"/>
      <c r="Z84" s="419"/>
      <c r="AA84" s="419"/>
      <c r="AB84" s="590"/>
      <c r="AC84" s="419"/>
      <c r="AD84" s="419"/>
      <c r="AE84" s="419"/>
      <c r="AF84" s="419"/>
      <c r="AG84" s="590"/>
      <c r="AH84" s="419"/>
      <c r="AI84" s="419"/>
      <c r="AJ84" s="419"/>
      <c r="AK84" s="419"/>
      <c r="AL84" s="590"/>
      <c r="AM84" s="419"/>
      <c r="AN84" s="419"/>
      <c r="AO84" s="419"/>
      <c r="AP84" s="419"/>
      <c r="AQ84" s="590"/>
      <c r="AR84" s="419"/>
      <c r="AS84" s="419"/>
      <c r="AT84" s="419"/>
      <c r="AU84" s="419"/>
      <c r="AV84" s="590"/>
      <c r="AW84" s="419"/>
      <c r="AX84" s="419"/>
      <c r="AY84" s="419"/>
      <c r="AZ84" s="419"/>
      <c r="BA84" s="590"/>
      <c r="BB84" s="419"/>
      <c r="BC84" s="419"/>
      <c r="BD84" s="419"/>
      <c r="BE84" s="419"/>
      <c r="BF84" s="590"/>
      <c r="BG84" s="628"/>
      <c r="BH84" s="628"/>
      <c r="BI84" s="628"/>
      <c r="BJ84" s="628"/>
      <c r="BK84" s="590"/>
      <c r="BL84" s="419"/>
      <c r="BM84" s="419"/>
      <c r="BN84" s="419"/>
      <c r="BO84" s="419"/>
      <c r="BP84" s="590"/>
      <c r="BQ84" s="419"/>
      <c r="BR84" s="419"/>
      <c r="BS84" s="419"/>
      <c r="BT84" s="419"/>
      <c r="BU84" s="286"/>
      <c r="BV84" s="419"/>
      <c r="BW84" s="419"/>
      <c r="BX84" s="419"/>
      <c r="BY84" s="419">
        <f>SUM(BY85:BY86)</f>
        <v>0.64999999999999991</v>
      </c>
      <c r="BZ84" s="286"/>
      <c r="CA84" s="419"/>
      <c r="CB84" s="419"/>
      <c r="CC84" s="419"/>
      <c r="CD84" s="419">
        <f>SUM(CD85:CD86)</f>
        <v>0.63000000000000012</v>
      </c>
      <c r="CE84" s="286"/>
      <c r="CF84" s="419"/>
      <c r="CG84" s="419"/>
      <c r="CH84" s="419"/>
      <c r="CI84" s="419">
        <f>SUM(CI85:CI86)</f>
        <v>0.62000000000000011</v>
      </c>
      <c r="CJ84" s="286"/>
      <c r="CK84" s="419"/>
      <c r="CL84" s="419"/>
      <c r="CM84" s="419"/>
      <c r="CN84" s="419">
        <f>SUM(CN85:CN86)</f>
        <v>0.58000000000000007</v>
      </c>
      <c r="CO84" s="286"/>
      <c r="CP84" s="419"/>
      <c r="CQ84" s="419"/>
      <c r="CR84" s="419"/>
      <c r="CS84" s="675">
        <v>0.56000000000000005</v>
      </c>
      <c r="CT84" s="286"/>
      <c r="CU84" s="419"/>
      <c r="CV84" s="419"/>
      <c r="CW84" s="419"/>
      <c r="CX84" s="675">
        <v>0.55000000000000004</v>
      </c>
      <c r="CY84" s="286"/>
      <c r="CZ84" s="419"/>
      <c r="DA84" s="419"/>
      <c r="DB84" s="419"/>
      <c r="DC84" s="675">
        <v>0.55000000000000004</v>
      </c>
      <c r="DD84" s="286"/>
      <c r="DE84" s="419"/>
      <c r="DF84" s="419"/>
      <c r="DG84" s="419"/>
      <c r="DH84" s="675">
        <v>0.54</v>
      </c>
      <c r="DI84" s="286"/>
      <c r="DJ84" s="419"/>
      <c r="DK84" s="419"/>
      <c r="DL84" s="419"/>
      <c r="DM84" s="420">
        <f>DH84-0.5%</f>
        <v>0.53500000000000003</v>
      </c>
      <c r="DN84" s="286"/>
      <c r="DO84" s="419"/>
      <c r="DP84" s="419"/>
      <c r="DQ84" s="419"/>
      <c r="DR84" s="420">
        <f>DM84-0.5%</f>
        <v>0.53</v>
      </c>
      <c r="DS84" s="286"/>
      <c r="DT84" s="419"/>
      <c r="DU84" s="419"/>
      <c r="DV84" s="419"/>
      <c r="DW84" s="420">
        <f>DR84-0.5%</f>
        <v>0.52500000000000002</v>
      </c>
      <c r="DX84" s="286"/>
      <c r="DY84" s="419"/>
      <c r="DZ84" s="419"/>
      <c r="EA84" s="419"/>
      <c r="EB84" s="420">
        <f>DW84-0.5%</f>
        <v>0.52</v>
      </c>
      <c r="EC84" s="286"/>
      <c r="ED84" s="578"/>
    </row>
    <row r="85" spans="1:134" ht="12" customHeight="1">
      <c r="A85" s="1189"/>
      <c r="B85" s="567"/>
      <c r="C85" s="689" t="s">
        <v>329</v>
      </c>
      <c r="D85" s="589"/>
      <c r="E85" s="590"/>
      <c r="F85" s="590"/>
      <c r="G85" s="590"/>
      <c r="H85" s="590"/>
      <c r="I85" s="591"/>
      <c r="J85" s="591"/>
      <c r="K85" s="591"/>
      <c r="L85" s="591"/>
      <c r="M85" s="590"/>
      <c r="N85" s="419"/>
      <c r="O85" s="419"/>
      <c r="P85" s="419"/>
      <c r="Q85" s="419"/>
      <c r="R85" s="590"/>
      <c r="S85" s="419"/>
      <c r="T85" s="419"/>
      <c r="U85" s="419"/>
      <c r="V85" s="419"/>
      <c r="W85" s="590"/>
      <c r="X85" s="419"/>
      <c r="Y85" s="419"/>
      <c r="Z85" s="419"/>
      <c r="AA85" s="419"/>
      <c r="AB85" s="590"/>
      <c r="AC85" s="419"/>
      <c r="AD85" s="419"/>
      <c r="AE85" s="419"/>
      <c r="AF85" s="419"/>
      <c r="AG85" s="590"/>
      <c r="AH85" s="419"/>
      <c r="AI85" s="419"/>
      <c r="AJ85" s="419"/>
      <c r="AK85" s="419"/>
      <c r="AL85" s="590"/>
      <c r="AM85" s="419"/>
      <c r="AN85" s="419"/>
      <c r="AO85" s="419"/>
      <c r="AP85" s="419"/>
      <c r="AQ85" s="590"/>
      <c r="AR85" s="419"/>
      <c r="AS85" s="419"/>
      <c r="AT85" s="419"/>
      <c r="AU85" s="419"/>
      <c r="AV85" s="590"/>
      <c r="AW85" s="419"/>
      <c r="AX85" s="419"/>
      <c r="AY85" s="419"/>
      <c r="AZ85" s="419"/>
      <c r="BA85" s="590"/>
      <c r="BB85" s="419"/>
      <c r="BC85" s="419"/>
      <c r="BD85" s="419"/>
      <c r="BE85" s="419"/>
      <c r="BF85" s="590"/>
      <c r="BG85" s="628"/>
      <c r="BH85" s="628"/>
      <c r="BI85" s="628"/>
      <c r="BJ85" s="628"/>
      <c r="BK85" s="590"/>
      <c r="BL85" s="419"/>
      <c r="BM85" s="419"/>
      <c r="BN85" s="419"/>
      <c r="BO85" s="419"/>
      <c r="BP85" s="590"/>
      <c r="BQ85" s="419"/>
      <c r="BR85" s="419"/>
      <c r="BS85" s="419"/>
      <c r="BT85" s="419"/>
      <c r="BU85" s="286"/>
      <c r="BV85" s="419"/>
      <c r="BW85" s="419"/>
      <c r="BX85" s="419"/>
      <c r="BY85" s="675">
        <v>0.57999999999999996</v>
      </c>
      <c r="BZ85" s="286"/>
      <c r="CA85" s="419"/>
      <c r="CB85" s="419"/>
      <c r="CC85" s="419"/>
      <c r="CD85" s="675">
        <v>0.56000000000000005</v>
      </c>
      <c r="CE85" s="286"/>
      <c r="CF85" s="419"/>
      <c r="CG85" s="419"/>
      <c r="CH85" s="419"/>
      <c r="CI85" s="675">
        <v>0.55000000000000004</v>
      </c>
      <c r="CJ85" s="286"/>
      <c r="CK85" s="419"/>
      <c r="CL85" s="419"/>
      <c r="CM85" s="419"/>
      <c r="CN85" s="675">
        <v>0.52</v>
      </c>
      <c r="CO85" s="286"/>
      <c r="CP85" s="419"/>
      <c r="CQ85" s="419"/>
      <c r="CR85" s="419"/>
      <c r="CS85" s="675">
        <v>0.5</v>
      </c>
      <c r="CT85" s="286"/>
      <c r="CU85" s="419"/>
      <c r="CV85" s="419"/>
      <c r="CW85" s="419"/>
      <c r="CX85" s="675"/>
      <c r="CY85" s="286"/>
      <c r="CZ85" s="419"/>
      <c r="DA85" s="419"/>
      <c r="DB85" s="419"/>
      <c r="DC85" s="675"/>
      <c r="DD85" s="286"/>
      <c r="DE85" s="419"/>
      <c r="DF85" s="419"/>
      <c r="DG85" s="419"/>
      <c r="DH85" s="675"/>
      <c r="DI85" s="286"/>
      <c r="DJ85" s="419"/>
      <c r="DK85" s="419"/>
      <c r="DL85" s="419"/>
      <c r="DM85" s="419"/>
      <c r="DN85" s="286"/>
      <c r="DO85" s="419"/>
      <c r="DP85" s="419"/>
      <c r="DQ85" s="419"/>
      <c r="DR85" s="420"/>
      <c r="DS85" s="286"/>
      <c r="DT85" s="419"/>
      <c r="DU85" s="419"/>
      <c r="DV85" s="419"/>
      <c r="DW85" s="420"/>
      <c r="DX85" s="286"/>
      <c r="DY85" s="419"/>
      <c r="DZ85" s="419"/>
      <c r="EA85" s="419"/>
      <c r="EB85" s="420"/>
      <c r="EC85" s="286"/>
      <c r="ED85" s="578"/>
    </row>
    <row r="86" spans="1:134" ht="12" customHeight="1">
      <c r="A86" s="1189"/>
      <c r="B86" s="567"/>
      <c r="C86" s="689" t="s">
        <v>187</v>
      </c>
      <c r="D86" s="589"/>
      <c r="E86" s="590"/>
      <c r="F86" s="590"/>
      <c r="G86" s="590"/>
      <c r="H86" s="590"/>
      <c r="I86" s="591"/>
      <c r="J86" s="591"/>
      <c r="K86" s="591"/>
      <c r="L86" s="591"/>
      <c r="M86" s="590"/>
      <c r="N86" s="419"/>
      <c r="O86" s="419"/>
      <c r="P86" s="419"/>
      <c r="Q86" s="419"/>
      <c r="R86" s="590"/>
      <c r="S86" s="419"/>
      <c r="T86" s="419"/>
      <c r="U86" s="419"/>
      <c r="V86" s="419"/>
      <c r="W86" s="590"/>
      <c r="X86" s="419"/>
      <c r="Y86" s="419"/>
      <c r="Z86" s="419"/>
      <c r="AA86" s="419"/>
      <c r="AB86" s="590"/>
      <c r="AC86" s="419"/>
      <c r="AD86" s="419"/>
      <c r="AE86" s="419"/>
      <c r="AF86" s="419"/>
      <c r="AG86" s="590"/>
      <c r="AH86" s="419"/>
      <c r="AI86" s="419"/>
      <c r="AJ86" s="419"/>
      <c r="AK86" s="419"/>
      <c r="AL86" s="590"/>
      <c r="AM86" s="419"/>
      <c r="AN86" s="419"/>
      <c r="AO86" s="419"/>
      <c r="AP86" s="419"/>
      <c r="AQ86" s="590"/>
      <c r="AR86" s="419"/>
      <c r="AS86" s="419"/>
      <c r="AT86" s="419"/>
      <c r="AU86" s="419"/>
      <c r="AV86" s="590"/>
      <c r="AW86" s="419"/>
      <c r="AX86" s="419"/>
      <c r="AY86" s="419"/>
      <c r="AZ86" s="419"/>
      <c r="BA86" s="590"/>
      <c r="BB86" s="419"/>
      <c r="BC86" s="419"/>
      <c r="BD86" s="419"/>
      <c r="BE86" s="419"/>
      <c r="BF86" s="590"/>
      <c r="BG86" s="628"/>
      <c r="BH86" s="628"/>
      <c r="BI86" s="628"/>
      <c r="BJ86" s="628"/>
      <c r="BK86" s="590"/>
      <c r="BL86" s="419"/>
      <c r="BM86" s="419"/>
      <c r="BN86" s="419"/>
      <c r="BO86" s="419"/>
      <c r="BP86" s="590"/>
      <c r="BQ86" s="419"/>
      <c r="BR86" s="419"/>
      <c r="BS86" s="419"/>
      <c r="BT86" s="419"/>
      <c r="BU86" s="286"/>
      <c r="BV86" s="419"/>
      <c r="BW86" s="419"/>
      <c r="BX86" s="419"/>
      <c r="BY86" s="675">
        <v>7.0000000000000007E-2</v>
      </c>
      <c r="BZ86" s="286"/>
      <c r="CA86" s="419"/>
      <c r="CB86" s="419"/>
      <c r="CC86" s="419"/>
      <c r="CD86" s="675">
        <v>7.0000000000000007E-2</v>
      </c>
      <c r="CE86" s="286"/>
      <c r="CF86" s="419"/>
      <c r="CG86" s="419"/>
      <c r="CH86" s="419"/>
      <c r="CI86" s="675">
        <v>7.0000000000000007E-2</v>
      </c>
      <c r="CJ86" s="286"/>
      <c r="CK86" s="419"/>
      <c r="CL86" s="419"/>
      <c r="CM86" s="419"/>
      <c r="CN86" s="675">
        <v>0.06</v>
      </c>
      <c r="CO86" s="286"/>
      <c r="CP86" s="419"/>
      <c r="CQ86" s="419"/>
      <c r="CR86" s="419"/>
      <c r="CS86" s="675">
        <v>0.06</v>
      </c>
      <c r="CT86" s="286"/>
      <c r="CU86" s="419"/>
      <c r="CV86" s="419"/>
      <c r="CW86" s="419"/>
      <c r="CX86" s="675"/>
      <c r="CY86" s="286"/>
      <c r="CZ86" s="419"/>
      <c r="DA86" s="419"/>
      <c r="DB86" s="419"/>
      <c r="DC86" s="675"/>
      <c r="DD86" s="286"/>
      <c r="DE86" s="419"/>
      <c r="DF86" s="419"/>
      <c r="DG86" s="419"/>
      <c r="DH86" s="675"/>
      <c r="DI86" s="286"/>
      <c r="DJ86" s="419"/>
      <c r="DK86" s="419"/>
      <c r="DL86" s="419"/>
      <c r="DM86" s="419"/>
      <c r="DN86" s="286"/>
      <c r="DO86" s="419"/>
      <c r="DP86" s="419"/>
      <c r="DQ86" s="419"/>
      <c r="DR86" s="420"/>
      <c r="DS86" s="286"/>
      <c r="DT86" s="419"/>
      <c r="DU86" s="419"/>
      <c r="DV86" s="419"/>
      <c r="DW86" s="420"/>
      <c r="DX86" s="286"/>
      <c r="DY86" s="419"/>
      <c r="DZ86" s="419"/>
      <c r="EA86" s="419"/>
      <c r="EB86" s="420"/>
      <c r="EC86" s="286"/>
      <c r="ED86" s="578"/>
    </row>
    <row r="87" spans="1:134" ht="12" customHeight="1">
      <c r="A87" s="1189"/>
      <c r="B87" s="567"/>
      <c r="C87" s="451" t="s">
        <v>330</v>
      </c>
      <c r="D87" s="589"/>
      <c r="E87" s="590"/>
      <c r="F87" s="590"/>
      <c r="G87" s="590"/>
      <c r="H87" s="590"/>
      <c r="I87" s="591"/>
      <c r="J87" s="591"/>
      <c r="K87" s="591"/>
      <c r="L87" s="591"/>
      <c r="M87" s="590"/>
      <c r="N87" s="419"/>
      <c r="O87" s="419"/>
      <c r="P87" s="419"/>
      <c r="Q87" s="419"/>
      <c r="R87" s="590"/>
      <c r="S87" s="419"/>
      <c r="T87" s="419"/>
      <c r="U87" s="419"/>
      <c r="V87" s="419"/>
      <c r="W87" s="590"/>
      <c r="X87" s="419"/>
      <c r="Y87" s="419"/>
      <c r="Z87" s="419"/>
      <c r="AA87" s="419"/>
      <c r="AB87" s="590"/>
      <c r="AC87" s="419"/>
      <c r="AD87" s="419"/>
      <c r="AE87" s="419"/>
      <c r="AF87" s="419"/>
      <c r="AG87" s="590"/>
      <c r="AH87" s="419"/>
      <c r="AI87" s="419"/>
      <c r="AJ87" s="419"/>
      <c r="AK87" s="419"/>
      <c r="AL87" s="590"/>
      <c r="AM87" s="419"/>
      <c r="AN87" s="419"/>
      <c r="AO87" s="419"/>
      <c r="AP87" s="419"/>
      <c r="AQ87" s="590"/>
      <c r="AR87" s="419"/>
      <c r="AS87" s="419"/>
      <c r="AT87" s="419"/>
      <c r="AU87" s="419"/>
      <c r="AV87" s="590"/>
      <c r="AW87" s="419"/>
      <c r="AX87" s="419"/>
      <c r="AY87" s="419"/>
      <c r="AZ87" s="419"/>
      <c r="BA87" s="590"/>
      <c r="BB87" s="419"/>
      <c r="BC87" s="419"/>
      <c r="BD87" s="419"/>
      <c r="BE87" s="419"/>
      <c r="BF87" s="590"/>
      <c r="BG87" s="628"/>
      <c r="BH87" s="628"/>
      <c r="BI87" s="628"/>
      <c r="BJ87" s="628"/>
      <c r="BK87" s="590"/>
      <c r="BL87" s="419"/>
      <c r="BM87" s="419"/>
      <c r="BN87" s="419"/>
      <c r="BO87" s="419"/>
      <c r="BP87" s="590"/>
      <c r="BQ87" s="419"/>
      <c r="BR87" s="419"/>
      <c r="BS87" s="419"/>
      <c r="BT87" s="419"/>
      <c r="BU87" s="286"/>
      <c r="BV87" s="419"/>
      <c r="BW87" s="419"/>
      <c r="BX87" s="419"/>
      <c r="BY87" s="675"/>
      <c r="BZ87" s="286"/>
      <c r="CA87" s="419"/>
      <c r="CB87" s="419"/>
      <c r="CC87" s="419"/>
      <c r="CD87" s="675"/>
      <c r="CE87" s="286"/>
      <c r="CF87" s="419"/>
      <c r="CG87" s="419"/>
      <c r="CH87" s="419"/>
      <c r="CI87" s="675"/>
      <c r="CJ87" s="286"/>
      <c r="CK87" s="419"/>
      <c r="CL87" s="419"/>
      <c r="CM87" s="419"/>
      <c r="CN87" s="675"/>
      <c r="CO87" s="286"/>
      <c r="CP87" s="419"/>
      <c r="CQ87" s="419"/>
      <c r="CR87" s="419"/>
      <c r="CS87" s="675">
        <v>0.25</v>
      </c>
      <c r="CT87" s="286"/>
      <c r="CU87" s="419"/>
      <c r="CV87" s="419"/>
      <c r="CW87" s="419"/>
      <c r="CX87" s="675">
        <v>0.25</v>
      </c>
      <c r="CY87" s="286"/>
      <c r="CZ87" s="419"/>
      <c r="DA87" s="419"/>
      <c r="DB87" s="419"/>
      <c r="DC87" s="675">
        <v>0.25</v>
      </c>
      <c r="DD87" s="286"/>
      <c r="DE87" s="419"/>
      <c r="DF87" s="419"/>
      <c r="DG87" s="419"/>
      <c r="DH87" s="675">
        <v>0.27</v>
      </c>
      <c r="DI87" s="286"/>
      <c r="DJ87" s="419"/>
      <c r="DK87" s="419"/>
      <c r="DL87" s="419"/>
      <c r="DM87" s="420">
        <f>DH87+1%</f>
        <v>0.28000000000000003</v>
      </c>
      <c r="DN87" s="286"/>
      <c r="DO87" s="419"/>
      <c r="DP87" s="419"/>
      <c r="DQ87" s="419"/>
      <c r="DR87" s="420">
        <f>DM87+1%</f>
        <v>0.29000000000000004</v>
      </c>
      <c r="DS87" s="286"/>
      <c r="DT87" s="419"/>
      <c r="DU87" s="419"/>
      <c r="DV87" s="419"/>
      <c r="DW87" s="420">
        <f>DR87+1%</f>
        <v>0.30000000000000004</v>
      </c>
      <c r="DX87" s="286"/>
      <c r="DY87" s="419"/>
      <c r="DZ87" s="419"/>
      <c r="EA87" s="419"/>
      <c r="EB87" s="420">
        <f>DW87+1%</f>
        <v>0.31000000000000005</v>
      </c>
      <c r="EC87" s="286"/>
      <c r="ED87" s="578"/>
    </row>
    <row r="88" spans="1:134" ht="12" customHeight="1">
      <c r="A88" s="1189"/>
      <c r="B88" s="567"/>
      <c r="C88" s="689" t="s">
        <v>331</v>
      </c>
      <c r="D88" s="589"/>
      <c r="E88" s="590"/>
      <c r="F88" s="590"/>
      <c r="G88" s="590"/>
      <c r="H88" s="590"/>
      <c r="I88" s="591"/>
      <c r="J88" s="591"/>
      <c r="K88" s="591"/>
      <c r="L88" s="591"/>
      <c r="M88" s="590"/>
      <c r="N88" s="419"/>
      <c r="O88" s="419"/>
      <c r="P88" s="419"/>
      <c r="Q88" s="419"/>
      <c r="R88" s="590"/>
      <c r="S88" s="419"/>
      <c r="T88" s="419"/>
      <c r="U88" s="419"/>
      <c r="V88" s="419"/>
      <c r="W88" s="590"/>
      <c r="X88" s="419"/>
      <c r="Y88" s="419"/>
      <c r="Z88" s="419"/>
      <c r="AA88" s="419"/>
      <c r="AB88" s="590"/>
      <c r="AC88" s="419"/>
      <c r="AD88" s="419"/>
      <c r="AE88" s="419"/>
      <c r="AF88" s="419"/>
      <c r="AG88" s="590"/>
      <c r="AH88" s="419"/>
      <c r="AI88" s="419"/>
      <c r="AJ88" s="419"/>
      <c r="AK88" s="419"/>
      <c r="AL88" s="590"/>
      <c r="AM88" s="419"/>
      <c r="AN88" s="419"/>
      <c r="AO88" s="419"/>
      <c r="AP88" s="419"/>
      <c r="AQ88" s="590"/>
      <c r="AR88" s="419"/>
      <c r="AS88" s="419"/>
      <c r="AT88" s="419"/>
      <c r="AU88" s="419"/>
      <c r="AV88" s="590"/>
      <c r="AW88" s="419"/>
      <c r="AX88" s="419"/>
      <c r="AY88" s="419"/>
      <c r="AZ88" s="419"/>
      <c r="BA88" s="590"/>
      <c r="BB88" s="419"/>
      <c r="BC88" s="419"/>
      <c r="BD88" s="419"/>
      <c r="BE88" s="419"/>
      <c r="BF88" s="590"/>
      <c r="BG88" s="628"/>
      <c r="BH88" s="628"/>
      <c r="BI88" s="628"/>
      <c r="BJ88" s="628"/>
      <c r="BK88" s="590"/>
      <c r="BL88" s="419"/>
      <c r="BM88" s="419"/>
      <c r="BN88" s="419"/>
      <c r="BO88" s="419"/>
      <c r="BP88" s="590"/>
      <c r="BQ88" s="419"/>
      <c r="BR88" s="419"/>
      <c r="BS88" s="419"/>
      <c r="BT88" s="419"/>
      <c r="BU88" s="286"/>
      <c r="BV88" s="419"/>
      <c r="BW88" s="419"/>
      <c r="BX88" s="419"/>
      <c r="BY88" s="675">
        <v>0.1</v>
      </c>
      <c r="BZ88" s="286"/>
      <c r="CA88" s="419"/>
      <c r="CB88" s="419"/>
      <c r="CC88" s="419"/>
      <c r="CD88" s="675">
        <v>0.08</v>
      </c>
      <c r="CE88" s="286"/>
      <c r="CF88" s="419"/>
      <c r="CG88" s="419"/>
      <c r="CH88" s="419"/>
      <c r="CI88" s="675">
        <v>0.08</v>
      </c>
      <c r="CJ88" s="286"/>
      <c r="CK88" s="419"/>
      <c r="CL88" s="419"/>
      <c r="CM88" s="419"/>
      <c r="CN88" s="675">
        <v>7.0000000000000007E-2</v>
      </c>
      <c r="CO88" s="286"/>
      <c r="CP88" s="419"/>
      <c r="CQ88" s="419"/>
      <c r="CR88" s="419"/>
      <c r="CS88" s="675">
        <v>0.08</v>
      </c>
      <c r="CT88" s="286"/>
      <c r="CU88" s="419"/>
      <c r="CV88" s="419"/>
      <c r="CW88" s="419"/>
      <c r="CX88" s="675"/>
      <c r="CY88" s="286"/>
      <c r="CZ88" s="419"/>
      <c r="DA88" s="419"/>
      <c r="DB88" s="419"/>
      <c r="DC88" s="675"/>
      <c r="DD88" s="286"/>
      <c r="DE88" s="419"/>
      <c r="DF88" s="419"/>
      <c r="DG88" s="419"/>
      <c r="DH88" s="675"/>
      <c r="DI88" s="286"/>
      <c r="DJ88" s="419"/>
      <c r="DK88" s="419"/>
      <c r="DL88" s="419"/>
      <c r="DM88" s="419"/>
      <c r="DN88" s="286"/>
      <c r="DO88" s="419"/>
      <c r="DP88" s="419"/>
      <c r="DQ88" s="419"/>
      <c r="DR88" s="420"/>
      <c r="DS88" s="286"/>
      <c r="DT88" s="419"/>
      <c r="DU88" s="419"/>
      <c r="DV88" s="419"/>
      <c r="DW88" s="420"/>
      <c r="DX88" s="286"/>
      <c r="DY88" s="419"/>
      <c r="DZ88" s="419"/>
      <c r="EA88" s="419"/>
      <c r="EB88" s="420"/>
      <c r="EC88" s="286"/>
      <c r="ED88" s="578"/>
    </row>
    <row r="89" spans="1:134" ht="12" customHeight="1">
      <c r="A89" s="1189"/>
      <c r="B89" s="567"/>
      <c r="C89" s="451" t="s">
        <v>332</v>
      </c>
      <c r="D89" s="589"/>
      <c r="E89" s="590"/>
      <c r="F89" s="590"/>
      <c r="G89" s="590"/>
      <c r="H89" s="590"/>
      <c r="I89" s="591"/>
      <c r="J89" s="591"/>
      <c r="K89" s="591"/>
      <c r="L89" s="591"/>
      <c r="M89" s="590"/>
      <c r="N89" s="419"/>
      <c r="O89" s="419"/>
      <c r="P89" s="419"/>
      <c r="Q89" s="419"/>
      <c r="R89" s="590"/>
      <c r="S89" s="419"/>
      <c r="T89" s="419"/>
      <c r="U89" s="419"/>
      <c r="V89" s="419"/>
      <c r="W89" s="590"/>
      <c r="X89" s="419"/>
      <c r="Y89" s="419"/>
      <c r="Z89" s="419"/>
      <c r="AA89" s="419"/>
      <c r="AB89" s="590"/>
      <c r="AC89" s="419"/>
      <c r="AD89" s="419"/>
      <c r="AE89" s="419"/>
      <c r="AF89" s="419"/>
      <c r="AG89" s="590"/>
      <c r="AH89" s="419"/>
      <c r="AI89" s="419"/>
      <c r="AJ89" s="419"/>
      <c r="AK89" s="419"/>
      <c r="AL89" s="590"/>
      <c r="AM89" s="419"/>
      <c r="AN89" s="419"/>
      <c r="AO89" s="419"/>
      <c r="AP89" s="419"/>
      <c r="AQ89" s="590"/>
      <c r="AR89" s="419"/>
      <c r="AS89" s="419"/>
      <c r="AT89" s="419"/>
      <c r="AU89" s="419"/>
      <c r="AV89" s="590"/>
      <c r="AW89" s="419"/>
      <c r="AX89" s="419"/>
      <c r="AY89" s="419"/>
      <c r="AZ89" s="419"/>
      <c r="BA89" s="590"/>
      <c r="BB89" s="419"/>
      <c r="BC89" s="419"/>
      <c r="BD89" s="419"/>
      <c r="BE89" s="419"/>
      <c r="BF89" s="590"/>
      <c r="BG89" s="628"/>
      <c r="BH89" s="628"/>
      <c r="BI89" s="628"/>
      <c r="BJ89" s="628"/>
      <c r="BK89" s="590"/>
      <c r="BL89" s="419"/>
      <c r="BM89" s="419"/>
      <c r="BN89" s="419"/>
      <c r="BO89" s="419"/>
      <c r="BP89" s="590"/>
      <c r="BQ89" s="419"/>
      <c r="BR89" s="419"/>
      <c r="BS89" s="419"/>
      <c r="BT89" s="419"/>
      <c r="BU89" s="286"/>
      <c r="BV89" s="419"/>
      <c r="BW89" s="419"/>
      <c r="BX89" s="419"/>
      <c r="BY89" s="675"/>
      <c r="BZ89" s="286"/>
      <c r="CA89" s="419"/>
      <c r="CB89" s="419"/>
      <c r="CC89" s="419"/>
      <c r="CD89" s="675"/>
      <c r="CE89" s="286"/>
      <c r="CF89" s="419"/>
      <c r="CG89" s="419"/>
      <c r="CH89" s="419"/>
      <c r="CI89" s="675"/>
      <c r="CJ89" s="286"/>
      <c r="CK89" s="419"/>
      <c r="CL89" s="419"/>
      <c r="CM89" s="419"/>
      <c r="CN89" s="675"/>
      <c r="CO89" s="286"/>
      <c r="CP89" s="419"/>
      <c r="CQ89" s="419"/>
      <c r="CR89" s="419"/>
      <c r="CS89" s="675">
        <v>0.15</v>
      </c>
      <c r="CT89" s="286"/>
      <c r="CU89" s="419"/>
      <c r="CV89" s="419"/>
      <c r="CW89" s="419"/>
      <c r="CX89" s="675">
        <v>0.15</v>
      </c>
      <c r="CY89" s="286"/>
      <c r="CZ89" s="419"/>
      <c r="DA89" s="419"/>
      <c r="DB89" s="419"/>
      <c r="DC89" s="675">
        <v>0.15</v>
      </c>
      <c r="DD89" s="286"/>
      <c r="DE89" s="419"/>
      <c r="DF89" s="419"/>
      <c r="DG89" s="419"/>
      <c r="DH89" s="675">
        <v>0.14000000000000001</v>
      </c>
      <c r="DI89" s="286"/>
      <c r="DJ89" s="419"/>
      <c r="DK89" s="419"/>
      <c r="DL89" s="419"/>
      <c r="DM89" s="420">
        <f>DH89-0.5%</f>
        <v>0.13500000000000001</v>
      </c>
      <c r="DN89" s="286"/>
      <c r="DO89" s="419"/>
      <c r="DP89" s="419"/>
      <c r="DQ89" s="419"/>
      <c r="DR89" s="420">
        <f>DM89-0.5%</f>
        <v>0.13</v>
      </c>
      <c r="DS89" s="286"/>
      <c r="DT89" s="419"/>
      <c r="DU89" s="419"/>
      <c r="DV89" s="419"/>
      <c r="DW89" s="420">
        <f>DR89-0.5%</f>
        <v>0.125</v>
      </c>
      <c r="DX89" s="286"/>
      <c r="DY89" s="419"/>
      <c r="DZ89" s="419"/>
      <c r="EA89" s="419"/>
      <c r="EB89" s="420">
        <f>DW89-0.5%</f>
        <v>0.12</v>
      </c>
      <c r="EC89" s="286"/>
      <c r="ED89" s="578"/>
    </row>
    <row r="90" spans="1:134" ht="12" customHeight="1">
      <c r="A90" s="1189"/>
      <c r="B90" s="567"/>
      <c r="C90" s="689" t="s">
        <v>333</v>
      </c>
      <c r="D90" s="589"/>
      <c r="E90" s="590"/>
      <c r="F90" s="590"/>
      <c r="G90" s="590"/>
      <c r="H90" s="590"/>
      <c r="I90" s="591"/>
      <c r="J90" s="591"/>
      <c r="K90" s="591"/>
      <c r="L90" s="591"/>
      <c r="M90" s="590"/>
      <c r="N90" s="419"/>
      <c r="O90" s="419"/>
      <c r="P90" s="419"/>
      <c r="Q90" s="419"/>
      <c r="R90" s="590"/>
      <c r="S90" s="419"/>
      <c r="T90" s="419"/>
      <c r="U90" s="419"/>
      <c r="V90" s="419"/>
      <c r="W90" s="590"/>
      <c r="X90" s="419"/>
      <c r="Y90" s="419"/>
      <c r="Z90" s="419"/>
      <c r="AA90" s="419"/>
      <c r="AB90" s="590"/>
      <c r="AC90" s="419"/>
      <c r="AD90" s="419"/>
      <c r="AE90" s="419"/>
      <c r="AF90" s="419"/>
      <c r="AG90" s="590"/>
      <c r="AH90" s="419"/>
      <c r="AI90" s="419"/>
      <c r="AJ90" s="419"/>
      <c r="AK90" s="419"/>
      <c r="AL90" s="590"/>
      <c r="AM90" s="419"/>
      <c r="AN90" s="419"/>
      <c r="AO90" s="419"/>
      <c r="AP90" s="419"/>
      <c r="AQ90" s="590"/>
      <c r="AR90" s="419"/>
      <c r="AS90" s="419"/>
      <c r="AT90" s="419"/>
      <c r="AU90" s="419"/>
      <c r="AV90" s="590"/>
      <c r="AW90" s="419"/>
      <c r="AX90" s="419"/>
      <c r="AY90" s="419"/>
      <c r="AZ90" s="419"/>
      <c r="BA90" s="590"/>
      <c r="BB90" s="419"/>
      <c r="BC90" s="419"/>
      <c r="BD90" s="419"/>
      <c r="BE90" s="419"/>
      <c r="BF90" s="590"/>
      <c r="BG90" s="628"/>
      <c r="BH90" s="628"/>
      <c r="BI90" s="628"/>
      <c r="BJ90" s="628"/>
      <c r="BK90" s="590"/>
      <c r="BL90" s="419"/>
      <c r="BM90" s="419"/>
      <c r="BN90" s="419"/>
      <c r="BO90" s="419"/>
      <c r="BP90" s="590"/>
      <c r="BQ90" s="419"/>
      <c r="BR90" s="419"/>
      <c r="BS90" s="419"/>
      <c r="BT90" s="419"/>
      <c r="BU90" s="286"/>
      <c r="BV90" s="419"/>
      <c r="BW90" s="419"/>
      <c r="BX90" s="419"/>
      <c r="BY90" s="675">
        <v>7.0000000000000007E-2</v>
      </c>
      <c r="BZ90" s="286"/>
      <c r="CA90" s="419"/>
      <c r="CB90" s="419"/>
      <c r="CC90" s="419"/>
      <c r="CD90" s="675">
        <v>7.0000000000000007E-2</v>
      </c>
      <c r="CE90" s="286"/>
      <c r="CF90" s="419"/>
      <c r="CG90" s="419"/>
      <c r="CH90" s="419"/>
      <c r="CI90" s="675">
        <v>7.0000000000000007E-2</v>
      </c>
      <c r="CJ90" s="286"/>
      <c r="CK90" s="419"/>
      <c r="CL90" s="419"/>
      <c r="CM90" s="419"/>
      <c r="CN90" s="675">
        <v>0.06</v>
      </c>
      <c r="CO90" s="286"/>
      <c r="CP90" s="419"/>
      <c r="CQ90" s="419"/>
      <c r="CR90" s="419"/>
      <c r="CS90" s="675">
        <v>0.06</v>
      </c>
      <c r="CT90" s="286"/>
      <c r="CU90" s="419"/>
      <c r="CV90" s="419"/>
      <c r="CW90" s="419"/>
      <c r="CX90" s="675"/>
      <c r="CY90" s="286"/>
      <c r="CZ90" s="419"/>
      <c r="DA90" s="419"/>
      <c r="DB90" s="419"/>
      <c r="DC90" s="675"/>
      <c r="DD90" s="286"/>
      <c r="DE90" s="419"/>
      <c r="DF90" s="419"/>
      <c r="DG90" s="419"/>
      <c r="DH90" s="675"/>
      <c r="DI90" s="286"/>
      <c r="DJ90" s="419"/>
      <c r="DK90" s="419"/>
      <c r="DL90" s="419"/>
      <c r="DM90" s="419"/>
      <c r="DN90" s="286"/>
      <c r="DO90" s="419"/>
      <c r="DP90" s="419"/>
      <c r="DQ90" s="419"/>
      <c r="DR90" s="420"/>
      <c r="DS90" s="286"/>
      <c r="DT90" s="419"/>
      <c r="DU90" s="419"/>
      <c r="DV90" s="419"/>
      <c r="DW90" s="420"/>
      <c r="DX90" s="286"/>
      <c r="DY90" s="419"/>
      <c r="DZ90" s="419"/>
      <c r="EA90" s="419"/>
      <c r="EB90" s="420"/>
      <c r="EC90" s="286"/>
      <c r="ED90" s="578"/>
    </row>
    <row r="91" spans="1:134" ht="12" customHeight="1">
      <c r="A91" s="1189"/>
      <c r="B91" s="567"/>
      <c r="C91" s="451" t="s">
        <v>188</v>
      </c>
      <c r="D91" s="589"/>
      <c r="E91" s="590"/>
      <c r="F91" s="590"/>
      <c r="G91" s="590"/>
      <c r="H91" s="590"/>
      <c r="I91" s="591"/>
      <c r="J91" s="591"/>
      <c r="K91" s="591"/>
      <c r="L91" s="591"/>
      <c r="M91" s="590"/>
      <c r="N91" s="419"/>
      <c r="O91" s="419"/>
      <c r="P91" s="419"/>
      <c r="Q91" s="419"/>
      <c r="R91" s="590"/>
      <c r="S91" s="419"/>
      <c r="T91" s="419"/>
      <c r="U91" s="419"/>
      <c r="V91" s="419"/>
      <c r="W91" s="590"/>
      <c r="X91" s="419"/>
      <c r="Y91" s="419"/>
      <c r="Z91" s="419"/>
      <c r="AA91" s="419"/>
      <c r="AB91" s="590"/>
      <c r="AC91" s="419"/>
      <c r="AD91" s="419"/>
      <c r="AE91" s="419"/>
      <c r="AF91" s="419"/>
      <c r="AG91" s="590"/>
      <c r="AH91" s="419"/>
      <c r="AI91" s="419"/>
      <c r="AJ91" s="419"/>
      <c r="AK91" s="419"/>
      <c r="AL91" s="590"/>
      <c r="AM91" s="419"/>
      <c r="AN91" s="419"/>
      <c r="AO91" s="419"/>
      <c r="AP91" s="419"/>
      <c r="AQ91" s="590"/>
      <c r="AR91" s="419"/>
      <c r="AS91" s="419"/>
      <c r="AT91" s="419"/>
      <c r="AU91" s="419"/>
      <c r="AV91" s="590"/>
      <c r="AW91" s="419"/>
      <c r="AX91" s="419"/>
      <c r="AY91" s="419"/>
      <c r="AZ91" s="419"/>
      <c r="BA91" s="590"/>
      <c r="BB91" s="419"/>
      <c r="BC91" s="419"/>
      <c r="BD91" s="419"/>
      <c r="BE91" s="419"/>
      <c r="BF91" s="590"/>
      <c r="BG91" s="628"/>
      <c r="BH91" s="628"/>
      <c r="BI91" s="628"/>
      <c r="BJ91" s="628"/>
      <c r="BK91" s="590"/>
      <c r="BL91" s="419"/>
      <c r="BM91" s="419"/>
      <c r="BN91" s="419"/>
      <c r="BO91" s="419"/>
      <c r="BP91" s="590"/>
      <c r="BQ91" s="419"/>
      <c r="BR91" s="419"/>
      <c r="BS91" s="419"/>
      <c r="BT91" s="419"/>
      <c r="BU91" s="286"/>
      <c r="BV91" s="419"/>
      <c r="BW91" s="419"/>
      <c r="BX91" s="419"/>
      <c r="BY91" s="419"/>
      <c r="BZ91" s="286"/>
      <c r="CA91" s="419"/>
      <c r="CB91" s="419"/>
      <c r="CC91" s="419"/>
      <c r="CD91" s="419"/>
      <c r="CE91" s="286"/>
      <c r="CF91" s="419"/>
      <c r="CG91" s="419"/>
      <c r="CH91" s="419"/>
      <c r="CI91" s="419"/>
      <c r="CJ91" s="286"/>
      <c r="CK91" s="419"/>
      <c r="CL91" s="419"/>
      <c r="CM91" s="419"/>
      <c r="CN91" s="419"/>
      <c r="CO91" s="286"/>
      <c r="CP91" s="419"/>
      <c r="CQ91" s="419"/>
      <c r="CR91" s="419"/>
      <c r="CS91" s="675">
        <v>0.04</v>
      </c>
      <c r="CT91" s="286"/>
      <c r="CU91" s="419"/>
      <c r="CV91" s="419"/>
      <c r="CW91" s="419"/>
      <c r="CX91" s="675">
        <v>0.05</v>
      </c>
      <c r="CY91" s="286"/>
      <c r="CZ91" s="419"/>
      <c r="DA91" s="419"/>
      <c r="DB91" s="419"/>
      <c r="DC91" s="675">
        <v>0.05</v>
      </c>
      <c r="DD91" s="286"/>
      <c r="DE91" s="419"/>
      <c r="DF91" s="419"/>
      <c r="DG91" s="419"/>
      <c r="DH91" s="675">
        <v>0.05</v>
      </c>
      <c r="DI91" s="286"/>
      <c r="DJ91" s="419"/>
      <c r="DK91" s="419"/>
      <c r="DL91" s="419"/>
      <c r="DM91" s="420">
        <f>DH91</f>
        <v>0.05</v>
      </c>
      <c r="DN91" s="286"/>
      <c r="DO91" s="419"/>
      <c r="DP91" s="419"/>
      <c r="DQ91" s="419"/>
      <c r="DR91" s="420">
        <f>DM91</f>
        <v>0.05</v>
      </c>
      <c r="DS91" s="286"/>
      <c r="DT91" s="419"/>
      <c r="DU91" s="419"/>
      <c r="DV91" s="419"/>
      <c r="DW91" s="420">
        <f>DR91</f>
        <v>0.05</v>
      </c>
      <c r="DX91" s="286"/>
      <c r="DY91" s="419"/>
      <c r="DZ91" s="419"/>
      <c r="EA91" s="419"/>
      <c r="EB91" s="420">
        <f>DW91</f>
        <v>0.05</v>
      </c>
      <c r="EC91" s="286"/>
      <c r="ED91" s="578"/>
    </row>
    <row r="92" spans="1:134">
      <c r="A92" s="1187"/>
      <c r="B92" s="94"/>
      <c r="C92" s="687" t="s">
        <v>393</v>
      </c>
      <c r="D92" s="17"/>
      <c r="E92" s="17"/>
      <c r="F92" s="17"/>
      <c r="G92" s="17"/>
      <c r="H92" s="17"/>
      <c r="I92" s="17"/>
      <c r="J92" s="17"/>
      <c r="K92" s="17"/>
      <c r="L92" s="17"/>
      <c r="M92" s="94"/>
      <c r="N92" s="17"/>
      <c r="O92" s="17"/>
      <c r="P92" s="17"/>
      <c r="Q92" s="17"/>
      <c r="R92" s="94"/>
      <c r="S92" s="17"/>
      <c r="T92" s="17"/>
      <c r="U92" s="17"/>
      <c r="V92" s="17"/>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322"/>
      <c r="BV92" s="94"/>
      <c r="BW92" s="94"/>
      <c r="BX92" s="94"/>
      <c r="BY92" s="94"/>
      <c r="BZ92" s="322"/>
      <c r="CA92" s="94"/>
      <c r="CB92" s="94"/>
      <c r="CC92" s="94"/>
      <c r="CD92" s="94"/>
      <c r="CE92" s="322"/>
      <c r="CF92" s="94"/>
      <c r="CG92" s="94"/>
      <c r="CH92" s="94"/>
      <c r="CI92" s="94"/>
      <c r="CJ92" s="322"/>
      <c r="CK92" s="94"/>
      <c r="CL92" s="94"/>
      <c r="CM92" s="94"/>
      <c r="CN92" s="94"/>
      <c r="CO92" s="322"/>
      <c r="CP92" s="94"/>
      <c r="CQ92" s="94"/>
      <c r="CR92" s="94"/>
      <c r="CS92" s="94"/>
      <c r="CT92" s="322"/>
      <c r="CU92" s="94"/>
      <c r="CV92" s="94"/>
      <c r="CW92" s="94"/>
      <c r="CX92" s="94"/>
      <c r="CY92" s="322"/>
      <c r="CZ92" s="99"/>
      <c r="DA92" s="99"/>
      <c r="DB92" s="94"/>
      <c r="DC92" s="94"/>
      <c r="DD92" s="322"/>
      <c r="DE92" s="99"/>
      <c r="DF92" s="99"/>
      <c r="DG92" s="94"/>
      <c r="DH92" s="94"/>
      <c r="DI92" s="322"/>
      <c r="DJ92" s="94"/>
      <c r="DK92" s="99"/>
      <c r="DL92" s="94"/>
      <c r="DM92" s="94"/>
      <c r="DN92" s="322"/>
      <c r="DO92" s="99"/>
      <c r="DP92" s="99"/>
      <c r="DQ92" s="94"/>
      <c r="DR92" s="94"/>
      <c r="DS92" s="322"/>
      <c r="DT92" s="99"/>
      <c r="DU92" s="99"/>
      <c r="DV92" s="94"/>
      <c r="DW92" s="94"/>
      <c r="DX92" s="322"/>
      <c r="DY92" s="99"/>
      <c r="DZ92" s="99"/>
      <c r="EA92" s="94"/>
      <c r="EB92" s="94"/>
      <c r="EC92" s="322"/>
      <c r="ED92" s="94"/>
    </row>
    <row r="93" spans="1:134">
      <c r="A93" s="1187"/>
      <c r="B93" s="94"/>
      <c r="C93" s="687"/>
      <c r="D93" s="17"/>
      <c r="E93" s="17"/>
      <c r="F93" s="17"/>
      <c r="G93" s="17"/>
      <c r="H93" s="17"/>
      <c r="I93" s="17"/>
      <c r="J93" s="17"/>
      <c r="K93" s="17"/>
      <c r="L93" s="17"/>
      <c r="M93" s="94"/>
      <c r="N93" s="17"/>
      <c r="O93" s="17"/>
      <c r="P93" s="17"/>
      <c r="Q93" s="17"/>
      <c r="R93" s="94"/>
      <c r="S93" s="17"/>
      <c r="T93" s="17"/>
      <c r="U93" s="17"/>
      <c r="V93" s="17"/>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322"/>
      <c r="BV93" s="94"/>
      <c r="BW93" s="94"/>
      <c r="BX93" s="94"/>
      <c r="BY93" s="94"/>
      <c r="BZ93" s="322"/>
      <c r="CA93" s="94"/>
      <c r="CB93" s="94"/>
      <c r="CC93" s="94"/>
      <c r="CD93" s="94"/>
      <c r="CE93" s="322"/>
      <c r="CF93" s="94"/>
      <c r="CG93" s="94"/>
      <c r="CH93" s="94"/>
      <c r="CI93" s="94"/>
      <c r="CJ93" s="322"/>
      <c r="CK93" s="94"/>
      <c r="CL93" s="94"/>
      <c r="CM93" s="94"/>
      <c r="CN93" s="94"/>
      <c r="CO93" s="322"/>
      <c r="CP93" s="94"/>
      <c r="CQ93" s="94"/>
      <c r="CR93" s="94"/>
      <c r="CS93" s="94"/>
      <c r="CT93" s="322"/>
      <c r="CU93" s="94"/>
      <c r="CV93" s="94"/>
      <c r="CW93" s="94"/>
      <c r="CX93" s="94"/>
      <c r="CY93" s="322"/>
      <c r="CZ93" s="99"/>
      <c r="DA93" s="99"/>
      <c r="DB93" s="94"/>
      <c r="DC93" s="94"/>
      <c r="DD93" s="322"/>
      <c r="DE93" s="99"/>
      <c r="DF93" s="99"/>
      <c r="DG93" s="94"/>
      <c r="DH93" s="94"/>
      <c r="DI93" s="322"/>
      <c r="DJ93" s="94"/>
      <c r="DK93" s="99"/>
      <c r="DL93" s="94"/>
      <c r="DM93" s="94"/>
      <c r="DN93" s="322"/>
      <c r="DO93" s="99"/>
      <c r="DP93" s="99"/>
      <c r="DQ93" s="94"/>
      <c r="DR93" s="94"/>
      <c r="DS93" s="322"/>
      <c r="DT93" s="99"/>
      <c r="DU93" s="99"/>
      <c r="DV93" s="94"/>
      <c r="DW93" s="94"/>
      <c r="DX93" s="322"/>
      <c r="DY93" s="99"/>
      <c r="DZ93" s="99"/>
      <c r="EA93" s="94"/>
      <c r="EB93" s="94"/>
      <c r="EC93" s="322"/>
      <c r="ED93" s="94"/>
    </row>
    <row r="94" spans="1:134">
      <c r="A94" s="1187"/>
      <c r="B94" s="94"/>
      <c r="C94" s="1328" t="s">
        <v>690</v>
      </c>
      <c r="D94" s="17"/>
      <c r="E94" s="17"/>
      <c r="F94" s="17"/>
      <c r="G94" s="17"/>
      <c r="H94" s="17"/>
      <c r="I94" s="17"/>
      <c r="J94" s="17"/>
      <c r="K94" s="17"/>
      <c r="L94" s="17"/>
      <c r="M94" s="94"/>
      <c r="N94" s="17"/>
      <c r="O94" s="17"/>
      <c r="P94" s="17"/>
      <c r="Q94" s="17"/>
      <c r="R94" s="94"/>
      <c r="S94" s="17"/>
      <c r="T94" s="17"/>
      <c r="U94" s="17"/>
      <c r="V94" s="17"/>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322"/>
      <c r="BV94" s="94"/>
      <c r="BW94" s="94"/>
      <c r="BX94" s="94"/>
      <c r="BY94" s="94"/>
      <c r="BZ94" s="322"/>
      <c r="CA94" s="94"/>
      <c r="CB94" s="94"/>
      <c r="CC94" s="94"/>
      <c r="CD94" s="94"/>
      <c r="CE94" s="322"/>
      <c r="CF94" s="94"/>
      <c r="CG94" s="94"/>
      <c r="CH94" s="94"/>
      <c r="CI94" s="94"/>
      <c r="CJ94" s="322"/>
      <c r="CK94" s="94"/>
      <c r="CL94" s="94"/>
      <c r="CM94" s="94"/>
      <c r="CN94" s="94"/>
      <c r="CO94" s="322"/>
      <c r="CP94" s="94"/>
      <c r="CQ94" s="94"/>
      <c r="CR94" s="94"/>
      <c r="CS94" s="94"/>
      <c r="CT94" s="322"/>
      <c r="CU94" s="94"/>
      <c r="CV94" s="94"/>
      <c r="CW94" s="94"/>
      <c r="CX94" s="94"/>
      <c r="CY94" s="322"/>
      <c r="CZ94" s="99"/>
      <c r="DA94" s="99"/>
      <c r="DB94" s="94"/>
      <c r="DC94" s="94"/>
      <c r="DD94" s="322"/>
      <c r="DE94" s="99"/>
      <c r="DF94" s="99"/>
      <c r="DG94" s="94"/>
      <c r="DH94" s="94"/>
      <c r="DI94" s="322"/>
      <c r="DJ94" s="94"/>
      <c r="DK94" s="99"/>
      <c r="DL94" s="94"/>
      <c r="DM94" s="94"/>
      <c r="DN94" s="322"/>
      <c r="DO94" s="99"/>
      <c r="DP94" s="99"/>
      <c r="DQ94" s="94"/>
      <c r="DR94" s="94"/>
      <c r="DS94" s="322"/>
      <c r="DT94" s="99"/>
      <c r="DU94" s="99"/>
      <c r="DV94" s="94"/>
      <c r="DW94" s="94"/>
      <c r="DX94" s="322"/>
      <c r="DY94" s="99"/>
      <c r="DZ94" s="99"/>
      <c r="EA94" s="94"/>
      <c r="EB94" s="94"/>
      <c r="EC94" s="322"/>
      <c r="ED94" s="94"/>
    </row>
    <row r="95" spans="1:134">
      <c r="A95" s="1187"/>
      <c r="B95" s="94"/>
      <c r="C95" s="687" t="s">
        <v>151</v>
      </c>
      <c r="D95" s="17"/>
      <c r="E95" s="17"/>
      <c r="F95" s="17"/>
      <c r="G95" s="17"/>
      <c r="H95" s="17"/>
      <c r="I95" s="17"/>
      <c r="J95" s="17"/>
      <c r="K95" s="17"/>
      <c r="L95" s="17"/>
      <c r="M95" s="94"/>
      <c r="N95" s="17"/>
      <c r="O95" s="17"/>
      <c r="P95" s="17"/>
      <c r="Q95" s="17"/>
      <c r="R95" s="94"/>
      <c r="S95" s="17"/>
      <c r="T95" s="17"/>
      <c r="U95" s="17"/>
      <c r="V95" s="17"/>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179">
        <f>SUM(BF96:BF97)</f>
        <v>16.966000000000001</v>
      </c>
      <c r="BG95" s="94"/>
      <c r="BH95" s="94"/>
      <c r="BI95" s="94"/>
      <c r="BJ95" s="94"/>
      <c r="BK95" s="179">
        <f>SUM(BK96:BK97)</f>
        <v>35.844000000000001</v>
      </c>
      <c r="BL95" s="94"/>
      <c r="BM95" s="94"/>
      <c r="BN95" s="94"/>
      <c r="BO95" s="94"/>
      <c r="BP95" s="179">
        <f>SUM(BP96:BP97)</f>
        <v>79.878</v>
      </c>
      <c r="BQ95" s="94"/>
      <c r="BR95" s="94"/>
      <c r="BS95" s="94"/>
      <c r="BT95" s="94"/>
      <c r="BU95" s="433">
        <f>SUM(BU96:BU97)</f>
        <v>159.43899999999999</v>
      </c>
      <c r="BV95" s="94"/>
      <c r="BW95" s="94"/>
      <c r="BX95" s="94"/>
      <c r="BZ95" s="433">
        <f>SUM(BZ96:BZ97)</f>
        <v>310.98800000000006</v>
      </c>
      <c r="CA95" s="94"/>
      <c r="CB95" s="94"/>
      <c r="CC95" s="94"/>
      <c r="CE95" s="433">
        <f>SUM(CE96:CE97)</f>
        <v>526.39300000000003</v>
      </c>
      <c r="CF95" s="94"/>
      <c r="CG95" s="94"/>
      <c r="CH95" s="94"/>
      <c r="CJ95" s="433">
        <f>SUM(CJ96:CJ97)</f>
        <v>826.22799999999995</v>
      </c>
      <c r="CK95" s="94"/>
      <c r="CL95" s="94"/>
      <c r="CM95" s="94"/>
      <c r="CO95" s="433">
        <f>SUM(CO96:CO97)</f>
        <v>1175.6880000000001</v>
      </c>
      <c r="CP95" s="94"/>
      <c r="CQ95" s="94"/>
      <c r="CR95" s="94"/>
      <c r="CT95" s="433">
        <f>SUM(CT96:CT97)</f>
        <v>2146.826</v>
      </c>
      <c r="CU95" s="94"/>
      <c r="CV95" s="94"/>
      <c r="CW95" s="94"/>
      <c r="CY95" s="433">
        <f>SUM(CY96:CY97)</f>
        <v>3291</v>
      </c>
      <c r="CZ95" s="99"/>
      <c r="DA95" s="99"/>
      <c r="DB95" s="94"/>
      <c r="DD95" s="433">
        <f>SUM(DD96:DD97)</f>
        <v>4066</v>
      </c>
      <c r="DE95" s="99"/>
      <c r="DF95" s="99"/>
      <c r="DG95" s="94"/>
      <c r="DI95" s="433">
        <f>SUM(DI96:DI97)</f>
        <v>5037</v>
      </c>
      <c r="DJ95" s="94"/>
      <c r="DK95" s="99"/>
      <c r="DL95" s="94"/>
      <c r="DM95" s="94"/>
      <c r="DN95" s="433">
        <f>+DN104-DN102-DN100-DN98</f>
        <v>6190.4391937011715</v>
      </c>
      <c r="DO95" s="99"/>
      <c r="DP95" s="99"/>
      <c r="DQ95" s="94"/>
      <c r="DR95" s="94"/>
      <c r="DS95" s="433">
        <f ca="1">+DS104-DS102-DS100-DS98</f>
        <v>7568.4958386723329</v>
      </c>
      <c r="DT95" s="99"/>
      <c r="DU95" s="99"/>
      <c r="DV95" s="94"/>
      <c r="DW95" s="94"/>
      <c r="DX95" s="433">
        <f ca="1">+DX104-DX102-DX100-DX98</f>
        <v>8956.1357823511116</v>
      </c>
      <c r="DY95" s="99"/>
      <c r="DZ95" s="99"/>
      <c r="EA95" s="94"/>
      <c r="EB95" s="94"/>
      <c r="EC95" s="433">
        <f ca="1">+EC104-EC102-EC100-EC98</f>
        <v>10436.757996497894</v>
      </c>
      <c r="ED95" s="94"/>
    </row>
    <row r="96" spans="1:134">
      <c r="A96" s="1187"/>
      <c r="B96" s="94"/>
      <c r="C96" s="1320" t="s">
        <v>187</v>
      </c>
      <c r="D96" s="17"/>
      <c r="E96" s="17"/>
      <c r="F96" s="17"/>
      <c r="G96" s="17"/>
      <c r="H96" s="17"/>
      <c r="I96" s="17"/>
      <c r="J96" s="17"/>
      <c r="K96" s="17"/>
      <c r="L96" s="17"/>
      <c r="M96" s="94"/>
      <c r="N96" s="17"/>
      <c r="O96" s="17"/>
      <c r="P96" s="17"/>
      <c r="Q96" s="17"/>
      <c r="R96" s="94"/>
      <c r="S96" s="17"/>
      <c r="T96" s="17"/>
      <c r="U96" s="17"/>
      <c r="V96" s="17"/>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1280"/>
      <c r="BE96" s="94"/>
      <c r="BF96" s="282">
        <v>1.853</v>
      </c>
      <c r="BG96" s="94"/>
      <c r="BH96" s="94"/>
      <c r="BI96" s="94"/>
      <c r="BJ96" s="94"/>
      <c r="BK96" s="282">
        <v>4.101</v>
      </c>
      <c r="BL96" s="94"/>
      <c r="BM96" s="94"/>
      <c r="BN96" s="94"/>
      <c r="BO96" s="94"/>
      <c r="BP96" s="282">
        <v>7.7290000000000001</v>
      </c>
      <c r="BQ96" s="94"/>
      <c r="BR96" s="94"/>
      <c r="BS96" s="94"/>
      <c r="BU96" s="1361">
        <v>14.691000000000001</v>
      </c>
      <c r="BV96" s="94"/>
      <c r="BW96" s="94"/>
      <c r="BX96" s="94"/>
      <c r="BZ96" s="1361">
        <v>26.893000000000001</v>
      </c>
      <c r="CA96" s="94"/>
      <c r="CB96" s="94"/>
      <c r="CC96" s="94"/>
      <c r="CE96" s="1361">
        <v>48.106999999999999</v>
      </c>
      <c r="CF96" s="94"/>
      <c r="CG96" s="94"/>
      <c r="CH96" s="94"/>
      <c r="CJ96" s="1361">
        <v>70.774000000000001</v>
      </c>
      <c r="CK96" s="94"/>
      <c r="CL96" s="94"/>
      <c r="CM96" s="94"/>
      <c r="CO96" s="1361">
        <v>96.168000000000006</v>
      </c>
      <c r="CP96" s="94"/>
      <c r="CQ96" s="94"/>
      <c r="CR96" s="94"/>
      <c r="CT96" s="1361">
        <v>192.721</v>
      </c>
      <c r="CU96" s="94"/>
      <c r="CV96" s="94"/>
      <c r="CW96" s="94"/>
      <c r="CY96" s="1361">
        <v>317</v>
      </c>
      <c r="CZ96" s="99"/>
      <c r="DA96" s="99"/>
      <c r="DB96" s="94"/>
      <c r="DD96" s="1361">
        <v>346</v>
      </c>
      <c r="DE96" s="99"/>
      <c r="DF96" s="99"/>
      <c r="DG96" s="94"/>
      <c r="DI96" s="1361">
        <v>388</v>
      </c>
      <c r="DJ96" s="94"/>
      <c r="DK96" s="99"/>
      <c r="DL96" s="94"/>
      <c r="DM96" s="94"/>
      <c r="DN96" s="433">
        <f>+DI96*(1+DN108)</f>
        <v>434.56000000000006</v>
      </c>
      <c r="DO96" s="99"/>
      <c r="DP96" s="99"/>
      <c r="DQ96" s="94"/>
      <c r="DR96" s="94"/>
      <c r="DS96" s="433">
        <f>+DN96*(1+DS108)</f>
        <v>478.01600000000008</v>
      </c>
      <c r="DT96" s="99"/>
      <c r="DU96" s="99"/>
      <c r="DV96" s="94"/>
      <c r="DW96" s="94"/>
      <c r="DX96" s="433">
        <f>+DS96*(1+DX108)</f>
        <v>521.03744000000017</v>
      </c>
      <c r="DY96" s="99"/>
      <c r="DZ96" s="99"/>
      <c r="EA96" s="94"/>
      <c r="EB96" s="94"/>
      <c r="EC96" s="433">
        <f>+DX96*(1+EC108)</f>
        <v>567.9308096000002</v>
      </c>
      <c r="ED96" s="94"/>
    </row>
    <row r="97" spans="1:134">
      <c r="A97" s="1187"/>
      <c r="B97" s="94"/>
      <c r="C97" s="1320" t="s">
        <v>329</v>
      </c>
      <c r="D97" s="17"/>
      <c r="E97" s="17"/>
      <c r="F97" s="17"/>
      <c r="G97" s="17"/>
      <c r="H97" s="17"/>
      <c r="I97" s="17"/>
      <c r="J97" s="17"/>
      <c r="K97" s="17"/>
      <c r="L97" s="17"/>
      <c r="M97" s="94"/>
      <c r="N97" s="17"/>
      <c r="O97" s="17"/>
      <c r="P97" s="17"/>
      <c r="Q97" s="17"/>
      <c r="R97" s="94"/>
      <c r="S97" s="17"/>
      <c r="T97" s="17"/>
      <c r="U97" s="17"/>
      <c r="V97" s="17"/>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282">
        <v>15.113</v>
      </c>
      <c r="BG97" s="94"/>
      <c r="BH97" s="94"/>
      <c r="BI97" s="94"/>
      <c r="BJ97" s="94"/>
      <c r="BK97" s="282">
        <v>31.742999999999999</v>
      </c>
      <c r="BL97" s="94"/>
      <c r="BM97" s="94"/>
      <c r="BN97" s="94"/>
      <c r="BO97" s="94"/>
      <c r="BP97" s="282">
        <v>72.149000000000001</v>
      </c>
      <c r="BQ97" s="94"/>
      <c r="BR97" s="94"/>
      <c r="BS97" s="94"/>
      <c r="BU97" s="1361">
        <v>144.74799999999999</v>
      </c>
      <c r="BV97" s="94"/>
      <c r="BW97" s="94"/>
      <c r="BX97" s="94"/>
      <c r="BZ97" s="1361">
        <v>284.09500000000003</v>
      </c>
      <c r="CA97" s="94"/>
      <c r="CB97" s="94"/>
      <c r="CC97" s="94"/>
      <c r="CE97" s="1361">
        <v>478.286</v>
      </c>
      <c r="CF97" s="94"/>
      <c r="CG97" s="94"/>
      <c r="CH97" s="94"/>
      <c r="CJ97" s="1361">
        <v>755.45399999999995</v>
      </c>
      <c r="CK97" s="94"/>
      <c r="CL97" s="94"/>
      <c r="CM97" s="94"/>
      <c r="CO97" s="1361">
        <v>1079.52</v>
      </c>
      <c r="CP97" s="94"/>
      <c r="CQ97" s="94"/>
      <c r="CR97" s="94"/>
      <c r="CT97" s="1361">
        <v>1954.105</v>
      </c>
      <c r="CU97" s="94"/>
      <c r="CV97" s="94"/>
      <c r="CW97" s="94"/>
      <c r="CY97" s="1361">
        <v>2974</v>
      </c>
      <c r="CZ97" s="99"/>
      <c r="DA97" s="99"/>
      <c r="DB97" s="94"/>
      <c r="DD97" s="1361">
        <v>3720</v>
      </c>
      <c r="DE97" s="99"/>
      <c r="DF97" s="99"/>
      <c r="DG97" s="94"/>
      <c r="DI97" s="1361">
        <v>4649</v>
      </c>
      <c r="DJ97" s="94"/>
      <c r="DK97" s="99"/>
      <c r="DL97" s="94"/>
      <c r="DM97" s="94"/>
      <c r="DN97" s="433">
        <f>+DN95-DN96</f>
        <v>5755.8791937011711</v>
      </c>
      <c r="DO97" s="99"/>
      <c r="DP97" s="99"/>
      <c r="DQ97" s="94"/>
      <c r="DR97" s="94"/>
      <c r="DS97" s="433">
        <f ca="1">+DS95-DS96</f>
        <v>7090.4798386723323</v>
      </c>
      <c r="DT97" s="99"/>
      <c r="DU97" s="99"/>
      <c r="DV97" s="94"/>
      <c r="DW97" s="94"/>
      <c r="DX97" s="433">
        <f ca="1">+DX95-DX96</f>
        <v>8435.0983423511116</v>
      </c>
      <c r="DY97" s="99"/>
      <c r="DZ97" s="99"/>
      <c r="EA97" s="94"/>
      <c r="EB97" s="94"/>
      <c r="EC97" s="433">
        <f ca="1">+EC95-EC96</f>
        <v>9868.8271868978936</v>
      </c>
      <c r="ED97" s="94"/>
    </row>
    <row r="98" spans="1:134">
      <c r="A98" s="1187"/>
      <c r="B98" s="94"/>
      <c r="C98" s="1321" t="s">
        <v>330</v>
      </c>
      <c r="D98" s="17"/>
      <c r="E98" s="17"/>
      <c r="F98" s="17"/>
      <c r="G98" s="17"/>
      <c r="H98" s="17"/>
      <c r="I98" s="17"/>
      <c r="J98" s="17"/>
      <c r="K98" s="17"/>
      <c r="L98" s="17"/>
      <c r="M98" s="94"/>
      <c r="N98" s="17"/>
      <c r="O98" s="17"/>
      <c r="P98" s="17"/>
      <c r="Q98" s="17"/>
      <c r="R98" s="94"/>
      <c r="S98" s="17"/>
      <c r="T98" s="17"/>
      <c r="U98" s="17"/>
      <c r="V98" s="17"/>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282"/>
      <c r="BG98" s="94"/>
      <c r="BH98" s="94"/>
      <c r="BI98" s="94"/>
      <c r="BJ98" s="94"/>
      <c r="BK98" s="282"/>
      <c r="BL98" s="94"/>
      <c r="BM98" s="94"/>
      <c r="BN98" s="94"/>
      <c r="BO98" s="94"/>
      <c r="BP98" s="282"/>
      <c r="BQ98" s="94"/>
      <c r="BR98" s="94"/>
      <c r="BS98" s="94"/>
      <c r="BU98" s="1361"/>
      <c r="BV98" s="94"/>
      <c r="BW98" s="94"/>
      <c r="BX98" s="94"/>
      <c r="BZ98" s="1361"/>
      <c r="CA98" s="94"/>
      <c r="CB98" s="94"/>
      <c r="CC98" s="94"/>
      <c r="CE98" s="1361"/>
      <c r="CF98" s="94"/>
      <c r="CG98" s="94"/>
      <c r="CH98" s="94"/>
      <c r="CJ98" s="1361"/>
      <c r="CK98" s="94"/>
      <c r="CL98" s="94"/>
      <c r="CM98" s="94"/>
      <c r="CO98" s="1361"/>
      <c r="CP98" s="94"/>
      <c r="CQ98" s="94"/>
      <c r="CR98" s="94"/>
      <c r="CT98" s="1361">
        <v>454.26900000000001</v>
      </c>
      <c r="CU98" s="94"/>
      <c r="CV98" s="94"/>
      <c r="CW98" s="94"/>
      <c r="CY98" s="1361">
        <v>799</v>
      </c>
      <c r="CZ98" s="99"/>
      <c r="DA98" s="99"/>
      <c r="DB98" s="94"/>
      <c r="DD98" s="1361">
        <v>917</v>
      </c>
      <c r="DE98" s="99"/>
      <c r="DF98" s="99"/>
      <c r="DG98" s="94"/>
      <c r="DI98" s="1361">
        <v>1255</v>
      </c>
      <c r="DJ98" s="94"/>
      <c r="DK98" s="99"/>
      <c r="DL98" s="94"/>
      <c r="DM98" s="94"/>
      <c r="DN98" s="433">
        <f>+DI98*(1+DN110)</f>
        <v>1631.5</v>
      </c>
      <c r="DO98" s="99"/>
      <c r="DP98" s="99"/>
      <c r="DQ98" s="94"/>
      <c r="DR98" s="94"/>
      <c r="DS98" s="433">
        <f>+DN98*(1+DS110)</f>
        <v>2072.0050000000001</v>
      </c>
      <c r="DT98" s="99"/>
      <c r="DU98" s="99"/>
      <c r="DV98" s="94"/>
      <c r="DW98" s="94"/>
      <c r="DX98" s="433">
        <f>+DS98*(1+DX110)</f>
        <v>2590.0062500000004</v>
      </c>
      <c r="DY98" s="99"/>
      <c r="DZ98" s="99"/>
      <c r="EA98" s="94"/>
      <c r="EB98" s="94"/>
      <c r="EC98" s="433">
        <f>+DX98*(1+EC110)</f>
        <v>3185.7076875000002</v>
      </c>
      <c r="ED98" s="94"/>
    </row>
    <row r="99" spans="1:134">
      <c r="A99" s="1187"/>
      <c r="B99" s="94"/>
      <c r="C99" s="1320" t="s">
        <v>652</v>
      </c>
      <c r="D99" s="17"/>
      <c r="E99" s="17"/>
      <c r="F99" s="17"/>
      <c r="G99" s="17"/>
      <c r="H99" s="17"/>
      <c r="I99" s="17"/>
      <c r="J99" s="17"/>
      <c r="K99" s="17"/>
      <c r="L99" s="17"/>
      <c r="M99" s="94"/>
      <c r="N99" s="17"/>
      <c r="O99" s="17"/>
      <c r="P99" s="17"/>
      <c r="Q99" s="17"/>
      <c r="R99" s="94"/>
      <c r="S99" s="17"/>
      <c r="T99" s="17"/>
      <c r="U99" s="17"/>
      <c r="V99" s="17"/>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282">
        <v>2.1539999999999999</v>
      </c>
      <c r="BG99" s="94"/>
      <c r="BH99" s="94"/>
      <c r="BI99" s="94"/>
      <c r="BJ99" s="94"/>
      <c r="BK99" s="282">
        <v>4.5170000000000003</v>
      </c>
      <c r="BL99" s="94"/>
      <c r="BM99" s="94"/>
      <c r="BN99" s="94"/>
      <c r="BO99" s="94"/>
      <c r="BP99" s="282">
        <v>7.9119999999999999</v>
      </c>
      <c r="BQ99" s="94"/>
      <c r="BR99" s="94"/>
      <c r="BS99" s="94"/>
      <c r="BU99" s="1361">
        <v>15.436</v>
      </c>
      <c r="BV99" s="94"/>
      <c r="BW99" s="94"/>
      <c r="BX99" s="94"/>
      <c r="BZ99" s="1361">
        <v>25.957999999999998</v>
      </c>
      <c r="CA99" s="94"/>
      <c r="CB99" s="94"/>
      <c r="CC99" s="94"/>
      <c r="CE99" s="1361">
        <v>44.59</v>
      </c>
      <c r="CF99" s="94"/>
      <c r="CG99" s="94"/>
      <c r="CH99" s="94"/>
      <c r="CJ99" s="1361">
        <v>69.596000000000004</v>
      </c>
      <c r="CK99" s="94"/>
      <c r="CL99" s="94"/>
      <c r="CM99" s="94"/>
      <c r="CO99" s="1361">
        <v>103.498</v>
      </c>
      <c r="CP99" s="94"/>
      <c r="CQ99" s="94"/>
      <c r="CR99" s="94"/>
      <c r="CT99" s="1361">
        <v>199.82499999999999</v>
      </c>
      <c r="CU99" s="94"/>
      <c r="CV99" s="94"/>
      <c r="CW99" s="94"/>
      <c r="CY99" s="433"/>
      <c r="CZ99" s="99"/>
      <c r="DA99" s="99"/>
      <c r="DB99" s="94"/>
      <c r="DD99" s="433"/>
      <c r="DE99" s="99"/>
      <c r="DF99" s="99"/>
      <c r="DG99" s="94"/>
      <c r="DI99" s="433"/>
      <c r="DJ99" s="94"/>
      <c r="DK99" s="99"/>
      <c r="DL99" s="94"/>
      <c r="DM99" s="94"/>
      <c r="DN99" s="433"/>
      <c r="DO99" s="99"/>
      <c r="DP99" s="99"/>
      <c r="DQ99" s="94"/>
      <c r="DR99" s="94"/>
      <c r="DS99" s="433"/>
      <c r="DT99" s="99"/>
      <c r="DU99" s="99"/>
      <c r="DV99" s="94"/>
      <c r="DW99" s="94"/>
      <c r="DX99" s="433"/>
      <c r="DY99" s="99"/>
      <c r="DZ99" s="99"/>
      <c r="EA99" s="94"/>
      <c r="EB99" s="94"/>
      <c r="EC99" s="433"/>
      <c r="ED99" s="94"/>
    </row>
    <row r="100" spans="1:134">
      <c r="A100" s="1187"/>
      <c r="B100" s="94"/>
      <c r="C100" s="687" t="s">
        <v>332</v>
      </c>
      <c r="D100" s="17"/>
      <c r="E100" s="17"/>
      <c r="F100" s="17"/>
      <c r="G100" s="17"/>
      <c r="H100" s="17"/>
      <c r="I100" s="17"/>
      <c r="J100" s="17"/>
      <c r="K100" s="17"/>
      <c r="L100" s="17"/>
      <c r="M100" s="94"/>
      <c r="N100" s="17"/>
      <c r="O100" s="17"/>
      <c r="P100" s="17"/>
      <c r="Q100" s="17"/>
      <c r="R100" s="94"/>
      <c r="S100" s="17"/>
      <c r="T100" s="17"/>
      <c r="U100" s="17"/>
      <c r="V100" s="17"/>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282"/>
      <c r="BG100" s="94"/>
      <c r="BH100" s="94"/>
      <c r="BI100" s="94"/>
      <c r="BJ100" s="94"/>
      <c r="BK100" s="282"/>
      <c r="BL100" s="94"/>
      <c r="BM100" s="94"/>
      <c r="BN100" s="94"/>
      <c r="BO100" s="94"/>
      <c r="BP100" s="282"/>
      <c r="BQ100" s="94"/>
      <c r="BR100" s="94"/>
      <c r="BS100" s="94"/>
      <c r="BU100" s="1361"/>
      <c r="BV100" s="94"/>
      <c r="BW100" s="94"/>
      <c r="BX100" s="94"/>
      <c r="BZ100" s="1361"/>
      <c r="CA100" s="94"/>
      <c r="CB100" s="94"/>
      <c r="CC100" s="94"/>
      <c r="CE100" s="1361"/>
      <c r="CF100" s="94"/>
      <c r="CG100" s="94"/>
      <c r="CH100" s="94"/>
      <c r="CJ100" s="1361"/>
      <c r="CK100" s="94"/>
      <c r="CL100" s="94"/>
      <c r="CM100" s="94"/>
      <c r="CO100" s="1361"/>
      <c r="CP100" s="94"/>
      <c r="CQ100" s="94"/>
      <c r="CR100" s="94"/>
      <c r="CT100" s="1361">
        <f>170.233+122.007</f>
        <v>292.24</v>
      </c>
      <c r="CU100" s="94"/>
      <c r="CV100" s="94"/>
      <c r="CW100" s="94"/>
      <c r="CY100" s="1361">
        <v>467</v>
      </c>
      <c r="CZ100" s="99"/>
      <c r="DA100" s="99"/>
      <c r="DB100" s="94"/>
      <c r="DD100" s="1361">
        <v>553</v>
      </c>
      <c r="DE100" s="99"/>
      <c r="DF100" s="99"/>
      <c r="DG100" s="94"/>
      <c r="DI100" s="1361">
        <v>699</v>
      </c>
      <c r="DJ100" s="94"/>
      <c r="DK100" s="99"/>
      <c r="DL100" s="94"/>
      <c r="DM100" s="94"/>
      <c r="DN100" s="433">
        <f>+DI100*(1+DN112)</f>
        <v>873.75</v>
      </c>
      <c r="DO100" s="99"/>
      <c r="DP100" s="99"/>
      <c r="DQ100" s="94"/>
      <c r="DR100" s="94"/>
      <c r="DS100" s="433">
        <f ca="1">DS124*DS$104</f>
        <v>1068.9706494626566</v>
      </c>
      <c r="DT100" s="99"/>
      <c r="DU100" s="99"/>
      <c r="DV100" s="94"/>
      <c r="DW100" s="94"/>
      <c r="DX100" s="433">
        <f ca="1">DX124*DX$104</f>
        <v>1279.5294704312892</v>
      </c>
      <c r="DY100" s="99"/>
      <c r="DZ100" s="99"/>
      <c r="EA100" s="94"/>
      <c r="EB100" s="94"/>
      <c r="EC100" s="433">
        <f ca="1">EC124*EC$104</f>
        <v>1508.7675777384886</v>
      </c>
      <c r="ED100" s="94"/>
    </row>
    <row r="101" spans="1:134">
      <c r="A101" s="1187"/>
      <c r="B101" s="94"/>
      <c r="C101" s="1320" t="s">
        <v>333</v>
      </c>
      <c r="D101" s="17"/>
      <c r="E101" s="17"/>
      <c r="F101" s="17"/>
      <c r="G101" s="17"/>
      <c r="H101" s="17"/>
      <c r="I101" s="17"/>
      <c r="J101" s="17"/>
      <c r="K101" s="17"/>
      <c r="L101" s="17"/>
      <c r="M101" s="94"/>
      <c r="N101" s="17"/>
      <c r="O101" s="17"/>
      <c r="P101" s="17"/>
      <c r="Q101" s="17"/>
      <c r="R101" s="94"/>
      <c r="S101" s="17"/>
      <c r="T101" s="17"/>
      <c r="U101" s="17"/>
      <c r="V101" s="17"/>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282">
        <v>1.81</v>
      </c>
      <c r="BG101" s="94"/>
      <c r="BH101" s="94"/>
      <c r="BI101" s="94"/>
      <c r="BJ101" s="94"/>
      <c r="BK101" s="282">
        <v>3.8069999999999999</v>
      </c>
      <c r="BL101" s="94"/>
      <c r="BM101" s="94"/>
      <c r="BN101" s="94"/>
      <c r="BO101" s="94"/>
      <c r="BP101" s="282">
        <v>6.42</v>
      </c>
      <c r="BQ101" s="94"/>
      <c r="BR101" s="94"/>
      <c r="BS101" s="94"/>
      <c r="BU101" s="1361">
        <v>10.531000000000001</v>
      </c>
      <c r="BV101" s="94"/>
      <c r="BW101" s="94"/>
      <c r="BX101" s="94"/>
      <c r="BZ101" s="1361">
        <v>18.163</v>
      </c>
      <c r="CA101" s="94"/>
      <c r="CB101" s="94"/>
      <c r="CC101" s="94"/>
      <c r="CE101" s="1361">
        <v>31.625</v>
      </c>
      <c r="CF101" s="94"/>
      <c r="CG101" s="94"/>
      <c r="CH101" s="94"/>
      <c r="CJ101" s="1361">
        <v>47.936999999999998</v>
      </c>
      <c r="CK101" s="94"/>
      <c r="CL101" s="94"/>
      <c r="CM101" s="94"/>
      <c r="CO101" s="1361">
        <v>68.570999999999998</v>
      </c>
      <c r="CP101" s="94"/>
      <c r="CQ101" s="94"/>
      <c r="CR101" s="94"/>
      <c r="CT101" s="1361">
        <v>122.00700000000001</v>
      </c>
      <c r="CU101" s="94"/>
      <c r="CV101" s="94"/>
      <c r="CW101" s="94"/>
      <c r="CY101" s="433"/>
      <c r="CZ101" s="99"/>
      <c r="DA101" s="99"/>
      <c r="DB101" s="94"/>
      <c r="DD101" s="433"/>
      <c r="DE101" s="99"/>
      <c r="DF101" s="99"/>
      <c r="DG101" s="94"/>
      <c r="DI101" s="433"/>
      <c r="DJ101" s="94"/>
      <c r="DK101" s="99"/>
      <c r="DL101" s="94"/>
      <c r="DM101" s="94"/>
      <c r="DN101" s="433"/>
      <c r="DO101" s="99"/>
      <c r="DP101" s="99"/>
      <c r="DQ101" s="94"/>
      <c r="DR101" s="94"/>
      <c r="DS101" s="433"/>
      <c r="DT101" s="99"/>
      <c r="DU101" s="99"/>
      <c r="DV101" s="94"/>
      <c r="DW101" s="94"/>
      <c r="DX101" s="433"/>
      <c r="DY101" s="99"/>
      <c r="DZ101" s="99"/>
      <c r="EA101" s="94"/>
      <c r="EB101" s="94"/>
      <c r="EC101" s="433"/>
      <c r="ED101" s="94"/>
    </row>
    <row r="102" spans="1:134">
      <c r="A102" s="1187"/>
      <c r="B102" s="94"/>
      <c r="C102" s="1321" t="s">
        <v>188</v>
      </c>
      <c r="D102" s="17"/>
      <c r="E102" s="17"/>
      <c r="F102" s="17"/>
      <c r="G102" s="17"/>
      <c r="H102" s="17"/>
      <c r="I102" s="17"/>
      <c r="J102" s="17"/>
      <c r="K102" s="17"/>
      <c r="L102" s="17"/>
      <c r="M102" s="94"/>
      <c r="N102" s="17"/>
      <c r="O102" s="17"/>
      <c r="P102" s="17"/>
      <c r="Q102" s="17"/>
      <c r="R102" s="94"/>
      <c r="S102" s="17"/>
      <c r="T102" s="17"/>
      <c r="U102" s="17"/>
      <c r="V102" s="17"/>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282"/>
      <c r="BG102" s="94"/>
      <c r="BH102" s="94"/>
      <c r="BI102" s="94"/>
      <c r="BJ102" s="94"/>
      <c r="BK102" s="282">
        <v>0</v>
      </c>
      <c r="BL102" s="94"/>
      <c r="BM102" s="94"/>
      <c r="BN102" s="94"/>
      <c r="BO102" s="94"/>
      <c r="BP102" s="282"/>
      <c r="BQ102" s="94"/>
      <c r="BR102" s="94"/>
      <c r="BS102" s="94"/>
      <c r="BU102" s="1361"/>
      <c r="BV102" s="94"/>
      <c r="BW102" s="94"/>
      <c r="BX102" s="94"/>
      <c r="BZ102" s="1361"/>
      <c r="CA102" s="94"/>
      <c r="CB102" s="94"/>
      <c r="CC102" s="94"/>
      <c r="CE102" s="1361"/>
      <c r="CF102" s="94"/>
      <c r="CG102" s="94"/>
      <c r="CH102" s="94"/>
      <c r="CJ102" s="1361"/>
      <c r="CK102" s="94"/>
      <c r="CL102" s="94"/>
      <c r="CM102" s="94"/>
      <c r="CO102" s="1361"/>
      <c r="CP102" s="94"/>
      <c r="CQ102" s="94"/>
      <c r="CR102" s="94"/>
      <c r="CT102" s="1361">
        <v>36.155999999999999</v>
      </c>
      <c r="CU102" s="94"/>
      <c r="CV102" s="94"/>
      <c r="CW102" s="94"/>
      <c r="CY102" s="1361">
        <v>55</v>
      </c>
      <c r="CZ102" s="99"/>
      <c r="DA102" s="99"/>
      <c r="DB102" s="94"/>
      <c r="DD102" s="1361">
        <v>64</v>
      </c>
      <c r="DE102" s="99"/>
      <c r="DF102" s="99"/>
      <c r="DG102" s="94"/>
      <c r="DI102" s="1361">
        <v>69</v>
      </c>
      <c r="DJ102" s="94"/>
      <c r="DK102" s="99"/>
      <c r="DL102" s="94"/>
      <c r="DM102" s="94"/>
      <c r="DN102" s="433">
        <f>+DI102*(1+DN114)</f>
        <v>75.900000000000006</v>
      </c>
      <c r="DO102" s="99"/>
      <c r="DP102" s="99"/>
      <c r="DQ102" s="94"/>
      <c r="DR102" s="94"/>
      <c r="DS102" s="433">
        <f>+DN102*(1+DS114)</f>
        <v>87.284999999999997</v>
      </c>
      <c r="DT102" s="99"/>
      <c r="DU102" s="99"/>
      <c r="DV102" s="94"/>
      <c r="DW102" s="94"/>
      <c r="DX102" s="433">
        <f>+DS102*(1+DX114)</f>
        <v>97.759200000000007</v>
      </c>
      <c r="DY102" s="99"/>
      <c r="DZ102" s="99"/>
      <c r="EA102" s="94"/>
      <c r="EB102" s="94"/>
      <c r="EC102" s="433">
        <f>+DX102*(1+EC114)</f>
        <v>107.53512000000002</v>
      </c>
      <c r="ED102" s="94"/>
    </row>
    <row r="103" spans="1:134">
      <c r="A103" s="1187"/>
      <c r="B103" s="94"/>
      <c r="C103" s="687" t="s">
        <v>653</v>
      </c>
      <c r="D103" s="17"/>
      <c r="E103" s="17"/>
      <c r="F103" s="17"/>
      <c r="G103" s="17"/>
      <c r="H103" s="17"/>
      <c r="I103" s="17"/>
      <c r="J103" s="17"/>
      <c r="K103" s="17"/>
      <c r="L103" s="17"/>
      <c r="M103" s="94"/>
      <c r="N103" s="17"/>
      <c r="O103" s="17"/>
      <c r="P103" s="17"/>
      <c r="Q103" s="17"/>
      <c r="R103" s="94"/>
      <c r="S103" s="17"/>
      <c r="T103" s="17"/>
      <c r="U103" s="17"/>
      <c r="V103" s="17"/>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282">
        <v>2.7829999999999999</v>
      </c>
      <c r="BG103" s="94"/>
      <c r="BH103" s="94"/>
      <c r="BI103" s="94"/>
      <c r="BJ103" s="94"/>
      <c r="BK103" s="282">
        <v>6.0839999999999996</v>
      </c>
      <c r="BL103" s="94"/>
      <c r="BM103" s="94"/>
      <c r="BN103" s="94"/>
      <c r="BO103" s="94"/>
      <c r="BP103" s="282">
        <v>10.808</v>
      </c>
      <c r="BQ103" s="94"/>
      <c r="BR103" s="94"/>
      <c r="BS103" s="94"/>
      <c r="BU103" s="1361">
        <v>19.827000000000002</v>
      </c>
      <c r="BV103" s="94"/>
      <c r="BW103" s="94"/>
      <c r="BX103" s="94"/>
      <c r="BZ103" s="1361">
        <v>34.220999999999997</v>
      </c>
      <c r="CA103" s="94"/>
      <c r="CB103" s="94"/>
      <c r="CC103" s="94"/>
      <c r="CE103" s="1361">
        <v>70.695999999999998</v>
      </c>
      <c r="CF103" s="94"/>
      <c r="CG103" s="94"/>
      <c r="CH103" s="94"/>
      <c r="CJ103" s="1361">
        <v>129.46799999999999</v>
      </c>
      <c r="CK103" s="94"/>
      <c r="CL103" s="94"/>
      <c r="CM103" s="94"/>
      <c r="CO103" s="1361">
        <v>230.416</v>
      </c>
      <c r="CP103" s="94"/>
      <c r="CQ103" s="94"/>
      <c r="CR103" s="94"/>
      <c r="CT103" s="433"/>
      <c r="CU103" s="94"/>
      <c r="CV103" s="94"/>
      <c r="CW103" s="94"/>
      <c r="CY103" s="433"/>
      <c r="CZ103" s="99"/>
      <c r="DA103" s="99"/>
      <c r="DB103" s="94"/>
      <c r="DD103" s="433"/>
      <c r="DE103" s="99"/>
      <c r="DF103" s="99"/>
      <c r="DG103" s="94"/>
      <c r="DI103" s="433"/>
      <c r="DJ103" s="94"/>
      <c r="DK103" s="99"/>
      <c r="DL103" s="94"/>
      <c r="DM103" s="94"/>
      <c r="DN103" s="433"/>
      <c r="DO103" s="99"/>
      <c r="DP103" s="99"/>
      <c r="DQ103" s="94"/>
      <c r="DR103" s="94"/>
      <c r="DS103" s="433"/>
      <c r="DT103" s="99"/>
      <c r="DU103" s="99"/>
      <c r="DV103" s="94"/>
      <c r="DW103" s="94"/>
      <c r="DX103" s="433"/>
      <c r="DY103" s="99"/>
      <c r="DZ103" s="99"/>
      <c r="EA103" s="94"/>
      <c r="EB103" s="94"/>
      <c r="EC103" s="433"/>
      <c r="ED103" s="94"/>
    </row>
    <row r="104" spans="1:134">
      <c r="A104" s="1187"/>
      <c r="B104" s="94"/>
      <c r="C104" s="1326" t="s">
        <v>654</v>
      </c>
      <c r="D104" s="1357"/>
      <c r="E104" s="1357"/>
      <c r="F104" s="1357"/>
      <c r="G104" s="1357"/>
      <c r="H104" s="1357"/>
      <c r="I104" s="1357"/>
      <c r="J104" s="1357"/>
      <c r="K104" s="1357"/>
      <c r="L104" s="1357"/>
      <c r="M104" s="1322"/>
      <c r="N104" s="1357"/>
      <c r="O104" s="1357"/>
      <c r="P104" s="1357"/>
      <c r="Q104" s="1357"/>
      <c r="R104" s="1322"/>
      <c r="S104" s="1357"/>
      <c r="T104" s="1357"/>
      <c r="U104" s="1357"/>
      <c r="V104" s="1357"/>
      <c r="W104" s="1322"/>
      <c r="X104" s="1322"/>
      <c r="Y104" s="1322"/>
      <c r="Z104" s="1322"/>
      <c r="AA104" s="1322"/>
      <c r="AB104" s="1322"/>
      <c r="AC104" s="1322"/>
      <c r="AD104" s="1322"/>
      <c r="AE104" s="1322"/>
      <c r="AF104" s="1322"/>
      <c r="AG104" s="1322"/>
      <c r="AH104" s="1322"/>
      <c r="AI104" s="1322"/>
      <c r="AJ104" s="1322"/>
      <c r="AK104" s="1322"/>
      <c r="AL104" s="1322"/>
      <c r="AM104" s="1322"/>
      <c r="AN104" s="1322"/>
      <c r="AO104" s="1322"/>
      <c r="AP104" s="1322"/>
      <c r="AQ104" s="1322"/>
      <c r="AR104" s="1322"/>
      <c r="AS104" s="1322"/>
      <c r="AT104" s="1322"/>
      <c r="AU104" s="1322"/>
      <c r="AV104" s="1322"/>
      <c r="AW104" s="1322"/>
      <c r="AX104" s="1322"/>
      <c r="AY104" s="1322"/>
      <c r="AZ104" s="1322"/>
      <c r="BA104" s="1322"/>
      <c r="BB104" s="1322"/>
      <c r="BC104" s="1322"/>
      <c r="BD104" s="1322"/>
      <c r="BE104" s="1322"/>
      <c r="BF104" s="1324">
        <f>SUM(BF96:BF103)</f>
        <v>23.713000000000001</v>
      </c>
      <c r="BG104" s="1322"/>
      <c r="BH104" s="1322"/>
      <c r="BI104" s="1322"/>
      <c r="BJ104" s="1322"/>
      <c r="BK104" s="1324">
        <f>SUM(BK96:BK103)</f>
        <v>50.25200000000001</v>
      </c>
      <c r="BL104" s="1322"/>
      <c r="BM104" s="1322"/>
      <c r="BN104" s="1322"/>
      <c r="BO104" s="1322"/>
      <c r="BP104" s="1324">
        <f>SUM(BP96:BP103)</f>
        <v>105.018</v>
      </c>
      <c r="BQ104" s="1322"/>
      <c r="BR104" s="1322"/>
      <c r="BS104" s="1322"/>
      <c r="BT104" s="1371"/>
      <c r="BU104" s="1362">
        <v>205.233</v>
      </c>
      <c r="BV104" s="1322"/>
      <c r="BW104" s="1322"/>
      <c r="BX104" s="1322"/>
      <c r="BY104" s="1371"/>
      <c r="BZ104" s="438">
        <f>SUM(BZ96:BZ103)</f>
        <v>389.33000000000004</v>
      </c>
      <c r="CA104" s="1322"/>
      <c r="CB104" s="1322"/>
      <c r="CC104" s="1322"/>
      <c r="CD104" s="1371"/>
      <c r="CE104" s="438">
        <f>SUM(CE96:CE103)</f>
        <v>673.30400000000009</v>
      </c>
      <c r="CF104" s="1322"/>
      <c r="CG104" s="1322"/>
      <c r="CH104" s="1322"/>
      <c r="CI104" s="1371"/>
      <c r="CJ104" s="438">
        <f>SUM(CJ96:CJ103)</f>
        <v>1073.229</v>
      </c>
      <c r="CK104" s="1322"/>
      <c r="CL104" s="1322"/>
      <c r="CM104" s="1322"/>
      <c r="CN104" s="1371"/>
      <c r="CO104" s="1362">
        <v>1578.173</v>
      </c>
      <c r="CP104" s="1322"/>
      <c r="CQ104" s="1322"/>
      <c r="CR104" s="1322"/>
      <c r="CS104" s="1371"/>
      <c r="CT104" s="1362">
        <v>2929.491</v>
      </c>
      <c r="CU104" s="1322"/>
      <c r="CV104" s="1322"/>
      <c r="CW104" s="1322"/>
      <c r="CX104" s="1371"/>
      <c r="CY104" s="438">
        <f>SUM(CY96:CY103)</f>
        <v>4612</v>
      </c>
      <c r="CZ104" s="1358"/>
      <c r="DA104" s="1358"/>
      <c r="DB104" s="1322"/>
      <c r="DC104" s="1371"/>
      <c r="DD104" s="438">
        <f>SUM(DD96:DD103)</f>
        <v>5600</v>
      </c>
      <c r="DE104" s="1358"/>
      <c r="DF104" s="1358"/>
      <c r="DG104" s="1322"/>
      <c r="DH104" s="1371"/>
      <c r="DI104" s="438">
        <f>SUM(DI96:DI103)</f>
        <v>7060</v>
      </c>
      <c r="DJ104" s="1322"/>
      <c r="DK104" s="1358"/>
      <c r="DL104" s="1322"/>
      <c r="DM104" s="1322"/>
      <c r="DN104" s="438">
        <f>DN21</f>
        <v>8771.5891937011711</v>
      </c>
      <c r="DO104" s="1358"/>
      <c r="DP104" s="1358"/>
      <c r="DQ104" s="1322"/>
      <c r="DR104" s="1322"/>
      <c r="DS104" s="438">
        <f>DS21</f>
        <v>10796.75648813499</v>
      </c>
      <c r="DT104" s="1358"/>
      <c r="DU104" s="1358"/>
      <c r="DV104" s="1322"/>
      <c r="DW104" s="1322"/>
      <c r="DX104" s="438">
        <f>DX21</f>
        <v>12923.430702782402</v>
      </c>
      <c r="DY104" s="1358"/>
      <c r="DZ104" s="1358"/>
      <c r="EA104" s="1322"/>
      <c r="EB104" s="1322"/>
      <c r="EC104" s="438">
        <f>EC21</f>
        <v>15238.768381736383</v>
      </c>
      <c r="ED104" s="94"/>
    </row>
    <row r="105" spans="1:134">
      <c r="A105" s="1187"/>
      <c r="B105" s="94"/>
      <c r="D105" s="17"/>
      <c r="E105" s="17"/>
      <c r="F105" s="17"/>
      <c r="G105" s="17"/>
      <c r="H105" s="17"/>
      <c r="I105" s="17"/>
      <c r="J105" s="17"/>
      <c r="K105" s="17"/>
      <c r="L105" s="17"/>
      <c r="M105" s="94"/>
      <c r="N105" s="17"/>
      <c r="O105" s="17"/>
      <c r="P105" s="17"/>
      <c r="Q105" s="17"/>
      <c r="R105" s="94"/>
      <c r="S105" s="17"/>
      <c r="T105" s="17"/>
      <c r="U105" s="17"/>
      <c r="V105" s="17"/>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3"/>
      <c r="BG105" s="94"/>
      <c r="BH105" s="94"/>
      <c r="BI105" s="94"/>
      <c r="BJ105" s="94"/>
      <c r="BK105" s="93"/>
      <c r="BL105" s="94"/>
      <c r="BM105" s="94"/>
      <c r="BN105" s="94"/>
      <c r="BO105" s="94"/>
      <c r="BP105" s="93"/>
      <c r="BQ105" s="94"/>
      <c r="BR105" s="94"/>
      <c r="BS105" s="94"/>
      <c r="BU105" s="322"/>
      <c r="BV105" s="94"/>
      <c r="BW105" s="94"/>
      <c r="BX105" s="94"/>
      <c r="BZ105" s="322"/>
      <c r="CA105" s="94"/>
      <c r="CB105" s="94"/>
      <c r="CC105" s="94"/>
      <c r="CE105" s="322"/>
      <c r="CF105" s="94"/>
      <c r="CG105" s="94"/>
      <c r="CH105" s="94"/>
      <c r="CJ105" s="322"/>
      <c r="CK105" s="94"/>
      <c r="CL105" s="94"/>
      <c r="CM105" s="94"/>
      <c r="CO105" s="322"/>
      <c r="CP105" s="94"/>
      <c r="CQ105" s="94"/>
      <c r="CR105" s="94"/>
      <c r="CT105" s="322"/>
      <c r="CU105" s="94"/>
      <c r="CV105" s="94"/>
      <c r="CW105" s="94"/>
      <c r="CY105" s="322"/>
      <c r="CZ105" s="99"/>
      <c r="DA105" s="99"/>
      <c r="DB105" s="94"/>
      <c r="DD105" s="322"/>
      <c r="DE105" s="99"/>
      <c r="DF105" s="99"/>
      <c r="DG105" s="94"/>
      <c r="DI105" s="322"/>
      <c r="DJ105" s="94"/>
      <c r="DK105" s="99"/>
      <c r="DL105" s="94"/>
      <c r="DM105" s="94"/>
      <c r="DN105" s="322"/>
      <c r="DO105" s="99"/>
      <c r="DP105" s="99"/>
      <c r="DQ105" s="94"/>
      <c r="DR105" s="94"/>
      <c r="DS105" s="322"/>
      <c r="DT105" s="99"/>
      <c r="DU105" s="99"/>
      <c r="DV105" s="94"/>
      <c r="DW105" s="94"/>
      <c r="DX105" s="322"/>
      <c r="DY105" s="99"/>
      <c r="DZ105" s="99"/>
      <c r="EA105" s="94"/>
      <c r="EB105" s="94"/>
      <c r="EC105" s="322"/>
      <c r="ED105" s="94"/>
    </row>
    <row r="106" spans="1:134">
      <c r="A106" s="1187"/>
      <c r="B106" s="94"/>
      <c r="C106" s="1328" t="s">
        <v>695</v>
      </c>
      <c r="D106" s="17"/>
      <c r="E106" s="17"/>
      <c r="F106" s="17"/>
      <c r="G106" s="17"/>
      <c r="H106" s="17"/>
      <c r="I106" s="17"/>
      <c r="J106" s="17"/>
      <c r="K106" s="17"/>
      <c r="L106" s="17"/>
      <c r="M106" s="94"/>
      <c r="N106" s="17"/>
      <c r="O106" s="17"/>
      <c r="P106" s="17"/>
      <c r="Q106" s="17"/>
      <c r="R106" s="94"/>
      <c r="S106" s="17"/>
      <c r="T106" s="17"/>
      <c r="U106" s="17"/>
      <c r="V106" s="17"/>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322"/>
      <c r="BV106" s="94"/>
      <c r="BW106" s="94"/>
      <c r="BX106" s="94"/>
      <c r="BY106" s="94"/>
      <c r="BZ106" s="322"/>
      <c r="CA106" s="94"/>
      <c r="CB106" s="94"/>
      <c r="CC106" s="94"/>
      <c r="CD106" s="94"/>
      <c r="CE106" s="322"/>
      <c r="CF106" s="94"/>
      <c r="CG106" s="94"/>
      <c r="CH106" s="94"/>
      <c r="CI106" s="94"/>
      <c r="CJ106" s="322"/>
      <c r="CK106" s="94"/>
      <c r="CL106" s="94"/>
      <c r="CM106" s="94"/>
      <c r="CN106" s="94"/>
      <c r="CO106" s="322"/>
      <c r="CP106" s="94"/>
      <c r="CQ106" s="94"/>
      <c r="CR106" s="94"/>
      <c r="CS106" s="94"/>
      <c r="CT106" s="322"/>
      <c r="CU106" s="94"/>
      <c r="CV106" s="94"/>
      <c r="CW106" s="94"/>
      <c r="CX106" s="94"/>
      <c r="CY106" s="322"/>
      <c r="CZ106" s="99"/>
      <c r="DA106" s="99"/>
      <c r="DB106" s="94"/>
      <c r="DC106" s="94"/>
      <c r="DD106" s="322"/>
      <c r="DE106" s="99"/>
      <c r="DF106" s="99"/>
      <c r="DG106" s="94"/>
      <c r="DH106" s="94"/>
      <c r="DI106" s="322"/>
      <c r="DJ106" s="94"/>
      <c r="DK106" s="99"/>
      <c r="DL106" s="94"/>
      <c r="DM106" s="94"/>
      <c r="DN106" s="322"/>
      <c r="DO106" s="99"/>
      <c r="DP106" s="99"/>
      <c r="DQ106" s="94"/>
      <c r="DR106" s="94"/>
      <c r="DS106" s="322"/>
      <c r="DT106" s="99"/>
      <c r="DU106" s="99"/>
      <c r="DV106" s="94"/>
      <c r="DW106" s="94"/>
      <c r="DX106" s="322"/>
      <c r="DY106" s="99"/>
      <c r="DZ106" s="99"/>
      <c r="EA106" s="94"/>
      <c r="EB106" s="94"/>
      <c r="EC106" s="322"/>
      <c r="ED106" s="94"/>
    </row>
    <row r="107" spans="1:134">
      <c r="A107" s="1187"/>
      <c r="B107" s="94"/>
      <c r="C107" s="687" t="s">
        <v>151</v>
      </c>
      <c r="D107" s="17"/>
      <c r="E107" s="17"/>
      <c r="F107" s="17"/>
      <c r="G107" s="17"/>
      <c r="H107" s="17"/>
      <c r="I107" s="17"/>
      <c r="J107" s="17"/>
      <c r="K107" s="17"/>
      <c r="L107" s="17"/>
      <c r="M107" s="94"/>
      <c r="N107" s="17"/>
      <c r="O107" s="17"/>
      <c r="P107" s="17"/>
      <c r="Q107" s="17"/>
      <c r="R107" s="94"/>
      <c r="S107" s="17"/>
      <c r="T107" s="17"/>
      <c r="U107" s="17"/>
      <c r="V107" s="17"/>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179"/>
      <c r="BG107" s="94"/>
      <c r="BH107" s="94"/>
      <c r="BI107" s="94"/>
      <c r="BJ107" s="94"/>
      <c r="BK107" s="91">
        <f>+BK95/BF95-1</f>
        <v>1.1126959801956855</v>
      </c>
      <c r="BL107" s="94"/>
      <c r="BM107" s="94"/>
      <c r="BN107" s="94"/>
      <c r="BO107" s="94"/>
      <c r="BP107" s="91">
        <f>+BP95/BK95-1</f>
        <v>1.2284901238701038</v>
      </c>
      <c r="BQ107" s="94"/>
      <c r="BR107" s="94"/>
      <c r="BS107" s="94"/>
      <c r="BT107" s="94"/>
      <c r="BU107" s="861">
        <f>+BU95/BP95-1</f>
        <v>0.99603144795813603</v>
      </c>
      <c r="BV107" s="94"/>
      <c r="BW107" s="94"/>
      <c r="BX107" s="94"/>
      <c r="BZ107" s="861">
        <f>+BZ95/BU95-1</f>
        <v>0.95051398967630307</v>
      </c>
      <c r="CA107" s="94"/>
      <c r="CB107" s="94"/>
      <c r="CC107" s="94"/>
      <c r="CE107" s="861">
        <f>+CE95/BZ95-1</f>
        <v>0.69264730471915303</v>
      </c>
      <c r="CF107" s="94"/>
      <c r="CG107" s="94"/>
      <c r="CH107" s="94"/>
      <c r="CJ107" s="861">
        <f>+CJ95/CE95-1</f>
        <v>0.569602939248812</v>
      </c>
      <c r="CK107" s="94"/>
      <c r="CL107" s="94"/>
      <c r="CM107" s="94"/>
      <c r="CO107" s="861">
        <f>+CO95/CJ95-1</f>
        <v>0.42295831174929943</v>
      </c>
      <c r="CP107" s="94"/>
      <c r="CQ107" s="94"/>
      <c r="CR107" s="94"/>
      <c r="CT107" s="861">
        <f>+CT95/CO95-1</f>
        <v>0.82601676635297783</v>
      </c>
      <c r="CU107" s="94"/>
      <c r="CV107" s="94"/>
      <c r="CW107" s="94"/>
      <c r="CY107" s="861">
        <f>+CY95/CT95-1</f>
        <v>0.53296075229198836</v>
      </c>
      <c r="CZ107" s="99"/>
      <c r="DA107" s="99"/>
      <c r="DB107" s="94"/>
      <c r="DD107" s="861">
        <f>+DD95/CY95-1</f>
        <v>0.23549073230021267</v>
      </c>
      <c r="DE107" s="99"/>
      <c r="DF107" s="99"/>
      <c r="DG107" s="94"/>
      <c r="DI107" s="861">
        <f>+DI95/DD95-1</f>
        <v>0.23880964092474177</v>
      </c>
      <c r="DJ107" s="94"/>
      <c r="DK107" s="99"/>
      <c r="DL107" s="94"/>
      <c r="DM107" s="94"/>
      <c r="DN107" s="861">
        <f>+DN95/DI95-1</f>
        <v>0.22899328840602973</v>
      </c>
      <c r="DO107" s="99"/>
      <c r="DP107" s="99"/>
      <c r="DQ107" s="94"/>
      <c r="DR107" s="94"/>
      <c r="DS107" s="861">
        <f ca="1">+DS95/DN95-1</f>
        <v>0.22261048075124412</v>
      </c>
      <c r="DT107" s="99"/>
      <c r="DU107" s="99"/>
      <c r="DV107" s="94"/>
      <c r="DW107" s="94"/>
      <c r="DX107" s="861">
        <f ca="1">+DX95/DS95-1</f>
        <v>0.18334421703562676</v>
      </c>
      <c r="DY107" s="99"/>
      <c r="DZ107" s="99"/>
      <c r="EA107" s="94"/>
      <c r="EB107" s="94"/>
      <c r="EC107" s="861">
        <f ca="1">+EC95/DX95-1</f>
        <v>0.16531931294124469</v>
      </c>
      <c r="ED107" s="94"/>
    </row>
    <row r="108" spans="1:134">
      <c r="A108" s="1187"/>
      <c r="B108" s="94"/>
      <c r="C108" s="1320" t="s">
        <v>187</v>
      </c>
      <c r="D108" s="17"/>
      <c r="E108" s="17"/>
      <c r="F108" s="17"/>
      <c r="G108" s="17"/>
      <c r="H108" s="17"/>
      <c r="I108" s="17"/>
      <c r="J108" s="17"/>
      <c r="K108" s="17"/>
      <c r="L108" s="17"/>
      <c r="M108" s="94"/>
      <c r="N108" s="17"/>
      <c r="O108" s="17"/>
      <c r="P108" s="17"/>
      <c r="Q108" s="17"/>
      <c r="R108" s="94"/>
      <c r="S108" s="17"/>
      <c r="T108" s="17"/>
      <c r="U108" s="17"/>
      <c r="V108" s="17"/>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1280"/>
      <c r="BE108" s="94"/>
      <c r="BF108" s="282"/>
      <c r="BG108" s="94"/>
      <c r="BH108" s="94"/>
      <c r="BI108" s="94"/>
      <c r="BJ108" s="94"/>
      <c r="BK108" s="91">
        <f>+BK96/BF96-1</f>
        <v>1.2131678359417162</v>
      </c>
      <c r="BL108" s="94"/>
      <c r="BM108" s="94"/>
      <c r="BN108" s="94"/>
      <c r="BO108" s="94"/>
      <c r="BP108" s="91">
        <f>+BP96/BK96-1</f>
        <v>0.8846622774932944</v>
      </c>
      <c r="BQ108" s="94"/>
      <c r="BR108" s="94"/>
      <c r="BS108" s="94"/>
      <c r="BU108" s="861">
        <f>+BU96/BP96-1</f>
        <v>0.90076335877862612</v>
      </c>
      <c r="BV108" s="94"/>
      <c r="BW108" s="94"/>
      <c r="BX108" s="94"/>
      <c r="BZ108" s="861">
        <f>+BZ96/BU96-1</f>
        <v>0.8305765434619834</v>
      </c>
      <c r="CA108" s="94"/>
      <c r="CB108" s="94"/>
      <c r="CC108" s="94"/>
      <c r="CE108" s="861">
        <f>+CE96/BZ96-1</f>
        <v>0.78882980701297734</v>
      </c>
      <c r="CF108" s="94"/>
      <c r="CG108" s="94"/>
      <c r="CH108" s="94"/>
      <c r="CJ108" s="861">
        <f>+CJ96/CE96-1</f>
        <v>0.47117883052362441</v>
      </c>
      <c r="CK108" s="94"/>
      <c r="CL108" s="94"/>
      <c r="CM108" s="94"/>
      <c r="CO108" s="861">
        <f>+CO96/CJ96-1</f>
        <v>0.3588040805945687</v>
      </c>
      <c r="CP108" s="94"/>
      <c r="CQ108" s="94"/>
      <c r="CR108" s="94"/>
      <c r="CT108" s="861">
        <f>+CT96/CO96-1</f>
        <v>1.004003410697945</v>
      </c>
      <c r="CU108" s="94"/>
      <c r="CV108" s="94"/>
      <c r="CW108" s="94"/>
      <c r="CY108" s="861">
        <f>+CY96/CT96-1</f>
        <v>0.64486485645051661</v>
      </c>
      <c r="CZ108" s="99"/>
      <c r="DA108" s="99"/>
      <c r="DB108" s="94"/>
      <c r="DD108" s="861">
        <f>+DD96/CY96-1</f>
        <v>9.1482649842271391E-2</v>
      </c>
      <c r="DE108" s="99"/>
      <c r="DF108" s="99"/>
      <c r="DG108" s="94"/>
      <c r="DI108" s="861">
        <f>+DI96/DD96-1</f>
        <v>0.12138728323699421</v>
      </c>
      <c r="DJ108" s="94"/>
      <c r="DK108" s="99"/>
      <c r="DL108" s="94"/>
      <c r="DM108" s="94"/>
      <c r="DN108" s="864">
        <v>0.12</v>
      </c>
      <c r="DO108" s="1356"/>
      <c r="DP108" s="1356"/>
      <c r="DQ108" s="1325"/>
      <c r="DR108" s="1325"/>
      <c r="DS108" s="864">
        <v>0.1</v>
      </c>
      <c r="DT108" s="1356"/>
      <c r="DU108" s="1356"/>
      <c r="DV108" s="1325"/>
      <c r="DW108" s="1325"/>
      <c r="DX108" s="864">
        <v>0.09</v>
      </c>
      <c r="DY108" s="1356"/>
      <c r="DZ108" s="1356"/>
      <c r="EA108" s="1325"/>
      <c r="EB108" s="1325"/>
      <c r="EC108" s="864">
        <v>0.09</v>
      </c>
      <c r="ED108" s="94"/>
    </row>
    <row r="109" spans="1:134">
      <c r="A109" s="1187"/>
      <c r="B109" s="94"/>
      <c r="C109" s="1320" t="s">
        <v>329</v>
      </c>
      <c r="D109" s="17"/>
      <c r="E109" s="17"/>
      <c r="F109" s="17"/>
      <c r="G109" s="17"/>
      <c r="H109" s="17"/>
      <c r="I109" s="17"/>
      <c r="J109" s="17"/>
      <c r="K109" s="17"/>
      <c r="L109" s="17"/>
      <c r="M109" s="94"/>
      <c r="N109" s="17"/>
      <c r="O109" s="17"/>
      <c r="P109" s="17"/>
      <c r="Q109" s="17"/>
      <c r="R109" s="94"/>
      <c r="S109" s="17"/>
      <c r="T109" s="17"/>
      <c r="U109" s="17"/>
      <c r="V109" s="17"/>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282"/>
      <c r="BG109" s="94"/>
      <c r="BH109" s="94"/>
      <c r="BI109" s="94"/>
      <c r="BJ109" s="94"/>
      <c r="BK109" s="91">
        <f>+BK97/BF97-1</f>
        <v>1.1003771587375106</v>
      </c>
      <c r="BL109" s="94"/>
      <c r="BM109" s="94"/>
      <c r="BN109" s="94"/>
      <c r="BO109" s="94"/>
      <c r="BP109" s="91">
        <f>+BP97/BK97-1</f>
        <v>1.2729105629587627</v>
      </c>
      <c r="BQ109" s="94"/>
      <c r="BR109" s="94"/>
      <c r="BS109" s="94"/>
      <c r="BU109" s="861">
        <f>+BU97/BP97-1</f>
        <v>1.0062370926831972</v>
      </c>
      <c r="BV109" s="94"/>
      <c r="BW109" s="94"/>
      <c r="BX109" s="94"/>
      <c r="BZ109" s="861">
        <f>+BZ97/BU97-1</f>
        <v>0.96268687650261175</v>
      </c>
      <c r="CA109" s="94"/>
      <c r="CB109" s="94"/>
      <c r="CC109" s="94"/>
      <c r="CE109" s="861">
        <f>+CE97/BZ97-1</f>
        <v>0.68354247698833115</v>
      </c>
      <c r="CF109" s="94"/>
      <c r="CG109" s="94"/>
      <c r="CH109" s="94"/>
      <c r="CJ109" s="861">
        <f>+CJ97/CE97-1</f>
        <v>0.57950264067942592</v>
      </c>
      <c r="CK109" s="94"/>
      <c r="CL109" s="94"/>
      <c r="CM109" s="94"/>
      <c r="CO109" s="861">
        <f>+CO97/CJ97-1</f>
        <v>0.42896854077150959</v>
      </c>
      <c r="CP109" s="94"/>
      <c r="CQ109" s="94"/>
      <c r="CR109" s="94"/>
      <c r="CT109" s="861">
        <f>+CT97/CO97-1</f>
        <v>0.81016099748036163</v>
      </c>
      <c r="CU109" s="94"/>
      <c r="CV109" s="94"/>
      <c r="CW109" s="94"/>
      <c r="CY109" s="861">
        <f>+CY97/CT97-1</f>
        <v>0.52192435923351099</v>
      </c>
      <c r="CZ109" s="99"/>
      <c r="DA109" s="99"/>
      <c r="DB109" s="94"/>
      <c r="DD109" s="861">
        <f>+DD97/CY97-1</f>
        <v>0.25084061869535978</v>
      </c>
      <c r="DE109" s="99"/>
      <c r="DF109" s="99"/>
      <c r="DG109" s="94"/>
      <c r="DI109" s="861">
        <f>+DI97/DD97-1</f>
        <v>0.24973118279569895</v>
      </c>
      <c r="DJ109" s="94"/>
      <c r="DK109" s="99"/>
      <c r="DL109" s="94"/>
      <c r="DM109" s="94"/>
      <c r="DN109" s="861">
        <f>+DN97/DI97-1</f>
        <v>0.23808973837409564</v>
      </c>
      <c r="DO109" s="1356"/>
      <c r="DP109" s="1356"/>
      <c r="DQ109" s="1325"/>
      <c r="DR109" s="1325"/>
      <c r="DS109" s="861">
        <f ca="1">+DS97/DN97-1</f>
        <v>0.23186738290679454</v>
      </c>
      <c r="DT109" s="1356"/>
      <c r="DU109" s="1356"/>
      <c r="DV109" s="1325"/>
      <c r="DW109" s="1325"/>
      <c r="DX109" s="861">
        <f ca="1">+DX97/DS97-1</f>
        <v>0.18963716621053872</v>
      </c>
      <c r="DY109" s="1356"/>
      <c r="DZ109" s="1356"/>
      <c r="EA109" s="1325"/>
      <c r="EB109" s="1325"/>
      <c r="EC109" s="861">
        <f ca="1">+EC97/DX97-1</f>
        <v>0.16997179954005848</v>
      </c>
      <c r="ED109" s="94"/>
    </row>
    <row r="110" spans="1:134">
      <c r="A110" s="1187"/>
      <c r="B110" s="94"/>
      <c r="C110" s="1321" t="s">
        <v>330</v>
      </c>
      <c r="D110" s="17"/>
      <c r="E110" s="17"/>
      <c r="F110" s="17"/>
      <c r="G110" s="17"/>
      <c r="H110" s="17"/>
      <c r="I110" s="17"/>
      <c r="J110" s="17"/>
      <c r="K110" s="17"/>
      <c r="L110" s="17"/>
      <c r="M110" s="94"/>
      <c r="N110" s="17"/>
      <c r="O110" s="17"/>
      <c r="P110" s="17"/>
      <c r="Q110" s="17"/>
      <c r="R110" s="94"/>
      <c r="S110" s="17"/>
      <c r="T110" s="17"/>
      <c r="U110" s="17"/>
      <c r="V110" s="17"/>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282"/>
      <c r="BG110" s="94"/>
      <c r="BH110" s="94"/>
      <c r="BI110" s="94"/>
      <c r="BJ110" s="94"/>
      <c r="BK110" s="91"/>
      <c r="BL110" s="94"/>
      <c r="BM110" s="94"/>
      <c r="BN110" s="94"/>
      <c r="BO110" s="94"/>
      <c r="BP110" s="91"/>
      <c r="BQ110" s="94"/>
      <c r="BR110" s="94"/>
      <c r="BS110" s="94"/>
      <c r="BU110" s="861"/>
      <c r="BV110" s="94"/>
      <c r="BW110" s="94"/>
      <c r="BX110" s="94"/>
      <c r="BZ110" s="861"/>
      <c r="CA110" s="94"/>
      <c r="CB110" s="94"/>
      <c r="CC110" s="94"/>
      <c r="CE110" s="861"/>
      <c r="CF110" s="94"/>
      <c r="CG110" s="94"/>
      <c r="CH110" s="94"/>
      <c r="CJ110" s="861"/>
      <c r="CK110" s="94"/>
      <c r="CL110" s="94"/>
      <c r="CM110" s="94"/>
      <c r="CO110" s="861"/>
      <c r="CP110" s="94"/>
      <c r="CQ110" s="94"/>
      <c r="CR110" s="94"/>
      <c r="CT110" s="861"/>
      <c r="CU110" s="94"/>
      <c r="CV110" s="94"/>
      <c r="CW110" s="94"/>
      <c r="CY110" s="861">
        <f t="shared" ref="CY110:CY116" si="506">+CY98/CT98-1</f>
        <v>0.75886974457865275</v>
      </c>
      <c r="CZ110" s="99"/>
      <c r="DA110" s="99"/>
      <c r="DB110" s="94"/>
      <c r="DD110" s="861">
        <f t="shared" ref="DD110:DD116" si="507">+DD98/CY98-1</f>
        <v>0.14768460575719655</v>
      </c>
      <c r="DE110" s="99"/>
      <c r="DF110" s="99"/>
      <c r="DG110" s="94"/>
      <c r="DI110" s="861">
        <f t="shared" ref="DI110:DI116" si="508">+DI98/DD98-1</f>
        <v>0.36859323882224637</v>
      </c>
      <c r="DJ110" s="94"/>
      <c r="DK110" s="99"/>
      <c r="DL110" s="94"/>
      <c r="DM110" s="94"/>
      <c r="DN110" s="864">
        <v>0.3</v>
      </c>
      <c r="DO110" s="1356"/>
      <c r="DP110" s="1356"/>
      <c r="DQ110" s="1325"/>
      <c r="DR110" s="1325"/>
      <c r="DS110" s="864">
        <v>0.27</v>
      </c>
      <c r="DT110" s="1356"/>
      <c r="DU110" s="1356"/>
      <c r="DV110" s="1325"/>
      <c r="DW110" s="1325"/>
      <c r="DX110" s="864">
        <v>0.25</v>
      </c>
      <c r="DY110" s="1356"/>
      <c r="DZ110" s="1356"/>
      <c r="EA110" s="1325"/>
      <c r="EB110" s="1325"/>
      <c r="EC110" s="864">
        <v>0.23</v>
      </c>
      <c r="ED110" s="94"/>
    </row>
    <row r="111" spans="1:134">
      <c r="A111" s="1187"/>
      <c r="B111" s="94"/>
      <c r="C111" s="1320" t="s">
        <v>652</v>
      </c>
      <c r="D111" s="17"/>
      <c r="E111" s="17"/>
      <c r="F111" s="17"/>
      <c r="G111" s="17"/>
      <c r="H111" s="17"/>
      <c r="I111" s="17"/>
      <c r="J111" s="17"/>
      <c r="K111" s="17"/>
      <c r="L111" s="17"/>
      <c r="M111" s="94"/>
      <c r="N111" s="17"/>
      <c r="O111" s="17"/>
      <c r="P111" s="17"/>
      <c r="Q111" s="17"/>
      <c r="R111" s="94"/>
      <c r="S111" s="17"/>
      <c r="T111" s="17"/>
      <c r="U111" s="17"/>
      <c r="V111" s="17"/>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282"/>
      <c r="BG111" s="94"/>
      <c r="BH111" s="94"/>
      <c r="BI111" s="94"/>
      <c r="BJ111" s="94"/>
      <c r="BK111" s="91">
        <f t="shared" ref="BK111:BK116" si="509">+BK99/BF99-1</f>
        <v>1.0970287836583106</v>
      </c>
      <c r="BL111" s="94"/>
      <c r="BM111" s="94"/>
      <c r="BN111" s="94"/>
      <c r="BO111" s="94"/>
      <c r="BP111" s="91">
        <f t="shared" ref="BP111:BP116" si="510">+BP99/BK99-1</f>
        <v>0.75160504759796321</v>
      </c>
      <c r="BQ111" s="94"/>
      <c r="BR111" s="94"/>
      <c r="BS111" s="94"/>
      <c r="BU111" s="861">
        <f t="shared" ref="BU111:BU116" si="511">+BU99/BP99-1</f>
        <v>0.95096056622851366</v>
      </c>
      <c r="BV111" s="94"/>
      <c r="BW111" s="94"/>
      <c r="BX111" s="94"/>
      <c r="BZ111" s="861">
        <f t="shared" ref="BZ111:BZ116" si="512">+BZ99/BU99-1</f>
        <v>0.68165327805130849</v>
      </c>
      <c r="CA111" s="94"/>
      <c r="CB111" s="94"/>
      <c r="CC111" s="94"/>
      <c r="CE111" s="861">
        <f t="shared" ref="CE111:CE116" si="513">+CE99/BZ99-1</f>
        <v>0.71777486709299665</v>
      </c>
      <c r="CF111" s="94"/>
      <c r="CG111" s="94"/>
      <c r="CH111" s="94"/>
      <c r="CJ111" s="861">
        <f t="shared" ref="CJ111:CJ116" si="514">+CJ99/CE99-1</f>
        <v>0.56079838528818127</v>
      </c>
      <c r="CK111" s="94"/>
      <c r="CL111" s="94"/>
      <c r="CM111" s="94"/>
      <c r="CO111" s="861">
        <f t="shared" ref="CO111:CO116" si="515">+CO99/CJ99-1</f>
        <v>0.48712569687913088</v>
      </c>
      <c r="CP111" s="94"/>
      <c r="CQ111" s="94"/>
      <c r="CR111" s="94"/>
      <c r="CT111" s="861">
        <f t="shared" ref="CT111:CT116" si="516">+CT99/CO99-1</f>
        <v>0.93071363697849208</v>
      </c>
      <c r="CU111" s="94"/>
      <c r="CV111" s="94"/>
      <c r="CW111" s="94"/>
      <c r="CY111" s="861"/>
      <c r="CZ111" s="99"/>
      <c r="DA111" s="99"/>
      <c r="DB111" s="94"/>
      <c r="DD111" s="861"/>
      <c r="DE111" s="99"/>
      <c r="DF111" s="99"/>
      <c r="DG111" s="94"/>
      <c r="DI111" s="861"/>
      <c r="DJ111" s="94"/>
      <c r="DK111" s="99"/>
      <c r="DL111" s="94"/>
      <c r="DM111" s="94"/>
      <c r="DN111" s="861"/>
      <c r="DO111" s="99"/>
      <c r="DP111" s="99"/>
      <c r="DQ111" s="94"/>
      <c r="DR111" s="94"/>
      <c r="DS111" s="861"/>
      <c r="DT111" s="99"/>
      <c r="DU111" s="99"/>
      <c r="DV111" s="94"/>
      <c r="DW111" s="94"/>
      <c r="DX111" s="861"/>
      <c r="DY111" s="99"/>
      <c r="DZ111" s="99"/>
      <c r="EA111" s="94"/>
      <c r="EB111" s="94"/>
      <c r="EC111" s="861"/>
      <c r="ED111" s="94"/>
    </row>
    <row r="112" spans="1:134">
      <c r="A112" s="1187"/>
      <c r="B112" s="94"/>
      <c r="C112" s="687" t="s">
        <v>332</v>
      </c>
      <c r="D112" s="17"/>
      <c r="E112" s="17"/>
      <c r="F112" s="17"/>
      <c r="G112" s="17"/>
      <c r="H112" s="17"/>
      <c r="I112" s="17"/>
      <c r="J112" s="17"/>
      <c r="K112" s="17"/>
      <c r="L112" s="17"/>
      <c r="M112" s="94"/>
      <c r="N112" s="17"/>
      <c r="O112" s="17"/>
      <c r="P112" s="17"/>
      <c r="Q112" s="17"/>
      <c r="R112" s="94"/>
      <c r="S112" s="17"/>
      <c r="T112" s="17"/>
      <c r="U112" s="17"/>
      <c r="V112" s="17"/>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282"/>
      <c r="BG112" s="94"/>
      <c r="BH112" s="94"/>
      <c r="BI112" s="94"/>
      <c r="BJ112" s="94"/>
      <c r="BK112" s="91"/>
      <c r="BL112" s="94"/>
      <c r="BM112" s="94"/>
      <c r="BN112" s="94"/>
      <c r="BO112" s="94"/>
      <c r="BP112" s="91"/>
      <c r="BQ112" s="94"/>
      <c r="BR112" s="94"/>
      <c r="BS112" s="94"/>
      <c r="BU112" s="861"/>
      <c r="BV112" s="94"/>
      <c r="BW112" s="94"/>
      <c r="BX112" s="94"/>
      <c r="BZ112" s="861"/>
      <c r="CA112" s="94"/>
      <c r="CB112" s="94"/>
      <c r="CC112" s="94"/>
      <c r="CE112" s="861"/>
      <c r="CF112" s="94"/>
      <c r="CG112" s="94"/>
      <c r="CH112" s="94"/>
      <c r="CJ112" s="861"/>
      <c r="CK112" s="94"/>
      <c r="CL112" s="94"/>
      <c r="CM112" s="94"/>
      <c r="CO112" s="861"/>
      <c r="CP112" s="94"/>
      <c r="CQ112" s="94"/>
      <c r="CR112" s="94"/>
      <c r="CT112" s="861"/>
      <c r="CU112" s="94"/>
      <c r="CV112" s="94"/>
      <c r="CW112" s="94"/>
      <c r="CY112" s="861">
        <f t="shared" si="506"/>
        <v>0.59800164248562826</v>
      </c>
      <c r="CZ112" s="99"/>
      <c r="DA112" s="99"/>
      <c r="DB112" s="94"/>
      <c r="DD112" s="861">
        <f t="shared" si="507"/>
        <v>0.18415417558886515</v>
      </c>
      <c r="DE112" s="99"/>
      <c r="DF112" s="99"/>
      <c r="DG112" s="94"/>
      <c r="DI112" s="861">
        <f t="shared" si="508"/>
        <v>0.26401446654611216</v>
      </c>
      <c r="DJ112" s="94"/>
      <c r="DK112" s="99"/>
      <c r="DL112" s="94"/>
      <c r="DM112" s="94"/>
      <c r="DN112" s="864">
        <v>0.25</v>
      </c>
      <c r="DO112" s="1356"/>
      <c r="DP112" s="1356"/>
      <c r="DQ112" s="1325"/>
      <c r="DR112" s="1325"/>
      <c r="DS112" s="864">
        <v>0.23</v>
      </c>
      <c r="DT112" s="1356"/>
      <c r="DU112" s="1356"/>
      <c r="DV112" s="1325"/>
      <c r="DW112" s="1325"/>
      <c r="DX112" s="864">
        <v>0.22</v>
      </c>
      <c r="DY112" s="1356"/>
      <c r="DZ112" s="1356"/>
      <c r="EA112" s="1325"/>
      <c r="EB112" s="1325"/>
      <c r="EC112" s="864">
        <v>0.21</v>
      </c>
      <c r="ED112" s="94"/>
    </row>
    <row r="113" spans="1:134">
      <c r="A113" s="1187"/>
      <c r="B113" s="94"/>
      <c r="C113" s="1320" t="s">
        <v>333</v>
      </c>
      <c r="D113" s="17"/>
      <c r="E113" s="17"/>
      <c r="F113" s="17"/>
      <c r="G113" s="17"/>
      <c r="H113" s="17"/>
      <c r="I113" s="17"/>
      <c r="J113" s="17"/>
      <c r="K113" s="17"/>
      <c r="L113" s="17"/>
      <c r="M113" s="94"/>
      <c r="N113" s="17"/>
      <c r="O113" s="17"/>
      <c r="P113" s="17"/>
      <c r="Q113" s="17"/>
      <c r="R113" s="94"/>
      <c r="S113" s="17"/>
      <c r="T113" s="17"/>
      <c r="U113" s="17"/>
      <c r="V113" s="17"/>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282"/>
      <c r="BG113" s="94"/>
      <c r="BH113" s="94"/>
      <c r="BI113" s="94"/>
      <c r="BJ113" s="94"/>
      <c r="BK113" s="91">
        <f t="shared" si="509"/>
        <v>1.1033149171270717</v>
      </c>
      <c r="BL113" s="94"/>
      <c r="BM113" s="94"/>
      <c r="BN113" s="94"/>
      <c r="BO113" s="94"/>
      <c r="BP113" s="91">
        <f t="shared" si="510"/>
        <v>0.68636721828211189</v>
      </c>
      <c r="BQ113" s="94"/>
      <c r="BR113" s="94"/>
      <c r="BS113" s="94"/>
      <c r="BU113" s="861">
        <f t="shared" si="511"/>
        <v>0.64034267912772602</v>
      </c>
      <c r="BV113" s="94"/>
      <c r="BW113" s="94"/>
      <c r="BX113" s="94"/>
      <c r="BZ113" s="861">
        <f t="shared" si="512"/>
        <v>0.7247175007121831</v>
      </c>
      <c r="CA113" s="94"/>
      <c r="CB113" s="94"/>
      <c r="CC113" s="94"/>
      <c r="CE113" s="861">
        <f t="shared" si="513"/>
        <v>0.74117711831745847</v>
      </c>
      <c r="CF113" s="94"/>
      <c r="CG113" s="94"/>
      <c r="CH113" s="94"/>
      <c r="CJ113" s="861">
        <f t="shared" si="514"/>
        <v>0.51579446640316196</v>
      </c>
      <c r="CK113" s="94"/>
      <c r="CL113" s="94"/>
      <c r="CM113" s="94"/>
      <c r="CO113" s="861">
        <f t="shared" si="515"/>
        <v>0.43043995243757438</v>
      </c>
      <c r="CP113" s="94"/>
      <c r="CQ113" s="94"/>
      <c r="CR113" s="94"/>
      <c r="CT113" s="861">
        <f t="shared" si="516"/>
        <v>0.77927987049919079</v>
      </c>
      <c r="CU113" s="94"/>
      <c r="CV113" s="94"/>
      <c r="CW113" s="94"/>
      <c r="CY113" s="861"/>
      <c r="CZ113" s="99"/>
      <c r="DA113" s="99"/>
      <c r="DB113" s="94"/>
      <c r="DD113" s="861"/>
      <c r="DE113" s="99"/>
      <c r="DF113" s="99"/>
      <c r="DG113" s="94"/>
      <c r="DI113" s="861"/>
      <c r="DJ113" s="94"/>
      <c r="DK113" s="99"/>
      <c r="DL113" s="94"/>
      <c r="DM113" s="94"/>
      <c r="DN113" s="861"/>
      <c r="DO113" s="99"/>
      <c r="DP113" s="99"/>
      <c r="DQ113" s="94"/>
      <c r="DR113" s="94"/>
      <c r="DS113" s="861"/>
      <c r="DT113" s="99"/>
      <c r="DU113" s="99"/>
      <c r="DV113" s="94"/>
      <c r="DW113" s="94"/>
      <c r="DX113" s="861"/>
      <c r="DY113" s="99"/>
      <c r="DZ113" s="99"/>
      <c r="EA113" s="94"/>
      <c r="EB113" s="94"/>
      <c r="EC113" s="861"/>
      <c r="ED113" s="94"/>
    </row>
    <row r="114" spans="1:134">
      <c r="A114" s="1187"/>
      <c r="B114" s="94"/>
      <c r="C114" s="1321" t="s">
        <v>188</v>
      </c>
      <c r="D114" s="17"/>
      <c r="E114" s="17"/>
      <c r="F114" s="17"/>
      <c r="G114" s="17"/>
      <c r="H114" s="17"/>
      <c r="I114" s="17"/>
      <c r="J114" s="17"/>
      <c r="K114" s="17"/>
      <c r="L114" s="17"/>
      <c r="M114" s="94"/>
      <c r="N114" s="17"/>
      <c r="O114" s="17"/>
      <c r="P114" s="17"/>
      <c r="Q114" s="17"/>
      <c r="R114" s="94"/>
      <c r="S114" s="17"/>
      <c r="T114" s="17"/>
      <c r="U114" s="17"/>
      <c r="V114" s="17"/>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282"/>
      <c r="BG114" s="94"/>
      <c r="BH114" s="94"/>
      <c r="BI114" s="94"/>
      <c r="BJ114" s="94"/>
      <c r="BK114" s="91"/>
      <c r="BL114" s="94"/>
      <c r="BM114" s="94"/>
      <c r="BN114" s="94"/>
      <c r="BO114" s="94"/>
      <c r="BP114" s="91"/>
      <c r="BQ114" s="94"/>
      <c r="BR114" s="94"/>
      <c r="BS114" s="94"/>
      <c r="BU114" s="861"/>
      <c r="BV114" s="94"/>
      <c r="BW114" s="94"/>
      <c r="BX114" s="94"/>
      <c r="BZ114" s="861"/>
      <c r="CA114" s="94"/>
      <c r="CB114" s="94"/>
      <c r="CC114" s="94"/>
      <c r="CE114" s="861"/>
      <c r="CF114" s="94"/>
      <c r="CG114" s="94"/>
      <c r="CH114" s="94"/>
      <c r="CJ114" s="861"/>
      <c r="CK114" s="94"/>
      <c r="CL114" s="94"/>
      <c r="CM114" s="94"/>
      <c r="CO114" s="861"/>
      <c r="CP114" s="94"/>
      <c r="CQ114" s="94"/>
      <c r="CR114" s="94"/>
      <c r="CT114" s="861"/>
      <c r="CU114" s="94"/>
      <c r="CV114" s="94"/>
      <c r="CW114" s="94"/>
      <c r="CY114" s="861">
        <f t="shared" si="506"/>
        <v>0.52118597189954641</v>
      </c>
      <c r="CZ114" s="99"/>
      <c r="DA114" s="99"/>
      <c r="DB114" s="94"/>
      <c r="DD114" s="861">
        <f t="shared" si="507"/>
        <v>0.16363636363636358</v>
      </c>
      <c r="DE114" s="99"/>
      <c r="DF114" s="99"/>
      <c r="DG114" s="94"/>
      <c r="DI114" s="861">
        <f t="shared" si="508"/>
        <v>7.8125E-2</v>
      </c>
      <c r="DJ114" s="94"/>
      <c r="DK114" s="99"/>
      <c r="DL114" s="94"/>
      <c r="DM114" s="94"/>
      <c r="DN114" s="864">
        <v>0.1</v>
      </c>
      <c r="DO114" s="1356"/>
      <c r="DP114" s="1356"/>
      <c r="DQ114" s="1325"/>
      <c r="DR114" s="1325"/>
      <c r="DS114" s="864">
        <v>0.15</v>
      </c>
      <c r="DT114" s="1356"/>
      <c r="DU114" s="1356"/>
      <c r="DV114" s="1325"/>
      <c r="DW114" s="1325"/>
      <c r="DX114" s="864">
        <v>0.12</v>
      </c>
      <c r="DY114" s="1356"/>
      <c r="DZ114" s="1356"/>
      <c r="EA114" s="1325"/>
      <c r="EB114" s="1325"/>
      <c r="EC114" s="864">
        <v>0.1</v>
      </c>
      <c r="ED114" s="94"/>
    </row>
    <row r="115" spans="1:134">
      <c r="A115" s="1187"/>
      <c r="B115" s="94"/>
      <c r="C115" s="687" t="s">
        <v>653</v>
      </c>
      <c r="D115" s="17"/>
      <c r="E115" s="17"/>
      <c r="F115" s="17"/>
      <c r="G115" s="17"/>
      <c r="H115" s="17"/>
      <c r="I115" s="17"/>
      <c r="J115" s="17"/>
      <c r="K115" s="17"/>
      <c r="L115" s="17"/>
      <c r="M115" s="94"/>
      <c r="N115" s="17"/>
      <c r="O115" s="17"/>
      <c r="P115" s="17"/>
      <c r="Q115" s="17"/>
      <c r="R115" s="94"/>
      <c r="S115" s="17"/>
      <c r="T115" s="17"/>
      <c r="U115" s="17"/>
      <c r="V115" s="17"/>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282"/>
      <c r="BG115" s="94"/>
      <c r="BH115" s="94"/>
      <c r="BI115" s="94"/>
      <c r="BJ115" s="94"/>
      <c r="BK115" s="91">
        <f t="shared" si="509"/>
        <v>1.1861300754581388</v>
      </c>
      <c r="BL115" s="94"/>
      <c r="BM115" s="94"/>
      <c r="BN115" s="94"/>
      <c r="BO115" s="94"/>
      <c r="BP115" s="91">
        <f t="shared" si="510"/>
        <v>0.77646285338593035</v>
      </c>
      <c r="BQ115" s="94"/>
      <c r="BR115" s="94"/>
      <c r="BS115" s="94"/>
      <c r="BU115" s="861">
        <f t="shared" si="511"/>
        <v>0.83447446336047393</v>
      </c>
      <c r="BV115" s="94"/>
      <c r="BW115" s="94"/>
      <c r="BX115" s="94"/>
      <c r="BZ115" s="861">
        <f t="shared" si="512"/>
        <v>0.72597972461794491</v>
      </c>
      <c r="CA115" s="94"/>
      <c r="CB115" s="94"/>
      <c r="CC115" s="94"/>
      <c r="CE115" s="861">
        <f t="shared" si="513"/>
        <v>1.0658659887203767</v>
      </c>
      <c r="CF115" s="94"/>
      <c r="CG115" s="94"/>
      <c r="CH115" s="94"/>
      <c r="CJ115" s="861">
        <f t="shared" si="514"/>
        <v>0.83133416317754882</v>
      </c>
      <c r="CK115" s="94"/>
      <c r="CL115" s="94"/>
      <c r="CM115" s="94"/>
      <c r="CO115" s="861">
        <f t="shared" si="515"/>
        <v>0.77971390613896885</v>
      </c>
      <c r="CP115" s="94"/>
      <c r="CQ115" s="94"/>
      <c r="CR115" s="94"/>
      <c r="CT115" s="861"/>
      <c r="CU115" s="94"/>
      <c r="CV115" s="94"/>
      <c r="CW115" s="94"/>
      <c r="CY115" s="861"/>
      <c r="CZ115" s="99"/>
      <c r="DA115" s="99"/>
      <c r="DB115" s="94"/>
      <c r="DD115" s="861"/>
      <c r="DE115" s="99"/>
      <c r="DF115" s="99"/>
      <c r="DG115" s="94"/>
      <c r="DI115" s="861"/>
      <c r="DJ115" s="94"/>
      <c r="DK115" s="99"/>
      <c r="DL115" s="94"/>
      <c r="DM115" s="94"/>
      <c r="DN115" s="861"/>
      <c r="DO115" s="99"/>
      <c r="DP115" s="99"/>
      <c r="DQ115" s="94"/>
      <c r="DR115" s="94"/>
      <c r="DS115" s="861"/>
      <c r="DT115" s="99"/>
      <c r="DU115" s="99"/>
      <c r="DV115" s="94"/>
      <c r="DW115" s="94"/>
      <c r="DX115" s="861"/>
      <c r="DY115" s="99"/>
      <c r="DZ115" s="99"/>
      <c r="EA115" s="94"/>
      <c r="EB115" s="94"/>
      <c r="EC115" s="861"/>
      <c r="ED115" s="94"/>
    </row>
    <row r="116" spans="1:134">
      <c r="A116" s="1187"/>
      <c r="B116" s="94"/>
      <c r="C116" s="1326" t="s">
        <v>654</v>
      </c>
      <c r="D116" s="1357"/>
      <c r="E116" s="1357"/>
      <c r="F116" s="1357"/>
      <c r="G116" s="1357"/>
      <c r="H116" s="1357"/>
      <c r="I116" s="1357"/>
      <c r="J116" s="1357"/>
      <c r="K116" s="1357"/>
      <c r="L116" s="1357"/>
      <c r="M116" s="1322"/>
      <c r="N116" s="1357"/>
      <c r="O116" s="1357"/>
      <c r="P116" s="1357"/>
      <c r="Q116" s="1357"/>
      <c r="R116" s="1322"/>
      <c r="S116" s="1357"/>
      <c r="T116" s="1357"/>
      <c r="U116" s="1357"/>
      <c r="V116" s="1357"/>
      <c r="W116" s="1322"/>
      <c r="X116" s="1322"/>
      <c r="Y116" s="1322"/>
      <c r="Z116" s="1322"/>
      <c r="AA116" s="1322"/>
      <c r="AB116" s="1322"/>
      <c r="AC116" s="1322"/>
      <c r="AD116" s="1322"/>
      <c r="AE116" s="1322"/>
      <c r="AF116" s="1322"/>
      <c r="AG116" s="1322"/>
      <c r="AH116" s="1322"/>
      <c r="AI116" s="1322"/>
      <c r="AJ116" s="1322"/>
      <c r="AK116" s="1322"/>
      <c r="AL116" s="1322"/>
      <c r="AM116" s="1322"/>
      <c r="AN116" s="1322"/>
      <c r="AO116" s="1322"/>
      <c r="AP116" s="1322"/>
      <c r="AQ116" s="1322"/>
      <c r="AR116" s="1322"/>
      <c r="AS116" s="1322"/>
      <c r="AT116" s="1322"/>
      <c r="AU116" s="1322"/>
      <c r="AV116" s="1322"/>
      <c r="AW116" s="1322"/>
      <c r="AX116" s="1322"/>
      <c r="AY116" s="1322"/>
      <c r="AZ116" s="1322"/>
      <c r="BA116" s="1322"/>
      <c r="BB116" s="1322"/>
      <c r="BC116" s="1322"/>
      <c r="BD116" s="1322"/>
      <c r="BE116" s="1322"/>
      <c r="BF116" s="1324"/>
      <c r="BG116" s="1322"/>
      <c r="BH116" s="1322"/>
      <c r="BI116" s="1322"/>
      <c r="BJ116" s="1322"/>
      <c r="BK116" s="1323">
        <f t="shared" si="509"/>
        <v>1.11917513600135</v>
      </c>
      <c r="BL116" s="1322"/>
      <c r="BM116" s="1322"/>
      <c r="BN116" s="1322"/>
      <c r="BO116" s="1322"/>
      <c r="BP116" s="1323">
        <f t="shared" si="510"/>
        <v>1.0898272705563952</v>
      </c>
      <c r="BQ116" s="1322"/>
      <c r="BR116" s="1322"/>
      <c r="BS116" s="1322"/>
      <c r="BT116" s="1371"/>
      <c r="BU116" s="1359">
        <f t="shared" si="511"/>
        <v>0.95426498314574637</v>
      </c>
      <c r="BV116" s="1322"/>
      <c r="BW116" s="1322"/>
      <c r="BX116" s="1322"/>
      <c r="BY116" s="1371"/>
      <c r="BZ116" s="1359">
        <f t="shared" si="512"/>
        <v>0.89701461265975757</v>
      </c>
      <c r="CA116" s="1322"/>
      <c r="CB116" s="1322"/>
      <c r="CC116" s="1322"/>
      <c r="CD116" s="1371"/>
      <c r="CE116" s="1359">
        <f t="shared" si="513"/>
        <v>0.72939151876300312</v>
      </c>
      <c r="CF116" s="1322"/>
      <c r="CG116" s="1322"/>
      <c r="CH116" s="1322"/>
      <c r="CI116" s="1371"/>
      <c r="CJ116" s="1359">
        <f t="shared" si="514"/>
        <v>0.59397389589249427</v>
      </c>
      <c r="CK116" s="1322"/>
      <c r="CL116" s="1322"/>
      <c r="CM116" s="1322"/>
      <c r="CN116" s="1371"/>
      <c r="CO116" s="1359">
        <f t="shared" si="515"/>
        <v>0.47049045450691329</v>
      </c>
      <c r="CP116" s="1322"/>
      <c r="CQ116" s="1322"/>
      <c r="CR116" s="1322"/>
      <c r="CS116" s="1371"/>
      <c r="CT116" s="1359">
        <f t="shared" si="516"/>
        <v>0.856254669164914</v>
      </c>
      <c r="CU116" s="1322"/>
      <c r="CV116" s="1322"/>
      <c r="CW116" s="1322"/>
      <c r="CX116" s="1371"/>
      <c r="CY116" s="1359">
        <f t="shared" si="506"/>
        <v>0.57433492712556555</v>
      </c>
      <c r="CZ116" s="1358"/>
      <c r="DA116" s="1358"/>
      <c r="DB116" s="1322"/>
      <c r="DC116" s="1371"/>
      <c r="DD116" s="1359">
        <f t="shared" si="507"/>
        <v>0.21422376409366861</v>
      </c>
      <c r="DE116" s="1358"/>
      <c r="DF116" s="1358"/>
      <c r="DG116" s="1322"/>
      <c r="DH116" s="1371"/>
      <c r="DI116" s="1359">
        <f t="shared" si="508"/>
        <v>0.26071428571428568</v>
      </c>
      <c r="DJ116" s="1322"/>
      <c r="DK116" s="1358"/>
      <c r="DL116" s="1322"/>
      <c r="DM116" s="1322"/>
      <c r="DN116" s="1359">
        <f t="shared" ref="DN116" si="517">+DN104/DI104-1</f>
        <v>0.24243472998600146</v>
      </c>
      <c r="DO116" s="1358"/>
      <c r="DP116" s="1358"/>
      <c r="DQ116" s="1322"/>
      <c r="DR116" s="1322"/>
      <c r="DS116" s="1359">
        <f t="shared" ref="DS116" si="518">+DS104/DN104-1</f>
        <v>0.23087803700247167</v>
      </c>
      <c r="DT116" s="1358"/>
      <c r="DU116" s="1358"/>
      <c r="DV116" s="1322"/>
      <c r="DW116" s="1322"/>
      <c r="DX116" s="1359">
        <f t="shared" ref="DX116" si="519">+DX104/DS104-1</f>
        <v>0.19697343521496502</v>
      </c>
      <c r="DY116" s="1358"/>
      <c r="DZ116" s="1358"/>
      <c r="EA116" s="1322"/>
      <c r="EB116" s="1322"/>
      <c r="EC116" s="1359">
        <f t="shared" ref="EC116" si="520">+EC104/DX104-1</f>
        <v>0.17915813008193648</v>
      </c>
      <c r="ED116" s="94"/>
    </row>
    <row r="117" spans="1:134">
      <c r="A117" s="1187"/>
      <c r="B117" s="94"/>
      <c r="C117" s="687"/>
      <c r="D117" s="17"/>
      <c r="E117" s="17"/>
      <c r="F117" s="17"/>
      <c r="G117" s="17"/>
      <c r="H117" s="17"/>
      <c r="I117" s="17"/>
      <c r="J117" s="17"/>
      <c r="K117" s="17"/>
      <c r="L117" s="17"/>
      <c r="M117" s="94"/>
      <c r="N117" s="17"/>
      <c r="O117" s="17"/>
      <c r="P117" s="17"/>
      <c r="Q117" s="17"/>
      <c r="R117" s="94"/>
      <c r="S117" s="17"/>
      <c r="T117" s="17"/>
      <c r="U117" s="17"/>
      <c r="V117" s="17"/>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179"/>
      <c r="BG117" s="94"/>
      <c r="BH117" s="94"/>
      <c r="BI117" s="94"/>
      <c r="BJ117" s="94"/>
      <c r="BK117" s="91"/>
      <c r="BL117" s="94"/>
      <c r="BM117" s="94"/>
      <c r="BN117" s="94"/>
      <c r="BO117" s="94"/>
      <c r="BP117" s="91"/>
      <c r="BQ117" s="94"/>
      <c r="BR117" s="94"/>
      <c r="BS117" s="94"/>
      <c r="BU117" s="861"/>
      <c r="BV117" s="94"/>
      <c r="BW117" s="94"/>
      <c r="BX117" s="94"/>
      <c r="BZ117" s="861"/>
      <c r="CA117" s="94"/>
      <c r="CB117" s="94"/>
      <c r="CC117" s="94"/>
      <c r="CE117" s="861"/>
      <c r="CF117" s="94"/>
      <c r="CG117" s="94"/>
      <c r="CH117" s="94"/>
      <c r="CJ117" s="861"/>
      <c r="CK117" s="94"/>
      <c r="CL117" s="94"/>
      <c r="CM117" s="94"/>
      <c r="CO117" s="861"/>
      <c r="CP117" s="94"/>
      <c r="CQ117" s="94"/>
      <c r="CR117" s="94"/>
      <c r="CT117" s="861"/>
      <c r="CU117" s="94"/>
      <c r="CV117" s="94"/>
      <c r="CW117" s="94"/>
      <c r="CY117" s="861"/>
      <c r="CZ117" s="99"/>
      <c r="DA117" s="99"/>
      <c r="DB117" s="94"/>
      <c r="DD117" s="861"/>
      <c r="DE117" s="99"/>
      <c r="DF117" s="99"/>
      <c r="DG117" s="94"/>
      <c r="DI117" s="861"/>
      <c r="DJ117" s="94"/>
      <c r="DK117" s="99"/>
      <c r="DL117" s="94"/>
      <c r="DM117" s="94"/>
      <c r="DN117" s="861"/>
      <c r="DO117" s="99"/>
      <c r="DP117" s="99"/>
      <c r="DQ117" s="94"/>
      <c r="DR117" s="94"/>
      <c r="DS117" s="861"/>
      <c r="DT117" s="99"/>
      <c r="DU117" s="99"/>
      <c r="DV117" s="94"/>
      <c r="DW117" s="94"/>
      <c r="DX117" s="861"/>
      <c r="DY117" s="99"/>
      <c r="DZ117" s="99"/>
      <c r="EA117" s="94"/>
      <c r="EB117" s="94"/>
      <c r="EC117" s="861"/>
      <c r="ED117" s="94"/>
    </row>
    <row r="118" spans="1:134">
      <c r="A118" s="1187"/>
      <c r="B118" s="94"/>
      <c r="C118" s="1328" t="s">
        <v>691</v>
      </c>
      <c r="D118" s="17"/>
      <c r="E118" s="17"/>
      <c r="F118" s="17"/>
      <c r="G118" s="17"/>
      <c r="H118" s="17"/>
      <c r="I118" s="17"/>
      <c r="J118" s="17"/>
      <c r="K118" s="17"/>
      <c r="L118" s="17"/>
      <c r="M118" s="94"/>
      <c r="N118" s="17"/>
      <c r="O118" s="17"/>
      <c r="P118" s="17"/>
      <c r="Q118" s="17"/>
      <c r="R118" s="94"/>
      <c r="S118" s="17"/>
      <c r="T118" s="17"/>
      <c r="U118" s="17"/>
      <c r="V118" s="17"/>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3"/>
      <c r="BG118" s="94"/>
      <c r="BH118" s="94"/>
      <c r="BI118" s="94"/>
      <c r="BJ118" s="94"/>
      <c r="BK118" s="93"/>
      <c r="BL118" s="94"/>
      <c r="BM118" s="94"/>
      <c r="BN118" s="94"/>
      <c r="BO118" s="94"/>
      <c r="BP118" s="93"/>
      <c r="BQ118" s="94"/>
      <c r="BR118" s="94"/>
      <c r="BS118" s="94"/>
      <c r="BU118" s="322"/>
      <c r="BV118" s="94"/>
      <c r="BW118" s="94"/>
      <c r="BX118" s="94"/>
      <c r="BZ118" s="322"/>
      <c r="CA118" s="94"/>
      <c r="CB118" s="94"/>
      <c r="CC118" s="94"/>
      <c r="CE118" s="322"/>
      <c r="CF118" s="94"/>
      <c r="CG118" s="94"/>
      <c r="CH118" s="94"/>
      <c r="CJ118" s="322"/>
      <c r="CK118" s="94"/>
      <c r="CL118" s="94"/>
      <c r="CM118" s="94"/>
      <c r="CO118" s="322"/>
      <c r="CP118" s="94"/>
      <c r="CQ118" s="94"/>
      <c r="CR118" s="94"/>
      <c r="CT118" s="322"/>
      <c r="CU118" s="94"/>
      <c r="CV118" s="94"/>
      <c r="CW118" s="94"/>
      <c r="CY118" s="322"/>
      <c r="CZ118" s="99"/>
      <c r="DA118" s="99"/>
      <c r="DB118" s="94"/>
      <c r="DD118" s="322"/>
      <c r="DE118" s="99"/>
      <c r="DF118" s="99"/>
      <c r="DG118" s="94"/>
      <c r="DI118" s="322"/>
      <c r="DJ118" s="94"/>
      <c r="DK118" s="99"/>
      <c r="DL118" s="94"/>
      <c r="DM118" s="94"/>
      <c r="DN118" s="322"/>
      <c r="DO118" s="99"/>
      <c r="DP118" s="99"/>
      <c r="DQ118" s="94"/>
      <c r="DR118" s="94"/>
      <c r="DS118" s="322"/>
      <c r="DT118" s="99"/>
      <c r="DU118" s="99"/>
      <c r="DV118" s="94"/>
      <c r="DW118" s="94"/>
      <c r="DX118" s="322"/>
      <c r="DY118" s="99"/>
      <c r="DZ118" s="99"/>
      <c r="EA118" s="94"/>
      <c r="EB118" s="94"/>
      <c r="EC118" s="322"/>
      <c r="ED118" s="94"/>
    </row>
    <row r="119" spans="1:134">
      <c r="A119" s="1187"/>
      <c r="B119" s="94"/>
      <c r="C119" s="687" t="s">
        <v>151</v>
      </c>
      <c r="D119" s="17"/>
      <c r="E119" s="17"/>
      <c r="F119" s="17"/>
      <c r="G119" s="17"/>
      <c r="H119" s="17"/>
      <c r="I119" s="17"/>
      <c r="J119" s="17"/>
      <c r="K119" s="17"/>
      <c r="L119" s="17"/>
      <c r="M119" s="94"/>
      <c r="N119" s="17"/>
      <c r="O119" s="17"/>
      <c r="P119" s="17"/>
      <c r="Q119" s="17"/>
      <c r="R119" s="94"/>
      <c r="S119" s="17"/>
      <c r="T119" s="17"/>
      <c r="U119" s="17"/>
      <c r="V119" s="17"/>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1">
        <f>BF95/BF$104</f>
        <v>0.71547252561885888</v>
      </c>
      <c r="BG119" s="94"/>
      <c r="BH119" s="94"/>
      <c r="BI119" s="94"/>
      <c r="BJ119" s="94"/>
      <c r="BK119" s="91">
        <f>BK95/BK$104</f>
        <v>0.7132850433813579</v>
      </c>
      <c r="BL119" s="94"/>
      <c r="BM119" s="94"/>
      <c r="BN119" s="94"/>
      <c r="BO119" s="94"/>
      <c r="BP119" s="91">
        <f>BP95/BP$104</f>
        <v>0.76061246643432556</v>
      </c>
      <c r="BQ119" s="94"/>
      <c r="BR119" s="94"/>
      <c r="BS119" s="94"/>
      <c r="BU119" s="861">
        <f>BU95/BU$104</f>
        <v>0.7768682424366451</v>
      </c>
      <c r="BV119" s="94"/>
      <c r="BW119" s="94"/>
      <c r="BX119" s="94"/>
      <c r="BZ119" s="861">
        <f>BZ95/BZ$104</f>
        <v>0.79877738679269517</v>
      </c>
      <c r="CA119" s="94"/>
      <c r="CB119" s="94"/>
      <c r="CC119" s="94"/>
      <c r="CE119" s="861">
        <f>CE95/CE$104</f>
        <v>0.78180584104654061</v>
      </c>
      <c r="CF119" s="94"/>
      <c r="CG119" s="94"/>
      <c r="CH119" s="94"/>
      <c r="CJ119" s="861">
        <f>CJ95/CJ$104</f>
        <v>0.76985247323730532</v>
      </c>
      <c r="CK119" s="94"/>
      <c r="CL119" s="94"/>
      <c r="CM119" s="94"/>
      <c r="CO119" s="861">
        <f>CO95/CO$104</f>
        <v>0.74496775702030138</v>
      </c>
      <c r="CP119" s="94"/>
      <c r="CQ119" s="94"/>
      <c r="CR119" s="91"/>
      <c r="CT119" s="861">
        <f>CT95/CT$104</f>
        <v>0.73283242720322406</v>
      </c>
      <c r="CU119" s="94"/>
      <c r="CV119" s="94"/>
      <c r="CW119" s="94"/>
      <c r="CY119" s="861">
        <f>CY95/CY$104</f>
        <v>0.71357328707718992</v>
      </c>
      <c r="CZ119" s="99"/>
      <c r="DA119" s="99"/>
      <c r="DB119" s="94"/>
      <c r="DD119" s="861">
        <f>DD95/DD$104</f>
        <v>0.72607142857142859</v>
      </c>
      <c r="DE119" s="99"/>
      <c r="DF119" s="99"/>
      <c r="DG119" s="94"/>
      <c r="DI119" s="861">
        <f>DI95/DI$104</f>
        <v>0.71345609065155813</v>
      </c>
      <c r="DJ119" s="94"/>
      <c r="DK119" s="99"/>
      <c r="DL119" s="94"/>
      <c r="DM119" s="94"/>
      <c r="DN119" s="861">
        <f>DN95/DN$104</f>
        <v>0.70573747322167013</v>
      </c>
      <c r="DO119" s="99"/>
      <c r="DP119" s="99"/>
      <c r="DQ119" s="94"/>
      <c r="DR119" s="94"/>
      <c r="DS119" s="861">
        <f ca="1">DS95/DS$104</f>
        <v>0.70099717882770363</v>
      </c>
      <c r="DT119" s="99"/>
      <c r="DU119" s="99"/>
      <c r="DV119" s="94"/>
      <c r="DW119" s="94"/>
      <c r="DX119" s="861">
        <f ca="1">DX95/DX$104</f>
        <v>0.69301534463467696</v>
      </c>
      <c r="DY119" s="99"/>
      <c r="DZ119" s="99"/>
      <c r="EA119" s="94"/>
      <c r="EB119" s="94"/>
      <c r="EC119" s="861">
        <f ca="1">EC95/EC$104</f>
        <v>0.68488198882308071</v>
      </c>
      <c r="ED119" s="94"/>
    </row>
    <row r="120" spans="1:134">
      <c r="A120" s="1187"/>
      <c r="B120" s="94"/>
      <c r="C120" s="1320" t="s">
        <v>187</v>
      </c>
      <c r="D120" s="17"/>
      <c r="E120" s="17"/>
      <c r="F120" s="17"/>
      <c r="G120" s="17"/>
      <c r="H120" s="17"/>
      <c r="I120" s="17"/>
      <c r="J120" s="17"/>
      <c r="K120" s="17"/>
      <c r="L120" s="17"/>
      <c r="M120" s="94"/>
      <c r="N120" s="17"/>
      <c r="O120" s="17"/>
      <c r="P120" s="17"/>
      <c r="Q120" s="17"/>
      <c r="R120" s="94"/>
      <c r="S120" s="17"/>
      <c r="T120" s="17"/>
      <c r="U120" s="17"/>
      <c r="V120" s="17"/>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1">
        <f>BF96/BF$104</f>
        <v>7.8142790874204018E-2</v>
      </c>
      <c r="BG120" s="94"/>
      <c r="BH120" s="94"/>
      <c r="BI120" s="94"/>
      <c r="BJ120" s="94"/>
      <c r="BK120" s="91">
        <f>BK96/BK$104</f>
        <v>8.1608692191355553E-2</v>
      </c>
      <c r="BL120" s="94"/>
      <c r="BM120" s="94"/>
      <c r="BN120" s="94"/>
      <c r="BO120" s="94"/>
      <c r="BP120" s="91">
        <f>BP96/BP$104</f>
        <v>7.3596907196861489E-2</v>
      </c>
      <c r="BQ120" s="94"/>
      <c r="BR120" s="94"/>
      <c r="BS120" s="94"/>
      <c r="BU120" s="861">
        <f>BU96/BU$104</f>
        <v>7.1582055517387555E-2</v>
      </c>
      <c r="BV120" s="94"/>
      <c r="BW120" s="94"/>
      <c r="BX120" s="94"/>
      <c r="BZ120" s="861">
        <f>BZ96/BZ$104</f>
        <v>6.9075077697583018E-2</v>
      </c>
      <c r="CA120" s="94"/>
      <c r="CB120" s="94"/>
      <c r="CC120" s="94"/>
      <c r="CE120" s="861">
        <f>CE96/CE$104</f>
        <v>7.1449152240295605E-2</v>
      </c>
      <c r="CF120" s="94"/>
      <c r="CG120" s="94"/>
      <c r="CH120" s="94"/>
      <c r="CJ120" s="861">
        <f>CJ96/CJ$104</f>
        <v>6.5944919490621298E-2</v>
      </c>
      <c r="CK120" s="94"/>
      <c r="CL120" s="94"/>
      <c r="CM120" s="94"/>
      <c r="CO120" s="861">
        <f>CO96/CO$104</f>
        <v>6.0936285185464463E-2</v>
      </c>
      <c r="CP120" s="94"/>
      <c r="CQ120" s="94"/>
      <c r="CR120" s="94"/>
      <c r="CT120" s="861">
        <f>CT96/CT$104</f>
        <v>6.5786513766384669E-2</v>
      </c>
      <c r="CU120" s="94"/>
      <c r="CV120" s="94"/>
      <c r="CW120" s="94"/>
      <c r="CY120" s="861">
        <f>CY96/CY$104</f>
        <v>6.8733738074588033E-2</v>
      </c>
      <c r="CZ120" s="99"/>
      <c r="DA120" s="99"/>
      <c r="DB120" s="94"/>
      <c r="DD120" s="861">
        <f>DD96/DD$104</f>
        <v>6.1785714285714284E-2</v>
      </c>
      <c r="DE120" s="99"/>
      <c r="DF120" s="99"/>
      <c r="DG120" s="94"/>
      <c r="DI120" s="861">
        <f>DI96/DI$104</f>
        <v>5.4957507082152975E-2</v>
      </c>
      <c r="DJ120" s="94"/>
      <c r="DK120" s="99"/>
      <c r="DL120" s="94"/>
      <c r="DM120" s="94"/>
      <c r="DN120" s="861">
        <f>DN96/DN$104</f>
        <v>4.9541763801712824E-2</v>
      </c>
      <c r="DO120" s="99"/>
      <c r="DP120" s="99"/>
      <c r="DQ120" s="94"/>
      <c r="DR120" s="94"/>
      <c r="DS120" s="861">
        <f>DS96/DS$104</f>
        <v>4.4274037348652991E-2</v>
      </c>
      <c r="DT120" s="99"/>
      <c r="DU120" s="99"/>
      <c r="DV120" s="94"/>
      <c r="DW120" s="94"/>
      <c r="DX120" s="861">
        <f>DX96/DX$104</f>
        <v>4.0317269615398749E-2</v>
      </c>
      <c r="DY120" s="99"/>
      <c r="DZ120" s="99"/>
      <c r="EA120" s="94"/>
      <c r="EB120" s="94"/>
      <c r="EC120" s="861">
        <f>EC96/EC$104</f>
        <v>3.7268813028267005E-2</v>
      </c>
      <c r="ED120" s="94"/>
    </row>
    <row r="121" spans="1:134">
      <c r="A121" s="1187"/>
      <c r="B121" s="94"/>
      <c r="C121" s="1320" t="s">
        <v>329</v>
      </c>
      <c r="D121" s="17"/>
      <c r="E121" s="17"/>
      <c r="F121" s="17"/>
      <c r="G121" s="17"/>
      <c r="H121" s="17"/>
      <c r="I121" s="17"/>
      <c r="J121" s="17"/>
      <c r="K121" s="17"/>
      <c r="L121" s="17"/>
      <c r="M121" s="94"/>
      <c r="N121" s="17"/>
      <c r="O121" s="17"/>
      <c r="P121" s="17"/>
      <c r="Q121" s="17"/>
      <c r="R121" s="94"/>
      <c r="S121" s="17"/>
      <c r="T121" s="17"/>
      <c r="U121" s="17"/>
      <c r="V121" s="17"/>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1">
        <f>BF97/BF$104</f>
        <v>0.63732973474465482</v>
      </c>
      <c r="BG121" s="94"/>
      <c r="BH121" s="94"/>
      <c r="BI121" s="94"/>
      <c r="BJ121" s="94"/>
      <c r="BK121" s="91">
        <f>BK97/BK$104</f>
        <v>0.63167635119000221</v>
      </c>
      <c r="BL121" s="94"/>
      <c r="BM121" s="94"/>
      <c r="BN121" s="94"/>
      <c r="BO121" s="94"/>
      <c r="BP121" s="91">
        <f>BP97/BP$104</f>
        <v>0.68701555923746405</v>
      </c>
      <c r="BQ121" s="94"/>
      <c r="BR121" s="94"/>
      <c r="BS121" s="94"/>
      <c r="BU121" s="861">
        <f>BU97/BU$104</f>
        <v>0.7052861869192576</v>
      </c>
      <c r="BV121" s="94"/>
      <c r="BW121" s="94"/>
      <c r="BX121" s="94"/>
      <c r="BZ121" s="861">
        <f>BZ97/BZ$104</f>
        <v>0.72970230909511213</v>
      </c>
      <c r="CA121" s="94"/>
      <c r="CB121" s="94"/>
      <c r="CC121" s="94"/>
      <c r="CE121" s="861">
        <f>CE97/CE$104</f>
        <v>0.71035668880624492</v>
      </c>
      <c r="CF121" s="94"/>
      <c r="CG121" s="94"/>
      <c r="CH121" s="94"/>
      <c r="CJ121" s="861">
        <f>CJ97/CJ$104</f>
        <v>0.70390755374668401</v>
      </c>
      <c r="CK121" s="94"/>
      <c r="CL121" s="94"/>
      <c r="CM121" s="94"/>
      <c r="CO121" s="861">
        <f>CO97/CO$104</f>
        <v>0.68403147183483681</v>
      </c>
      <c r="CP121" s="94"/>
      <c r="CQ121" s="94"/>
      <c r="CR121" s="94"/>
      <c r="CT121" s="861">
        <f>CT97/CT$104</f>
        <v>0.66704591343683939</v>
      </c>
      <c r="CU121" s="94"/>
      <c r="CV121" s="94"/>
      <c r="CW121" s="94"/>
      <c r="CY121" s="861">
        <f>CY97/CY$104</f>
        <v>0.64483954900260188</v>
      </c>
      <c r="CZ121" s="99"/>
      <c r="DA121" s="99"/>
      <c r="DB121" s="94"/>
      <c r="DD121" s="861">
        <f>DD97/DD$104</f>
        <v>0.66428571428571426</v>
      </c>
      <c r="DE121" s="99"/>
      <c r="DF121" s="99"/>
      <c r="DG121" s="94"/>
      <c r="DI121" s="861">
        <f>DI97/DI$104</f>
        <v>0.65849858356940505</v>
      </c>
      <c r="DJ121" s="94"/>
      <c r="DK121" s="99"/>
      <c r="DL121" s="94"/>
      <c r="DM121" s="94"/>
      <c r="DN121" s="861">
        <f>DN97/DN$104</f>
        <v>0.65619570941995731</v>
      </c>
      <c r="DO121" s="99"/>
      <c r="DP121" s="99"/>
      <c r="DQ121" s="94"/>
      <c r="DR121" s="94"/>
      <c r="DS121" s="861">
        <f ca="1">DS97/DS$104</f>
        <v>0.65672314147905053</v>
      </c>
      <c r="DT121" s="99"/>
      <c r="DU121" s="99"/>
      <c r="DV121" s="94"/>
      <c r="DW121" s="94"/>
      <c r="DX121" s="861">
        <f ca="1">DX97/DX$104</f>
        <v>0.65269807501927823</v>
      </c>
      <c r="DY121" s="99"/>
      <c r="DZ121" s="99"/>
      <c r="EA121" s="94"/>
      <c r="EB121" s="94"/>
      <c r="EC121" s="861">
        <f ca="1">EC97/EC$104</f>
        <v>0.6476131757948137</v>
      </c>
      <c r="ED121" s="94"/>
    </row>
    <row r="122" spans="1:134">
      <c r="A122" s="1187"/>
      <c r="B122" s="94"/>
      <c r="C122" s="1321" t="s">
        <v>330</v>
      </c>
      <c r="D122" s="17"/>
      <c r="E122" s="17"/>
      <c r="F122" s="17"/>
      <c r="G122" s="17"/>
      <c r="H122" s="17"/>
      <c r="I122" s="17"/>
      <c r="J122" s="17"/>
      <c r="K122" s="17"/>
      <c r="L122" s="17"/>
      <c r="M122" s="94"/>
      <c r="N122" s="17"/>
      <c r="O122" s="17"/>
      <c r="P122" s="17"/>
      <c r="Q122" s="17"/>
      <c r="R122" s="94"/>
      <c r="S122" s="17"/>
      <c r="T122" s="17"/>
      <c r="U122" s="17"/>
      <c r="V122" s="17"/>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1"/>
      <c r="BG122" s="94"/>
      <c r="BH122" s="94"/>
      <c r="BI122" s="94"/>
      <c r="BJ122" s="94"/>
      <c r="BK122" s="91"/>
      <c r="BL122" s="94"/>
      <c r="BM122" s="94"/>
      <c r="BN122" s="94"/>
      <c r="BO122" s="94"/>
      <c r="BP122" s="91"/>
      <c r="BQ122" s="94"/>
      <c r="BR122" s="94"/>
      <c r="BS122" s="94"/>
      <c r="BU122" s="861"/>
      <c r="BV122" s="94"/>
      <c r="BW122" s="94"/>
      <c r="BX122" s="94"/>
      <c r="BZ122" s="861"/>
      <c r="CA122" s="94"/>
      <c r="CB122" s="94"/>
      <c r="CC122" s="94"/>
      <c r="CE122" s="861"/>
      <c r="CF122" s="94"/>
      <c r="CG122" s="94"/>
      <c r="CH122" s="94"/>
      <c r="CJ122" s="861"/>
      <c r="CK122" s="94"/>
      <c r="CL122" s="94"/>
      <c r="CM122" s="94"/>
      <c r="CO122" s="861"/>
      <c r="CP122" s="94"/>
      <c r="CQ122" s="94"/>
      <c r="CR122" s="94"/>
      <c r="CT122" s="861">
        <f>CT98/CT$104</f>
        <v>0.15506755269089409</v>
      </c>
      <c r="CU122" s="94"/>
      <c r="CV122" s="94"/>
      <c r="CW122" s="94"/>
      <c r="CY122" s="861">
        <f>CY98/CY$104</f>
        <v>0.17324371205550737</v>
      </c>
      <c r="CZ122" s="99"/>
      <c r="DA122" s="99"/>
      <c r="DB122" s="94"/>
      <c r="DD122" s="861">
        <f>DD98/DD$104</f>
        <v>0.16375000000000001</v>
      </c>
      <c r="DE122" s="99"/>
      <c r="DF122" s="99"/>
      <c r="DG122" s="94"/>
      <c r="DI122" s="861">
        <f>DI98/DI$104</f>
        <v>0.17776203966005666</v>
      </c>
      <c r="DJ122" s="94"/>
      <c r="DK122" s="99"/>
      <c r="DL122" s="94"/>
      <c r="DM122" s="94"/>
      <c r="DN122" s="861">
        <f>DN98/DN$104</f>
        <v>0.18599822266774316</v>
      </c>
      <c r="DO122" s="99"/>
      <c r="DP122" s="99"/>
      <c r="DQ122" s="94"/>
      <c r="DR122" s="94"/>
      <c r="DS122" s="861">
        <f>DS98/DS$104</f>
        <v>0.19190995020374996</v>
      </c>
      <c r="DT122" s="99"/>
      <c r="DU122" s="99"/>
      <c r="DV122" s="94"/>
      <c r="DW122" s="94"/>
      <c r="DX122" s="861">
        <f>DX98/DX$104</f>
        <v>0.20041166386587847</v>
      </c>
      <c r="DY122" s="99"/>
      <c r="DZ122" s="99"/>
      <c r="EA122" s="94"/>
      <c r="EB122" s="94"/>
      <c r="EC122" s="861">
        <f>EC98/EC$104</f>
        <v>0.20905283207257491</v>
      </c>
      <c r="ED122" s="94"/>
    </row>
    <row r="123" spans="1:134">
      <c r="A123" s="1187"/>
      <c r="B123" s="94"/>
      <c r="C123" s="1320" t="s">
        <v>652</v>
      </c>
      <c r="D123" s="17"/>
      <c r="E123" s="17"/>
      <c r="F123" s="17"/>
      <c r="G123" s="17"/>
      <c r="H123" s="17"/>
      <c r="I123" s="17"/>
      <c r="J123" s="17"/>
      <c r="K123" s="17"/>
      <c r="L123" s="17"/>
      <c r="M123" s="94"/>
      <c r="N123" s="17"/>
      <c r="O123" s="17"/>
      <c r="P123" s="17"/>
      <c r="Q123" s="17"/>
      <c r="R123" s="94"/>
      <c r="S123" s="17"/>
      <c r="T123" s="17"/>
      <c r="U123" s="17"/>
      <c r="V123" s="17"/>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1">
        <f>BF99/BF$104</f>
        <v>9.0836250158141091E-2</v>
      </c>
      <c r="BG123" s="94"/>
      <c r="BH123" s="94"/>
      <c r="BI123" s="94"/>
      <c r="BJ123" s="94"/>
      <c r="BK123" s="91">
        <f>BK99/BK$104</f>
        <v>8.9886969672848829E-2</v>
      </c>
      <c r="BL123" s="94"/>
      <c r="BM123" s="94"/>
      <c r="BN123" s="94"/>
      <c r="BO123" s="94"/>
      <c r="BP123" s="91">
        <f>BP99/BP$104</f>
        <v>7.5339465615418308E-2</v>
      </c>
      <c r="BQ123" s="94"/>
      <c r="BR123" s="94"/>
      <c r="BS123" s="94"/>
      <c r="BU123" s="861">
        <f>BU99/BU$104</f>
        <v>7.521207603065784E-2</v>
      </c>
      <c r="BV123" s="94"/>
      <c r="BW123" s="94"/>
      <c r="BX123" s="94"/>
      <c r="BZ123" s="861">
        <f>BZ99/BZ$104</f>
        <v>6.6673516040377051E-2</v>
      </c>
      <c r="CA123" s="94"/>
      <c r="CB123" s="94"/>
      <c r="CC123" s="94"/>
      <c r="CE123" s="861">
        <f>CE99/CE$104</f>
        <v>6.6225657355369935E-2</v>
      </c>
      <c r="CF123" s="94"/>
      <c r="CG123" s="94"/>
      <c r="CH123" s="94"/>
      <c r="CJ123" s="861">
        <f>CJ99/CJ$104</f>
        <v>6.4847297268336948E-2</v>
      </c>
      <c r="CK123" s="94"/>
      <c r="CL123" s="94"/>
      <c r="CM123" s="94"/>
      <c r="CO123" s="861">
        <f>CO99/CO$104</f>
        <v>6.5580896390953339E-2</v>
      </c>
      <c r="CP123" s="94"/>
      <c r="CQ123" s="94"/>
      <c r="CR123" s="94"/>
      <c r="CT123" s="861">
        <f t="shared" ref="CT123:CT127" si="521">CT99/CT$104</f>
        <v>6.8211508415625788E-2</v>
      </c>
      <c r="CU123" s="94"/>
      <c r="CV123" s="94"/>
      <c r="CW123" s="94"/>
      <c r="CY123" s="433"/>
      <c r="CZ123" s="99"/>
      <c r="DA123" s="99"/>
      <c r="DB123" s="94"/>
      <c r="DD123" s="433"/>
      <c r="DE123" s="99"/>
      <c r="DF123" s="99"/>
      <c r="DG123" s="94"/>
      <c r="DI123" s="433"/>
      <c r="DJ123" s="94"/>
      <c r="DK123" s="99"/>
      <c r="DL123" s="94"/>
      <c r="DM123" s="94"/>
      <c r="DN123" s="433"/>
      <c r="DO123" s="99"/>
      <c r="DP123" s="99"/>
      <c r="DQ123" s="94"/>
      <c r="DR123" s="94"/>
      <c r="DS123" s="433"/>
      <c r="DT123" s="99"/>
      <c r="DU123" s="99"/>
      <c r="DV123" s="94"/>
      <c r="DW123" s="94"/>
      <c r="DX123" s="433"/>
      <c r="DY123" s="99"/>
      <c r="DZ123" s="99"/>
      <c r="EA123" s="94"/>
      <c r="EB123" s="94"/>
      <c r="EC123" s="433"/>
      <c r="ED123" s="94"/>
    </row>
    <row r="124" spans="1:134">
      <c r="A124" s="1187"/>
      <c r="B124" s="94"/>
      <c r="C124" s="1321" t="s">
        <v>332</v>
      </c>
      <c r="D124" s="17"/>
      <c r="E124" s="17"/>
      <c r="F124" s="17"/>
      <c r="G124" s="17"/>
      <c r="H124" s="17"/>
      <c r="I124" s="17"/>
      <c r="J124" s="17"/>
      <c r="K124" s="17"/>
      <c r="L124" s="17"/>
      <c r="M124" s="94"/>
      <c r="N124" s="17"/>
      <c r="O124" s="17"/>
      <c r="P124" s="17"/>
      <c r="Q124" s="17"/>
      <c r="R124" s="94"/>
      <c r="S124" s="17"/>
      <c r="T124" s="17"/>
      <c r="U124" s="17"/>
      <c r="V124" s="17"/>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1"/>
      <c r="BG124" s="94"/>
      <c r="BH124" s="94"/>
      <c r="BI124" s="94"/>
      <c r="BJ124" s="94"/>
      <c r="BK124" s="91"/>
      <c r="BL124" s="94"/>
      <c r="BM124" s="94"/>
      <c r="BN124" s="94"/>
      <c r="BO124" s="94"/>
      <c r="BP124" s="91"/>
      <c r="BQ124" s="94"/>
      <c r="BR124" s="94"/>
      <c r="BS124" s="94"/>
      <c r="BU124" s="861"/>
      <c r="BV124" s="94"/>
      <c r="BW124" s="94"/>
      <c r="BX124" s="94"/>
      <c r="BZ124" s="861"/>
      <c r="CA124" s="94"/>
      <c r="CB124" s="94"/>
      <c r="CC124" s="94"/>
      <c r="CE124" s="861"/>
      <c r="CF124" s="94"/>
      <c r="CG124" s="94"/>
      <c r="CH124" s="94"/>
      <c r="CJ124" s="861"/>
      <c r="CK124" s="94"/>
      <c r="CL124" s="94"/>
      <c r="CM124" s="94"/>
      <c r="CO124" s="861"/>
      <c r="CP124" s="94"/>
      <c r="CQ124" s="94"/>
      <c r="CR124" s="94"/>
      <c r="CT124" s="861">
        <f t="shared" si="521"/>
        <v>9.9757944298173307E-2</v>
      </c>
      <c r="CU124" s="94"/>
      <c r="CV124" s="94"/>
      <c r="CW124" s="94"/>
      <c r="CY124" s="861">
        <f>CY100/CY$104</f>
        <v>0.10125758889852558</v>
      </c>
      <c r="CZ124" s="99"/>
      <c r="DA124" s="99"/>
      <c r="DB124" s="94"/>
      <c r="DD124" s="861">
        <f>DD100/DD$104</f>
        <v>9.8750000000000004E-2</v>
      </c>
      <c r="DE124" s="99"/>
      <c r="DF124" s="99"/>
      <c r="DG124" s="94"/>
      <c r="DI124" s="861">
        <f>DI100/DI$104</f>
        <v>9.9008498583569401E-2</v>
      </c>
      <c r="DJ124" s="94"/>
      <c r="DK124" s="99"/>
      <c r="DL124" s="94"/>
      <c r="DM124" s="94"/>
      <c r="DN124" s="861">
        <f>DN100/DN$104</f>
        <v>9.9611368100484571E-2</v>
      </c>
      <c r="DO124" s="99"/>
      <c r="DP124" s="99"/>
      <c r="DQ124" s="94"/>
      <c r="DR124" s="94"/>
      <c r="DS124" s="861">
        <f ca="1">DS100/DS$104</f>
        <v>9.9008498583569374E-2</v>
      </c>
      <c r="DT124" s="99"/>
      <c r="DU124" s="99"/>
      <c r="DV124" s="94"/>
      <c r="DW124" s="94"/>
      <c r="DX124" s="861">
        <f ca="1">DX100/DX$104</f>
        <v>9.9008498583569429E-2</v>
      </c>
      <c r="DY124" s="99"/>
      <c r="DZ124" s="99"/>
      <c r="EA124" s="94"/>
      <c r="EB124" s="94"/>
      <c r="EC124" s="861">
        <f ca="1">EC100/EC$104</f>
        <v>9.9008498583569388E-2</v>
      </c>
      <c r="ED124" s="94"/>
    </row>
    <row r="125" spans="1:134">
      <c r="A125" s="1187"/>
      <c r="B125" s="94"/>
      <c r="C125" s="1320" t="s">
        <v>333</v>
      </c>
      <c r="D125" s="17"/>
      <c r="E125" s="17"/>
      <c r="F125" s="17"/>
      <c r="G125" s="17"/>
      <c r="H125" s="17"/>
      <c r="I125" s="17"/>
      <c r="J125" s="17"/>
      <c r="K125" s="17"/>
      <c r="L125" s="17"/>
      <c r="M125" s="94"/>
      <c r="N125" s="17"/>
      <c r="O125" s="17"/>
      <c r="P125" s="17"/>
      <c r="Q125" s="17"/>
      <c r="R125" s="94"/>
      <c r="S125" s="17"/>
      <c r="T125" s="17"/>
      <c r="U125" s="17"/>
      <c r="V125" s="17"/>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1">
        <f>BF101/BF$104</f>
        <v>7.63294395479273E-2</v>
      </c>
      <c r="BG125" s="94"/>
      <c r="BH125" s="94"/>
      <c r="BI125" s="94"/>
      <c r="BJ125" s="94"/>
      <c r="BK125" s="91">
        <f>BK101/BK$104</f>
        <v>7.575817877895405E-2</v>
      </c>
      <c r="BL125" s="94"/>
      <c r="BM125" s="94"/>
      <c r="BN125" s="94"/>
      <c r="BO125" s="94"/>
      <c r="BP125" s="91">
        <f>BP101/BP$104</f>
        <v>6.1132377306747414E-2</v>
      </c>
      <c r="BQ125" s="94"/>
      <c r="BR125" s="94"/>
      <c r="BS125" s="94"/>
      <c r="BU125" s="861">
        <f>BU101/BU$104</f>
        <v>5.131241077214678E-2</v>
      </c>
      <c r="BV125" s="94"/>
      <c r="BW125" s="94"/>
      <c r="BX125" s="94"/>
      <c r="BZ125" s="861">
        <f>BZ101/BZ$104</f>
        <v>4.665194051318932E-2</v>
      </c>
      <c r="CA125" s="94"/>
      <c r="CB125" s="94"/>
      <c r="CC125" s="94"/>
      <c r="CE125" s="861">
        <f>CE101/CE$104</f>
        <v>4.6969867994249251E-2</v>
      </c>
      <c r="CF125" s="94"/>
      <c r="CG125" s="94"/>
      <c r="CH125" s="94"/>
      <c r="CJ125" s="861">
        <f>CJ101/CJ$104</f>
        <v>4.4666143013280479E-2</v>
      </c>
      <c r="CK125" s="94"/>
      <c r="CL125" s="94"/>
      <c r="CM125" s="94"/>
      <c r="CO125" s="861">
        <f>CO101/CO$104</f>
        <v>4.3449609136640914E-2</v>
      </c>
      <c r="CP125" s="94"/>
      <c r="CQ125" s="94"/>
      <c r="CR125" s="94"/>
      <c r="CT125" s="861">
        <f t="shared" si="521"/>
        <v>4.1647849404555265E-2</v>
      </c>
      <c r="CU125" s="94"/>
      <c r="CV125" s="94"/>
      <c r="CW125" s="94"/>
      <c r="CY125" s="433"/>
      <c r="CZ125" s="99"/>
      <c r="DA125" s="99"/>
      <c r="DB125" s="94"/>
      <c r="DD125" s="433"/>
      <c r="DE125" s="99"/>
      <c r="DF125" s="99"/>
      <c r="DG125" s="94"/>
      <c r="DI125" s="433"/>
      <c r="DJ125" s="94"/>
      <c r="DK125" s="99"/>
      <c r="DL125" s="94"/>
      <c r="DM125" s="94"/>
      <c r="DN125" s="433"/>
      <c r="DO125" s="99"/>
      <c r="DP125" s="99"/>
      <c r="DQ125" s="94"/>
      <c r="DR125" s="94"/>
      <c r="DS125" s="433"/>
      <c r="DT125" s="99"/>
      <c r="DU125" s="99"/>
      <c r="DV125" s="94"/>
      <c r="DW125" s="94"/>
      <c r="DX125" s="433"/>
      <c r="DY125" s="99"/>
      <c r="DZ125" s="99"/>
      <c r="EA125" s="94"/>
      <c r="EB125" s="94"/>
      <c r="EC125" s="433"/>
      <c r="ED125" s="94"/>
    </row>
    <row r="126" spans="1:134">
      <c r="A126" s="1187"/>
      <c r="B126" s="94"/>
      <c r="C126" s="687" t="s">
        <v>188</v>
      </c>
      <c r="D126" s="17"/>
      <c r="E126" s="17"/>
      <c r="F126" s="17"/>
      <c r="G126" s="17"/>
      <c r="H126" s="17"/>
      <c r="I126" s="17"/>
      <c r="J126" s="17"/>
      <c r="K126" s="17"/>
      <c r="L126" s="17"/>
      <c r="M126" s="94"/>
      <c r="N126" s="17"/>
      <c r="O126" s="17"/>
      <c r="P126" s="17"/>
      <c r="Q126" s="17"/>
      <c r="R126" s="94"/>
      <c r="S126" s="17"/>
      <c r="T126" s="17"/>
      <c r="U126" s="17"/>
      <c r="V126" s="17"/>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1"/>
      <c r="BG126" s="94"/>
      <c r="BH126" s="94"/>
      <c r="BI126" s="94"/>
      <c r="BJ126" s="94"/>
      <c r="BK126" s="91"/>
      <c r="BL126" s="94"/>
      <c r="BM126" s="94"/>
      <c r="BN126" s="94"/>
      <c r="BO126" s="94"/>
      <c r="BP126" s="91"/>
      <c r="BQ126" s="94"/>
      <c r="BR126" s="94"/>
      <c r="BS126" s="94"/>
      <c r="BU126" s="861"/>
      <c r="BV126" s="94"/>
      <c r="BW126" s="94"/>
      <c r="BX126" s="94"/>
      <c r="BZ126" s="861"/>
      <c r="CA126" s="94"/>
      <c r="CB126" s="94"/>
      <c r="CC126" s="94"/>
      <c r="CE126" s="861"/>
      <c r="CF126" s="94"/>
      <c r="CG126" s="94"/>
      <c r="CH126" s="94"/>
      <c r="CJ126" s="861"/>
      <c r="CK126" s="94"/>
      <c r="CL126" s="94"/>
      <c r="CM126" s="94"/>
      <c r="CO126" s="861"/>
      <c r="CP126" s="94"/>
      <c r="CQ126" s="94"/>
      <c r="CR126" s="94"/>
      <c r="CT126" s="861">
        <f t="shared" si="521"/>
        <v>1.2342075807708575E-2</v>
      </c>
      <c r="CU126" s="94"/>
      <c r="CV126" s="94"/>
      <c r="CW126" s="94"/>
      <c r="CY126" s="861">
        <f>CY102/CY$104</f>
        <v>1.1925411968777104E-2</v>
      </c>
      <c r="CZ126" s="99"/>
      <c r="DA126" s="99"/>
      <c r="DB126" s="94"/>
      <c r="DD126" s="861">
        <f>DD102/DD$104</f>
        <v>1.1428571428571429E-2</v>
      </c>
      <c r="DE126" s="99"/>
      <c r="DF126" s="99"/>
      <c r="DG126" s="94"/>
      <c r="DI126" s="861">
        <f>DI102/DI$104</f>
        <v>9.7733711048158638E-3</v>
      </c>
      <c r="DJ126" s="94"/>
      <c r="DK126" s="99"/>
      <c r="DL126" s="94"/>
      <c r="DM126" s="94"/>
      <c r="DN126" s="861">
        <f>DN102/DN$104</f>
        <v>8.6529360101021795E-3</v>
      </c>
      <c r="DO126" s="99"/>
      <c r="DP126" s="99"/>
      <c r="DQ126" s="94"/>
      <c r="DR126" s="94"/>
      <c r="DS126" s="861">
        <f>DS102/DS$104</f>
        <v>8.0843723849770219E-3</v>
      </c>
      <c r="DT126" s="99"/>
      <c r="DU126" s="99"/>
      <c r="DV126" s="94"/>
      <c r="DW126" s="94"/>
      <c r="DX126" s="861">
        <f>DX102/DX$104</f>
        <v>7.5644929158750814E-3</v>
      </c>
      <c r="DY126" s="99"/>
      <c r="DZ126" s="99"/>
      <c r="EA126" s="94"/>
      <c r="EB126" s="94"/>
      <c r="EC126" s="861">
        <f>EC102/EC$104</f>
        <v>7.0566805207749285E-3</v>
      </c>
      <c r="ED126" s="94"/>
    </row>
    <row r="127" spans="1:134">
      <c r="A127" s="1187"/>
      <c r="B127" s="94"/>
      <c r="C127" s="687" t="s">
        <v>653</v>
      </c>
      <c r="D127" s="17"/>
      <c r="E127" s="17"/>
      <c r="F127" s="17"/>
      <c r="G127" s="17"/>
      <c r="H127" s="17"/>
      <c r="I127" s="17"/>
      <c r="J127" s="17"/>
      <c r="K127" s="17"/>
      <c r="L127" s="17"/>
      <c r="M127" s="94"/>
      <c r="N127" s="17"/>
      <c r="O127" s="17"/>
      <c r="P127" s="17"/>
      <c r="Q127" s="17"/>
      <c r="R127" s="94"/>
      <c r="S127" s="17"/>
      <c r="T127" s="17"/>
      <c r="U127" s="17"/>
      <c r="V127" s="17"/>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1">
        <f>BF103/BF$104</f>
        <v>0.11736178467507273</v>
      </c>
      <c r="BG127" s="94"/>
      <c r="BH127" s="94"/>
      <c r="BI127" s="94"/>
      <c r="BJ127" s="94"/>
      <c r="BK127" s="91">
        <f>BK103/BK$104</f>
        <v>0.1210698081668391</v>
      </c>
      <c r="BL127" s="94"/>
      <c r="BM127" s="94"/>
      <c r="BN127" s="94"/>
      <c r="BO127" s="94"/>
      <c r="BP127" s="91">
        <f>BP103/BP$104</f>
        <v>0.10291569064350872</v>
      </c>
      <c r="BQ127" s="94"/>
      <c r="BR127" s="94"/>
      <c r="BS127" s="94"/>
      <c r="BU127" s="861">
        <f>BU103/BU$104</f>
        <v>9.6607270760550215E-2</v>
      </c>
      <c r="BV127" s="94"/>
      <c r="BW127" s="94"/>
      <c r="BX127" s="94"/>
      <c r="BZ127" s="861">
        <f>BZ103/BZ$104</f>
        <v>8.7897156653738456E-2</v>
      </c>
      <c r="CA127" s="94"/>
      <c r="CB127" s="94"/>
      <c r="CC127" s="94"/>
      <c r="CE127" s="861">
        <f>CE103/CE$104</f>
        <v>0.10499863360384015</v>
      </c>
      <c r="CF127" s="94"/>
      <c r="CG127" s="94"/>
      <c r="CH127" s="94"/>
      <c r="CJ127" s="861">
        <f>CJ103/CJ$104</f>
        <v>0.12063408648107718</v>
      </c>
      <c r="CK127" s="94"/>
      <c r="CL127" s="94"/>
      <c r="CM127" s="94"/>
      <c r="CO127" s="861">
        <f>CO103/CO$104</f>
        <v>0.14600173745210443</v>
      </c>
      <c r="CP127" s="94"/>
      <c r="CQ127" s="94"/>
      <c r="CR127" s="94"/>
      <c r="CT127" s="861">
        <f t="shared" si="521"/>
        <v>0</v>
      </c>
      <c r="CU127" s="94"/>
      <c r="CV127" s="94"/>
      <c r="CW127" s="94"/>
      <c r="CY127" s="1372"/>
      <c r="CZ127" s="99"/>
      <c r="DA127" s="99"/>
      <c r="DB127" s="94"/>
      <c r="DD127" s="1372"/>
      <c r="DE127" s="99"/>
      <c r="DF127" s="99"/>
      <c r="DG127" s="94"/>
      <c r="DI127" s="1372"/>
      <c r="DJ127" s="94"/>
      <c r="DK127" s="99"/>
      <c r="DL127" s="94"/>
      <c r="DM127" s="94"/>
      <c r="DN127" s="1372"/>
      <c r="DO127" s="99"/>
      <c r="DP127" s="99"/>
      <c r="DQ127" s="94"/>
      <c r="DR127" s="94"/>
      <c r="DS127" s="1372"/>
      <c r="DT127" s="99"/>
      <c r="DU127" s="99"/>
      <c r="DV127" s="94"/>
      <c r="DW127" s="94"/>
      <c r="DX127" s="1372"/>
      <c r="DY127" s="99"/>
      <c r="DZ127" s="99"/>
      <c r="EA127" s="94"/>
      <c r="EB127" s="94"/>
      <c r="EC127" s="1372"/>
      <c r="ED127" s="94"/>
    </row>
    <row r="128" spans="1:134">
      <c r="A128" s="1187"/>
      <c r="B128" s="94"/>
      <c r="C128" s="1326" t="s">
        <v>654</v>
      </c>
      <c r="D128" s="1357"/>
      <c r="E128" s="1357"/>
      <c r="F128" s="1357"/>
      <c r="G128" s="1357"/>
      <c r="H128" s="1357"/>
      <c r="I128" s="1357"/>
      <c r="J128" s="1357"/>
      <c r="K128" s="1357"/>
      <c r="L128" s="1357"/>
      <c r="M128" s="1322"/>
      <c r="N128" s="1357"/>
      <c r="O128" s="1357"/>
      <c r="P128" s="1357"/>
      <c r="Q128" s="1357"/>
      <c r="R128" s="1322"/>
      <c r="S128" s="1357"/>
      <c r="T128" s="1357"/>
      <c r="U128" s="1357"/>
      <c r="V128" s="1357"/>
      <c r="W128" s="1322"/>
      <c r="X128" s="1322"/>
      <c r="Y128" s="1322"/>
      <c r="Z128" s="1322"/>
      <c r="AA128" s="1322"/>
      <c r="AB128" s="1322"/>
      <c r="AC128" s="1322"/>
      <c r="AD128" s="1322"/>
      <c r="AE128" s="1322"/>
      <c r="AF128" s="1322"/>
      <c r="AG128" s="1322"/>
      <c r="AH128" s="1322"/>
      <c r="AI128" s="1322"/>
      <c r="AJ128" s="1322"/>
      <c r="AK128" s="1322"/>
      <c r="AL128" s="1322"/>
      <c r="AM128" s="1322"/>
      <c r="AN128" s="1322"/>
      <c r="AO128" s="1322"/>
      <c r="AP128" s="1322"/>
      <c r="AQ128" s="1322"/>
      <c r="AR128" s="1322"/>
      <c r="AS128" s="1322"/>
      <c r="AT128" s="1322"/>
      <c r="AU128" s="1322"/>
      <c r="AV128" s="1322"/>
      <c r="AW128" s="1322"/>
      <c r="AX128" s="1322"/>
      <c r="AY128" s="1322"/>
      <c r="AZ128" s="1322"/>
      <c r="BA128" s="1322"/>
      <c r="BB128" s="1322"/>
      <c r="BC128" s="1322"/>
      <c r="BD128" s="1322"/>
      <c r="BE128" s="1322"/>
      <c r="BF128" s="1323">
        <f>SUM(BF120:BF127)</f>
        <v>1</v>
      </c>
      <c r="BG128" s="1322"/>
      <c r="BH128" s="1322"/>
      <c r="BI128" s="1322"/>
      <c r="BJ128" s="1322"/>
      <c r="BK128" s="1323">
        <f>SUM(BK120:BK127)</f>
        <v>0.99999999999999978</v>
      </c>
      <c r="BL128" s="1322"/>
      <c r="BM128" s="1322"/>
      <c r="BN128" s="1322"/>
      <c r="BO128" s="1322"/>
      <c r="BP128" s="1323">
        <f>SUM(BP120:BP127)</f>
        <v>0.99999999999999989</v>
      </c>
      <c r="BQ128" s="1322"/>
      <c r="BR128" s="1322"/>
      <c r="BS128" s="1322"/>
      <c r="BT128" s="1371"/>
      <c r="BU128" s="1359">
        <f>SUM(BU120:BU127)</f>
        <v>0.99999999999999989</v>
      </c>
      <c r="BV128" s="1322"/>
      <c r="BW128" s="1322"/>
      <c r="BX128" s="1322"/>
      <c r="BY128" s="1371"/>
      <c r="BZ128" s="1359">
        <f>SUM(BZ120:BZ127)</f>
        <v>1</v>
      </c>
      <c r="CA128" s="1322"/>
      <c r="CB128" s="1322"/>
      <c r="CC128" s="1322"/>
      <c r="CD128" s="1371"/>
      <c r="CE128" s="1359">
        <f>SUM(CE120:CE127)</f>
        <v>0.99999999999999978</v>
      </c>
      <c r="CF128" s="1322"/>
      <c r="CG128" s="1322"/>
      <c r="CH128" s="1322"/>
      <c r="CI128" s="1371"/>
      <c r="CJ128" s="1359">
        <f>SUM(CJ120:CJ127)</f>
        <v>0.99999999999999989</v>
      </c>
      <c r="CK128" s="1322"/>
      <c r="CL128" s="1322"/>
      <c r="CM128" s="1322"/>
      <c r="CN128" s="1371"/>
      <c r="CO128" s="1359">
        <f>SUM(CO120:CO127)</f>
        <v>0.99999999999999989</v>
      </c>
      <c r="CP128" s="1322"/>
      <c r="CQ128" s="1322"/>
      <c r="CR128" s="1322"/>
      <c r="CS128" s="1371"/>
      <c r="CT128" s="1359">
        <f>SUM(CT120:CT127)</f>
        <v>1.1098593578201812</v>
      </c>
      <c r="CU128" s="1322"/>
      <c r="CV128" s="1322"/>
      <c r="CW128" s="1322"/>
      <c r="CX128" s="1371"/>
      <c r="CY128" s="1359">
        <f>SUM(CY120:CY127)</f>
        <v>0.99999999999999989</v>
      </c>
      <c r="CZ128" s="1358"/>
      <c r="DA128" s="1358"/>
      <c r="DB128" s="1322"/>
      <c r="DC128" s="1371"/>
      <c r="DD128" s="1359">
        <f>SUM(DD120:DD127)</f>
        <v>1</v>
      </c>
      <c r="DE128" s="1358"/>
      <c r="DF128" s="1358"/>
      <c r="DG128" s="1322"/>
      <c r="DH128" s="1371"/>
      <c r="DI128" s="1359">
        <f>SUM(DI120:DI127)</f>
        <v>1</v>
      </c>
      <c r="DJ128" s="1322"/>
      <c r="DK128" s="1358"/>
      <c r="DL128" s="1322"/>
      <c r="DM128" s="1322"/>
      <c r="DN128" s="1359">
        <f>SUM(DN120:DN127)</f>
        <v>1</v>
      </c>
      <c r="DO128" s="1358"/>
      <c r="DP128" s="1358"/>
      <c r="DQ128" s="1322"/>
      <c r="DR128" s="1322"/>
      <c r="DS128" s="1359">
        <f ca="1">SUM(DS120:DS127)</f>
        <v>0.99999999999999989</v>
      </c>
      <c r="DT128" s="1358"/>
      <c r="DU128" s="1358"/>
      <c r="DV128" s="1322"/>
      <c r="DW128" s="1322"/>
      <c r="DX128" s="1359">
        <f ca="1">SUM(DX120:DX127)</f>
        <v>1</v>
      </c>
      <c r="DY128" s="1358"/>
      <c r="DZ128" s="1358"/>
      <c r="EA128" s="1322"/>
      <c r="EB128" s="1322"/>
      <c r="EC128" s="1359">
        <f ca="1">SUM(EC120:EC127)</f>
        <v>1</v>
      </c>
      <c r="ED128" s="94"/>
    </row>
    <row r="129" spans="1:134">
      <c r="A129" s="1187"/>
      <c r="B129" s="94"/>
      <c r="C129" s="687"/>
      <c r="D129" s="17"/>
      <c r="E129" s="17"/>
      <c r="F129" s="17"/>
      <c r="G129" s="17"/>
      <c r="H129" s="17"/>
      <c r="I129" s="17"/>
      <c r="J129" s="17"/>
      <c r="K129" s="17"/>
      <c r="L129" s="17"/>
      <c r="M129" s="94"/>
      <c r="N129" s="17"/>
      <c r="O129" s="17"/>
      <c r="P129" s="17"/>
      <c r="Q129" s="17"/>
      <c r="R129" s="94"/>
      <c r="S129" s="17"/>
      <c r="T129" s="17"/>
      <c r="U129" s="17"/>
      <c r="V129" s="17"/>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1"/>
      <c r="BG129" s="94"/>
      <c r="BH129" s="94"/>
      <c r="BI129" s="94"/>
      <c r="BJ129" s="94"/>
      <c r="BK129" s="91"/>
      <c r="BL129" s="94"/>
      <c r="BM129" s="94"/>
      <c r="BN129" s="94"/>
      <c r="BO129" s="94"/>
      <c r="BP129" s="91"/>
      <c r="BQ129" s="94"/>
      <c r="BR129" s="94"/>
      <c r="BS129" s="94"/>
      <c r="BU129" s="861"/>
      <c r="BV129" s="94"/>
      <c r="BW129" s="94"/>
      <c r="BX129" s="94"/>
      <c r="BZ129" s="861"/>
      <c r="CA129" s="94"/>
      <c r="CB129" s="94"/>
      <c r="CC129" s="94"/>
      <c r="CE129" s="861"/>
      <c r="CF129" s="94"/>
      <c r="CG129" s="94"/>
      <c r="CH129" s="94"/>
      <c r="CJ129" s="861"/>
      <c r="CK129" s="94"/>
      <c r="CL129" s="94"/>
      <c r="CM129" s="94"/>
      <c r="CO129" s="861"/>
      <c r="CP129" s="94"/>
      <c r="CQ129" s="94"/>
      <c r="CR129" s="94"/>
      <c r="CT129" s="861"/>
      <c r="CU129" s="94"/>
      <c r="CV129" s="94"/>
      <c r="CW129" s="94"/>
      <c r="CY129" s="861"/>
      <c r="CZ129" s="99"/>
      <c r="DA129" s="99"/>
      <c r="DB129" s="94"/>
      <c r="DD129" s="861"/>
      <c r="DE129" s="99"/>
      <c r="DF129" s="99"/>
      <c r="DG129" s="94"/>
      <c r="DI129" s="861"/>
      <c r="DJ129" s="94"/>
      <c r="DK129" s="99"/>
      <c r="DL129" s="94"/>
      <c r="DM129" s="94"/>
      <c r="DN129" s="861"/>
      <c r="DO129" s="99"/>
      <c r="DP129" s="99"/>
      <c r="DQ129" s="94"/>
      <c r="DR129" s="94"/>
      <c r="DS129" s="861"/>
      <c r="DT129" s="99"/>
      <c r="DU129" s="99"/>
      <c r="DV129" s="94"/>
      <c r="DW129" s="94"/>
      <c r="DX129" s="861"/>
      <c r="DY129" s="99"/>
      <c r="DZ129" s="99"/>
      <c r="EA129" s="94"/>
      <c r="EB129" s="94"/>
      <c r="EC129" s="861"/>
      <c r="ED129" s="94"/>
    </row>
    <row r="130" spans="1:134">
      <c r="A130" s="1187"/>
      <c r="B130" s="94"/>
      <c r="C130" s="1328" t="s">
        <v>696</v>
      </c>
      <c r="D130" s="17"/>
      <c r="E130" s="17"/>
      <c r="F130" s="17"/>
      <c r="G130" s="17"/>
      <c r="H130" s="17"/>
      <c r="I130" s="17"/>
      <c r="J130" s="17"/>
      <c r="K130" s="17"/>
      <c r="L130" s="17"/>
      <c r="M130" s="94"/>
      <c r="N130" s="17"/>
      <c r="O130" s="17"/>
      <c r="P130" s="17"/>
      <c r="Q130" s="17"/>
      <c r="R130" s="94"/>
      <c r="S130" s="17"/>
      <c r="T130" s="17"/>
      <c r="U130" s="17"/>
      <c r="V130" s="17"/>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1"/>
      <c r="BG130" s="94"/>
      <c r="BH130" s="94"/>
      <c r="BI130" s="94"/>
      <c r="BJ130" s="94"/>
      <c r="BK130" s="91"/>
      <c r="BL130" s="94"/>
      <c r="BM130" s="94"/>
      <c r="BN130" s="94"/>
      <c r="BO130" s="94"/>
      <c r="BP130" s="91"/>
      <c r="BQ130" s="94"/>
      <c r="BR130" s="94"/>
      <c r="BS130" s="94"/>
      <c r="BU130" s="861"/>
      <c r="BV130" s="94"/>
      <c r="BW130" s="94"/>
      <c r="BX130" s="94"/>
      <c r="BZ130" s="861"/>
      <c r="CA130" s="94"/>
      <c r="CB130" s="94"/>
      <c r="CC130" s="94"/>
      <c r="CE130" s="861"/>
      <c r="CF130" s="94"/>
      <c r="CG130" s="94"/>
      <c r="CH130" s="94"/>
      <c r="CJ130" s="861"/>
      <c r="CK130" s="94"/>
      <c r="CL130" s="94"/>
      <c r="CM130" s="94"/>
      <c r="CO130" s="861"/>
      <c r="CP130" s="94"/>
      <c r="CQ130" s="94"/>
      <c r="CR130" s="94"/>
      <c r="CT130" s="861"/>
      <c r="CU130" s="94"/>
      <c r="CV130" s="94"/>
      <c r="CW130" s="94"/>
      <c r="CY130" s="861">
        <f>+CY131/CT131-1</f>
        <v>0.43440263110954014</v>
      </c>
      <c r="CZ130" s="99"/>
      <c r="DA130" s="99"/>
      <c r="DB130" s="94"/>
      <c r="DD130" s="861">
        <f>+DD131/CY131-1</f>
        <v>9.9635764463079646E-2</v>
      </c>
      <c r="DE130" s="99"/>
      <c r="DF130" s="99"/>
      <c r="DG130" s="94"/>
      <c r="DI130" s="861">
        <f>+DI131/DD131-1</f>
        <v>0.16867902438766547</v>
      </c>
      <c r="DJ130" s="94"/>
      <c r="DK130" s="99"/>
      <c r="DL130" s="94"/>
      <c r="DM130" s="94"/>
      <c r="DN130" s="861">
        <f>+DN131/DI131-1</f>
        <v>0.19804359461097287</v>
      </c>
      <c r="DO130" s="99"/>
      <c r="DP130" s="99"/>
      <c r="DQ130" s="94"/>
      <c r="DR130" s="94"/>
      <c r="DS130" s="861"/>
      <c r="DT130" s="99"/>
      <c r="DU130" s="99"/>
      <c r="DV130" s="94"/>
      <c r="DW130" s="94"/>
      <c r="DX130" s="861"/>
      <c r="DY130" s="99"/>
      <c r="DZ130" s="99"/>
      <c r="EA130" s="94"/>
      <c r="EB130" s="94"/>
      <c r="EC130" s="861"/>
      <c r="ED130" s="94"/>
    </row>
    <row r="131" spans="1:134">
      <c r="A131" s="1187"/>
      <c r="B131" s="94"/>
      <c r="C131" s="687" t="s">
        <v>151</v>
      </c>
      <c r="D131" s="17"/>
      <c r="E131" s="17"/>
      <c r="F131" s="17"/>
      <c r="G131" s="17"/>
      <c r="H131" s="17"/>
      <c r="I131" s="17"/>
      <c r="J131" s="17"/>
      <c r="K131" s="17"/>
      <c r="L131" s="17"/>
      <c r="M131" s="94"/>
      <c r="N131" s="17"/>
      <c r="O131" s="17"/>
      <c r="P131" s="17"/>
      <c r="Q131" s="17"/>
      <c r="R131" s="94"/>
      <c r="S131" s="17"/>
      <c r="T131" s="17"/>
      <c r="U131" s="17"/>
      <c r="V131" s="17"/>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1"/>
      <c r="BG131" s="94"/>
      <c r="BH131" s="94"/>
      <c r="BI131" s="94"/>
      <c r="BJ131" s="94"/>
      <c r="BK131" s="91"/>
      <c r="BL131" s="94"/>
      <c r="BM131" s="94"/>
      <c r="BN131" s="94"/>
      <c r="BO131" s="94"/>
      <c r="BP131" s="91"/>
      <c r="BQ131" s="94"/>
      <c r="BR131" s="94"/>
      <c r="BS131" s="94"/>
      <c r="BU131" s="333">
        <f>+BU$141*BU132</f>
        <v>5779.99575</v>
      </c>
      <c r="BV131" s="94"/>
      <c r="BW131" s="94"/>
      <c r="BX131" s="94"/>
      <c r="BZ131" s="333">
        <f>+BZ$141*BZ132</f>
        <v>11326.148092199999</v>
      </c>
      <c r="CA131" s="94"/>
      <c r="CB131" s="94"/>
      <c r="CC131" s="94"/>
      <c r="CE131" s="333">
        <f>+CE$141*CE132</f>
        <v>19039.996510000001</v>
      </c>
      <c r="CF131" s="94"/>
      <c r="CG131" s="94"/>
      <c r="CH131" s="94"/>
      <c r="CJ131" s="333">
        <f>+CJ$141*CJ132</f>
        <v>29187.409303799999</v>
      </c>
      <c r="CK131" s="94"/>
      <c r="CL131" s="94"/>
      <c r="CM131" s="94"/>
      <c r="CO131" s="333">
        <f>+CO$141*CO132</f>
        <v>42796.919900000001</v>
      </c>
      <c r="CP131" s="94"/>
      <c r="CQ131" s="94"/>
      <c r="CR131" s="94"/>
      <c r="CT131" s="333">
        <f>+CT$141*CT132</f>
        <v>81910.345694999996</v>
      </c>
      <c r="CU131" s="94"/>
      <c r="CV131" s="94"/>
      <c r="CW131" s="94"/>
      <c r="CY131" s="333">
        <f>+CY$141*CY132</f>
        <v>117492.41537999999</v>
      </c>
      <c r="CZ131" s="99"/>
      <c r="DA131" s="99"/>
      <c r="DB131" s="94"/>
      <c r="DD131" s="333">
        <f>+DD$141*DD132</f>
        <v>129198.86200499999</v>
      </c>
      <c r="DE131" s="99"/>
      <c r="DF131" s="99"/>
      <c r="DG131" s="94"/>
      <c r="DI131" s="333">
        <f>+DI$141*DI132</f>
        <v>150992</v>
      </c>
      <c r="DJ131" s="94"/>
      <c r="DK131" s="99"/>
      <c r="DL131" s="94"/>
      <c r="DM131" s="94"/>
      <c r="DN131" s="333">
        <f>+DN$141*DN132</f>
        <v>180894.99843750001</v>
      </c>
      <c r="DO131" s="99"/>
      <c r="DP131" s="99"/>
      <c r="DQ131" s="94"/>
      <c r="DR131" s="94"/>
      <c r="DS131" s="333">
        <f>+DS$141*DS132</f>
        <v>210092.40174174303</v>
      </c>
      <c r="DT131" s="99"/>
      <c r="DU131" s="99"/>
      <c r="DV131" s="94"/>
      <c r="DW131" s="94"/>
      <c r="DX131" s="333">
        <f>+DX$141*DX132</f>
        <v>239616.02716419066</v>
      </c>
      <c r="DY131" s="99"/>
      <c r="DZ131" s="99"/>
      <c r="EA131" s="94"/>
      <c r="EB131" s="94"/>
      <c r="EC131" s="333">
        <f>+EC$141*EC132</f>
        <v>270837.48568235035</v>
      </c>
      <c r="ED131" s="94"/>
    </row>
    <row r="132" spans="1:134">
      <c r="A132" s="1187"/>
      <c r="B132" s="94"/>
      <c r="C132" s="1320" t="s">
        <v>697</v>
      </c>
      <c r="D132" s="17"/>
      <c r="E132" s="17"/>
      <c r="F132" s="17"/>
      <c r="G132" s="17"/>
      <c r="H132" s="17"/>
      <c r="I132" s="17"/>
      <c r="J132" s="17"/>
      <c r="K132" s="17"/>
      <c r="L132" s="17"/>
      <c r="M132" s="94"/>
      <c r="N132" s="17"/>
      <c r="O132" s="17"/>
      <c r="P132" s="17"/>
      <c r="Q132" s="17"/>
      <c r="R132" s="94"/>
      <c r="S132" s="17"/>
      <c r="T132" s="17"/>
      <c r="U132" s="17"/>
      <c r="V132" s="17"/>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1"/>
      <c r="BG132" s="94"/>
      <c r="BH132" s="94"/>
      <c r="BI132" s="94"/>
      <c r="BJ132" s="94"/>
      <c r="BK132" s="91"/>
      <c r="BL132" s="94"/>
      <c r="BM132" s="94"/>
      <c r="BN132" s="94"/>
      <c r="BO132" s="94"/>
      <c r="BP132" s="91"/>
      <c r="BQ132" s="94"/>
      <c r="BR132" s="94"/>
      <c r="BS132" s="94"/>
      <c r="BU132" s="1365">
        <v>0.75</v>
      </c>
      <c r="BV132" s="94"/>
      <c r="BW132" s="94"/>
      <c r="BX132" s="94"/>
      <c r="BZ132" s="1366">
        <f>BU132-1.33%</f>
        <v>0.73670000000000002</v>
      </c>
      <c r="CA132" s="94"/>
      <c r="CB132" s="94"/>
      <c r="CC132" s="94"/>
      <c r="CE132" s="1366">
        <f>BZ132-1.33%</f>
        <v>0.72340000000000004</v>
      </c>
      <c r="CF132" s="94"/>
      <c r="CG132" s="94"/>
      <c r="CH132" s="94"/>
      <c r="CJ132" s="1366">
        <f>CE132-1.33%</f>
        <v>0.71010000000000006</v>
      </c>
      <c r="CK132" s="94"/>
      <c r="CL132" s="94"/>
      <c r="CM132" s="94"/>
      <c r="CO132" s="1365">
        <v>0.7</v>
      </c>
      <c r="CP132" s="94"/>
      <c r="CQ132" s="94"/>
      <c r="CR132" s="94"/>
      <c r="CT132" s="1366">
        <f>CO132-1.5%</f>
        <v>0.68499999999999994</v>
      </c>
      <c r="CU132" s="94"/>
      <c r="CV132" s="94"/>
      <c r="CW132" s="94"/>
      <c r="CY132" s="1366">
        <f>CT132-1.5%</f>
        <v>0.66999999999999993</v>
      </c>
      <c r="CZ132" s="94"/>
      <c r="DA132" s="94"/>
      <c r="DB132" s="94"/>
      <c r="DD132" s="1366">
        <f>CY132-1.5%</f>
        <v>0.65499999999999992</v>
      </c>
      <c r="DE132" s="99"/>
      <c r="DF132" s="99"/>
      <c r="DG132" s="94"/>
      <c r="DI132" s="1365">
        <v>0.64</v>
      </c>
      <c r="DJ132" s="94"/>
      <c r="DK132" s="99"/>
      <c r="DL132" s="94"/>
      <c r="DM132" s="94"/>
      <c r="DN132" s="864">
        <f>DI132-1.75%</f>
        <v>0.62250000000000005</v>
      </c>
      <c r="DO132" s="99"/>
      <c r="DP132" s="99"/>
      <c r="DQ132" s="94"/>
      <c r="DR132" s="94"/>
      <c r="DS132" s="864">
        <f>DN132-1.75%</f>
        <v>0.60500000000000009</v>
      </c>
      <c r="DT132" s="99"/>
      <c r="DU132" s="99"/>
      <c r="DV132" s="94"/>
      <c r="DW132" s="94"/>
      <c r="DX132" s="864">
        <f>DS132-1.75%</f>
        <v>0.58750000000000013</v>
      </c>
      <c r="DY132" s="99"/>
      <c r="DZ132" s="99"/>
      <c r="EA132" s="94"/>
      <c r="EB132" s="94"/>
      <c r="EC132" s="864">
        <f>DX132-1.75%</f>
        <v>0.57000000000000017</v>
      </c>
      <c r="ED132" s="94"/>
    </row>
    <row r="133" spans="1:134">
      <c r="A133" s="1187"/>
      <c r="B133" s="94"/>
      <c r="C133" s="1320" t="s">
        <v>187</v>
      </c>
      <c r="D133" s="17"/>
      <c r="E133" s="17"/>
      <c r="F133" s="17"/>
      <c r="G133" s="17"/>
      <c r="H133" s="17"/>
      <c r="I133" s="17"/>
      <c r="J133" s="17"/>
      <c r="K133" s="17"/>
      <c r="L133" s="17"/>
      <c r="M133" s="94"/>
      <c r="N133" s="17"/>
      <c r="O133" s="17"/>
      <c r="P133" s="17"/>
      <c r="Q133" s="17"/>
      <c r="R133" s="94"/>
      <c r="S133" s="17"/>
      <c r="T133" s="17"/>
      <c r="U133" s="17"/>
      <c r="V133" s="17"/>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1"/>
      <c r="BG133" s="94"/>
      <c r="BH133" s="94"/>
      <c r="BI133" s="94"/>
      <c r="BJ133" s="94"/>
      <c r="BK133" s="91"/>
      <c r="BL133" s="94"/>
      <c r="BM133" s="94"/>
      <c r="BN133" s="94"/>
      <c r="BO133" s="94"/>
      <c r="BP133" s="91"/>
      <c r="BQ133" s="94"/>
      <c r="BR133" s="94"/>
      <c r="BS133" s="94"/>
      <c r="BU133" s="333">
        <f>BU131-BU134</f>
        <v>532.57934108499194</v>
      </c>
      <c r="BV133" s="94"/>
      <c r="BW133" s="94"/>
      <c r="BX133" s="94"/>
      <c r="BZ133" s="333">
        <f>BZ131-BZ134</f>
        <v>979.4400447719363</v>
      </c>
      <c r="CA133" s="94"/>
      <c r="CB133" s="94"/>
      <c r="CC133" s="94"/>
      <c r="CE133" s="333">
        <f>CE131-CE134</f>
        <v>1740.0632457243373</v>
      </c>
      <c r="CF133" s="94"/>
      <c r="CG133" s="94"/>
      <c r="CH133" s="94"/>
      <c r="CJ133" s="333">
        <f>CJ131-CJ134</f>
        <v>2500.1690890010286</v>
      </c>
      <c r="CK133" s="94"/>
      <c r="CL133" s="94"/>
      <c r="CM133" s="94"/>
      <c r="CO133" s="333">
        <f>CO131-CO134</f>
        <v>3500.6687088268372</v>
      </c>
      <c r="CP133" s="94"/>
      <c r="CQ133" s="94"/>
      <c r="CR133" s="94"/>
      <c r="CT133" s="333">
        <f>CT131-CT134</f>
        <v>7353.1081385664729</v>
      </c>
      <c r="CU133" s="94"/>
      <c r="CV133" s="94"/>
      <c r="CW133" s="94"/>
      <c r="CY133" s="333">
        <f>CY131-CY134</f>
        <v>11317.257877684591</v>
      </c>
      <c r="CZ133" s="99"/>
      <c r="DA133" s="99"/>
      <c r="DB133" s="94"/>
      <c r="DD133" s="333">
        <f>DD131-DD134</f>
        <v>10994.295684636003</v>
      </c>
      <c r="DE133" s="99"/>
      <c r="DF133" s="99"/>
      <c r="DG133" s="94"/>
      <c r="DI133" s="333">
        <f>DI131-DI134</f>
        <v>11630.910462576925</v>
      </c>
      <c r="DJ133" s="94"/>
      <c r="DK133" s="99"/>
      <c r="DL133" s="94"/>
      <c r="DM133" s="94"/>
      <c r="DN133" s="333">
        <f>+DN$141*DN120</f>
        <v>14396.557888356361</v>
      </c>
      <c r="DO133" s="99"/>
      <c r="DP133" s="99"/>
      <c r="DQ133" s="94"/>
      <c r="DR133" s="94"/>
      <c r="DS133" s="333">
        <f>+DS$141*DS120</f>
        <v>15374.609655177088</v>
      </c>
      <c r="DT133" s="99"/>
      <c r="DU133" s="99"/>
      <c r="DV133" s="94"/>
      <c r="DW133" s="94"/>
      <c r="DX133" s="333">
        <f>+DX$141*DX120</f>
        <v>16443.683355488312</v>
      </c>
      <c r="DY133" s="99"/>
      <c r="DZ133" s="99"/>
      <c r="EA133" s="94"/>
      <c r="EB133" s="94"/>
      <c r="EC133" s="333">
        <f>+EC$141*EC120</f>
        <v>17708.406342002552</v>
      </c>
      <c r="ED133" s="94"/>
    </row>
    <row r="134" spans="1:134">
      <c r="A134" s="1187"/>
      <c r="B134" s="94"/>
      <c r="C134" s="1320" t="s">
        <v>329</v>
      </c>
      <c r="D134" s="17"/>
      <c r="E134" s="17"/>
      <c r="F134" s="17"/>
      <c r="G134" s="17"/>
      <c r="H134" s="17"/>
      <c r="I134" s="17"/>
      <c r="J134" s="17"/>
      <c r="K134" s="17"/>
      <c r="L134" s="17"/>
      <c r="M134" s="94"/>
      <c r="N134" s="17"/>
      <c r="O134" s="17"/>
      <c r="P134" s="17"/>
      <c r="Q134" s="17"/>
      <c r="R134" s="94"/>
      <c r="S134" s="17"/>
      <c r="T134" s="17"/>
      <c r="U134" s="17"/>
      <c r="V134" s="17"/>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1"/>
      <c r="BG134" s="94"/>
      <c r="BH134" s="94"/>
      <c r="BI134" s="94"/>
      <c r="BJ134" s="94"/>
      <c r="BK134" s="91"/>
      <c r="BL134" s="94"/>
      <c r="BM134" s="94"/>
      <c r="BN134" s="94"/>
      <c r="BO134" s="94"/>
      <c r="BP134" s="91"/>
      <c r="BQ134" s="94"/>
      <c r="BR134" s="94"/>
      <c r="BS134" s="94"/>
      <c r="BU134" s="333">
        <f>BU97/BU95*BU131</f>
        <v>5247.4164089150081</v>
      </c>
      <c r="BV134" s="94"/>
      <c r="BW134" s="94"/>
      <c r="BX134" s="94"/>
      <c r="BZ134" s="333">
        <f>BZ97/BZ95*BZ131</f>
        <v>10346.708047428063</v>
      </c>
      <c r="CA134" s="94"/>
      <c r="CB134" s="94"/>
      <c r="CC134" s="94"/>
      <c r="CE134" s="333">
        <f>CE97/CE95*CE131</f>
        <v>17299.933264275664</v>
      </c>
      <c r="CF134" s="94"/>
      <c r="CG134" s="94"/>
      <c r="CH134" s="94"/>
      <c r="CJ134" s="333">
        <f>CJ97/CJ95*CJ131</f>
        <v>26687.240214798971</v>
      </c>
      <c r="CK134" s="94"/>
      <c r="CL134" s="94"/>
      <c r="CM134" s="94"/>
      <c r="CO134" s="333">
        <f>CO97/CO95*CO131</f>
        <v>39296.251191173164</v>
      </c>
      <c r="CP134" s="94"/>
      <c r="CQ134" s="94"/>
      <c r="CR134" s="94"/>
      <c r="CT134" s="333">
        <f>CT97/CT95*CT131</f>
        <v>74557.237556433523</v>
      </c>
      <c r="CU134" s="94"/>
      <c r="CV134" s="94"/>
      <c r="CW134" s="94"/>
      <c r="CY134" s="333">
        <f>CY97/CY95*CY131</f>
        <v>106175.1575023154</v>
      </c>
      <c r="CZ134" s="99"/>
      <c r="DA134" s="99"/>
      <c r="DB134" s="94"/>
      <c r="DD134" s="333">
        <f>DD97/DD95*DD131</f>
        <v>118204.56632036399</v>
      </c>
      <c r="DE134" s="99"/>
      <c r="DF134" s="99"/>
      <c r="DG134" s="94"/>
      <c r="DI134" s="333">
        <f>DI97/DI95*DI131</f>
        <v>139361.08953742307</v>
      </c>
      <c r="DJ134" s="94"/>
      <c r="DK134" s="99"/>
      <c r="DL134" s="94"/>
      <c r="DM134" s="94"/>
      <c r="DN134" s="333">
        <f>+DN$141*DN121</f>
        <v>190686.7820565741</v>
      </c>
      <c r="DO134" s="99"/>
      <c r="DP134" s="99"/>
      <c r="DQ134" s="94"/>
      <c r="DR134" s="94"/>
      <c r="DS134" s="333">
        <f ca="1">+DS$141*DS121</f>
        <v>228053.78854994415</v>
      </c>
      <c r="DT134" s="99"/>
      <c r="DU134" s="99"/>
      <c r="DV134" s="94"/>
      <c r="DW134" s="94"/>
      <c r="DX134" s="333">
        <f ca="1">+DX$141*DX121</f>
        <v>266207.52284907963</v>
      </c>
      <c r="DY134" s="99"/>
      <c r="DZ134" s="99"/>
      <c r="EA134" s="94"/>
      <c r="EB134" s="94"/>
      <c r="EC134" s="333">
        <f ca="1">+EC$141*EC121</f>
        <v>307715.65653864783</v>
      </c>
      <c r="ED134" s="94"/>
    </row>
    <row r="135" spans="1:134">
      <c r="A135" s="1187"/>
      <c r="B135" s="94"/>
      <c r="C135" s="1321" t="s">
        <v>330</v>
      </c>
      <c r="D135" s="17"/>
      <c r="E135" s="17"/>
      <c r="F135" s="17"/>
      <c r="G135" s="17"/>
      <c r="H135" s="17"/>
      <c r="I135" s="17"/>
      <c r="J135" s="17"/>
      <c r="K135" s="17"/>
      <c r="L135" s="17"/>
      <c r="M135" s="94"/>
      <c r="N135" s="17"/>
      <c r="O135" s="17"/>
      <c r="P135" s="17"/>
      <c r="Q135" s="17"/>
      <c r="R135" s="94"/>
      <c r="S135" s="17"/>
      <c r="T135" s="17"/>
      <c r="U135" s="17"/>
      <c r="V135" s="17"/>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1"/>
      <c r="BG135" s="94"/>
      <c r="BH135" s="94"/>
      <c r="BI135" s="94"/>
      <c r="BJ135" s="94"/>
      <c r="BK135" s="91"/>
      <c r="BL135" s="94"/>
      <c r="BM135" s="94"/>
      <c r="BN135" s="94"/>
      <c r="BO135" s="94"/>
      <c r="BP135" s="91"/>
      <c r="BQ135" s="94"/>
      <c r="BR135" s="94"/>
      <c r="BS135" s="94"/>
      <c r="BU135" s="333"/>
      <c r="BV135" s="94"/>
      <c r="BW135" s="94"/>
      <c r="BX135" s="94"/>
      <c r="BZ135" s="333"/>
      <c r="CA135" s="94"/>
      <c r="CB135" s="94"/>
      <c r="CC135" s="94"/>
      <c r="CE135" s="333"/>
      <c r="CF135" s="94"/>
      <c r="CG135" s="94"/>
      <c r="CH135" s="94"/>
      <c r="CJ135" s="333"/>
      <c r="CK135" s="94"/>
      <c r="CL135" s="94"/>
      <c r="CM135" s="94"/>
      <c r="CO135" s="333"/>
      <c r="CP135" s="94"/>
      <c r="CQ135" s="94"/>
      <c r="CR135" s="94"/>
      <c r="CT135" s="333">
        <f>CT141-CT131-CT137-CT139</f>
        <v>24262.200722096008</v>
      </c>
      <c r="CU135" s="94"/>
      <c r="CV135" s="94"/>
      <c r="CW135" s="94"/>
      <c r="CY135" s="333">
        <f>CY141-CY131-CY137-CY139</f>
        <v>38021.422273946249</v>
      </c>
      <c r="CZ135" s="99"/>
      <c r="DA135" s="99"/>
      <c r="DB135" s="94"/>
      <c r="DD135" s="333">
        <f>DD141-DD131-DD137-DD139</f>
        <v>46318.566940178585</v>
      </c>
      <c r="DE135" s="99"/>
      <c r="DF135" s="99"/>
      <c r="DG135" s="94"/>
      <c r="DI135" s="333">
        <f>DI141-DI131-DI137-DI139</f>
        <v>59268.637393767713</v>
      </c>
      <c r="DJ135" s="94"/>
      <c r="DK135" s="99"/>
      <c r="DL135" s="94"/>
      <c r="DM135" s="94"/>
      <c r="DN135" s="333">
        <f>+DN$141*DN122</f>
        <v>54050.037267243657</v>
      </c>
      <c r="DO135" s="99"/>
      <c r="DP135" s="99"/>
      <c r="DQ135" s="94"/>
      <c r="DR135" s="94"/>
      <c r="DS135" s="333">
        <f>+DS$141*DS122</f>
        <v>66642.681580899385</v>
      </c>
      <c r="DT135" s="99"/>
      <c r="DU135" s="99"/>
      <c r="DV135" s="94"/>
      <c r="DW135" s="94"/>
      <c r="DX135" s="333">
        <f>+DX$141*DX122</f>
        <v>81739.313519841657</v>
      </c>
      <c r="DY135" s="99"/>
      <c r="DZ135" s="99"/>
      <c r="EA135" s="94"/>
      <c r="EB135" s="94"/>
      <c r="EC135" s="333">
        <f>+EC$141*EC122</f>
        <v>99332.181426861032</v>
      </c>
      <c r="ED135" s="94"/>
    </row>
    <row r="136" spans="1:134">
      <c r="A136" s="1187"/>
      <c r="B136" s="94"/>
      <c r="C136" s="1320" t="s">
        <v>652</v>
      </c>
      <c r="D136" s="17"/>
      <c r="E136" s="17"/>
      <c r="F136" s="17"/>
      <c r="G136" s="17"/>
      <c r="H136" s="17"/>
      <c r="I136" s="17"/>
      <c r="J136" s="17"/>
      <c r="K136" s="17"/>
      <c r="L136" s="17"/>
      <c r="M136" s="94"/>
      <c r="N136" s="17"/>
      <c r="O136" s="17"/>
      <c r="P136" s="17"/>
      <c r="Q136" s="17"/>
      <c r="R136" s="94"/>
      <c r="S136" s="17"/>
      <c r="T136" s="17"/>
      <c r="U136" s="17"/>
      <c r="V136" s="17"/>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1"/>
      <c r="BG136" s="94"/>
      <c r="BH136" s="94"/>
      <c r="BI136" s="94"/>
      <c r="BJ136" s="94"/>
      <c r="BK136" s="91"/>
      <c r="BL136" s="94"/>
      <c r="BM136" s="94"/>
      <c r="BN136" s="94"/>
      <c r="BO136" s="94"/>
      <c r="BP136" s="91"/>
      <c r="BQ136" s="94"/>
      <c r="BR136" s="94"/>
      <c r="BS136" s="94"/>
      <c r="BU136" s="333"/>
      <c r="BV136" s="94"/>
      <c r="BW136" s="94"/>
      <c r="BX136" s="94"/>
      <c r="BZ136" s="333"/>
      <c r="CA136" s="94"/>
      <c r="CB136" s="94"/>
      <c r="CC136" s="94"/>
      <c r="CE136" s="333"/>
      <c r="CF136" s="94"/>
      <c r="CG136" s="94"/>
      <c r="CH136" s="94"/>
      <c r="CJ136" s="333"/>
      <c r="CK136" s="94"/>
      <c r="CL136" s="94"/>
      <c r="CM136" s="94"/>
      <c r="CO136" s="333"/>
      <c r="CP136" s="94"/>
      <c r="CQ136" s="94"/>
      <c r="CR136" s="94"/>
      <c r="CT136" s="333"/>
      <c r="CU136" s="94"/>
      <c r="CV136" s="94"/>
      <c r="CW136" s="94"/>
      <c r="CY136" s="333"/>
      <c r="CZ136" s="99"/>
      <c r="DA136" s="99"/>
      <c r="DB136" s="94"/>
      <c r="DD136" s="333"/>
      <c r="DE136" s="99"/>
      <c r="DF136" s="99"/>
      <c r="DG136" s="94"/>
      <c r="DI136" s="333"/>
      <c r="DJ136" s="94"/>
      <c r="DK136" s="99"/>
      <c r="DL136" s="94"/>
      <c r="DM136" s="94"/>
      <c r="DN136" s="333"/>
      <c r="DO136" s="99"/>
      <c r="DP136" s="99"/>
      <c r="DQ136" s="94"/>
      <c r="DR136" s="94"/>
      <c r="DS136" s="333"/>
      <c r="DT136" s="99"/>
      <c r="DU136" s="99"/>
      <c r="DV136" s="94"/>
      <c r="DW136" s="94"/>
      <c r="DX136" s="333"/>
      <c r="DY136" s="99"/>
      <c r="DZ136" s="99"/>
      <c r="EA136" s="94"/>
      <c r="EB136" s="94"/>
      <c r="EC136" s="333"/>
      <c r="ED136" s="94"/>
    </row>
    <row r="137" spans="1:134">
      <c r="A137" s="1187"/>
      <c r="B137" s="94"/>
      <c r="C137" s="1321" t="s">
        <v>332</v>
      </c>
      <c r="D137" s="17"/>
      <c r="E137" s="17"/>
      <c r="F137" s="17"/>
      <c r="G137" s="17"/>
      <c r="H137" s="17"/>
      <c r="I137" s="17"/>
      <c r="J137" s="17"/>
      <c r="K137" s="17"/>
      <c r="L137" s="17"/>
      <c r="M137" s="94"/>
      <c r="N137" s="17"/>
      <c r="O137" s="17"/>
      <c r="P137" s="17"/>
      <c r="Q137" s="17"/>
      <c r="R137" s="94"/>
      <c r="S137" s="17"/>
      <c r="T137" s="17"/>
      <c r="U137" s="17"/>
      <c r="V137" s="17"/>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1"/>
      <c r="BG137" s="94"/>
      <c r="BH137" s="94"/>
      <c r="BI137" s="94"/>
      <c r="BJ137" s="94"/>
      <c r="BK137" s="91"/>
      <c r="BL137" s="94"/>
      <c r="BM137" s="94"/>
      <c r="BN137" s="94"/>
      <c r="BO137" s="94"/>
      <c r="BP137" s="91"/>
      <c r="BQ137" s="94"/>
      <c r="BR137" s="94"/>
      <c r="BS137" s="94"/>
      <c r="BU137" s="333"/>
      <c r="BV137" s="94"/>
      <c r="BW137" s="94"/>
      <c r="BX137" s="94"/>
      <c r="BZ137" s="333"/>
      <c r="CA137" s="94"/>
      <c r="CB137" s="94"/>
      <c r="CC137" s="94"/>
      <c r="CE137" s="333"/>
      <c r="CF137" s="94"/>
      <c r="CG137" s="94"/>
      <c r="CH137" s="94"/>
      <c r="CJ137" s="333"/>
      <c r="CK137" s="94"/>
      <c r="CL137" s="94"/>
      <c r="CM137" s="94"/>
      <c r="CO137" s="333"/>
      <c r="CP137" s="94"/>
      <c r="CQ137" s="94"/>
      <c r="CR137" s="94"/>
      <c r="CT137" s="333">
        <f>+CT$141*CT124</f>
        <v>11928.770369760481</v>
      </c>
      <c r="CU137" s="94"/>
      <c r="CV137" s="94"/>
      <c r="CW137" s="94"/>
      <c r="CY137" s="333">
        <f>+CY$141*CY124</f>
        <v>17756.71447051171</v>
      </c>
      <c r="CZ137" s="99"/>
      <c r="DA137" s="99"/>
      <c r="DB137" s="94"/>
      <c r="DD137" s="333">
        <f>+DD$141*DD124</f>
        <v>19478.45438625</v>
      </c>
      <c r="DE137" s="99"/>
      <c r="DF137" s="99"/>
      <c r="DG137" s="94"/>
      <c r="DI137" s="333">
        <f>+DI$141*DI124</f>
        <v>23358.580028328612</v>
      </c>
      <c r="DJ137" s="94"/>
      <c r="DK137" s="99"/>
      <c r="DL137" s="94"/>
      <c r="DM137" s="94"/>
      <c r="DN137" s="333">
        <f>+DN$141*DN124</f>
        <v>28946.50325605525</v>
      </c>
      <c r="DO137" s="99"/>
      <c r="DP137" s="99"/>
      <c r="DQ137" s="94"/>
      <c r="DR137" s="94"/>
      <c r="DS137" s="333">
        <f ca="1">+DS$141*DS124</f>
        <v>34381.707868208345</v>
      </c>
      <c r="DT137" s="99"/>
      <c r="DU137" s="99"/>
      <c r="DV137" s="94"/>
      <c r="DW137" s="94"/>
      <c r="DX137" s="333">
        <f ca="1">+DX$141*DX124</f>
        <v>40381.315891210725</v>
      </c>
      <c r="DY137" s="99"/>
      <c r="DZ137" s="99"/>
      <c r="EA137" s="94"/>
      <c r="EB137" s="94"/>
      <c r="EC137" s="333">
        <f ca="1">+EC$141*EC124</f>
        <v>47044.233013260477</v>
      </c>
      <c r="ED137" s="94"/>
    </row>
    <row r="138" spans="1:134">
      <c r="A138" s="1187"/>
      <c r="B138" s="94"/>
      <c r="C138" s="1320" t="s">
        <v>333</v>
      </c>
      <c r="D138" s="17"/>
      <c r="E138" s="17"/>
      <c r="F138" s="17"/>
      <c r="G138" s="17"/>
      <c r="H138" s="17"/>
      <c r="I138" s="17"/>
      <c r="J138" s="17"/>
      <c r="K138" s="17"/>
      <c r="L138" s="17"/>
      <c r="M138" s="94"/>
      <c r="N138" s="17"/>
      <c r="O138" s="17"/>
      <c r="P138" s="17"/>
      <c r="Q138" s="17"/>
      <c r="R138" s="94"/>
      <c r="S138" s="17"/>
      <c r="T138" s="17"/>
      <c r="U138" s="17"/>
      <c r="V138" s="17"/>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1"/>
      <c r="BG138" s="94"/>
      <c r="BH138" s="94"/>
      <c r="BI138" s="94"/>
      <c r="BJ138" s="94"/>
      <c r="BK138" s="91"/>
      <c r="BL138" s="94"/>
      <c r="BM138" s="94"/>
      <c r="BN138" s="94"/>
      <c r="BO138" s="94"/>
      <c r="BP138" s="91"/>
      <c r="BQ138" s="94"/>
      <c r="BR138" s="94"/>
      <c r="BS138" s="94"/>
      <c r="BU138" s="333"/>
      <c r="BV138" s="94"/>
      <c r="BW138" s="94"/>
      <c r="BX138" s="94"/>
      <c r="BZ138" s="333"/>
      <c r="CA138" s="94"/>
      <c r="CB138" s="94"/>
      <c r="CC138" s="94"/>
      <c r="CE138" s="333"/>
      <c r="CF138" s="94"/>
      <c r="CG138" s="94"/>
      <c r="CH138" s="94"/>
      <c r="CJ138" s="333"/>
      <c r="CK138" s="94"/>
      <c r="CL138" s="94"/>
      <c r="CM138" s="94"/>
      <c r="CO138" s="333"/>
      <c r="CP138" s="94"/>
      <c r="CQ138" s="94"/>
      <c r="CR138" s="94"/>
      <c r="CT138" s="333"/>
      <c r="CU138" s="94"/>
      <c r="CV138" s="94"/>
      <c r="CW138" s="94"/>
      <c r="CY138" s="333"/>
      <c r="CZ138" s="99"/>
      <c r="DA138" s="99"/>
      <c r="DB138" s="94"/>
      <c r="DD138" s="333"/>
      <c r="DE138" s="99"/>
      <c r="DF138" s="99"/>
      <c r="DG138" s="94"/>
      <c r="DI138" s="333"/>
      <c r="DJ138" s="94"/>
      <c r="DK138" s="99"/>
      <c r="DL138" s="94"/>
      <c r="DM138" s="94"/>
      <c r="DN138" s="333"/>
      <c r="DO138" s="99"/>
      <c r="DP138" s="99"/>
      <c r="DQ138" s="94"/>
      <c r="DR138" s="94"/>
      <c r="DS138" s="333"/>
      <c r="DT138" s="99"/>
      <c r="DU138" s="99"/>
      <c r="DV138" s="94"/>
      <c r="DW138" s="94"/>
      <c r="DX138" s="333"/>
      <c r="DY138" s="99"/>
      <c r="DZ138" s="99"/>
      <c r="EA138" s="94"/>
      <c r="EB138" s="94"/>
      <c r="EC138" s="333"/>
      <c r="ED138" s="94"/>
    </row>
    <row r="139" spans="1:134">
      <c r="A139" s="1187"/>
      <c r="B139" s="94"/>
      <c r="C139" s="687" t="s">
        <v>188</v>
      </c>
      <c r="D139" s="17"/>
      <c r="E139" s="17"/>
      <c r="F139" s="17"/>
      <c r="G139" s="17"/>
      <c r="H139" s="17"/>
      <c r="I139" s="17"/>
      <c r="J139" s="17"/>
      <c r="K139" s="17"/>
      <c r="L139" s="17"/>
      <c r="M139" s="94"/>
      <c r="N139" s="17"/>
      <c r="O139" s="17"/>
      <c r="P139" s="17"/>
      <c r="Q139" s="17"/>
      <c r="R139" s="94"/>
      <c r="S139" s="17"/>
      <c r="T139" s="17"/>
      <c r="U139" s="17"/>
      <c r="V139" s="17"/>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1"/>
      <c r="BG139" s="94"/>
      <c r="BH139" s="94"/>
      <c r="BI139" s="94"/>
      <c r="BJ139" s="94"/>
      <c r="BK139" s="91"/>
      <c r="BL139" s="94"/>
      <c r="BM139" s="94"/>
      <c r="BN139" s="94"/>
      <c r="BO139" s="94"/>
      <c r="BP139" s="91"/>
      <c r="BQ139" s="94"/>
      <c r="BR139" s="94"/>
      <c r="BS139" s="94"/>
      <c r="BU139" s="333"/>
      <c r="BV139" s="94"/>
      <c r="BW139" s="94"/>
      <c r="BX139" s="94"/>
      <c r="BZ139" s="333"/>
      <c r="CA139" s="94"/>
      <c r="CB139" s="94"/>
      <c r="CC139" s="94"/>
      <c r="CE139" s="333"/>
      <c r="CF139" s="94"/>
      <c r="CG139" s="94"/>
      <c r="CH139" s="94"/>
      <c r="CJ139" s="333"/>
      <c r="CK139" s="94"/>
      <c r="CL139" s="94"/>
      <c r="CM139" s="94"/>
      <c r="CO139" s="333"/>
      <c r="CP139" s="94"/>
      <c r="CQ139" s="94"/>
      <c r="CR139" s="94"/>
      <c r="CT139" s="333">
        <f>+CT$141*CT126</f>
        <v>1475.8302131435119</v>
      </c>
      <c r="CU139" s="94"/>
      <c r="CV139" s="94"/>
      <c r="CW139" s="94"/>
      <c r="CY139" s="333">
        <f>+CY$141*CY126</f>
        <v>2091.2618755420644</v>
      </c>
      <c r="CZ139" s="99"/>
      <c r="DA139" s="99"/>
      <c r="DB139" s="94"/>
      <c r="DD139" s="333">
        <f>+DD$141*DD126</f>
        <v>2254.2876685714286</v>
      </c>
      <c r="DE139" s="99"/>
      <c r="DF139" s="99"/>
      <c r="DG139" s="94"/>
      <c r="DI139" s="333">
        <f>+DI$141*DI126</f>
        <v>2305.7825779036825</v>
      </c>
      <c r="DJ139" s="94"/>
      <c r="DK139" s="99"/>
      <c r="DL139" s="94"/>
      <c r="DM139" s="94"/>
      <c r="DN139" s="333">
        <f>+DN$141*DN126</f>
        <v>2514.4945317706365</v>
      </c>
      <c r="DO139" s="99"/>
      <c r="DP139" s="99"/>
      <c r="DQ139" s="94"/>
      <c r="DR139" s="94"/>
      <c r="DS139" s="333">
        <f>+DS$141*DS126</f>
        <v>2807.3805139412325</v>
      </c>
      <c r="DT139" s="99"/>
      <c r="DU139" s="99"/>
      <c r="DV139" s="94"/>
      <c r="DW139" s="94"/>
      <c r="DX139" s="333">
        <f>+DX$141*DX126</f>
        <v>3085.2318978955759</v>
      </c>
      <c r="DY139" s="99"/>
      <c r="DZ139" s="99"/>
      <c r="EA139" s="94"/>
      <c r="EB139" s="94"/>
      <c r="EC139" s="333">
        <f>+EC$141*EC126</f>
        <v>3353.0063324742105</v>
      </c>
      <c r="ED139" s="94"/>
    </row>
    <row r="140" spans="1:134">
      <c r="A140" s="1187"/>
      <c r="B140" s="94"/>
      <c r="C140" s="687" t="s">
        <v>653</v>
      </c>
      <c r="D140" s="17"/>
      <c r="E140" s="17"/>
      <c r="F140" s="17"/>
      <c r="G140" s="17"/>
      <c r="H140" s="17"/>
      <c r="I140" s="17"/>
      <c r="J140" s="17"/>
      <c r="K140" s="17"/>
      <c r="L140" s="17"/>
      <c r="M140" s="94"/>
      <c r="N140" s="17"/>
      <c r="O140" s="17"/>
      <c r="P140" s="17"/>
      <c r="Q140" s="17"/>
      <c r="R140" s="94"/>
      <c r="S140" s="17"/>
      <c r="T140" s="17"/>
      <c r="U140" s="17"/>
      <c r="V140" s="17"/>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1"/>
      <c r="BG140" s="94"/>
      <c r="BH140" s="94"/>
      <c r="BI140" s="94"/>
      <c r="BJ140" s="94"/>
      <c r="BK140" s="91"/>
      <c r="BL140" s="94"/>
      <c r="BM140" s="94"/>
      <c r="BN140" s="94"/>
      <c r="BO140" s="94"/>
      <c r="BP140" s="91"/>
      <c r="BQ140" s="94"/>
      <c r="BR140" s="94"/>
      <c r="BS140" s="94"/>
      <c r="BU140" s="333"/>
      <c r="BV140" s="94"/>
      <c r="BW140" s="94"/>
      <c r="BX140" s="94"/>
      <c r="BZ140" s="333"/>
      <c r="CA140" s="94"/>
      <c r="CB140" s="94"/>
      <c r="CC140" s="94"/>
      <c r="CE140" s="333"/>
      <c r="CF140" s="94"/>
      <c r="CG140" s="94"/>
      <c r="CH140" s="94"/>
      <c r="CJ140" s="333"/>
      <c r="CK140" s="94"/>
      <c r="CL140" s="94"/>
      <c r="CM140" s="94"/>
      <c r="CO140" s="333"/>
      <c r="CP140" s="94"/>
      <c r="CQ140" s="94"/>
      <c r="CR140" s="94"/>
      <c r="CT140" s="333"/>
      <c r="CU140" s="94"/>
      <c r="CV140" s="94"/>
      <c r="CW140" s="94"/>
      <c r="CY140" s="333"/>
      <c r="CZ140" s="99"/>
      <c r="DA140" s="99"/>
      <c r="DB140" s="94"/>
      <c r="DD140" s="333"/>
      <c r="DE140" s="99"/>
      <c r="DF140" s="99"/>
      <c r="DG140" s="94"/>
      <c r="DI140" s="333"/>
      <c r="DJ140" s="94"/>
      <c r="DK140" s="99"/>
      <c r="DL140" s="94"/>
      <c r="DM140" s="94"/>
      <c r="DN140" s="333"/>
      <c r="DO140" s="99"/>
      <c r="DP140" s="99"/>
      <c r="DQ140" s="94"/>
      <c r="DR140" s="94"/>
      <c r="DS140" s="333"/>
      <c r="DT140" s="99"/>
      <c r="DU140" s="99"/>
      <c r="DV140" s="94"/>
      <c r="DW140" s="94"/>
      <c r="DX140" s="333"/>
      <c r="DY140" s="99"/>
      <c r="DZ140" s="99"/>
      <c r="EA140" s="94"/>
      <c r="EB140" s="94"/>
      <c r="EC140" s="333"/>
      <c r="ED140" s="94"/>
    </row>
    <row r="141" spans="1:134">
      <c r="A141" s="1187"/>
      <c r="B141" s="94"/>
      <c r="C141" s="1326" t="s">
        <v>654</v>
      </c>
      <c r="D141" s="1357"/>
      <c r="E141" s="1357"/>
      <c r="F141" s="1357"/>
      <c r="G141" s="1357"/>
      <c r="H141" s="1357"/>
      <c r="I141" s="1357"/>
      <c r="J141" s="1357"/>
      <c r="K141" s="1357"/>
      <c r="L141" s="1357"/>
      <c r="M141" s="1322"/>
      <c r="N141" s="1357"/>
      <c r="O141" s="1357"/>
      <c r="P141" s="1357"/>
      <c r="Q141" s="1357"/>
      <c r="R141" s="1322"/>
      <c r="S141" s="1357"/>
      <c r="T141" s="1357"/>
      <c r="U141" s="1357"/>
      <c r="V141" s="1357"/>
      <c r="W141" s="1322"/>
      <c r="X141" s="1322"/>
      <c r="Y141" s="1322"/>
      <c r="Z141" s="1322"/>
      <c r="AA141" s="1322"/>
      <c r="AB141" s="1322"/>
      <c r="AC141" s="1322"/>
      <c r="AD141" s="1322"/>
      <c r="AE141" s="1322"/>
      <c r="AF141" s="1322"/>
      <c r="AG141" s="1322"/>
      <c r="AH141" s="1322"/>
      <c r="AI141" s="1322"/>
      <c r="AJ141" s="1322"/>
      <c r="AK141" s="1322"/>
      <c r="AL141" s="1322"/>
      <c r="AM141" s="1322"/>
      <c r="AN141" s="1322"/>
      <c r="AO141" s="1322"/>
      <c r="AP141" s="1322"/>
      <c r="AQ141" s="1322"/>
      <c r="AR141" s="1322"/>
      <c r="AS141" s="1322"/>
      <c r="AT141" s="1322"/>
      <c r="AU141" s="1322"/>
      <c r="AV141" s="1322"/>
      <c r="AW141" s="1322"/>
      <c r="AX141" s="1322"/>
      <c r="AY141" s="1322"/>
      <c r="AZ141" s="1322"/>
      <c r="BA141" s="1322"/>
      <c r="BB141" s="1322"/>
      <c r="BC141" s="1322"/>
      <c r="BD141" s="1322"/>
      <c r="BE141" s="1322"/>
      <c r="BF141" s="1327"/>
      <c r="BG141" s="1322"/>
      <c r="BH141" s="1322"/>
      <c r="BI141" s="1322"/>
      <c r="BJ141" s="1322"/>
      <c r="BK141" s="1323"/>
      <c r="BL141" s="1322"/>
      <c r="BM141" s="1322"/>
      <c r="BN141" s="1322"/>
      <c r="BO141" s="1322"/>
      <c r="BP141" s="1323"/>
      <c r="BQ141" s="1322"/>
      <c r="BR141" s="1322"/>
      <c r="BS141" s="1322"/>
      <c r="BT141" s="1371"/>
      <c r="BU141" s="1360">
        <f>+BU41</f>
        <v>7706.6610000000001</v>
      </c>
      <c r="BV141" s="1322"/>
      <c r="BW141" s="1322"/>
      <c r="BX141" s="1322"/>
      <c r="BY141" s="1371"/>
      <c r="BZ141" s="1360">
        <f>+BZ41</f>
        <v>15374.165999999999</v>
      </c>
      <c r="CA141" s="1322"/>
      <c r="CB141" s="1322"/>
      <c r="CC141" s="1322"/>
      <c r="CD141" s="1371"/>
      <c r="CE141" s="1360">
        <f>+CE41</f>
        <v>26320.15</v>
      </c>
      <c r="CF141" s="1322"/>
      <c r="CG141" s="1322"/>
      <c r="CH141" s="1322"/>
      <c r="CI141" s="1371"/>
      <c r="CJ141" s="1360">
        <f>+CJ41</f>
        <v>41103.237999999998</v>
      </c>
      <c r="CK141" s="1322"/>
      <c r="CL141" s="1322"/>
      <c r="CM141" s="1322"/>
      <c r="CN141" s="1371"/>
      <c r="CO141" s="1360">
        <f>+CO41</f>
        <v>61138.457000000002</v>
      </c>
      <c r="CP141" s="1322"/>
      <c r="CQ141" s="1322"/>
      <c r="CR141" s="1322"/>
      <c r="CS141" s="1371"/>
      <c r="CT141" s="1360">
        <f>+CT41</f>
        <v>119577.147</v>
      </c>
      <c r="CU141" s="1322"/>
      <c r="CV141" s="1322"/>
      <c r="CW141" s="1322"/>
      <c r="CX141" s="1371"/>
      <c r="CY141" s="1360">
        <f>+CY41</f>
        <v>175361.81400000001</v>
      </c>
      <c r="CZ141" s="1358"/>
      <c r="DA141" s="1358"/>
      <c r="DB141" s="1322"/>
      <c r="DC141" s="1371"/>
      <c r="DD141" s="1360">
        <f>+DD41</f>
        <v>197250.171</v>
      </c>
      <c r="DE141" s="1358"/>
      <c r="DF141" s="1358"/>
      <c r="DG141" s="1322"/>
      <c r="DH141" s="1371"/>
      <c r="DI141" s="1360">
        <f>+DI41</f>
        <v>235925</v>
      </c>
      <c r="DJ141" s="1322"/>
      <c r="DK141" s="1358"/>
      <c r="DL141" s="1322"/>
      <c r="DM141" s="1322"/>
      <c r="DN141" s="1360">
        <f>+DN41</f>
        <v>290594.375</v>
      </c>
      <c r="DO141" s="1358"/>
      <c r="DP141" s="1358"/>
      <c r="DQ141" s="1322"/>
      <c r="DR141" s="1322"/>
      <c r="DS141" s="1360">
        <f>+DS41</f>
        <v>347260.16816817026</v>
      </c>
      <c r="DT141" s="1358"/>
      <c r="DU141" s="1358"/>
      <c r="DV141" s="1322"/>
      <c r="DW141" s="1322"/>
      <c r="DX141" s="1360">
        <f>+DX41</f>
        <v>407857.06751351594</v>
      </c>
      <c r="DY141" s="1358"/>
      <c r="DZ141" s="1358"/>
      <c r="EA141" s="1322"/>
      <c r="EB141" s="1322"/>
      <c r="EC141" s="1360">
        <f>+EC41</f>
        <v>475153.48365324613</v>
      </c>
      <c r="ED141" s="94"/>
    </row>
    <row r="142" spans="1:134" hidden="1" outlineLevel="1">
      <c r="C142" s="1373" t="s">
        <v>682</v>
      </c>
      <c r="BU142" s="1372"/>
      <c r="BZ142" s="1372"/>
      <c r="CE142" s="1372"/>
      <c r="CJ142" s="1372"/>
      <c r="CO142" s="1372"/>
      <c r="CT142" s="1372"/>
      <c r="CY142" s="1372"/>
      <c r="DD142" s="1372"/>
      <c r="DI142" s="1372"/>
      <c r="DN142" s="1372"/>
      <c r="DS142" s="1372"/>
      <c r="DX142" s="1372"/>
      <c r="EC142" s="1372"/>
    </row>
    <row r="143" spans="1:134" hidden="1" outlineLevel="1">
      <c r="C143" s="1367" t="s">
        <v>681</v>
      </c>
      <c r="D143" s="1367"/>
      <c r="E143" s="1367"/>
      <c r="F143" s="1367"/>
      <c r="G143" s="1367"/>
      <c r="H143" s="1367"/>
      <c r="I143" s="1367"/>
      <c r="J143" s="1367"/>
      <c r="K143" s="1367"/>
      <c r="L143" s="1367"/>
      <c r="M143" s="1367"/>
      <c r="N143" s="1367"/>
      <c r="O143" s="1367"/>
      <c r="P143" s="1367"/>
      <c r="Q143" s="1367"/>
      <c r="R143" s="1367"/>
      <c r="S143" s="1367"/>
      <c r="T143" s="1367"/>
      <c r="U143" s="1367"/>
      <c r="V143" s="1367"/>
      <c r="W143" s="1367"/>
      <c r="X143" s="1367"/>
      <c r="Y143" s="1367"/>
      <c r="Z143" s="1367"/>
      <c r="AA143" s="1367"/>
      <c r="AB143" s="1367"/>
      <c r="AC143" s="1367"/>
      <c r="AD143" s="1367"/>
      <c r="AE143" s="1367"/>
      <c r="AF143" s="1367"/>
      <c r="AG143" s="1367"/>
      <c r="AH143" s="1367"/>
      <c r="AI143" s="1367"/>
      <c r="AJ143" s="1367"/>
      <c r="AK143" s="1367"/>
      <c r="AL143" s="1367"/>
      <c r="AM143" s="1367"/>
      <c r="AN143" s="1367"/>
      <c r="AO143" s="1367"/>
      <c r="AP143" s="1367"/>
      <c r="AQ143" s="1367"/>
      <c r="AR143" s="1367"/>
      <c r="AS143" s="1367"/>
      <c r="AT143" s="1367"/>
      <c r="AU143" s="1367"/>
      <c r="AV143" s="1367"/>
      <c r="AW143" s="1367"/>
      <c r="AX143" s="1367"/>
      <c r="AY143" s="1367"/>
      <c r="AZ143" s="1367"/>
      <c r="BA143" s="1367"/>
      <c r="BB143" s="1367"/>
      <c r="BC143" s="1367"/>
      <c r="BD143" s="1367"/>
      <c r="BE143" s="1367"/>
      <c r="BF143" s="1367"/>
      <c r="BG143" s="1367"/>
      <c r="BH143" s="1367"/>
      <c r="BI143" s="1367"/>
      <c r="BJ143" s="1367"/>
      <c r="BK143" s="1367"/>
      <c r="BL143" s="1367"/>
      <c r="BM143" s="1367"/>
      <c r="BN143" s="1367"/>
      <c r="BO143" s="1367"/>
      <c r="BP143" s="1367"/>
      <c r="BQ143" s="1367"/>
      <c r="BR143" s="1367"/>
      <c r="BS143" s="1367"/>
      <c r="BT143" s="1374">
        <f t="shared" ref="BT143" si="522">+BT$27*BT144</f>
        <v>82.5</v>
      </c>
      <c r="BU143" s="1375">
        <f>+BT143</f>
        <v>82.5</v>
      </c>
      <c r="BV143" s="1374">
        <f t="shared" ref="BV143" si="523">+BV$27*BV144</f>
        <v>109.9725</v>
      </c>
      <c r="BW143" s="1374">
        <f t="shared" ref="BW143" si="524">+BW$27*BW144</f>
        <v>140</v>
      </c>
      <c r="BX143" s="1374">
        <f t="shared" ref="BX143" si="525">+BX$27*BX144</f>
        <v>160</v>
      </c>
      <c r="BY143" s="1374">
        <f t="shared" ref="BY143" si="526">+BY$27*BY144</f>
        <v>188.75</v>
      </c>
      <c r="BZ143" s="1375">
        <f t="shared" ref="BZ143" si="527">+BY143</f>
        <v>188.75</v>
      </c>
      <c r="CA143" s="1374">
        <f t="shared" ref="CA143" si="528">+CA$27*CA144</f>
        <v>209.99999999999997</v>
      </c>
      <c r="CB143" s="1374">
        <f t="shared" ref="CB143" si="529">+CB$27*CB144</f>
        <v>249.99999999999997</v>
      </c>
      <c r="CC143" s="1374">
        <f t="shared" ref="CC143" si="530">+CC$27*CC144</f>
        <v>284.99999999999994</v>
      </c>
      <c r="CD143" s="1374">
        <f t="shared" ref="CD143" si="531">+CD$27*CD144</f>
        <v>304.5</v>
      </c>
      <c r="CE143" s="1375">
        <f t="shared" ref="CE143" si="532">+CD143</f>
        <v>304.5</v>
      </c>
      <c r="CF143" s="1374">
        <f t="shared" ref="CF143" si="533">+CF$27*CF144</f>
        <v>325</v>
      </c>
      <c r="CG143" s="1374">
        <f t="shared" ref="CG143" si="534">+CG$27*CG144</f>
        <v>350</v>
      </c>
      <c r="CH143" s="1374">
        <f t="shared" ref="CH143" si="535">+CH$27*CH144</f>
        <v>379.99999999999994</v>
      </c>
      <c r="CI143" s="1374">
        <f t="shared" ref="CI143" si="536">+CI$27*CI144</f>
        <v>410</v>
      </c>
      <c r="CJ143" s="1375">
        <f t="shared" ref="CJ143" si="537">+CI143</f>
        <v>410</v>
      </c>
      <c r="CK143" s="1374">
        <f t="shared" ref="CK143" si="538">+CK$27*CK144</f>
        <v>425</v>
      </c>
      <c r="CL143" s="1374">
        <f t="shared" ref="CL143" si="539">+CL$27*CL144</f>
        <v>450</v>
      </c>
      <c r="CM143" s="1374">
        <f t="shared" ref="CM143" si="540">+CM$27*CM144</f>
        <v>475</v>
      </c>
      <c r="CN143" s="1374">
        <f t="shared" ref="CN143" si="541">+CN$27*CN144</f>
        <v>534.5</v>
      </c>
      <c r="CO143" s="1375">
        <f t="shared" ref="CO143" si="542">+CN143</f>
        <v>534.5</v>
      </c>
      <c r="CP143" s="1374">
        <f t="shared" ref="CP143" si="543">+CP$27*CP144</f>
        <v>550</v>
      </c>
      <c r="CQ143" s="1374">
        <f t="shared" ref="CQ143" si="544">+CQ$27*CQ144</f>
        <v>616.00000000000011</v>
      </c>
      <c r="CR143" s="1374">
        <f t="shared" ref="CR143" si="545">+CR$27*CR144</f>
        <v>730.07407407407413</v>
      </c>
      <c r="CS143" s="1374">
        <f t="shared" ref="CS143" si="546">+CS$27*CS144</f>
        <v>874.5</v>
      </c>
      <c r="CT143" s="1375">
        <f t="shared" ref="CT143" si="547">+CS143</f>
        <v>874.5</v>
      </c>
      <c r="CU143" s="1374">
        <f t="shared" ref="CU143" si="548">+CU$27*CU144</f>
        <v>909.48</v>
      </c>
      <c r="CV143" s="1374">
        <f t="shared" ref="CV143" si="549">+CV$27*CV144</f>
        <v>945.8592000000001</v>
      </c>
      <c r="CW143" s="1374">
        <f t="shared" ref="CW143" si="550">+CW$27*CW144</f>
        <v>983.69356800000014</v>
      </c>
      <c r="CX143" s="1374">
        <f t="shared" ref="CX143" si="551">+CX$27*CX144</f>
        <v>1031.5</v>
      </c>
      <c r="CY143" s="1375">
        <f t="shared" ref="CY143" si="552">+CX143</f>
        <v>1031.5</v>
      </c>
      <c r="CZ143" s="1374">
        <f t="shared" ref="CZ143" si="553">+CZ$27*CZ144</f>
        <v>1041.8150000000001</v>
      </c>
      <c r="DA143" s="1374">
        <f t="shared" ref="DA143" si="554">+DA$27*DA144</f>
        <v>1052.23315</v>
      </c>
      <c r="DB143" s="1374">
        <f t="shared" ref="DB143" si="555">+DB$27*DB144</f>
        <v>1062.7554815000001</v>
      </c>
      <c r="DC143" s="1374">
        <f t="shared" ref="DC143" si="556">+DC$27*DC144</f>
        <v>1222.1688037250001</v>
      </c>
      <c r="DD143" s="1375">
        <f t="shared" ref="DD143" si="557">+DC143</f>
        <v>1222.1688037250001</v>
      </c>
      <c r="DE143" s="1374">
        <f>+DE$27*DE144</f>
        <v>1405.4941242837499</v>
      </c>
      <c r="DF143" s="1374">
        <f>+DF$27*DF144</f>
        <v>1475.7688304979374</v>
      </c>
      <c r="DG143" s="1374">
        <f>+DG$27*DG144</f>
        <v>1490.5265188029168</v>
      </c>
      <c r="DH143" s="1374">
        <f>+DH$27*DH144</f>
        <v>1527.7896817729895</v>
      </c>
      <c r="DI143" s="1375">
        <f t="shared" ref="DI143" si="558">+DH143</f>
        <v>1527.7896817729895</v>
      </c>
      <c r="DJ143" s="1374">
        <f>+DJ$27*DJ144</f>
        <v>1565.9844238173141</v>
      </c>
      <c r="DK143" s="1374">
        <f>+DK$27*DK144</f>
        <v>1605.1340344127468</v>
      </c>
      <c r="DL143" s="1374">
        <f>+DL$27*DL144</f>
        <v>1645.2623852730653</v>
      </c>
      <c r="DM143" s="1374">
        <f>+DM$27*DM144</f>
        <v>1686.3939449048919</v>
      </c>
      <c r="DN143" s="1375">
        <f t="shared" ref="DN143" si="559">+DM143</f>
        <v>1686.3939449048919</v>
      </c>
      <c r="DO143" s="1374">
        <f t="shared" ref="DO143" si="560">+DO$27*DO144</f>
        <v>1728.553793527514</v>
      </c>
      <c r="DP143" s="1374">
        <f t="shared" ref="DP143" si="561">+DP$27*DP144</f>
        <v>1771.7676383657017</v>
      </c>
      <c r="DQ143" s="1374">
        <f t="shared" ref="DQ143" si="562">+DQ$27*DQ144</f>
        <v>1816.0618293248442</v>
      </c>
      <c r="DR143" s="1374">
        <f t="shared" ref="DR143" si="563">+DR$27*DR144</f>
        <v>1861.4633750579651</v>
      </c>
      <c r="DS143" s="1375">
        <f t="shared" ref="DS143" si="564">+DR143</f>
        <v>1861.4633750579651</v>
      </c>
      <c r="DT143" s="1374">
        <f t="shared" ref="DT143" si="565">+DT$27*DT144</f>
        <v>1907.999959434414</v>
      </c>
      <c r="DU143" s="1374">
        <f t="shared" ref="DU143" si="566">+DU$27*DU144</f>
        <v>1955.6999584202742</v>
      </c>
      <c r="DV143" s="1374">
        <f t="shared" ref="DV143" si="567">+DV$27*DV144</f>
        <v>2004.5924573807808</v>
      </c>
      <c r="DW143" s="1374">
        <f t="shared" ref="DW143" si="568">+DW$27*DW144</f>
        <v>2054.7072688153003</v>
      </c>
      <c r="DX143" s="1375">
        <f t="shared" ref="DX143" si="569">+DW143</f>
        <v>2054.7072688153003</v>
      </c>
      <c r="DY143" s="1374">
        <f t="shared" ref="DY143" si="570">+DY$27*DY144</f>
        <v>2106.0749505356825</v>
      </c>
      <c r="DZ143" s="1374">
        <f t="shared" ref="DZ143" si="571">+DZ$27*DZ144</f>
        <v>2158.7268242990745</v>
      </c>
      <c r="EA143" s="1374">
        <f t="shared" ref="EA143" si="572">+EA$27*EA144</f>
        <v>2212.6949949065511</v>
      </c>
      <c r="EB143" s="1374">
        <f t="shared" ref="EB143" si="573">+EB$27*EB144</f>
        <v>2268.0123697792146</v>
      </c>
      <c r="EC143" s="1375">
        <f t="shared" ref="EC143" si="574">+EB143</f>
        <v>2268.0123697792146</v>
      </c>
    </row>
    <row r="144" spans="1:134" hidden="1" outlineLevel="1">
      <c r="C144" s="1376" t="s">
        <v>664</v>
      </c>
      <c r="D144" s="1377"/>
      <c r="E144" s="1377"/>
      <c r="F144" s="1377"/>
      <c r="G144" s="1377"/>
      <c r="H144" s="1377"/>
      <c r="I144" s="1377"/>
      <c r="J144" s="1377"/>
      <c r="K144" s="1377"/>
      <c r="L144" s="1377"/>
      <c r="M144" s="1377"/>
      <c r="N144" s="1377"/>
      <c r="O144" s="1377"/>
      <c r="P144" s="1377"/>
      <c r="Q144" s="1377"/>
      <c r="R144" s="1377"/>
      <c r="S144" s="1377"/>
      <c r="T144" s="1377"/>
      <c r="U144" s="1377"/>
      <c r="V144" s="1377"/>
      <c r="W144" s="1377"/>
      <c r="X144" s="1377"/>
      <c r="Y144" s="1377"/>
      <c r="Z144" s="1377"/>
      <c r="AA144" s="1377"/>
      <c r="AB144" s="1377"/>
      <c r="AC144" s="1377"/>
      <c r="AD144" s="1377"/>
      <c r="AE144" s="1377"/>
      <c r="AF144" s="1377"/>
      <c r="AG144" s="1377"/>
      <c r="AH144" s="1377"/>
      <c r="AI144" s="1377"/>
      <c r="AJ144" s="1377"/>
      <c r="AK144" s="1377"/>
      <c r="AL144" s="1377"/>
      <c r="AM144" s="1377"/>
      <c r="AN144" s="1377"/>
      <c r="AO144" s="1377"/>
      <c r="AP144" s="1377"/>
      <c r="AQ144" s="1377"/>
      <c r="AR144" s="1377"/>
      <c r="AS144" s="1377"/>
      <c r="AT144" s="1377"/>
      <c r="AU144" s="1377"/>
      <c r="AV144" s="1377"/>
      <c r="AW144" s="1377"/>
      <c r="AX144" s="1377"/>
      <c r="AY144" s="1377"/>
      <c r="AZ144" s="1377"/>
      <c r="BA144" s="1377"/>
      <c r="BB144" s="1377"/>
      <c r="BC144" s="1377"/>
      <c r="BD144" s="1377"/>
      <c r="BE144" s="1377"/>
      <c r="BF144" s="1377"/>
      <c r="BG144" s="1377"/>
      <c r="BH144" s="1377"/>
      <c r="BI144" s="1377"/>
      <c r="BJ144" s="1377"/>
      <c r="BK144" s="1377"/>
      <c r="BL144" s="1377"/>
      <c r="BM144" s="1377"/>
      <c r="BN144" s="1377"/>
      <c r="BO144" s="1377"/>
      <c r="BP144" s="1377"/>
      <c r="BQ144" s="1377"/>
      <c r="BR144" s="1377"/>
      <c r="BS144" s="1377"/>
      <c r="BT144" s="1378">
        <v>0.5</v>
      </c>
      <c r="BU144" s="1379">
        <v>0.5</v>
      </c>
      <c r="BV144" s="1378">
        <v>0.5</v>
      </c>
      <c r="BW144" s="1378">
        <v>0.5</v>
      </c>
      <c r="BX144" s="1378">
        <v>0.5</v>
      </c>
      <c r="BY144" s="1378">
        <v>0.5</v>
      </c>
      <c r="BZ144" s="1379">
        <v>0.5</v>
      </c>
      <c r="CA144" s="1378">
        <v>0.5</v>
      </c>
      <c r="CB144" s="1378">
        <v>0.5</v>
      </c>
      <c r="CC144" s="1378">
        <v>0.5</v>
      </c>
      <c r="CD144" s="1378">
        <v>0.5</v>
      </c>
      <c r="CE144" s="1379">
        <v>0.5</v>
      </c>
      <c r="CF144" s="1378">
        <v>0.5</v>
      </c>
      <c r="CG144" s="1378">
        <v>0.5</v>
      </c>
      <c r="CH144" s="1378">
        <v>0.5</v>
      </c>
      <c r="CI144" s="1378">
        <v>0.5</v>
      </c>
      <c r="CJ144" s="1379">
        <v>0.5</v>
      </c>
      <c r="CK144" s="1378">
        <v>0.5</v>
      </c>
      <c r="CL144" s="1378">
        <v>0.5</v>
      </c>
      <c r="CM144" s="1378">
        <v>0.5</v>
      </c>
      <c r="CN144" s="1378">
        <v>0.5</v>
      </c>
      <c r="CO144" s="1379">
        <v>0.5</v>
      </c>
      <c r="CP144" s="1378">
        <v>0.5</v>
      </c>
      <c r="CQ144" s="1378">
        <v>0.5</v>
      </c>
      <c r="CR144" s="1378">
        <v>0.5</v>
      </c>
      <c r="CS144" s="1378">
        <v>0.5</v>
      </c>
      <c r="CT144" s="1379">
        <v>0.5</v>
      </c>
      <c r="CU144" s="1378">
        <v>0.5</v>
      </c>
      <c r="CV144" s="1378">
        <v>0.5</v>
      </c>
      <c r="CW144" s="1378">
        <v>0.5</v>
      </c>
      <c r="CX144" s="1378">
        <v>0.5</v>
      </c>
      <c r="CY144" s="1379">
        <v>0.5</v>
      </c>
      <c r="CZ144" s="1378">
        <v>0.5</v>
      </c>
      <c r="DA144" s="1378">
        <v>0.5</v>
      </c>
      <c r="DB144" s="1378">
        <v>0.5</v>
      </c>
      <c r="DC144" s="1378">
        <v>0.5</v>
      </c>
      <c r="DD144" s="1379">
        <v>0.5</v>
      </c>
      <c r="DE144" s="1378">
        <v>0.5</v>
      </c>
      <c r="DF144" s="1378">
        <v>0.5</v>
      </c>
      <c r="DG144" s="1378">
        <v>0.5</v>
      </c>
      <c r="DH144" s="1378">
        <v>0.5</v>
      </c>
      <c r="DI144" s="1379">
        <v>0.5</v>
      </c>
      <c r="DJ144" s="1378">
        <v>0.5</v>
      </c>
      <c r="DK144" s="1378">
        <v>0.5</v>
      </c>
      <c r="DL144" s="1378">
        <v>0.5</v>
      </c>
      <c r="DM144" s="1380">
        <v>0.5</v>
      </c>
      <c r="DN144" s="1379">
        <v>0.5</v>
      </c>
      <c r="DO144" s="1380">
        <v>0.5</v>
      </c>
      <c r="DP144" s="1380">
        <v>0.5</v>
      </c>
      <c r="DQ144" s="1380">
        <v>0.5</v>
      </c>
      <c r="DR144" s="1380">
        <v>0.5</v>
      </c>
      <c r="DS144" s="1379">
        <v>0.5</v>
      </c>
      <c r="DT144" s="1380">
        <v>0.5</v>
      </c>
      <c r="DU144" s="1380">
        <v>0.5</v>
      </c>
      <c r="DV144" s="1380">
        <v>0.5</v>
      </c>
      <c r="DW144" s="1380">
        <v>0.5</v>
      </c>
      <c r="DX144" s="1379">
        <v>0.5</v>
      </c>
      <c r="DY144" s="1380">
        <v>0.5</v>
      </c>
      <c r="DZ144" s="1380">
        <v>0.5</v>
      </c>
      <c r="EA144" s="1380">
        <v>0.5</v>
      </c>
      <c r="EB144" s="1380">
        <v>0.5</v>
      </c>
      <c r="EC144" s="1379">
        <v>0.5</v>
      </c>
    </row>
    <row r="145" spans="3:133" hidden="1" outlineLevel="1">
      <c r="C145" s="1381" t="s">
        <v>667</v>
      </c>
      <c r="BT145" s="1382">
        <v>0.5</v>
      </c>
      <c r="BU145" s="1383">
        <f t="shared" ref="BU145" si="575">+BU146/BU143</f>
        <v>0.5</v>
      </c>
      <c r="BV145" s="1382">
        <v>0.5</v>
      </c>
      <c r="BW145" s="1382">
        <v>0.5</v>
      </c>
      <c r="BX145" s="1382">
        <v>0.5</v>
      </c>
      <c r="BY145" s="1382">
        <v>0.5</v>
      </c>
      <c r="BZ145" s="1383">
        <f t="shared" ref="BZ145" si="576">+BZ146/BZ143</f>
        <v>0.5</v>
      </c>
      <c r="CA145" s="1382">
        <v>0.5</v>
      </c>
      <c r="CB145" s="1382">
        <v>0.5</v>
      </c>
      <c r="CC145" s="1382">
        <v>0.5</v>
      </c>
      <c r="CD145" s="1382">
        <v>0.5</v>
      </c>
      <c r="CE145" s="1383">
        <f t="shared" ref="CE145" si="577">+CE146/CE143</f>
        <v>0.5</v>
      </c>
      <c r="CF145" s="1382">
        <v>0.5</v>
      </c>
      <c r="CG145" s="1382">
        <v>0.5</v>
      </c>
      <c r="CH145" s="1382">
        <v>0.5</v>
      </c>
      <c r="CI145" s="1382">
        <v>0.5</v>
      </c>
      <c r="CJ145" s="1383">
        <f t="shared" ref="CJ145" si="578">+CJ146/CJ143</f>
        <v>0.5</v>
      </c>
      <c r="CK145" s="1382">
        <v>0.5</v>
      </c>
      <c r="CL145" s="1382">
        <v>0.5</v>
      </c>
      <c r="CM145" s="1382">
        <v>0.5</v>
      </c>
      <c r="CN145" s="1382">
        <v>0.5</v>
      </c>
      <c r="CO145" s="1383">
        <f t="shared" ref="CO145" si="579">+CO146/CO143</f>
        <v>0.5</v>
      </c>
      <c r="CP145" s="1382">
        <v>0.5</v>
      </c>
      <c r="CQ145" s="1382">
        <v>0.5</v>
      </c>
      <c r="CR145" s="1382">
        <v>0.5</v>
      </c>
      <c r="CS145" s="1382">
        <v>0.5</v>
      </c>
      <c r="CT145" s="1383">
        <f t="shared" ref="CT145" si="580">+CT146/CT143</f>
        <v>0.5</v>
      </c>
      <c r="CU145" s="1382">
        <v>0.5</v>
      </c>
      <c r="CV145" s="1382">
        <v>0.5</v>
      </c>
      <c r="CW145" s="1382">
        <v>0.5</v>
      </c>
      <c r="CX145" s="1382">
        <v>0.5</v>
      </c>
      <c r="CY145" s="1383">
        <f t="shared" ref="CY145" si="581">+CY146/CY143</f>
        <v>0.5</v>
      </c>
      <c r="CZ145" s="1382">
        <v>0.5</v>
      </c>
      <c r="DA145" s="1382">
        <v>0.5</v>
      </c>
      <c r="DB145" s="1382">
        <v>0.5</v>
      </c>
      <c r="DC145" s="1382">
        <v>0.5</v>
      </c>
      <c r="DD145" s="1383">
        <f t="shared" ref="DD145" si="582">+DD146/DD143</f>
        <v>0.5</v>
      </c>
      <c r="DE145" s="1382">
        <v>0.5</v>
      </c>
      <c r="DF145" s="1382">
        <v>0.5</v>
      </c>
      <c r="DG145" s="1382">
        <v>0.5</v>
      </c>
      <c r="DH145" s="1382">
        <v>0.5</v>
      </c>
      <c r="DI145" s="1383">
        <f>+DI146/DI143</f>
        <v>0.5</v>
      </c>
      <c r="DJ145" s="1382">
        <v>0.5</v>
      </c>
      <c r="DK145" s="1382">
        <v>0.5</v>
      </c>
      <c r="DL145" s="1382">
        <v>0.5</v>
      </c>
      <c r="DM145" s="1384">
        <v>0.5</v>
      </c>
      <c r="DN145" s="1383">
        <f>+DN146/DN143</f>
        <v>0.5</v>
      </c>
      <c r="DO145" s="1384">
        <v>0.5</v>
      </c>
      <c r="DP145" s="1384">
        <v>0.5</v>
      </c>
      <c r="DQ145" s="1384">
        <v>0.5</v>
      </c>
      <c r="DR145" s="1384">
        <v>0.5</v>
      </c>
      <c r="DS145" s="1383">
        <f>+DS146/DS143</f>
        <v>0.5</v>
      </c>
      <c r="DT145" s="1384">
        <v>0.5</v>
      </c>
      <c r="DU145" s="1384">
        <v>0.5</v>
      </c>
      <c r="DV145" s="1384">
        <v>0.5</v>
      </c>
      <c r="DW145" s="1384">
        <v>0.5</v>
      </c>
      <c r="DX145" s="1383">
        <f>+DX146/DX143</f>
        <v>0.5</v>
      </c>
      <c r="DY145" s="1384">
        <v>0.5</v>
      </c>
      <c r="DZ145" s="1384">
        <v>0.5</v>
      </c>
      <c r="EA145" s="1384">
        <v>0.5</v>
      </c>
      <c r="EB145" s="1384">
        <v>0.5</v>
      </c>
      <c r="EC145" s="1383">
        <f>+EC146/EC143</f>
        <v>0.5</v>
      </c>
    </row>
    <row r="146" spans="3:133" hidden="1" outlineLevel="1">
      <c r="C146" s="1385" t="s">
        <v>679</v>
      </c>
      <c r="D146" s="1371"/>
      <c r="E146" s="1371"/>
      <c r="F146" s="1371"/>
      <c r="G146" s="1371"/>
      <c r="H146" s="1371"/>
      <c r="I146" s="1371"/>
      <c r="J146" s="1371"/>
      <c r="K146" s="1371"/>
      <c r="L146" s="1371"/>
      <c r="M146" s="1371"/>
      <c r="N146" s="1371"/>
      <c r="O146" s="1371"/>
      <c r="P146" s="1371"/>
      <c r="Q146" s="1371"/>
      <c r="R146" s="1371"/>
      <c r="S146" s="1371"/>
      <c r="T146" s="1371"/>
      <c r="U146" s="1371"/>
      <c r="V146" s="1371"/>
      <c r="W146" s="1371"/>
      <c r="X146" s="1371"/>
      <c r="Y146" s="1371"/>
      <c r="Z146" s="1371"/>
      <c r="AA146" s="1371"/>
      <c r="AB146" s="1371"/>
      <c r="AC146" s="1371"/>
      <c r="AD146" s="1371"/>
      <c r="AE146" s="1371"/>
      <c r="AF146" s="1371"/>
      <c r="AG146" s="1371"/>
      <c r="AH146" s="1371"/>
      <c r="AI146" s="1371"/>
      <c r="AJ146" s="1371"/>
      <c r="AK146" s="1371"/>
      <c r="AL146" s="1371"/>
      <c r="AM146" s="1371"/>
      <c r="AN146" s="1371"/>
      <c r="AO146" s="1371"/>
      <c r="AP146" s="1371"/>
      <c r="AQ146" s="1371"/>
      <c r="AR146" s="1371"/>
      <c r="AS146" s="1371"/>
      <c r="AT146" s="1371"/>
      <c r="AU146" s="1371"/>
      <c r="AV146" s="1371"/>
      <c r="AW146" s="1371"/>
      <c r="AX146" s="1371"/>
      <c r="AY146" s="1371"/>
      <c r="AZ146" s="1371"/>
      <c r="BA146" s="1371"/>
      <c r="BB146" s="1371"/>
      <c r="BC146" s="1371"/>
      <c r="BD146" s="1371"/>
      <c r="BE146" s="1371"/>
      <c r="BF146" s="1371"/>
      <c r="BG146" s="1371"/>
      <c r="BH146" s="1371"/>
      <c r="BI146" s="1371"/>
      <c r="BJ146" s="1371"/>
      <c r="BK146" s="1371"/>
      <c r="BL146" s="1371"/>
      <c r="BM146" s="1371"/>
      <c r="BN146" s="1371"/>
      <c r="BO146" s="1371"/>
      <c r="BP146" s="1371"/>
      <c r="BQ146" s="1371"/>
      <c r="BR146" s="1371"/>
      <c r="BS146" s="1371"/>
      <c r="BT146" s="1386">
        <f t="shared" ref="BT146" si="583">+BT143*BT145</f>
        <v>41.25</v>
      </c>
      <c r="BU146" s="1387">
        <f t="shared" ref="BU146:BU151" si="584">+BT146</f>
        <v>41.25</v>
      </c>
      <c r="BV146" s="1386">
        <f t="shared" ref="BV146" si="585">+BV143*BV145</f>
        <v>54.986249999999998</v>
      </c>
      <c r="BW146" s="1386">
        <f t="shared" ref="BW146" si="586">+BW143*BW145</f>
        <v>70</v>
      </c>
      <c r="BX146" s="1386">
        <f t="shared" ref="BX146" si="587">+BX143*BX145</f>
        <v>80</v>
      </c>
      <c r="BY146" s="1386">
        <f t="shared" ref="BY146" si="588">+BY143*BY145</f>
        <v>94.375</v>
      </c>
      <c r="BZ146" s="1387">
        <f t="shared" ref="BZ146" si="589">+BY146</f>
        <v>94.375</v>
      </c>
      <c r="CA146" s="1386">
        <f t="shared" ref="CA146" si="590">+CA143*CA145</f>
        <v>104.99999999999999</v>
      </c>
      <c r="CB146" s="1386">
        <f t="shared" ref="CB146" si="591">+CB143*CB145</f>
        <v>124.99999999999999</v>
      </c>
      <c r="CC146" s="1386">
        <f t="shared" ref="CC146" si="592">+CC143*CC145</f>
        <v>142.49999999999997</v>
      </c>
      <c r="CD146" s="1386">
        <f t="shared" ref="CD146" si="593">+CD143*CD145</f>
        <v>152.25</v>
      </c>
      <c r="CE146" s="1387">
        <f t="shared" ref="CE146" si="594">+CD146</f>
        <v>152.25</v>
      </c>
      <c r="CF146" s="1386">
        <f t="shared" ref="CF146" si="595">+CF143*CF145</f>
        <v>162.5</v>
      </c>
      <c r="CG146" s="1386">
        <f t="shared" ref="CG146" si="596">+CG143*CG145</f>
        <v>175</v>
      </c>
      <c r="CH146" s="1386">
        <f t="shared" ref="CH146" si="597">+CH143*CH145</f>
        <v>189.99999999999997</v>
      </c>
      <c r="CI146" s="1386">
        <f t="shared" ref="CI146" si="598">+CI143*CI145</f>
        <v>205</v>
      </c>
      <c r="CJ146" s="1387">
        <f t="shared" ref="CJ146" si="599">+CI146</f>
        <v>205</v>
      </c>
      <c r="CK146" s="1386">
        <f t="shared" ref="CK146" si="600">+CK143*CK145</f>
        <v>212.5</v>
      </c>
      <c r="CL146" s="1386">
        <f t="shared" ref="CL146" si="601">+CL143*CL145</f>
        <v>225</v>
      </c>
      <c r="CM146" s="1386">
        <f t="shared" ref="CM146" si="602">+CM143*CM145</f>
        <v>237.5</v>
      </c>
      <c r="CN146" s="1386">
        <f t="shared" ref="CN146" si="603">+CN143*CN145</f>
        <v>267.25</v>
      </c>
      <c r="CO146" s="1387">
        <f t="shared" ref="CO146" si="604">+CN146</f>
        <v>267.25</v>
      </c>
      <c r="CP146" s="1386">
        <f t="shared" ref="CP146" si="605">+CP143*CP145</f>
        <v>275</v>
      </c>
      <c r="CQ146" s="1386">
        <f t="shared" ref="CQ146" si="606">+CQ143*CQ145</f>
        <v>308.00000000000006</v>
      </c>
      <c r="CR146" s="1386">
        <f t="shared" ref="CR146" si="607">+CR143*CR145</f>
        <v>365.03703703703707</v>
      </c>
      <c r="CS146" s="1386">
        <f t="shared" ref="CS146" si="608">+CS143*CS145</f>
        <v>437.25</v>
      </c>
      <c r="CT146" s="1387">
        <f t="shared" ref="CT146" si="609">+CS146</f>
        <v>437.25</v>
      </c>
      <c r="CU146" s="1386">
        <f t="shared" ref="CU146" si="610">+CU143*CU145</f>
        <v>454.74</v>
      </c>
      <c r="CV146" s="1386">
        <f t="shared" ref="CV146" si="611">+CV143*CV145</f>
        <v>472.92960000000005</v>
      </c>
      <c r="CW146" s="1386">
        <f t="shared" ref="CW146" si="612">+CW143*CW145</f>
        <v>491.84678400000007</v>
      </c>
      <c r="CX146" s="1386">
        <f t="shared" ref="CX146" si="613">+CX143*CX145</f>
        <v>515.75</v>
      </c>
      <c r="CY146" s="1387">
        <f t="shared" ref="CY146" si="614">+CX146</f>
        <v>515.75</v>
      </c>
      <c r="CZ146" s="1386">
        <f t="shared" ref="CZ146" si="615">+CZ143*CZ145</f>
        <v>520.90750000000003</v>
      </c>
      <c r="DA146" s="1386">
        <f t="shared" ref="DA146" si="616">+DA143*DA145</f>
        <v>526.11657500000001</v>
      </c>
      <c r="DB146" s="1386">
        <f t="shared" ref="DB146" si="617">+DB143*DB145</f>
        <v>531.37774075000004</v>
      </c>
      <c r="DC146" s="1386">
        <f t="shared" ref="DC146" si="618">+DC143*DC145</f>
        <v>611.08440186250004</v>
      </c>
      <c r="DD146" s="1387">
        <f t="shared" ref="DD146:DD151" si="619">+DC146</f>
        <v>611.08440186250004</v>
      </c>
      <c r="DE146" s="1386">
        <f>+DE143*DE145</f>
        <v>702.74706214187495</v>
      </c>
      <c r="DF146" s="1386">
        <f>+DF143*DF145</f>
        <v>737.88441524896871</v>
      </c>
      <c r="DG146" s="1386">
        <f>+DG143*DG145</f>
        <v>745.26325940145841</v>
      </c>
      <c r="DH146" s="1386">
        <f>+DH143*DH145</f>
        <v>763.89484088649476</v>
      </c>
      <c r="DI146" s="1387">
        <f t="shared" ref="DI146:DI151" si="620">+DH146</f>
        <v>763.89484088649476</v>
      </c>
      <c r="DJ146" s="1386">
        <f>+DJ143*DJ145</f>
        <v>782.99221190865705</v>
      </c>
      <c r="DK146" s="1386">
        <f>+DK143*DK145</f>
        <v>802.56701720637341</v>
      </c>
      <c r="DL146" s="1386">
        <f>+DL143*DL145</f>
        <v>822.63119263653266</v>
      </c>
      <c r="DM146" s="1386">
        <f>+DM143*DM145</f>
        <v>843.19697245244595</v>
      </c>
      <c r="DN146" s="1387">
        <f t="shared" ref="DN146:DN151" si="621">+DM146</f>
        <v>843.19697245244595</v>
      </c>
      <c r="DO146" s="1386">
        <f>+DO143*DO145</f>
        <v>864.27689676375701</v>
      </c>
      <c r="DP146" s="1386">
        <f>+DP143*DP145</f>
        <v>885.88381918285086</v>
      </c>
      <c r="DQ146" s="1386">
        <f>+DQ143*DQ145</f>
        <v>908.03091466242211</v>
      </c>
      <c r="DR146" s="1386">
        <f>+DR143*DR145</f>
        <v>930.73168752898255</v>
      </c>
      <c r="DS146" s="1387">
        <f t="shared" ref="DS146:DS151" si="622">+DR146</f>
        <v>930.73168752898255</v>
      </c>
      <c r="DT146" s="1386">
        <f>+DT143*DT145</f>
        <v>953.999979717207</v>
      </c>
      <c r="DU146" s="1386">
        <f>+DU143*DU145</f>
        <v>977.84997921013712</v>
      </c>
      <c r="DV146" s="1386">
        <f>+DV143*DV145</f>
        <v>1002.2962286903904</v>
      </c>
      <c r="DW146" s="1386">
        <f>+DW143*DW145</f>
        <v>1027.3536344076501</v>
      </c>
      <c r="DX146" s="1387">
        <f t="shared" ref="DX146:DX151" si="623">+DW146</f>
        <v>1027.3536344076501</v>
      </c>
      <c r="DY146" s="1386">
        <f>+DY143*DY145</f>
        <v>1053.0374752678413</v>
      </c>
      <c r="DZ146" s="1386">
        <f>+DZ143*DZ145</f>
        <v>1079.3634121495372</v>
      </c>
      <c r="EA146" s="1386">
        <f>+EA143*EA145</f>
        <v>1106.3474974532755</v>
      </c>
      <c r="EB146" s="1386">
        <f>+EB143*EB145</f>
        <v>1134.0061848896073</v>
      </c>
      <c r="EC146" s="1387">
        <f t="shared" ref="EC146:EC151" si="624">+EB146</f>
        <v>1134.0061848896073</v>
      </c>
    </row>
    <row r="147" spans="3:133" hidden="1" outlineLevel="1">
      <c r="C147" s="240" t="s">
        <v>665</v>
      </c>
      <c r="BT147" s="1388">
        <v>39</v>
      </c>
      <c r="BU147" s="1389">
        <f t="shared" si="584"/>
        <v>39</v>
      </c>
      <c r="BV147" s="1388">
        <v>39</v>
      </c>
      <c r="BW147" s="1388">
        <v>39</v>
      </c>
      <c r="BX147" s="1388">
        <v>39</v>
      </c>
      <c r="BY147" s="1388">
        <v>39</v>
      </c>
      <c r="BZ147" s="1389">
        <f t="shared" ref="BZ147" si="625">+BY147</f>
        <v>39</v>
      </c>
      <c r="CA147" s="1388">
        <v>39</v>
      </c>
      <c r="CB147" s="1388">
        <v>39</v>
      </c>
      <c r="CC147" s="1388">
        <v>39</v>
      </c>
      <c r="CD147" s="1388">
        <v>39</v>
      </c>
      <c r="CE147" s="1389">
        <f t="shared" ref="CE147" si="626">+CD147</f>
        <v>39</v>
      </c>
      <c r="CF147" s="1388">
        <v>39</v>
      </c>
      <c r="CG147" s="1388">
        <v>39</v>
      </c>
      <c r="CH147" s="1388">
        <v>39</v>
      </c>
      <c r="CI147" s="1388">
        <v>39</v>
      </c>
      <c r="CJ147" s="1389">
        <f t="shared" ref="CJ147" si="627">+CI147</f>
        <v>39</v>
      </c>
      <c r="CK147" s="1388">
        <v>39</v>
      </c>
      <c r="CL147" s="1388">
        <v>39</v>
      </c>
      <c r="CM147" s="1388">
        <v>39</v>
      </c>
      <c r="CN147" s="1388">
        <v>39</v>
      </c>
      <c r="CO147" s="1389">
        <f t="shared" ref="CO147" si="628">+CN147</f>
        <v>39</v>
      </c>
      <c r="CP147" s="1388">
        <v>39</v>
      </c>
      <c r="CQ147" s="1388">
        <v>39</v>
      </c>
      <c r="CR147" s="1388">
        <v>39</v>
      </c>
      <c r="CS147" s="1388">
        <v>39</v>
      </c>
      <c r="CT147" s="1389">
        <f t="shared" ref="CT147" si="629">+CS147</f>
        <v>39</v>
      </c>
      <c r="CU147" s="1388">
        <v>39</v>
      </c>
      <c r="CV147" s="1388">
        <v>39</v>
      </c>
      <c r="CW147" s="1388">
        <v>39</v>
      </c>
      <c r="CX147" s="1388">
        <v>39</v>
      </c>
      <c r="CY147" s="1389">
        <f t="shared" ref="CY147" si="630">+CX147</f>
        <v>39</v>
      </c>
      <c r="CZ147" s="1388">
        <v>39</v>
      </c>
      <c r="DA147" s="1388">
        <v>39</v>
      </c>
      <c r="DB147" s="1388">
        <v>39</v>
      </c>
      <c r="DC147" s="1388">
        <v>39</v>
      </c>
      <c r="DD147" s="1389">
        <f t="shared" si="619"/>
        <v>39</v>
      </c>
      <c r="DE147" s="1388">
        <v>39</v>
      </c>
      <c r="DF147" s="1388">
        <v>39</v>
      </c>
      <c r="DG147" s="1388">
        <v>39</v>
      </c>
      <c r="DH147" s="1388">
        <v>39</v>
      </c>
      <c r="DI147" s="1389">
        <f t="shared" si="620"/>
        <v>39</v>
      </c>
      <c r="DJ147" s="1388">
        <v>39</v>
      </c>
      <c r="DK147" s="1388">
        <v>39</v>
      </c>
      <c r="DL147" s="1388">
        <v>39</v>
      </c>
      <c r="DM147" s="1390">
        <v>39</v>
      </c>
      <c r="DN147" s="1389">
        <f t="shared" si="621"/>
        <v>39</v>
      </c>
      <c r="DO147" s="1390">
        <v>39</v>
      </c>
      <c r="DP147" s="1390">
        <v>39</v>
      </c>
      <c r="DQ147" s="1390">
        <v>39</v>
      </c>
      <c r="DR147" s="1390">
        <v>39</v>
      </c>
      <c r="DS147" s="1389">
        <f t="shared" si="622"/>
        <v>39</v>
      </c>
      <c r="DT147" s="1390">
        <v>39</v>
      </c>
      <c r="DU147" s="1390">
        <v>39</v>
      </c>
      <c r="DV147" s="1390">
        <v>39</v>
      </c>
      <c r="DW147" s="1390">
        <v>39</v>
      </c>
      <c r="DX147" s="1389">
        <f t="shared" si="623"/>
        <v>39</v>
      </c>
      <c r="DY147" s="1390">
        <v>39</v>
      </c>
      <c r="DZ147" s="1390">
        <v>39</v>
      </c>
      <c r="EA147" s="1390">
        <v>39</v>
      </c>
      <c r="EB147" s="1390">
        <v>39</v>
      </c>
      <c r="EC147" s="1389">
        <f t="shared" si="624"/>
        <v>39</v>
      </c>
    </row>
    <row r="148" spans="3:133" hidden="1" outlineLevel="1">
      <c r="C148" s="1381" t="s">
        <v>668</v>
      </c>
      <c r="BT148" s="1382">
        <v>0.25</v>
      </c>
      <c r="BU148" s="1383">
        <f t="shared" si="584"/>
        <v>0.25</v>
      </c>
      <c r="BV148" s="1382">
        <v>0.25</v>
      </c>
      <c r="BW148" s="1382">
        <v>0.25</v>
      </c>
      <c r="BX148" s="1382">
        <v>0.25</v>
      </c>
      <c r="BY148" s="1382">
        <v>0.25</v>
      </c>
      <c r="BZ148" s="1383">
        <f t="shared" ref="BZ148" si="631">+BY148</f>
        <v>0.25</v>
      </c>
      <c r="CA148" s="1382">
        <v>0.25</v>
      </c>
      <c r="CB148" s="1382">
        <v>0.25</v>
      </c>
      <c r="CC148" s="1382">
        <v>0.25</v>
      </c>
      <c r="CD148" s="1382">
        <v>0.25</v>
      </c>
      <c r="CE148" s="1383">
        <f t="shared" ref="CE148" si="632">+CD148</f>
        <v>0.25</v>
      </c>
      <c r="CF148" s="1382">
        <v>0.25</v>
      </c>
      <c r="CG148" s="1382">
        <v>0.25</v>
      </c>
      <c r="CH148" s="1382">
        <v>0.25</v>
      </c>
      <c r="CI148" s="1382">
        <v>0.25</v>
      </c>
      <c r="CJ148" s="1383">
        <f t="shared" ref="CJ148" si="633">+CI148</f>
        <v>0.25</v>
      </c>
      <c r="CK148" s="1382">
        <v>0.25</v>
      </c>
      <c r="CL148" s="1382">
        <v>0.25</v>
      </c>
      <c r="CM148" s="1382">
        <v>0.25</v>
      </c>
      <c r="CN148" s="1382">
        <v>0.25</v>
      </c>
      <c r="CO148" s="1383">
        <f t="shared" ref="CO148" si="634">+CN148</f>
        <v>0.25</v>
      </c>
      <c r="CP148" s="1382">
        <v>0.25</v>
      </c>
      <c r="CQ148" s="1382">
        <v>0.25</v>
      </c>
      <c r="CR148" s="1382">
        <v>0.25</v>
      </c>
      <c r="CS148" s="1382">
        <v>0.25</v>
      </c>
      <c r="CT148" s="1383">
        <f t="shared" ref="CT148" si="635">+CS148</f>
        <v>0.25</v>
      </c>
      <c r="CU148" s="1382">
        <v>0.25</v>
      </c>
      <c r="CV148" s="1382">
        <v>0.25</v>
      </c>
      <c r="CW148" s="1382">
        <v>0.25</v>
      </c>
      <c r="CX148" s="1382">
        <v>0.25</v>
      </c>
      <c r="CY148" s="1383">
        <f t="shared" ref="CY148" si="636">+CX148</f>
        <v>0.25</v>
      </c>
      <c r="CZ148" s="1382">
        <v>0.25</v>
      </c>
      <c r="DA148" s="1382">
        <v>0.25</v>
      </c>
      <c r="DB148" s="1382">
        <v>0.25</v>
      </c>
      <c r="DC148" s="1382">
        <v>0.25</v>
      </c>
      <c r="DD148" s="1383">
        <f t="shared" si="619"/>
        <v>0.25</v>
      </c>
      <c r="DE148" s="1382">
        <v>0.25</v>
      </c>
      <c r="DF148" s="1382">
        <v>0.25</v>
      </c>
      <c r="DG148" s="1382">
        <v>0.25</v>
      </c>
      <c r="DH148" s="1382">
        <v>0.25</v>
      </c>
      <c r="DI148" s="1383">
        <f t="shared" si="620"/>
        <v>0.25</v>
      </c>
      <c r="DJ148" s="1382">
        <v>0.25</v>
      </c>
      <c r="DK148" s="1382">
        <v>0.25</v>
      </c>
      <c r="DL148" s="1382">
        <v>0.25</v>
      </c>
      <c r="DM148" s="1384">
        <v>0.25</v>
      </c>
      <c r="DN148" s="1383">
        <f t="shared" si="621"/>
        <v>0.25</v>
      </c>
      <c r="DO148" s="1384">
        <v>0.25</v>
      </c>
      <c r="DP148" s="1384">
        <v>0.25</v>
      </c>
      <c r="DQ148" s="1384">
        <v>0.25</v>
      </c>
      <c r="DR148" s="1384">
        <v>0.25</v>
      </c>
      <c r="DS148" s="1383">
        <f t="shared" si="622"/>
        <v>0.25</v>
      </c>
      <c r="DT148" s="1384">
        <v>0.25</v>
      </c>
      <c r="DU148" s="1384">
        <v>0.25</v>
      </c>
      <c r="DV148" s="1384">
        <v>0.25</v>
      </c>
      <c r="DW148" s="1384">
        <v>0.25</v>
      </c>
      <c r="DX148" s="1383">
        <f t="shared" si="623"/>
        <v>0.25</v>
      </c>
      <c r="DY148" s="1384">
        <v>0.25</v>
      </c>
      <c r="DZ148" s="1384">
        <v>0.25</v>
      </c>
      <c r="EA148" s="1384">
        <v>0.25</v>
      </c>
      <c r="EB148" s="1384">
        <v>0.25</v>
      </c>
      <c r="EC148" s="1383">
        <f t="shared" si="624"/>
        <v>0.25</v>
      </c>
    </row>
    <row r="149" spans="3:133" hidden="1" outlineLevel="1">
      <c r="C149" s="1385" t="s">
        <v>669</v>
      </c>
      <c r="D149" s="1371"/>
      <c r="E149" s="1371"/>
      <c r="F149" s="1371"/>
      <c r="G149" s="1371"/>
      <c r="H149" s="1371"/>
      <c r="I149" s="1371"/>
      <c r="J149" s="1371"/>
      <c r="K149" s="1371"/>
      <c r="L149" s="1371"/>
      <c r="M149" s="1371"/>
      <c r="N149" s="1371"/>
      <c r="O149" s="1371"/>
      <c r="P149" s="1371"/>
      <c r="Q149" s="1371"/>
      <c r="R149" s="1371"/>
      <c r="S149" s="1371"/>
      <c r="T149" s="1371"/>
      <c r="U149" s="1371"/>
      <c r="V149" s="1371"/>
      <c r="W149" s="1371"/>
      <c r="X149" s="1371"/>
      <c r="Y149" s="1371"/>
      <c r="Z149" s="1371"/>
      <c r="AA149" s="1371"/>
      <c r="AB149" s="1371"/>
      <c r="AC149" s="1371"/>
      <c r="AD149" s="1371"/>
      <c r="AE149" s="1371"/>
      <c r="AF149" s="1371"/>
      <c r="AG149" s="1371"/>
      <c r="AH149" s="1371"/>
      <c r="AI149" s="1371"/>
      <c r="AJ149" s="1371"/>
      <c r="AK149" s="1371"/>
      <c r="AL149" s="1371"/>
      <c r="AM149" s="1371"/>
      <c r="AN149" s="1371"/>
      <c r="AO149" s="1371"/>
      <c r="AP149" s="1371"/>
      <c r="AQ149" s="1371"/>
      <c r="AR149" s="1371"/>
      <c r="AS149" s="1371"/>
      <c r="AT149" s="1371"/>
      <c r="AU149" s="1371"/>
      <c r="AV149" s="1371"/>
      <c r="AW149" s="1371"/>
      <c r="AX149" s="1371"/>
      <c r="AY149" s="1371"/>
      <c r="AZ149" s="1371"/>
      <c r="BA149" s="1371"/>
      <c r="BB149" s="1371"/>
      <c r="BC149" s="1371"/>
      <c r="BD149" s="1371"/>
      <c r="BE149" s="1371"/>
      <c r="BF149" s="1371"/>
      <c r="BG149" s="1371"/>
      <c r="BH149" s="1371"/>
      <c r="BI149" s="1371"/>
      <c r="BJ149" s="1371"/>
      <c r="BK149" s="1371"/>
      <c r="BL149" s="1371"/>
      <c r="BM149" s="1371"/>
      <c r="BN149" s="1371"/>
      <c r="BO149" s="1371"/>
      <c r="BP149" s="1371"/>
      <c r="BQ149" s="1371"/>
      <c r="BR149" s="1371"/>
      <c r="BS149" s="1371"/>
      <c r="BT149" s="1391">
        <f t="shared" ref="BT149" si="637">+BT147*(1-BT148)</f>
        <v>29.25</v>
      </c>
      <c r="BU149" s="1392">
        <f t="shared" si="584"/>
        <v>29.25</v>
      </c>
      <c r="BV149" s="1391">
        <f t="shared" ref="BV149" si="638">+BV147*(1-BV148)</f>
        <v>29.25</v>
      </c>
      <c r="BW149" s="1391">
        <f t="shared" ref="BW149" si="639">+BW147*(1-BW148)</f>
        <v>29.25</v>
      </c>
      <c r="BX149" s="1391">
        <f t="shared" ref="BX149" si="640">+BX147*(1-BX148)</f>
        <v>29.25</v>
      </c>
      <c r="BY149" s="1391">
        <f t="shared" ref="BY149" si="641">+BY147*(1-BY148)</f>
        <v>29.25</v>
      </c>
      <c r="BZ149" s="1392">
        <f t="shared" ref="BZ149" si="642">+BY149</f>
        <v>29.25</v>
      </c>
      <c r="CA149" s="1391">
        <f t="shared" ref="CA149" si="643">+CA147*(1-CA148)</f>
        <v>29.25</v>
      </c>
      <c r="CB149" s="1391">
        <f t="shared" ref="CB149" si="644">+CB147*(1-CB148)</f>
        <v>29.25</v>
      </c>
      <c r="CC149" s="1391">
        <f t="shared" ref="CC149" si="645">+CC147*(1-CC148)</f>
        <v>29.25</v>
      </c>
      <c r="CD149" s="1391">
        <f t="shared" ref="CD149" si="646">+CD147*(1-CD148)</f>
        <v>29.25</v>
      </c>
      <c r="CE149" s="1392">
        <f t="shared" ref="CE149" si="647">+CD149</f>
        <v>29.25</v>
      </c>
      <c r="CF149" s="1391">
        <f t="shared" ref="CF149" si="648">+CF147*(1-CF148)</f>
        <v>29.25</v>
      </c>
      <c r="CG149" s="1391">
        <f t="shared" ref="CG149" si="649">+CG147*(1-CG148)</f>
        <v>29.25</v>
      </c>
      <c r="CH149" s="1391">
        <f t="shared" ref="CH149" si="650">+CH147*(1-CH148)</f>
        <v>29.25</v>
      </c>
      <c r="CI149" s="1391">
        <f t="shared" ref="CI149" si="651">+CI147*(1-CI148)</f>
        <v>29.25</v>
      </c>
      <c r="CJ149" s="1392">
        <f t="shared" ref="CJ149" si="652">+CI149</f>
        <v>29.25</v>
      </c>
      <c r="CK149" s="1391">
        <f t="shared" ref="CK149" si="653">+CK147*(1-CK148)</f>
        <v>29.25</v>
      </c>
      <c r="CL149" s="1391">
        <f t="shared" ref="CL149" si="654">+CL147*(1-CL148)</f>
        <v>29.25</v>
      </c>
      <c r="CM149" s="1391">
        <f t="shared" ref="CM149" si="655">+CM147*(1-CM148)</f>
        <v>29.25</v>
      </c>
      <c r="CN149" s="1391">
        <f t="shared" ref="CN149" si="656">+CN147*(1-CN148)</f>
        <v>29.25</v>
      </c>
      <c r="CO149" s="1392">
        <f t="shared" ref="CO149" si="657">+CN149</f>
        <v>29.25</v>
      </c>
      <c r="CP149" s="1391">
        <f t="shared" ref="CP149" si="658">+CP147*(1-CP148)</f>
        <v>29.25</v>
      </c>
      <c r="CQ149" s="1391">
        <f t="shared" ref="CQ149" si="659">+CQ147*(1-CQ148)</f>
        <v>29.25</v>
      </c>
      <c r="CR149" s="1391">
        <f t="shared" ref="CR149" si="660">+CR147*(1-CR148)</f>
        <v>29.25</v>
      </c>
      <c r="CS149" s="1391">
        <f t="shared" ref="CS149" si="661">+CS147*(1-CS148)</f>
        <v>29.25</v>
      </c>
      <c r="CT149" s="1392">
        <f t="shared" ref="CT149" si="662">+CS149</f>
        <v>29.25</v>
      </c>
      <c r="CU149" s="1391">
        <f t="shared" ref="CU149" si="663">+CU147*(1-CU148)</f>
        <v>29.25</v>
      </c>
      <c r="CV149" s="1391">
        <f t="shared" ref="CV149" si="664">+CV147*(1-CV148)</f>
        <v>29.25</v>
      </c>
      <c r="CW149" s="1391">
        <f t="shared" ref="CW149" si="665">+CW147*(1-CW148)</f>
        <v>29.25</v>
      </c>
      <c r="CX149" s="1391">
        <f t="shared" ref="CX149" si="666">+CX147*(1-CX148)</f>
        <v>29.25</v>
      </c>
      <c r="CY149" s="1392">
        <f t="shared" ref="CY149" si="667">+CX149</f>
        <v>29.25</v>
      </c>
      <c r="CZ149" s="1391">
        <f t="shared" ref="CZ149" si="668">+CZ147*(1-CZ148)</f>
        <v>29.25</v>
      </c>
      <c r="DA149" s="1391">
        <f t="shared" ref="DA149" si="669">+DA147*(1-DA148)</f>
        <v>29.25</v>
      </c>
      <c r="DB149" s="1391">
        <f t="shared" ref="DB149" si="670">+DB147*(1-DB148)</f>
        <v>29.25</v>
      </c>
      <c r="DC149" s="1391">
        <f t="shared" ref="DC149" si="671">+DC147*(1-DC148)</f>
        <v>29.25</v>
      </c>
      <c r="DD149" s="1392">
        <f t="shared" si="619"/>
        <v>29.25</v>
      </c>
      <c r="DE149" s="1391">
        <f>+DE147*(1-DE148)</f>
        <v>29.25</v>
      </c>
      <c r="DF149" s="1391">
        <f>+DF147*(1-DF148)</f>
        <v>29.25</v>
      </c>
      <c r="DG149" s="1391">
        <f>+DG147*(1-DG148)</f>
        <v>29.25</v>
      </c>
      <c r="DH149" s="1391">
        <f>+DH147*(1-DH148)</f>
        <v>29.25</v>
      </c>
      <c r="DI149" s="1392">
        <f t="shared" si="620"/>
        <v>29.25</v>
      </c>
      <c r="DJ149" s="1391">
        <f>+DJ147*(1-DJ148)</f>
        <v>29.25</v>
      </c>
      <c r="DK149" s="1391">
        <f>+DK147*(1-DK148)</f>
        <v>29.25</v>
      </c>
      <c r="DL149" s="1391">
        <f>+DL147*(1-DL148)</f>
        <v>29.25</v>
      </c>
      <c r="DM149" s="1391">
        <f>+DM147*(1-DM148)</f>
        <v>29.25</v>
      </c>
      <c r="DN149" s="1392">
        <f t="shared" si="621"/>
        <v>29.25</v>
      </c>
      <c r="DO149" s="1391">
        <f>+DO147*(1-DO148)</f>
        <v>29.25</v>
      </c>
      <c r="DP149" s="1391">
        <f>+DP147*(1-DP148)</f>
        <v>29.25</v>
      </c>
      <c r="DQ149" s="1391">
        <f>+DQ147*(1-DQ148)</f>
        <v>29.25</v>
      </c>
      <c r="DR149" s="1391">
        <f>+DR147*(1-DR148)</f>
        <v>29.25</v>
      </c>
      <c r="DS149" s="1392">
        <f t="shared" si="622"/>
        <v>29.25</v>
      </c>
      <c r="DT149" s="1391">
        <f>+DT147*(1-DT148)</f>
        <v>29.25</v>
      </c>
      <c r="DU149" s="1391">
        <f>+DU147*(1-DU148)</f>
        <v>29.25</v>
      </c>
      <c r="DV149" s="1391">
        <f>+DV147*(1-DV148)</f>
        <v>29.25</v>
      </c>
      <c r="DW149" s="1391">
        <f>+DW147*(1-DW148)</f>
        <v>29.25</v>
      </c>
      <c r="DX149" s="1392">
        <f t="shared" si="623"/>
        <v>29.25</v>
      </c>
      <c r="DY149" s="1391">
        <f>+DY147*(1-DY148)</f>
        <v>29.25</v>
      </c>
      <c r="DZ149" s="1391">
        <f>+DZ147*(1-DZ148)</f>
        <v>29.25</v>
      </c>
      <c r="EA149" s="1391">
        <f>+EA147*(1-EA148)</f>
        <v>29.25</v>
      </c>
      <c r="EB149" s="1391">
        <f>+EB147*(1-EB148)</f>
        <v>29.25</v>
      </c>
      <c r="EC149" s="1392">
        <f t="shared" si="624"/>
        <v>29.25</v>
      </c>
    </row>
    <row r="150" spans="3:133" hidden="1" outlineLevel="1">
      <c r="C150" s="240" t="s">
        <v>680</v>
      </c>
      <c r="BT150" s="1393">
        <f t="shared" ref="BT150" si="672">+BT143-BT146</f>
        <v>41.25</v>
      </c>
      <c r="BU150" s="1394">
        <f t="shared" si="584"/>
        <v>41.25</v>
      </c>
      <c r="BV150" s="1393">
        <f t="shared" ref="BV150:BY150" si="673">+BV143-BV146</f>
        <v>54.986249999999998</v>
      </c>
      <c r="BW150" s="1393">
        <f t="shared" si="673"/>
        <v>70</v>
      </c>
      <c r="BX150" s="1393">
        <f t="shared" si="673"/>
        <v>80</v>
      </c>
      <c r="BY150" s="1393">
        <f t="shared" si="673"/>
        <v>94.375</v>
      </c>
      <c r="BZ150" s="1394">
        <f t="shared" ref="BZ150" si="674">+BY150</f>
        <v>94.375</v>
      </c>
      <c r="CA150" s="1393">
        <f t="shared" ref="CA150:CD150" si="675">+CA143-CA146</f>
        <v>104.99999999999999</v>
      </c>
      <c r="CB150" s="1393">
        <f t="shared" si="675"/>
        <v>124.99999999999999</v>
      </c>
      <c r="CC150" s="1393">
        <f t="shared" si="675"/>
        <v>142.49999999999997</v>
      </c>
      <c r="CD150" s="1393">
        <f t="shared" si="675"/>
        <v>152.25</v>
      </c>
      <c r="CE150" s="1394">
        <f t="shared" ref="CE150" si="676">+CD150</f>
        <v>152.25</v>
      </c>
      <c r="CF150" s="1393">
        <f t="shared" ref="CF150:CI150" si="677">+CF143-CF146</f>
        <v>162.5</v>
      </c>
      <c r="CG150" s="1393">
        <f t="shared" si="677"/>
        <v>175</v>
      </c>
      <c r="CH150" s="1393">
        <f t="shared" si="677"/>
        <v>189.99999999999997</v>
      </c>
      <c r="CI150" s="1393">
        <f t="shared" si="677"/>
        <v>205</v>
      </c>
      <c r="CJ150" s="1394">
        <f t="shared" ref="CJ150" si="678">+CI150</f>
        <v>205</v>
      </c>
      <c r="CK150" s="1393">
        <f t="shared" ref="CK150:CN150" si="679">+CK143-CK146</f>
        <v>212.5</v>
      </c>
      <c r="CL150" s="1393">
        <f t="shared" si="679"/>
        <v>225</v>
      </c>
      <c r="CM150" s="1393">
        <f t="shared" si="679"/>
        <v>237.5</v>
      </c>
      <c r="CN150" s="1393">
        <f t="shared" si="679"/>
        <v>267.25</v>
      </c>
      <c r="CO150" s="1394">
        <f t="shared" ref="CO150" si="680">+CN150</f>
        <v>267.25</v>
      </c>
      <c r="CP150" s="1393">
        <f t="shared" ref="CP150:CS150" si="681">+CP143-CP146</f>
        <v>275</v>
      </c>
      <c r="CQ150" s="1393">
        <f t="shared" si="681"/>
        <v>308.00000000000006</v>
      </c>
      <c r="CR150" s="1393">
        <f t="shared" si="681"/>
        <v>365.03703703703707</v>
      </c>
      <c r="CS150" s="1393">
        <f t="shared" si="681"/>
        <v>437.25</v>
      </c>
      <c r="CT150" s="1394">
        <f t="shared" ref="CT150" si="682">+CS150</f>
        <v>437.25</v>
      </c>
      <c r="CU150" s="1393">
        <f t="shared" ref="CU150:CX150" si="683">+CU143-CU146</f>
        <v>454.74</v>
      </c>
      <c r="CV150" s="1393">
        <f t="shared" si="683"/>
        <v>472.92960000000005</v>
      </c>
      <c r="CW150" s="1393">
        <f t="shared" si="683"/>
        <v>491.84678400000007</v>
      </c>
      <c r="CX150" s="1393">
        <f t="shared" si="683"/>
        <v>515.75</v>
      </c>
      <c r="CY150" s="1394">
        <f t="shared" ref="CY150" si="684">+CX150</f>
        <v>515.75</v>
      </c>
      <c r="CZ150" s="1393">
        <f t="shared" ref="CZ150:DC150" si="685">+CZ143-CZ146</f>
        <v>520.90750000000003</v>
      </c>
      <c r="DA150" s="1393">
        <f t="shared" si="685"/>
        <v>526.11657500000001</v>
      </c>
      <c r="DB150" s="1393">
        <f t="shared" si="685"/>
        <v>531.37774075000004</v>
      </c>
      <c r="DC150" s="1393">
        <f t="shared" si="685"/>
        <v>611.08440186250004</v>
      </c>
      <c r="DD150" s="1394">
        <f t="shared" si="619"/>
        <v>611.08440186250004</v>
      </c>
      <c r="DE150" s="1393">
        <f>+DE143-DE146</f>
        <v>702.74706214187495</v>
      </c>
      <c r="DF150" s="1393">
        <f>+DF143-DF146</f>
        <v>737.88441524896871</v>
      </c>
      <c r="DG150" s="1393">
        <f>+DG143-DG146</f>
        <v>745.26325940145841</v>
      </c>
      <c r="DH150" s="1393">
        <f>+DH143-DH146</f>
        <v>763.89484088649476</v>
      </c>
      <c r="DI150" s="1394">
        <f t="shared" si="620"/>
        <v>763.89484088649476</v>
      </c>
      <c r="DJ150" s="1393">
        <f>+DJ143-DJ146</f>
        <v>782.99221190865705</v>
      </c>
      <c r="DK150" s="1393">
        <f>+DK143-DK146</f>
        <v>802.56701720637341</v>
      </c>
      <c r="DL150" s="1393">
        <f>+DL143-DL146</f>
        <v>822.63119263653266</v>
      </c>
      <c r="DM150" s="1393">
        <f>+DM143-DM146</f>
        <v>843.19697245244595</v>
      </c>
      <c r="DN150" s="1394">
        <f t="shared" si="621"/>
        <v>843.19697245244595</v>
      </c>
      <c r="DO150" s="1393">
        <f>+DO143-DO146</f>
        <v>864.27689676375701</v>
      </c>
      <c r="DP150" s="1393">
        <f>+DP143-DP146</f>
        <v>885.88381918285086</v>
      </c>
      <c r="DQ150" s="1393">
        <f>+DQ143-DQ146</f>
        <v>908.03091466242211</v>
      </c>
      <c r="DR150" s="1393">
        <f>+DR143-DR146</f>
        <v>930.73168752898255</v>
      </c>
      <c r="DS150" s="1394">
        <f t="shared" si="622"/>
        <v>930.73168752898255</v>
      </c>
      <c r="DT150" s="1393">
        <f>+DT143-DT146</f>
        <v>953.999979717207</v>
      </c>
      <c r="DU150" s="1393">
        <f>+DU143-DU146</f>
        <v>977.84997921013712</v>
      </c>
      <c r="DV150" s="1393">
        <f>+DV143-DV146</f>
        <v>1002.2962286903904</v>
      </c>
      <c r="DW150" s="1393">
        <f>+DW143-DW146</f>
        <v>1027.3536344076501</v>
      </c>
      <c r="DX150" s="1394">
        <f t="shared" si="623"/>
        <v>1027.3536344076501</v>
      </c>
      <c r="DY150" s="1393">
        <f>+DY143-DY146</f>
        <v>1053.0374752678413</v>
      </c>
      <c r="DZ150" s="1393">
        <f>+DZ143-DZ146</f>
        <v>1079.3634121495372</v>
      </c>
      <c r="EA150" s="1393">
        <f>+EA143-EA146</f>
        <v>1106.3474974532755</v>
      </c>
      <c r="EB150" s="1393">
        <f>+EB143-EB146</f>
        <v>1134.0061848896073</v>
      </c>
      <c r="EC150" s="1394">
        <f t="shared" si="624"/>
        <v>1134.0061848896073</v>
      </c>
    </row>
    <row r="151" spans="3:133" hidden="1" outlineLevel="1">
      <c r="C151" s="1395" t="s">
        <v>666</v>
      </c>
      <c r="D151" s="1395"/>
      <c r="E151" s="1395"/>
      <c r="F151" s="1395"/>
      <c r="G151" s="1395"/>
      <c r="H151" s="1395"/>
      <c r="I151" s="1395"/>
      <c r="J151" s="1395"/>
      <c r="K151" s="1395"/>
      <c r="L151" s="1395"/>
      <c r="M151" s="1395"/>
      <c r="N151" s="1395"/>
      <c r="O151" s="1395"/>
      <c r="P151" s="1395"/>
      <c r="Q151" s="1395"/>
      <c r="R151" s="1395"/>
      <c r="S151" s="1395"/>
      <c r="T151" s="1395"/>
      <c r="U151" s="1395"/>
      <c r="V151" s="1395"/>
      <c r="W151" s="1395"/>
      <c r="X151" s="1395"/>
      <c r="Y151" s="1395"/>
      <c r="Z151" s="1395"/>
      <c r="AA151" s="1395"/>
      <c r="AB151" s="1395"/>
      <c r="AC151" s="1395"/>
      <c r="AD151" s="1395"/>
      <c r="AE151" s="1395"/>
      <c r="AF151" s="1395"/>
      <c r="AG151" s="1395"/>
      <c r="AH151" s="1395"/>
      <c r="AI151" s="1395"/>
      <c r="AJ151" s="1395"/>
      <c r="AK151" s="1395"/>
      <c r="AL151" s="1395"/>
      <c r="AM151" s="1395"/>
      <c r="AN151" s="1395"/>
      <c r="AO151" s="1395"/>
      <c r="AP151" s="1395"/>
      <c r="AQ151" s="1395"/>
      <c r="AR151" s="1395"/>
      <c r="AS151" s="1395"/>
      <c r="AT151" s="1395"/>
      <c r="AU151" s="1395"/>
      <c r="AV151" s="1395"/>
      <c r="AW151" s="1395"/>
      <c r="AX151" s="1395"/>
      <c r="AY151" s="1395"/>
      <c r="AZ151" s="1395"/>
      <c r="BA151" s="1395"/>
      <c r="BB151" s="1395"/>
      <c r="BC151" s="1395"/>
      <c r="BD151" s="1395"/>
      <c r="BE151" s="1395"/>
      <c r="BF151" s="1395"/>
      <c r="BG151" s="1395"/>
      <c r="BH151" s="1395"/>
      <c r="BI151" s="1395"/>
      <c r="BJ151" s="1395"/>
      <c r="BK151" s="1395"/>
      <c r="BL151" s="1395"/>
      <c r="BM151" s="1395"/>
      <c r="BN151" s="1395"/>
      <c r="BO151" s="1395"/>
      <c r="BP151" s="1395"/>
      <c r="BQ151" s="1395"/>
      <c r="BR151" s="1395"/>
      <c r="BS151" s="1395"/>
      <c r="BT151" s="1391">
        <f t="shared" ref="BT151" si="686">+(BT146*BT149+BT150*BT147)/BT143</f>
        <v>34.125</v>
      </c>
      <c r="BU151" s="1392">
        <f t="shared" si="584"/>
        <v>34.125</v>
      </c>
      <c r="BV151" s="1391">
        <f t="shared" ref="BV151" si="687">+(BV146*BV149+BV150*BV147)/BV143</f>
        <v>34.125</v>
      </c>
      <c r="BW151" s="1391">
        <f t="shared" ref="BW151" si="688">+(BW146*BW149+BW150*BW147)/BW143</f>
        <v>34.125</v>
      </c>
      <c r="BX151" s="1391">
        <f t="shared" ref="BX151" si="689">+(BX146*BX149+BX150*BX147)/BX143</f>
        <v>34.125</v>
      </c>
      <c r="BY151" s="1391">
        <f t="shared" ref="BY151" si="690">+(BY146*BY149+BY150*BY147)/BY143</f>
        <v>34.125</v>
      </c>
      <c r="BZ151" s="1392">
        <f t="shared" ref="BZ151" si="691">+BY151</f>
        <v>34.125</v>
      </c>
      <c r="CA151" s="1391">
        <f t="shared" ref="CA151" si="692">+(CA146*CA149+CA150*CA147)/CA143</f>
        <v>34.125</v>
      </c>
      <c r="CB151" s="1391">
        <f t="shared" ref="CB151" si="693">+(CB146*CB149+CB150*CB147)/CB143</f>
        <v>34.125</v>
      </c>
      <c r="CC151" s="1391">
        <f t="shared" ref="CC151" si="694">+(CC146*CC149+CC150*CC147)/CC143</f>
        <v>34.125</v>
      </c>
      <c r="CD151" s="1391">
        <f t="shared" ref="CD151" si="695">+(CD146*CD149+CD150*CD147)/CD143</f>
        <v>34.125</v>
      </c>
      <c r="CE151" s="1392">
        <f t="shared" ref="CE151" si="696">+CD151</f>
        <v>34.125</v>
      </c>
      <c r="CF151" s="1391">
        <f t="shared" ref="CF151" si="697">+(CF146*CF149+CF150*CF147)/CF143</f>
        <v>34.125</v>
      </c>
      <c r="CG151" s="1391">
        <f t="shared" ref="CG151" si="698">+(CG146*CG149+CG150*CG147)/CG143</f>
        <v>34.125</v>
      </c>
      <c r="CH151" s="1391">
        <f t="shared" ref="CH151" si="699">+(CH146*CH149+CH150*CH147)/CH143</f>
        <v>34.125</v>
      </c>
      <c r="CI151" s="1391">
        <f t="shared" ref="CI151" si="700">+(CI146*CI149+CI150*CI147)/CI143</f>
        <v>34.125</v>
      </c>
      <c r="CJ151" s="1392">
        <f t="shared" ref="CJ151" si="701">+CI151</f>
        <v>34.125</v>
      </c>
      <c r="CK151" s="1391">
        <f t="shared" ref="CK151" si="702">+(CK146*CK149+CK150*CK147)/CK143</f>
        <v>34.125</v>
      </c>
      <c r="CL151" s="1391">
        <f t="shared" ref="CL151" si="703">+(CL146*CL149+CL150*CL147)/CL143</f>
        <v>34.125</v>
      </c>
      <c r="CM151" s="1391">
        <f t="shared" ref="CM151" si="704">+(CM146*CM149+CM150*CM147)/CM143</f>
        <v>34.125</v>
      </c>
      <c r="CN151" s="1391">
        <f t="shared" ref="CN151" si="705">+(CN146*CN149+CN150*CN147)/CN143</f>
        <v>34.125</v>
      </c>
      <c r="CO151" s="1392">
        <f t="shared" ref="CO151" si="706">+CN151</f>
        <v>34.125</v>
      </c>
      <c r="CP151" s="1391">
        <f t="shared" ref="CP151" si="707">+(CP146*CP149+CP150*CP147)/CP143</f>
        <v>34.125</v>
      </c>
      <c r="CQ151" s="1391">
        <f t="shared" ref="CQ151" si="708">+(CQ146*CQ149+CQ150*CQ147)/CQ143</f>
        <v>34.125</v>
      </c>
      <c r="CR151" s="1391">
        <f t="shared" ref="CR151" si="709">+(CR146*CR149+CR150*CR147)/CR143</f>
        <v>34.125</v>
      </c>
      <c r="CS151" s="1391">
        <f t="shared" ref="CS151" si="710">+(CS146*CS149+CS150*CS147)/CS143</f>
        <v>34.125</v>
      </c>
      <c r="CT151" s="1392">
        <f t="shared" ref="CT151" si="711">+CS151</f>
        <v>34.125</v>
      </c>
      <c r="CU151" s="1391">
        <f t="shared" ref="CU151" si="712">+(CU146*CU149+CU150*CU147)/CU143</f>
        <v>34.125</v>
      </c>
      <c r="CV151" s="1391">
        <f t="shared" ref="CV151" si="713">+(CV146*CV149+CV150*CV147)/CV143</f>
        <v>34.125</v>
      </c>
      <c r="CW151" s="1391">
        <f t="shared" ref="CW151" si="714">+(CW146*CW149+CW150*CW147)/CW143</f>
        <v>34.125</v>
      </c>
      <c r="CX151" s="1391">
        <f t="shared" ref="CX151" si="715">+(CX146*CX149+CX150*CX147)/CX143</f>
        <v>34.125</v>
      </c>
      <c r="CY151" s="1392">
        <f t="shared" ref="CY151" si="716">+CX151</f>
        <v>34.125</v>
      </c>
      <c r="CZ151" s="1391">
        <f t="shared" ref="CZ151" si="717">+(CZ146*CZ149+CZ150*CZ147)/CZ143</f>
        <v>34.125</v>
      </c>
      <c r="DA151" s="1391">
        <f t="shared" ref="DA151" si="718">+(DA146*DA149+DA150*DA147)/DA143</f>
        <v>34.125</v>
      </c>
      <c r="DB151" s="1391">
        <f t="shared" ref="DB151" si="719">+(DB146*DB149+DB150*DB147)/DB143</f>
        <v>34.125</v>
      </c>
      <c r="DC151" s="1391">
        <f t="shared" ref="DC151" si="720">+(DC146*DC149+DC150*DC147)/DC143</f>
        <v>34.125</v>
      </c>
      <c r="DD151" s="1392">
        <f t="shared" si="619"/>
        <v>34.125</v>
      </c>
      <c r="DE151" s="1391">
        <f>+(DE146*DE149+DE150*DE147)/DE143</f>
        <v>34.125</v>
      </c>
      <c r="DF151" s="1391">
        <f>+(DF146*DF149+DF150*DF147)/DF143</f>
        <v>34.125</v>
      </c>
      <c r="DG151" s="1391">
        <f>+(DG146*DG149+DG150*DG147)/DG143</f>
        <v>34.125</v>
      </c>
      <c r="DH151" s="1391">
        <f>+(DH146*DH149+DH150*DH147)/DH143</f>
        <v>34.125</v>
      </c>
      <c r="DI151" s="1392">
        <f t="shared" si="620"/>
        <v>34.125</v>
      </c>
      <c r="DJ151" s="1396">
        <f>+(DJ146*DJ149+DJ150*DJ147)/DJ143</f>
        <v>34.125</v>
      </c>
      <c r="DK151" s="1391">
        <f>+(DK146*DK149+DK150*DK147)/DK143</f>
        <v>34.125</v>
      </c>
      <c r="DL151" s="1391">
        <f>+(DL146*DL149+DL150*DL147)/DL143</f>
        <v>34.125</v>
      </c>
      <c r="DM151" s="1391">
        <f>+(DM146*DM149+DM150*DM147)/DM143</f>
        <v>34.125</v>
      </c>
      <c r="DN151" s="1392">
        <f t="shared" si="621"/>
        <v>34.125</v>
      </c>
      <c r="DO151" s="1396">
        <f>+(DO146*DO149+DO150*DO147)/DO143</f>
        <v>34.125</v>
      </c>
      <c r="DP151" s="1391">
        <f>+(DP146*DP149+DP150*DP147)/DP143</f>
        <v>34.125</v>
      </c>
      <c r="DQ151" s="1391">
        <f>+(DQ146*DQ149+DQ150*DQ147)/DQ143</f>
        <v>34.125</v>
      </c>
      <c r="DR151" s="1391">
        <f>+(DR146*DR149+DR150*DR147)/DR143</f>
        <v>34.125</v>
      </c>
      <c r="DS151" s="1392">
        <f t="shared" si="622"/>
        <v>34.125</v>
      </c>
      <c r="DT151" s="1396">
        <f>+(DT146*DT149+DT150*DT147)/DT143</f>
        <v>34.125</v>
      </c>
      <c r="DU151" s="1391">
        <f>+(DU146*DU149+DU150*DU147)/DU143</f>
        <v>34.125</v>
      </c>
      <c r="DV151" s="1391">
        <f>+(DV146*DV149+DV150*DV147)/DV143</f>
        <v>34.125</v>
      </c>
      <c r="DW151" s="1391">
        <f>+(DW146*DW149+DW150*DW147)/DW143</f>
        <v>34.125</v>
      </c>
      <c r="DX151" s="1392">
        <f t="shared" si="623"/>
        <v>34.125</v>
      </c>
      <c r="DY151" s="1396">
        <f>+(DY146*DY149+DY150*DY147)/DY143</f>
        <v>34.124999999999993</v>
      </c>
      <c r="DZ151" s="1391">
        <f>+(DZ146*DZ149+DZ150*DZ147)/DZ143</f>
        <v>34.125</v>
      </c>
      <c r="EA151" s="1391">
        <f>+(EA146*EA149+EA150*EA147)/EA143</f>
        <v>34.125</v>
      </c>
      <c r="EB151" s="1391">
        <f>+(EB146*EB149+EB150*EB147)/EB143</f>
        <v>34.125000000000007</v>
      </c>
      <c r="EC151" s="1392">
        <f t="shared" si="624"/>
        <v>34.125000000000007</v>
      </c>
    </row>
    <row r="152" spans="3:133" hidden="1" outlineLevel="1">
      <c r="C152" s="1397" t="s">
        <v>685</v>
      </c>
      <c r="D152" s="1397"/>
      <c r="E152" s="1397"/>
      <c r="F152" s="1397"/>
      <c r="G152" s="1397"/>
      <c r="H152" s="1397"/>
      <c r="I152" s="1397"/>
      <c r="J152" s="1397"/>
      <c r="K152" s="1397"/>
      <c r="L152" s="1397"/>
      <c r="M152" s="1397"/>
      <c r="N152" s="1397"/>
      <c r="O152" s="1397"/>
      <c r="P152" s="1397"/>
      <c r="Q152" s="1397"/>
      <c r="R152" s="1397"/>
      <c r="S152" s="1397"/>
      <c r="T152" s="1397"/>
      <c r="U152" s="1397"/>
      <c r="V152" s="1397"/>
      <c r="W152" s="1397"/>
      <c r="X152" s="1397"/>
      <c r="Y152" s="1397"/>
      <c r="Z152" s="1397"/>
      <c r="AA152" s="1397"/>
      <c r="AB152" s="1397"/>
      <c r="AC152" s="1397"/>
      <c r="AD152" s="1397"/>
      <c r="AE152" s="1397"/>
      <c r="AF152" s="1397"/>
      <c r="AG152" s="1397"/>
      <c r="AH152" s="1397"/>
      <c r="AI152" s="1397"/>
      <c r="AJ152" s="1397"/>
      <c r="AK152" s="1397"/>
      <c r="AL152" s="1397"/>
      <c r="AM152" s="1397"/>
      <c r="AN152" s="1397"/>
      <c r="AO152" s="1397"/>
      <c r="AP152" s="1397"/>
      <c r="AQ152" s="1397"/>
      <c r="AR152" s="1397"/>
      <c r="AS152" s="1397"/>
      <c r="AT152" s="1397"/>
      <c r="AU152" s="1397"/>
      <c r="AV152" s="1397"/>
      <c r="AW152" s="1397"/>
      <c r="AX152" s="1397"/>
      <c r="AY152" s="1397"/>
      <c r="AZ152" s="1397"/>
      <c r="BA152" s="1397"/>
      <c r="BB152" s="1397"/>
      <c r="BC152" s="1397"/>
      <c r="BD152" s="1397"/>
      <c r="BE152" s="1397"/>
      <c r="BF152" s="1397"/>
      <c r="BG152" s="1397"/>
      <c r="BH152" s="1397"/>
      <c r="BI152" s="1397"/>
      <c r="BJ152" s="1397"/>
      <c r="BK152" s="1397"/>
      <c r="BL152" s="1397"/>
      <c r="BM152" s="1397"/>
      <c r="BN152" s="1397"/>
      <c r="BO152" s="1397"/>
      <c r="BP152" s="1397"/>
      <c r="BQ152" s="1397"/>
      <c r="BR152" s="1397"/>
      <c r="BS152" s="1397"/>
      <c r="BT152" s="1398">
        <f t="shared" ref="BT152" si="721">+BT151*BT143/1000</f>
        <v>2.8153125000000001</v>
      </c>
      <c r="BU152" s="1399">
        <f t="shared" ref="BU152" si="722">+BU151*BU143/1000</f>
        <v>2.8153125000000001</v>
      </c>
      <c r="BV152" s="1398">
        <f t="shared" ref="BV152" si="723">+BV151*BV143/1000</f>
        <v>3.7528115625000003</v>
      </c>
      <c r="BW152" s="1398">
        <f t="shared" ref="BW152" si="724">+BW151*BW143/1000</f>
        <v>4.7774999999999999</v>
      </c>
      <c r="BX152" s="1398">
        <f t="shared" ref="BX152" si="725">+BX151*BX143/1000</f>
        <v>5.46</v>
      </c>
      <c r="BY152" s="1398">
        <f t="shared" ref="BY152" si="726">+BY151*BY143/1000</f>
        <v>6.4410937500000003</v>
      </c>
      <c r="BZ152" s="1399">
        <f t="shared" ref="BZ152" si="727">+BZ151*BZ143/1000</f>
        <v>6.4410937500000003</v>
      </c>
      <c r="CA152" s="1398">
        <f t="shared" ref="CA152" si="728">+CA151*CA143/1000</f>
        <v>7.1662499999999989</v>
      </c>
      <c r="CB152" s="1398">
        <f t="shared" ref="CB152" si="729">+CB151*CB143/1000</f>
        <v>8.5312499999999982</v>
      </c>
      <c r="CC152" s="1398">
        <f t="shared" ref="CC152" si="730">+CC151*CC143/1000</f>
        <v>9.7256249999999973</v>
      </c>
      <c r="CD152" s="1398">
        <f t="shared" ref="CD152" si="731">+CD151*CD143/1000</f>
        <v>10.3910625</v>
      </c>
      <c r="CE152" s="1399">
        <f t="shared" ref="CE152" si="732">+CE151*CE143/1000</f>
        <v>10.3910625</v>
      </c>
      <c r="CF152" s="1398">
        <f t="shared" ref="CF152" si="733">+CF151*CF143/1000</f>
        <v>11.090624999999999</v>
      </c>
      <c r="CG152" s="1398">
        <f t="shared" ref="CG152" si="734">+CG151*CG143/1000</f>
        <v>11.94375</v>
      </c>
      <c r="CH152" s="1398">
        <f t="shared" ref="CH152" si="735">+CH151*CH143/1000</f>
        <v>12.967499999999998</v>
      </c>
      <c r="CI152" s="1398">
        <f t="shared" ref="CI152" si="736">+CI151*CI143/1000</f>
        <v>13.991250000000001</v>
      </c>
      <c r="CJ152" s="1399">
        <f t="shared" ref="CJ152" si="737">+CJ151*CJ143/1000</f>
        <v>13.991250000000001</v>
      </c>
      <c r="CK152" s="1398">
        <f t="shared" ref="CK152" si="738">+CK151*CK143/1000</f>
        <v>14.503125000000001</v>
      </c>
      <c r="CL152" s="1398">
        <f t="shared" ref="CL152" si="739">+CL151*CL143/1000</f>
        <v>15.356249999999999</v>
      </c>
      <c r="CM152" s="1398">
        <f t="shared" ref="CM152" si="740">+CM151*CM143/1000</f>
        <v>16.209375000000001</v>
      </c>
      <c r="CN152" s="1398">
        <f t="shared" ref="CN152" si="741">+CN151*CN143/1000</f>
        <v>18.239812499999999</v>
      </c>
      <c r="CO152" s="1399">
        <f t="shared" ref="CO152" si="742">+CO151*CO143/1000</f>
        <v>18.239812499999999</v>
      </c>
      <c r="CP152" s="1398">
        <f t="shared" ref="CP152" si="743">+CP151*CP143/1000</f>
        <v>18.768750000000001</v>
      </c>
      <c r="CQ152" s="1398">
        <f t="shared" ref="CQ152" si="744">+CQ151*CQ143/1000</f>
        <v>21.021000000000004</v>
      </c>
      <c r="CR152" s="1398">
        <f t="shared" ref="CR152" si="745">+CR151*CR143/1000</f>
        <v>24.913777777777781</v>
      </c>
      <c r="CS152" s="1398">
        <f t="shared" ref="CS152" si="746">+CS151*CS143/1000</f>
        <v>29.842312499999998</v>
      </c>
      <c r="CT152" s="1399">
        <f t="shared" ref="CT152" si="747">+CT151*CT143/1000</f>
        <v>29.842312499999998</v>
      </c>
      <c r="CU152" s="1398">
        <f t="shared" ref="CU152" si="748">+CU151*CU143/1000</f>
        <v>31.036004999999999</v>
      </c>
      <c r="CV152" s="1398">
        <f t="shared" ref="CV152" si="749">+CV151*CV143/1000</f>
        <v>32.277445200000003</v>
      </c>
      <c r="CW152" s="1398">
        <f t="shared" ref="CW152" si="750">+CW151*CW143/1000</f>
        <v>33.568543008000006</v>
      </c>
      <c r="CX152" s="1398">
        <f t="shared" ref="CX152" si="751">+CX151*CX143/1000</f>
        <v>35.199937499999997</v>
      </c>
      <c r="CY152" s="1399">
        <f t="shared" ref="CY152" si="752">+CY151*CY143/1000</f>
        <v>35.199937499999997</v>
      </c>
      <c r="CZ152" s="1398">
        <f t="shared" ref="CZ152" si="753">+CZ151*CZ143/1000</f>
        <v>35.551936875000003</v>
      </c>
      <c r="DA152" s="1398">
        <f t="shared" ref="DA152" si="754">+DA151*DA143/1000</f>
        <v>35.907456243749998</v>
      </c>
      <c r="DB152" s="1398">
        <f t="shared" ref="DB152" si="755">+DB151*DB143/1000</f>
        <v>36.266530806187504</v>
      </c>
      <c r="DC152" s="1398">
        <f t="shared" ref="DC152" si="756">+DC151*DC143/1000</f>
        <v>41.706510427115632</v>
      </c>
      <c r="DD152" s="1399">
        <f t="shared" ref="DD152" si="757">+DD151*DD143/1000</f>
        <v>41.706510427115632</v>
      </c>
      <c r="DE152" s="1398">
        <f t="shared" ref="DE152" si="758">+DE151*DE143/1000</f>
        <v>47.962486991182963</v>
      </c>
      <c r="DF152" s="1398">
        <f t="shared" ref="DF152" si="759">+DF151*DF143/1000</f>
        <v>50.360611340742118</v>
      </c>
      <c r="DG152" s="1398">
        <f t="shared" ref="DG152" si="760">+DG151*DG143/1000</f>
        <v>50.864217454149532</v>
      </c>
      <c r="DH152" s="1398">
        <f t="shared" ref="DH152" si="761">+DH151*DH143/1000</f>
        <v>52.135822890503263</v>
      </c>
      <c r="DI152" s="1399">
        <f t="shared" ref="DI152" si="762">+DI151*DI143/1000</f>
        <v>52.135822890503263</v>
      </c>
      <c r="DJ152" s="1398">
        <f>+DJ151*DJ143/1000</f>
        <v>53.439218462765844</v>
      </c>
      <c r="DK152" s="1398">
        <f t="shared" ref="DK152" si="763">+DK151*DK143/1000</f>
        <v>54.77519892433498</v>
      </c>
      <c r="DL152" s="1398">
        <f t="shared" ref="DL152" si="764">+DL151*DL143/1000</f>
        <v>56.144578897443353</v>
      </c>
      <c r="DM152" s="1398">
        <f t="shared" ref="DM152" si="765">+DM151*DM143/1000</f>
        <v>57.548193369879435</v>
      </c>
      <c r="DN152" s="1399">
        <f t="shared" ref="DN152" si="766">+DN151*DN143/1000</f>
        <v>57.548193369879435</v>
      </c>
      <c r="DO152" s="1398">
        <f t="shared" ref="DO152" si="767">+DO151*DO143/1000</f>
        <v>58.986898204126419</v>
      </c>
      <c r="DP152" s="1398">
        <f t="shared" ref="DP152" si="768">+DP151*DP143/1000</f>
        <v>60.461570659229565</v>
      </c>
      <c r="DQ152" s="1398">
        <f t="shared" ref="DQ152" si="769">+DQ151*DQ143/1000</f>
        <v>61.973109925710304</v>
      </c>
      <c r="DR152" s="1398">
        <f t="shared" ref="DR152" si="770">+DR151*DR143/1000</f>
        <v>63.522437673853055</v>
      </c>
      <c r="DS152" s="1399">
        <f t="shared" ref="DS152" si="771">+DS151*DS143/1000</f>
        <v>63.522437673853055</v>
      </c>
      <c r="DT152" s="1398">
        <f t="shared" ref="DT152" si="772">+DT151*DT143/1000</f>
        <v>65.11049861569937</v>
      </c>
      <c r="DU152" s="1398">
        <f t="shared" ref="DU152" si="773">+DU151*DU143/1000</f>
        <v>66.738261081091849</v>
      </c>
      <c r="DV152" s="1398">
        <f t="shared" ref="DV152" si="774">+DV151*DV143/1000</f>
        <v>68.406717608119138</v>
      </c>
      <c r="DW152" s="1398">
        <f t="shared" ref="DW152" si="775">+DW151*DW143/1000</f>
        <v>70.116885548322131</v>
      </c>
      <c r="DX152" s="1399">
        <f t="shared" ref="DX152" si="776">+DX151*DX143/1000</f>
        <v>70.116885548322131</v>
      </c>
      <c r="DY152" s="1398">
        <f t="shared" ref="DY152" si="777">+DY151*DY143/1000</f>
        <v>71.869807687030146</v>
      </c>
      <c r="DZ152" s="1398">
        <f t="shared" ref="DZ152" si="778">+DZ151*DZ143/1000</f>
        <v>73.666552879205923</v>
      </c>
      <c r="EA152" s="1398">
        <f t="shared" ref="EA152" si="779">+EA151*EA143/1000</f>
        <v>75.508216701186058</v>
      </c>
      <c r="EB152" s="1398">
        <f t="shared" ref="EB152" si="780">+EB151*EB143/1000</f>
        <v>77.395922118715703</v>
      </c>
      <c r="EC152" s="1399">
        <f t="shared" ref="EC152" si="781">+EC151*EC143/1000</f>
        <v>77.395922118715703</v>
      </c>
    </row>
    <row r="153" spans="3:133" hidden="1" outlineLevel="1">
      <c r="C153" s="1376" t="s">
        <v>674</v>
      </c>
      <c r="D153" s="1367"/>
      <c r="E153" s="1367"/>
      <c r="F153" s="1367"/>
      <c r="G153" s="1367"/>
      <c r="H153" s="1367"/>
      <c r="I153" s="1367"/>
      <c r="J153" s="1367"/>
      <c r="K153" s="1367"/>
      <c r="L153" s="1367"/>
      <c r="M153" s="1367"/>
      <c r="N153" s="1367"/>
      <c r="O153" s="1367"/>
      <c r="P153" s="1367"/>
      <c r="Q153" s="1367"/>
      <c r="R153" s="1367"/>
      <c r="S153" s="1367"/>
      <c r="T153" s="1367"/>
      <c r="U153" s="1367"/>
      <c r="V153" s="1367"/>
      <c r="W153" s="1367"/>
      <c r="X153" s="1367"/>
      <c r="Y153" s="1367"/>
      <c r="Z153" s="1367"/>
      <c r="AA153" s="1367"/>
      <c r="AB153" s="1367"/>
      <c r="AC153" s="1367"/>
      <c r="AD153" s="1367"/>
      <c r="AE153" s="1367"/>
      <c r="AF153" s="1367"/>
      <c r="AG153" s="1367"/>
      <c r="AH153" s="1367"/>
      <c r="AI153" s="1367"/>
      <c r="AJ153" s="1367"/>
      <c r="AK153" s="1367"/>
      <c r="AL153" s="1367"/>
      <c r="AM153" s="1367"/>
      <c r="AN153" s="1367"/>
      <c r="AO153" s="1367"/>
      <c r="AP153" s="1367"/>
      <c r="AQ153" s="1367"/>
      <c r="AR153" s="1367"/>
      <c r="AS153" s="1367"/>
      <c r="AT153" s="1367"/>
      <c r="AU153" s="1367"/>
      <c r="AV153" s="1367"/>
      <c r="AW153" s="1367"/>
      <c r="AX153" s="1367"/>
      <c r="AY153" s="1367"/>
      <c r="AZ153" s="1367"/>
      <c r="BA153" s="1367"/>
      <c r="BB153" s="1367"/>
      <c r="BC153" s="1367"/>
      <c r="BD153" s="1367"/>
      <c r="BE153" s="1367"/>
      <c r="BF153" s="1367"/>
      <c r="BG153" s="1367"/>
      <c r="BH153" s="1367"/>
      <c r="BI153" s="1367"/>
      <c r="BJ153" s="1367"/>
      <c r="BK153" s="1367"/>
      <c r="BL153" s="1367"/>
      <c r="BM153" s="1367"/>
      <c r="BN153" s="1367"/>
      <c r="BO153" s="1367"/>
      <c r="BP153" s="1367"/>
      <c r="BQ153" s="1367"/>
      <c r="BR153" s="1367"/>
      <c r="BS153" s="1367"/>
      <c r="BT153" s="1400">
        <f t="shared" ref="BT153" si="782">+BT152/BT$7</f>
        <v>0.24837340097044552</v>
      </c>
      <c r="BU153" s="1379">
        <f t="shared" ref="BU153" si="783">+BU152/BU$7</f>
        <v>0.24837340097044552</v>
      </c>
      <c r="BV153" s="1400">
        <f t="shared" ref="BV153" si="784">+BV152/BV$7</f>
        <v>0.29367020600203458</v>
      </c>
      <c r="BW153" s="1400">
        <f t="shared" ref="BW153" si="785">+BW152/BW$7</f>
        <v>0.33096640110841702</v>
      </c>
      <c r="BX153" s="1400">
        <f t="shared" ref="BX153" si="786">+BX152/BX$7</f>
        <v>0.33542204201990417</v>
      </c>
      <c r="BY153" s="1400">
        <f t="shared" ref="BY153" si="787">+BY152/BY$7</f>
        <v>0.3489027544553383</v>
      </c>
      <c r="BZ153" s="1379">
        <f t="shared" ref="BZ153" si="788">+BZ152/BZ$7</f>
        <v>0.3489027544553383</v>
      </c>
      <c r="CA153" s="1400">
        <f t="shared" ref="CA153" si="789">+CA152/CA$7</f>
        <v>0.34579473074695999</v>
      </c>
      <c r="CB153" s="1400">
        <f t="shared" ref="CB153" si="790">+CB152/CB$7</f>
        <v>0.36057692307692302</v>
      </c>
      <c r="CC153" s="1400">
        <f t="shared" ref="CC153" si="791">+CC152/CC$7</f>
        <v>0.36239613220553701</v>
      </c>
      <c r="CD153" s="1400">
        <f t="shared" ref="CD153" si="792">+CD152/CD$7</f>
        <v>0.34779470830404663</v>
      </c>
      <c r="CE153" s="1379">
        <f t="shared" ref="CE153" si="793">+CE152/CE$7</f>
        <v>0.34779470830404663</v>
      </c>
      <c r="CF153" s="1400">
        <f t="shared" ref="CF153" si="794">+CF152/CF$7</f>
        <v>0.34165999199038843</v>
      </c>
      <c r="CG153" s="1400">
        <f t="shared" ref="CG153" si="795">+CG152/CG$7</f>
        <v>0.33852247605011054</v>
      </c>
      <c r="CH153" s="1400">
        <f t="shared" ref="CH153" si="796">+CH152/CH$7</f>
        <v>0.3425571258750495</v>
      </c>
      <c r="CI153" s="1400">
        <f t="shared" ref="CI153" si="797">+CI152/CI$7</f>
        <v>0.34181691586045149</v>
      </c>
      <c r="CJ153" s="1379">
        <f t="shared" ref="CJ153" si="798">+CJ152/CJ$7</f>
        <v>0.34181691586045149</v>
      </c>
      <c r="CK153" s="1400">
        <f t="shared" ref="CK153" si="799">+CK152/CK$7</f>
        <v>0.32802852102322849</v>
      </c>
      <c r="CL153" s="1400">
        <f t="shared" ref="CL153" si="800">+CL152/CL$7</f>
        <v>0.32589664685908321</v>
      </c>
      <c r="CM153" s="1400">
        <f t="shared" ref="CM153" si="801">+CM152/CM$7</f>
        <v>0.3200271470878579</v>
      </c>
      <c r="CN153" s="1400">
        <f t="shared" ref="CN153" si="802">+CN152/CN$7</f>
        <v>0.33841353111432704</v>
      </c>
      <c r="CO153" s="1379">
        <f t="shared" ref="CO153" si="803">+CO152/CO$7</f>
        <v>0.33841353111432704</v>
      </c>
      <c r="CP153" s="1400">
        <f t="shared" ref="CP153" si="804">+CP152/CP$7</f>
        <v>0.33880444789429032</v>
      </c>
      <c r="CQ153" s="1400">
        <f t="shared" ref="CQ153" si="805">+CQ152/CQ$7</f>
        <v>0.36861486664211696</v>
      </c>
      <c r="CR153" s="1400">
        <f t="shared" ref="CR153" si="806">+CR152/CR$7</f>
        <v>0.33504273504273507</v>
      </c>
      <c r="CS153" s="1400">
        <f t="shared" ref="CS153" si="807">+CS152/CS$7</f>
        <v>0.3612389693866434</v>
      </c>
      <c r="CT153" s="1379">
        <f t="shared" ref="CT153" si="808">+CT152/CT$7</f>
        <v>0.3612389693866434</v>
      </c>
      <c r="CU153" s="1400">
        <f t="shared" ref="CU153" si="809">+CU152/CU$7</f>
        <v>0.34510908363078363</v>
      </c>
      <c r="CV153" s="1400">
        <f t="shared" ref="CV153" si="810">+CV152/CV$7</f>
        <v>0.33936249053747164</v>
      </c>
      <c r="CW153" s="1400">
        <f t="shared" ref="CW153" si="811">+CW152/CW$7</f>
        <v>0.3398348131485438</v>
      </c>
      <c r="CX153" s="1400">
        <f t="shared" ref="CX153" si="812">+CX152/CX$7</f>
        <v>0.34509742647058822</v>
      </c>
      <c r="CY153" s="1379">
        <f t="shared" ref="CY153" si="813">+CY152/CY$7</f>
        <v>0.34509742647058822</v>
      </c>
      <c r="CZ153" s="1400">
        <f t="shared" ref="CZ153" si="814">+CZ152/CZ$7</f>
        <v>0.33794616801330801</v>
      </c>
      <c r="DA153" s="1400">
        <f t="shared" ref="DA153" si="815">+DA152/DA$7</f>
        <v>0.33495761421408576</v>
      </c>
      <c r="DB153" s="1400">
        <f t="shared" ref="DB153" si="816">+DB152/DB$7</f>
        <v>0.33893954024474304</v>
      </c>
      <c r="DC153" s="1400">
        <f t="shared" ref="DC153" si="817">+DC152/DC$7</f>
        <v>0.38088137376361308</v>
      </c>
      <c r="DD153" s="1379">
        <f t="shared" ref="DD153" si="818">+DD152/DD$7</f>
        <v>0.38088137376361308</v>
      </c>
      <c r="DE153" s="1400">
        <f t="shared" ref="DE153" si="819">+DE152/DE$7</f>
        <v>0.42072357009809619</v>
      </c>
      <c r="DF153" s="1400">
        <f t="shared" ref="DF153" si="820">+DF152/DF$7</f>
        <v>0.37304156548697864</v>
      </c>
      <c r="DG153" s="1400">
        <f t="shared" ref="DG153" si="821">+DG152/DG$7</f>
        <v>0.37127166024926667</v>
      </c>
      <c r="DH153" s="1400">
        <f t="shared" ref="DH153" si="822">+DH152/DH$7</f>
        <v>0.36205432562849488</v>
      </c>
      <c r="DI153" s="1379">
        <f t="shared" ref="DI153" si="823">+DI152/DI$7</f>
        <v>0.36205432562849488</v>
      </c>
      <c r="DJ153" s="1400">
        <f t="shared" ref="DJ153" si="824">+DJ152/DJ$7</f>
        <v>0.35390210902493935</v>
      </c>
      <c r="DK153" s="1400">
        <f t="shared" ref="DK153" si="825">+DK152/DK$7</f>
        <v>0.32411360310257387</v>
      </c>
      <c r="DL153" s="1400">
        <f t="shared" ref="DL153" si="826">+DL152/DL$7</f>
        <v>0.32082616512824774</v>
      </c>
      <c r="DM153" s="1400">
        <f>+DM152/DM$7</f>
        <v>0.32914029602590444</v>
      </c>
      <c r="DN153" s="1379">
        <f t="shared" ref="DN153" si="827">+DN152/DN$7</f>
        <v>0.32914029602590444</v>
      </c>
      <c r="DO153" s="1400">
        <f t="shared" ref="DO153" si="828">+DO152/DO$7</f>
        <v>0.35390210902493946</v>
      </c>
      <c r="DP153" s="1400">
        <f t="shared" ref="DP153" si="829">+DP152/DP$7</f>
        <v>0.32411360310257387</v>
      </c>
      <c r="DQ153" s="1400">
        <f t="shared" ref="DQ153" si="830">+DQ152/DQ$7</f>
        <v>0.32082616512824774</v>
      </c>
      <c r="DR153" s="1400">
        <f t="shared" ref="DR153" si="831">+DR152/DR$7</f>
        <v>0.32914029602590444</v>
      </c>
      <c r="DS153" s="1379">
        <f t="shared" ref="DS153" si="832">+DS152/DS$7</f>
        <v>0.32914029602590444</v>
      </c>
      <c r="DT153" s="1400">
        <f t="shared" ref="DT153" si="833">+DT152/DT$7</f>
        <v>0.3539021090249394</v>
      </c>
      <c r="DU153" s="1400">
        <f t="shared" ref="DU153" si="834">+DU152/DU$7</f>
        <v>0.32411360310257381</v>
      </c>
      <c r="DV153" s="1400">
        <f t="shared" ref="DV153" si="835">+DV152/DV$7</f>
        <v>0.32082616512824774</v>
      </c>
      <c r="DW153" s="1400">
        <f t="shared" ref="DW153" si="836">+DW152/DW$7</f>
        <v>0.3291402960259045</v>
      </c>
      <c r="DX153" s="1379">
        <f t="shared" ref="DX153" si="837">+DX152/DX$7</f>
        <v>0.3291402960259045</v>
      </c>
      <c r="DY153" s="1400">
        <f t="shared" ref="DY153" si="838">+DY152/DY$7</f>
        <v>0.35390210902493929</v>
      </c>
      <c r="DZ153" s="1400">
        <f t="shared" ref="DZ153" si="839">+DZ152/DZ$7</f>
        <v>0.32411360310257392</v>
      </c>
      <c r="EA153" s="1400">
        <f t="shared" ref="EA153" si="840">+EA152/EA$7</f>
        <v>0.32082616512824774</v>
      </c>
      <c r="EB153" s="1400">
        <f t="shared" ref="EB153" si="841">+EB152/EB$7</f>
        <v>0.32914029602590444</v>
      </c>
      <c r="EC153" s="1379">
        <f t="shared" ref="EC153" si="842">+EC152/EC$7</f>
        <v>0.32914029602590444</v>
      </c>
    </row>
    <row r="154" spans="3:133" hidden="1" outlineLevel="1">
      <c r="BU154" s="1372"/>
      <c r="BZ154" s="1372"/>
      <c r="CE154" s="1372"/>
      <c r="CJ154" s="1372"/>
      <c r="CO154" s="1372"/>
      <c r="CT154" s="1372"/>
      <c r="CY154" s="1372"/>
      <c r="DD154" s="1372"/>
      <c r="DI154" s="1372"/>
      <c r="DN154" s="1372"/>
      <c r="DS154" s="1372"/>
      <c r="DX154" s="1372"/>
      <c r="EC154" s="1372"/>
    </row>
    <row r="155" spans="3:133" hidden="1" outlineLevel="1">
      <c r="C155" s="1367" t="s">
        <v>683</v>
      </c>
      <c r="D155" s="1367"/>
      <c r="E155" s="1367"/>
      <c r="F155" s="1367"/>
      <c r="G155" s="1367"/>
      <c r="H155" s="1367"/>
      <c r="I155" s="1367"/>
      <c r="J155" s="1367"/>
      <c r="K155" s="1367"/>
      <c r="L155" s="1367"/>
      <c r="M155" s="1367"/>
      <c r="N155" s="1367"/>
      <c r="O155" s="1367"/>
      <c r="P155" s="1367"/>
      <c r="Q155" s="1367"/>
      <c r="R155" s="1367"/>
      <c r="S155" s="1367"/>
      <c r="T155" s="1367"/>
      <c r="U155" s="1367"/>
      <c r="V155" s="1367"/>
      <c r="W155" s="1367"/>
      <c r="X155" s="1367"/>
      <c r="Y155" s="1367"/>
      <c r="Z155" s="1367"/>
      <c r="AA155" s="1367"/>
      <c r="AB155" s="1367"/>
      <c r="AC155" s="1367"/>
      <c r="AD155" s="1367"/>
      <c r="AE155" s="1367"/>
      <c r="AF155" s="1367"/>
      <c r="AG155" s="1367"/>
      <c r="AH155" s="1367"/>
      <c r="AI155" s="1367"/>
      <c r="AJ155" s="1367"/>
      <c r="AK155" s="1367"/>
      <c r="AL155" s="1367"/>
      <c r="AM155" s="1367"/>
      <c r="AN155" s="1367"/>
      <c r="AO155" s="1367"/>
      <c r="AP155" s="1367"/>
      <c r="AQ155" s="1367"/>
      <c r="AR155" s="1367"/>
      <c r="AS155" s="1367"/>
      <c r="AT155" s="1367"/>
      <c r="AU155" s="1367"/>
      <c r="AV155" s="1367"/>
      <c r="AW155" s="1367"/>
      <c r="AX155" s="1367"/>
      <c r="AY155" s="1367"/>
      <c r="AZ155" s="1367"/>
      <c r="BA155" s="1367"/>
      <c r="BB155" s="1367"/>
      <c r="BC155" s="1367"/>
      <c r="BD155" s="1367"/>
      <c r="BE155" s="1367"/>
      <c r="BF155" s="1367"/>
      <c r="BG155" s="1367"/>
      <c r="BH155" s="1367"/>
      <c r="BI155" s="1367"/>
      <c r="BJ155" s="1367"/>
      <c r="BK155" s="1367"/>
      <c r="BL155" s="1367"/>
      <c r="BM155" s="1367"/>
      <c r="BN155" s="1367"/>
      <c r="BO155" s="1367"/>
      <c r="BP155" s="1367"/>
      <c r="BQ155" s="1367"/>
      <c r="BR155" s="1367"/>
      <c r="BS155" s="1367"/>
      <c r="BT155" s="1374">
        <f t="shared" ref="BT155" si="843">+BT$27*BT156</f>
        <v>49.5</v>
      </c>
      <c r="BU155" s="1375">
        <f>+BT155</f>
        <v>49.5</v>
      </c>
      <c r="BV155" s="1374">
        <f t="shared" ref="BV155" si="844">+BV$27*BV156</f>
        <v>65.983499999999992</v>
      </c>
      <c r="BW155" s="1374">
        <f t="shared" ref="BW155" si="845">+BW$27*BW156</f>
        <v>84</v>
      </c>
      <c r="BX155" s="1374">
        <f t="shared" ref="BX155" si="846">+BX$27*BX156</f>
        <v>96</v>
      </c>
      <c r="BY155" s="1374">
        <f t="shared" ref="BY155" si="847">+BY$27*BY156</f>
        <v>113.25</v>
      </c>
      <c r="BZ155" s="1375">
        <f t="shared" ref="BZ155" si="848">+BY155</f>
        <v>113.25</v>
      </c>
      <c r="CA155" s="1374">
        <f t="shared" ref="CA155" si="849">+CA$27*CA156</f>
        <v>125.99999999999997</v>
      </c>
      <c r="CB155" s="1374">
        <f t="shared" ref="CB155" si="850">+CB$27*CB156</f>
        <v>149.99999999999997</v>
      </c>
      <c r="CC155" s="1374">
        <f t="shared" ref="CC155" si="851">+CC$27*CC156</f>
        <v>170.99999999999997</v>
      </c>
      <c r="CD155" s="1374">
        <f t="shared" ref="CD155" si="852">+CD$27*CD156</f>
        <v>182.7</v>
      </c>
      <c r="CE155" s="1375">
        <f t="shared" ref="CE155" si="853">+CD155</f>
        <v>182.7</v>
      </c>
      <c r="CF155" s="1374">
        <f t="shared" ref="CF155" si="854">+CF$27*CF156</f>
        <v>195</v>
      </c>
      <c r="CG155" s="1374">
        <f t="shared" ref="CG155" si="855">+CG$27*CG156</f>
        <v>210</v>
      </c>
      <c r="CH155" s="1374">
        <f t="shared" ref="CH155" si="856">+CH$27*CH156</f>
        <v>227.99999999999997</v>
      </c>
      <c r="CI155" s="1374">
        <f t="shared" ref="CI155" si="857">+CI$27*CI156</f>
        <v>246</v>
      </c>
      <c r="CJ155" s="1375">
        <f t="shared" ref="CJ155" si="858">+CI155</f>
        <v>246</v>
      </c>
      <c r="CK155" s="1374">
        <f t="shared" ref="CK155" si="859">+CK$27*CK156</f>
        <v>255</v>
      </c>
      <c r="CL155" s="1374">
        <f t="shared" ref="CL155" si="860">+CL$27*CL156</f>
        <v>270</v>
      </c>
      <c r="CM155" s="1374">
        <f t="shared" ref="CM155" si="861">+CM$27*CM156</f>
        <v>285</v>
      </c>
      <c r="CN155" s="1374">
        <f t="shared" ref="CN155" si="862">+CN$27*CN156</f>
        <v>320.7</v>
      </c>
      <c r="CO155" s="1375">
        <f t="shared" ref="CO155" si="863">+CN155</f>
        <v>320.7</v>
      </c>
      <c r="CP155" s="1374">
        <f t="shared" ref="CP155" si="864">+CP$27*CP156</f>
        <v>330</v>
      </c>
      <c r="CQ155" s="1374">
        <f t="shared" ref="CQ155" si="865">+CQ$27*CQ156</f>
        <v>369.60000000000008</v>
      </c>
      <c r="CR155" s="1374">
        <f t="shared" ref="CR155" si="866">+CR$27*CR156</f>
        <v>438.04444444444448</v>
      </c>
      <c r="CS155" s="1374">
        <f t="shared" ref="CS155" si="867">+CS$27*CS156</f>
        <v>524.69999999999993</v>
      </c>
      <c r="CT155" s="1375">
        <f t="shared" ref="CT155" si="868">+CS155</f>
        <v>524.69999999999993</v>
      </c>
      <c r="CU155" s="1374">
        <f t="shared" ref="CU155" si="869">+CU$27*CU156</f>
        <v>545.68799999999999</v>
      </c>
      <c r="CV155" s="1374">
        <f t="shared" ref="CV155" si="870">+CV$27*CV156</f>
        <v>567.51552000000004</v>
      </c>
      <c r="CW155" s="1374">
        <f t="shared" ref="CW155" si="871">+CW$27*CW156</f>
        <v>590.21614080000006</v>
      </c>
      <c r="CX155" s="1374">
        <f t="shared" ref="CX155" si="872">+CX$27*CX156</f>
        <v>618.9</v>
      </c>
      <c r="CY155" s="1375">
        <f t="shared" ref="CY155" si="873">+CX155</f>
        <v>618.9</v>
      </c>
      <c r="CZ155" s="1374">
        <f t="shared" ref="CZ155" si="874">+CZ$27*CZ156</f>
        <v>625.08900000000006</v>
      </c>
      <c r="DA155" s="1374">
        <f t="shared" ref="DA155" si="875">+DA$27*DA156</f>
        <v>631.33988999999997</v>
      </c>
      <c r="DB155" s="1374">
        <f t="shared" ref="DB155" si="876">+DB$27*DB156</f>
        <v>637.65328890000001</v>
      </c>
      <c r="DC155" s="1374">
        <f t="shared" ref="DC155" si="877">+DC$27*DC156</f>
        <v>733.30128223500003</v>
      </c>
      <c r="DD155" s="1375">
        <f t="shared" ref="DD155" si="878">+DC155</f>
        <v>733.30128223500003</v>
      </c>
      <c r="DE155" s="1374">
        <f>+DE$27*DE156</f>
        <v>843.29647457024987</v>
      </c>
      <c r="DF155" s="1374">
        <f>+DF$27*DF156</f>
        <v>885.46129829876247</v>
      </c>
      <c r="DG155" s="1374">
        <f>+DG$27*DG156</f>
        <v>894.31591128175012</v>
      </c>
      <c r="DH155" s="1374">
        <f>+DH$27*DH156</f>
        <v>916.67380906379367</v>
      </c>
      <c r="DI155" s="1375">
        <f t="shared" ref="DI155" si="879">+DH155</f>
        <v>916.67380906379367</v>
      </c>
      <c r="DJ155" s="1374">
        <f>+DJ$27*DJ156</f>
        <v>939.59065429038844</v>
      </c>
      <c r="DK155" s="1374">
        <f>+DK$27*DK156</f>
        <v>963.080420647648</v>
      </c>
      <c r="DL155" s="1374">
        <f>+DL$27*DL156</f>
        <v>987.15743116383919</v>
      </c>
      <c r="DM155" s="1374">
        <f>+DM$27*DM156</f>
        <v>1011.8363669429351</v>
      </c>
      <c r="DN155" s="1375">
        <f t="shared" ref="DN155" si="880">+DM155</f>
        <v>1011.8363669429351</v>
      </c>
      <c r="DO155" s="1374">
        <f t="shared" ref="DO155" si="881">+DO$27*DO156</f>
        <v>1037.1322761165084</v>
      </c>
      <c r="DP155" s="1374">
        <f t="shared" ref="DP155" si="882">+DP$27*DP156</f>
        <v>1063.0605830194211</v>
      </c>
      <c r="DQ155" s="1374">
        <f t="shared" ref="DQ155" si="883">+DQ$27*DQ156</f>
        <v>1089.6370975949064</v>
      </c>
      <c r="DR155" s="1374">
        <f t="shared" ref="DR155" si="884">+DR$27*DR156</f>
        <v>1116.8780250347791</v>
      </c>
      <c r="DS155" s="1375">
        <f t="shared" ref="DS155" si="885">+DR155</f>
        <v>1116.8780250347791</v>
      </c>
      <c r="DT155" s="1374">
        <f t="shared" ref="DT155" si="886">+DT$27*DT156</f>
        <v>1144.7999756606484</v>
      </c>
      <c r="DU155" s="1374">
        <f t="shared" ref="DU155" si="887">+DU$27*DU156</f>
        <v>1173.4199750521645</v>
      </c>
      <c r="DV155" s="1374">
        <f t="shared" ref="DV155" si="888">+DV$27*DV156</f>
        <v>1202.7554744284685</v>
      </c>
      <c r="DW155" s="1374">
        <f t="shared" ref="DW155" si="889">+DW$27*DW156</f>
        <v>1232.8243612891802</v>
      </c>
      <c r="DX155" s="1375">
        <f t="shared" ref="DX155" si="890">+DW155</f>
        <v>1232.8243612891802</v>
      </c>
      <c r="DY155" s="1374">
        <f t="shared" ref="DY155" si="891">+DY$27*DY156</f>
        <v>1263.6449703214096</v>
      </c>
      <c r="DZ155" s="1374">
        <f t="shared" ref="DZ155" si="892">+DZ$27*DZ156</f>
        <v>1295.2360945794446</v>
      </c>
      <c r="EA155" s="1374">
        <f t="shared" ref="EA155" si="893">+EA$27*EA156</f>
        <v>1327.6169969439306</v>
      </c>
      <c r="EB155" s="1374">
        <f t="shared" ref="EB155" si="894">+EB$27*EB156</f>
        <v>1360.8074218675288</v>
      </c>
      <c r="EC155" s="1375">
        <f t="shared" ref="EC155" si="895">+EB155</f>
        <v>1360.8074218675288</v>
      </c>
    </row>
    <row r="156" spans="3:133" hidden="1" outlineLevel="1">
      <c r="C156" s="1376" t="s">
        <v>664</v>
      </c>
      <c r="D156" s="1377"/>
      <c r="E156" s="1377"/>
      <c r="F156" s="1377"/>
      <c r="G156" s="1377"/>
      <c r="H156" s="1377"/>
      <c r="I156" s="1377"/>
      <c r="J156" s="1377"/>
      <c r="K156" s="1377"/>
      <c r="L156" s="1377"/>
      <c r="M156" s="1377"/>
      <c r="N156" s="1377"/>
      <c r="O156" s="1377"/>
      <c r="P156" s="1377"/>
      <c r="Q156" s="1377"/>
      <c r="R156" s="1377"/>
      <c r="S156" s="1377"/>
      <c r="T156" s="1377"/>
      <c r="U156" s="1377"/>
      <c r="V156" s="1377"/>
      <c r="W156" s="1377"/>
      <c r="X156" s="1377"/>
      <c r="Y156" s="1377"/>
      <c r="Z156" s="1377"/>
      <c r="AA156" s="1377"/>
      <c r="AB156" s="1377"/>
      <c r="AC156" s="1377"/>
      <c r="AD156" s="1377"/>
      <c r="AE156" s="1377"/>
      <c r="AF156" s="1377"/>
      <c r="AG156" s="1377"/>
      <c r="AH156" s="1377"/>
      <c r="AI156" s="1377"/>
      <c r="AJ156" s="1377"/>
      <c r="AK156" s="1377"/>
      <c r="AL156" s="1377"/>
      <c r="AM156" s="1377"/>
      <c r="AN156" s="1377"/>
      <c r="AO156" s="1377"/>
      <c r="AP156" s="1377"/>
      <c r="AQ156" s="1377"/>
      <c r="AR156" s="1377"/>
      <c r="AS156" s="1377"/>
      <c r="AT156" s="1377"/>
      <c r="AU156" s="1377"/>
      <c r="AV156" s="1377"/>
      <c r="AW156" s="1377"/>
      <c r="AX156" s="1377"/>
      <c r="AY156" s="1377"/>
      <c r="AZ156" s="1377"/>
      <c r="BA156" s="1377"/>
      <c r="BB156" s="1377"/>
      <c r="BC156" s="1377"/>
      <c r="BD156" s="1377"/>
      <c r="BE156" s="1377"/>
      <c r="BF156" s="1377"/>
      <c r="BG156" s="1377"/>
      <c r="BH156" s="1377"/>
      <c r="BI156" s="1377"/>
      <c r="BJ156" s="1377"/>
      <c r="BK156" s="1377"/>
      <c r="BL156" s="1377"/>
      <c r="BM156" s="1377"/>
      <c r="BN156" s="1377"/>
      <c r="BO156" s="1377"/>
      <c r="BP156" s="1377"/>
      <c r="BQ156" s="1377"/>
      <c r="BR156" s="1377"/>
      <c r="BS156" s="1377"/>
      <c r="BT156" s="1378">
        <v>0.3</v>
      </c>
      <c r="BU156" s="1379">
        <f>+BU155/BU$27</f>
        <v>0.3</v>
      </c>
      <c r="BV156" s="1378">
        <v>0.3</v>
      </c>
      <c r="BW156" s="1378">
        <v>0.3</v>
      </c>
      <c r="BX156" s="1378">
        <v>0.3</v>
      </c>
      <c r="BY156" s="1378">
        <v>0.3</v>
      </c>
      <c r="BZ156" s="1379">
        <f t="shared" ref="BZ156" si="896">+BZ155/BZ$27</f>
        <v>0.3</v>
      </c>
      <c r="CA156" s="1378">
        <v>0.3</v>
      </c>
      <c r="CB156" s="1378">
        <v>0.3</v>
      </c>
      <c r="CC156" s="1378">
        <v>0.3</v>
      </c>
      <c r="CD156" s="1378">
        <v>0.3</v>
      </c>
      <c r="CE156" s="1379">
        <f t="shared" ref="CE156" si="897">+CE155/CE$27</f>
        <v>0.3</v>
      </c>
      <c r="CF156" s="1378">
        <v>0.3</v>
      </c>
      <c r="CG156" s="1378">
        <v>0.3</v>
      </c>
      <c r="CH156" s="1378">
        <v>0.3</v>
      </c>
      <c r="CI156" s="1378">
        <v>0.3</v>
      </c>
      <c r="CJ156" s="1379">
        <f t="shared" ref="CJ156" si="898">+CJ155/CJ$27</f>
        <v>0.3</v>
      </c>
      <c r="CK156" s="1378">
        <v>0.3</v>
      </c>
      <c r="CL156" s="1378">
        <v>0.3</v>
      </c>
      <c r="CM156" s="1378">
        <v>0.3</v>
      </c>
      <c r="CN156" s="1378">
        <v>0.3</v>
      </c>
      <c r="CO156" s="1379">
        <f t="shared" ref="CO156" si="899">+CO155/CO$27</f>
        <v>0.32069999999999999</v>
      </c>
      <c r="CP156" s="1378">
        <v>0.3</v>
      </c>
      <c r="CQ156" s="1378">
        <v>0.3</v>
      </c>
      <c r="CR156" s="1378">
        <v>0.3</v>
      </c>
      <c r="CS156" s="1378">
        <v>0.3</v>
      </c>
      <c r="CT156" s="1379">
        <f t="shared" ref="CT156" si="900">+CT155/CT$27</f>
        <v>0.29999999999999993</v>
      </c>
      <c r="CU156" s="1378">
        <v>0.3</v>
      </c>
      <c r="CV156" s="1378">
        <v>0.3</v>
      </c>
      <c r="CW156" s="1378">
        <v>0.3</v>
      </c>
      <c r="CX156" s="1378">
        <v>0.3</v>
      </c>
      <c r="CY156" s="1379">
        <f t="shared" ref="CY156" si="901">+CY155/CY$27</f>
        <v>0.3</v>
      </c>
      <c r="CZ156" s="1378">
        <v>0.3</v>
      </c>
      <c r="DA156" s="1378">
        <v>0.3</v>
      </c>
      <c r="DB156" s="1378">
        <v>0.3</v>
      </c>
      <c r="DC156" s="1378">
        <v>0.3</v>
      </c>
      <c r="DD156" s="1379">
        <f t="shared" ref="DD156" si="902">+DD155/DD$27</f>
        <v>0.3</v>
      </c>
      <c r="DE156" s="1378">
        <v>0.3</v>
      </c>
      <c r="DF156" s="1378">
        <v>0.3</v>
      </c>
      <c r="DG156" s="1378">
        <v>0.3</v>
      </c>
      <c r="DH156" s="1380">
        <v>0.3</v>
      </c>
      <c r="DI156" s="1379">
        <f t="shared" ref="DI156" si="903">+DI155/DI$27</f>
        <v>0.3</v>
      </c>
      <c r="DJ156" s="1378">
        <v>0.3</v>
      </c>
      <c r="DK156" s="1378">
        <v>0.3</v>
      </c>
      <c r="DL156" s="1378">
        <v>0.3</v>
      </c>
      <c r="DM156" s="1380">
        <v>0.3</v>
      </c>
      <c r="DN156" s="1379">
        <f t="shared" ref="DN156" si="904">+DN155/DN$27</f>
        <v>0.3</v>
      </c>
      <c r="DO156" s="1380">
        <v>0.3</v>
      </c>
      <c r="DP156" s="1380">
        <v>0.3</v>
      </c>
      <c r="DQ156" s="1380">
        <v>0.3</v>
      </c>
      <c r="DR156" s="1380">
        <v>0.3</v>
      </c>
      <c r="DS156" s="1379">
        <f t="shared" ref="DS156" si="905">+DS155/DS$27</f>
        <v>0.3</v>
      </c>
      <c r="DT156" s="1380">
        <v>0.3</v>
      </c>
      <c r="DU156" s="1380">
        <v>0.3</v>
      </c>
      <c r="DV156" s="1380">
        <v>0.3</v>
      </c>
      <c r="DW156" s="1380">
        <v>0.3</v>
      </c>
      <c r="DX156" s="1379">
        <f t="shared" ref="DX156" si="906">+DX155/DX$27</f>
        <v>0.3</v>
      </c>
      <c r="DY156" s="1380">
        <v>0.3</v>
      </c>
      <c r="DZ156" s="1380">
        <v>0.3</v>
      </c>
      <c r="EA156" s="1380">
        <v>0.3</v>
      </c>
      <c r="EB156" s="1380">
        <v>0.3</v>
      </c>
      <c r="EC156" s="1379">
        <f t="shared" ref="EC156" si="907">+EC155/EC$27</f>
        <v>0.3</v>
      </c>
    </row>
    <row r="157" spans="3:133" hidden="1" outlineLevel="1">
      <c r="C157" s="1381" t="s">
        <v>667</v>
      </c>
      <c r="BT157" s="1382">
        <v>0.5</v>
      </c>
      <c r="BU157" s="1383">
        <f t="shared" ref="BU157" si="908">+BU158/BU155</f>
        <v>0.5</v>
      </c>
      <c r="BV157" s="1382">
        <v>0.5</v>
      </c>
      <c r="BW157" s="1382">
        <v>0.5</v>
      </c>
      <c r="BX157" s="1382">
        <v>0.5</v>
      </c>
      <c r="BY157" s="1382">
        <v>0.5</v>
      </c>
      <c r="BZ157" s="1383">
        <f t="shared" ref="BZ157" si="909">+BZ158/BZ155</f>
        <v>0.5</v>
      </c>
      <c r="CA157" s="1382">
        <v>0.5</v>
      </c>
      <c r="CB157" s="1382">
        <v>0.5</v>
      </c>
      <c r="CC157" s="1382">
        <v>0.5</v>
      </c>
      <c r="CD157" s="1382">
        <v>0.5</v>
      </c>
      <c r="CE157" s="1383">
        <f t="shared" ref="CE157" si="910">+CE158/CE155</f>
        <v>0.5</v>
      </c>
      <c r="CF157" s="1382">
        <v>0.5</v>
      </c>
      <c r="CG157" s="1382">
        <v>0.5</v>
      </c>
      <c r="CH157" s="1382">
        <v>0.5</v>
      </c>
      <c r="CI157" s="1382">
        <v>0.5</v>
      </c>
      <c r="CJ157" s="1383">
        <f t="shared" ref="CJ157" si="911">+CJ158/CJ155</f>
        <v>0.5</v>
      </c>
      <c r="CK157" s="1382">
        <v>0.5</v>
      </c>
      <c r="CL157" s="1382">
        <v>0.5</v>
      </c>
      <c r="CM157" s="1382">
        <v>0.5</v>
      </c>
      <c r="CN157" s="1382">
        <v>0.5</v>
      </c>
      <c r="CO157" s="1383">
        <f t="shared" ref="CO157" si="912">+CO158/CO155</f>
        <v>0.5</v>
      </c>
      <c r="CP157" s="1382">
        <v>0.5</v>
      </c>
      <c r="CQ157" s="1382">
        <v>0.5</v>
      </c>
      <c r="CR157" s="1382">
        <v>0.5</v>
      </c>
      <c r="CS157" s="1382">
        <v>0.5</v>
      </c>
      <c r="CT157" s="1383">
        <f t="shared" ref="CT157" si="913">+CT158/CT155</f>
        <v>0.5</v>
      </c>
      <c r="CU157" s="1382">
        <v>0.5</v>
      </c>
      <c r="CV157" s="1382">
        <v>0.5</v>
      </c>
      <c r="CW157" s="1382">
        <v>0.5</v>
      </c>
      <c r="CX157" s="1382">
        <v>0.5</v>
      </c>
      <c r="CY157" s="1383">
        <f t="shared" ref="CY157" si="914">+CY158/CY155</f>
        <v>0.5</v>
      </c>
      <c r="CZ157" s="1382">
        <v>0.5</v>
      </c>
      <c r="DA157" s="1382">
        <v>0.5</v>
      </c>
      <c r="DB157" s="1382">
        <v>0.5</v>
      </c>
      <c r="DC157" s="1382">
        <v>0.5</v>
      </c>
      <c r="DD157" s="1383">
        <f t="shared" ref="DD157" si="915">+DD158/DD155</f>
        <v>0.5</v>
      </c>
      <c r="DE157" s="1382">
        <v>0.5</v>
      </c>
      <c r="DF157" s="1382">
        <v>0.5</v>
      </c>
      <c r="DG157" s="1382">
        <v>0.5</v>
      </c>
      <c r="DH157" s="1382">
        <v>0.5</v>
      </c>
      <c r="DI157" s="1383">
        <f>+DI158/DI155</f>
        <v>0.5</v>
      </c>
      <c r="DJ157" s="1382">
        <v>0.5</v>
      </c>
      <c r="DK157" s="1382">
        <v>0.5</v>
      </c>
      <c r="DL157" s="1382">
        <v>0.5</v>
      </c>
      <c r="DM157" s="1384">
        <v>0.5</v>
      </c>
      <c r="DN157" s="1383">
        <f>+DN158/DN155</f>
        <v>0.5</v>
      </c>
      <c r="DO157" s="1384">
        <v>0.5</v>
      </c>
      <c r="DP157" s="1384">
        <v>0.5</v>
      </c>
      <c r="DQ157" s="1384">
        <v>0.5</v>
      </c>
      <c r="DR157" s="1384">
        <v>0.5</v>
      </c>
      <c r="DS157" s="1383">
        <f>+DS158/DS155</f>
        <v>0.5</v>
      </c>
      <c r="DT157" s="1384">
        <v>0.5</v>
      </c>
      <c r="DU157" s="1384">
        <v>0.5</v>
      </c>
      <c r="DV157" s="1384">
        <v>0.5</v>
      </c>
      <c r="DW157" s="1384">
        <v>0.5</v>
      </c>
      <c r="DX157" s="1383">
        <f>+DX158/DX155</f>
        <v>0.5</v>
      </c>
      <c r="DY157" s="1384">
        <v>0.5</v>
      </c>
      <c r="DZ157" s="1384">
        <v>0.5</v>
      </c>
      <c r="EA157" s="1384">
        <v>0.5</v>
      </c>
      <c r="EB157" s="1384">
        <v>0.5</v>
      </c>
      <c r="EC157" s="1383">
        <f>+EC158/EC155</f>
        <v>0.5</v>
      </c>
    </row>
    <row r="158" spans="3:133" hidden="1" outlineLevel="1">
      <c r="C158" s="1385" t="s">
        <v>679</v>
      </c>
      <c r="D158" s="1371"/>
      <c r="E158" s="1371"/>
      <c r="F158" s="1371"/>
      <c r="G158" s="1371"/>
      <c r="H158" s="1371"/>
      <c r="I158" s="1371"/>
      <c r="J158" s="1371"/>
      <c r="K158" s="1371"/>
      <c r="L158" s="1371"/>
      <c r="M158" s="1371"/>
      <c r="N158" s="1371"/>
      <c r="O158" s="1371"/>
      <c r="P158" s="1371"/>
      <c r="Q158" s="1371"/>
      <c r="R158" s="1371"/>
      <c r="S158" s="1371"/>
      <c r="T158" s="1371"/>
      <c r="U158" s="1371"/>
      <c r="V158" s="1371"/>
      <c r="W158" s="1371"/>
      <c r="X158" s="1371"/>
      <c r="Y158" s="1371"/>
      <c r="Z158" s="1371"/>
      <c r="AA158" s="1371"/>
      <c r="AB158" s="1371"/>
      <c r="AC158" s="1371"/>
      <c r="AD158" s="1371"/>
      <c r="AE158" s="1371"/>
      <c r="AF158" s="1371"/>
      <c r="AG158" s="1371"/>
      <c r="AH158" s="1371"/>
      <c r="AI158" s="1371"/>
      <c r="AJ158" s="1371"/>
      <c r="AK158" s="1371"/>
      <c r="AL158" s="1371"/>
      <c r="AM158" s="1371"/>
      <c r="AN158" s="1371"/>
      <c r="AO158" s="1371"/>
      <c r="AP158" s="1371"/>
      <c r="AQ158" s="1371"/>
      <c r="AR158" s="1371"/>
      <c r="AS158" s="1371"/>
      <c r="AT158" s="1371"/>
      <c r="AU158" s="1371"/>
      <c r="AV158" s="1371"/>
      <c r="AW158" s="1371"/>
      <c r="AX158" s="1371"/>
      <c r="AY158" s="1371"/>
      <c r="AZ158" s="1371"/>
      <c r="BA158" s="1371"/>
      <c r="BB158" s="1371"/>
      <c r="BC158" s="1371"/>
      <c r="BD158" s="1371"/>
      <c r="BE158" s="1371"/>
      <c r="BF158" s="1371"/>
      <c r="BG158" s="1371"/>
      <c r="BH158" s="1371"/>
      <c r="BI158" s="1371"/>
      <c r="BJ158" s="1371"/>
      <c r="BK158" s="1371"/>
      <c r="BL158" s="1371"/>
      <c r="BM158" s="1371"/>
      <c r="BN158" s="1371"/>
      <c r="BO158" s="1371"/>
      <c r="BP158" s="1371"/>
      <c r="BQ158" s="1371"/>
      <c r="BR158" s="1371"/>
      <c r="BS158" s="1371"/>
      <c r="BT158" s="1386">
        <f t="shared" ref="BT158" si="916">+BT155*BT157</f>
        <v>24.75</v>
      </c>
      <c r="BU158" s="1387">
        <f t="shared" ref="BU158:BU163" si="917">+BT158</f>
        <v>24.75</v>
      </c>
      <c r="BV158" s="1386">
        <f t="shared" ref="BV158" si="918">+BV155*BV157</f>
        <v>32.991749999999996</v>
      </c>
      <c r="BW158" s="1386">
        <f t="shared" ref="BW158" si="919">+BW155*BW157</f>
        <v>42</v>
      </c>
      <c r="BX158" s="1386">
        <f t="shared" ref="BX158" si="920">+BX155*BX157</f>
        <v>48</v>
      </c>
      <c r="BY158" s="1386">
        <f t="shared" ref="BY158" si="921">+BY155*BY157</f>
        <v>56.625</v>
      </c>
      <c r="BZ158" s="1387">
        <f t="shared" ref="BZ158" si="922">+BY158</f>
        <v>56.625</v>
      </c>
      <c r="CA158" s="1386">
        <f t="shared" ref="CA158" si="923">+CA155*CA157</f>
        <v>62.999999999999986</v>
      </c>
      <c r="CB158" s="1386">
        <f t="shared" ref="CB158" si="924">+CB155*CB157</f>
        <v>74.999999999999986</v>
      </c>
      <c r="CC158" s="1386">
        <f t="shared" ref="CC158" si="925">+CC155*CC157</f>
        <v>85.499999999999986</v>
      </c>
      <c r="CD158" s="1386">
        <f t="shared" ref="CD158" si="926">+CD155*CD157</f>
        <v>91.35</v>
      </c>
      <c r="CE158" s="1387">
        <f t="shared" ref="CE158" si="927">+CD158</f>
        <v>91.35</v>
      </c>
      <c r="CF158" s="1386">
        <f t="shared" ref="CF158" si="928">+CF155*CF157</f>
        <v>97.5</v>
      </c>
      <c r="CG158" s="1386">
        <f t="shared" ref="CG158" si="929">+CG155*CG157</f>
        <v>105</v>
      </c>
      <c r="CH158" s="1386">
        <f t="shared" ref="CH158" si="930">+CH155*CH157</f>
        <v>113.99999999999999</v>
      </c>
      <c r="CI158" s="1386">
        <f t="shared" ref="CI158" si="931">+CI155*CI157</f>
        <v>123</v>
      </c>
      <c r="CJ158" s="1387">
        <f t="shared" ref="CJ158" si="932">+CI158</f>
        <v>123</v>
      </c>
      <c r="CK158" s="1386">
        <f t="shared" ref="CK158" si="933">+CK155*CK157</f>
        <v>127.5</v>
      </c>
      <c r="CL158" s="1386">
        <f t="shared" ref="CL158" si="934">+CL155*CL157</f>
        <v>135</v>
      </c>
      <c r="CM158" s="1386">
        <f t="shared" ref="CM158" si="935">+CM155*CM157</f>
        <v>142.5</v>
      </c>
      <c r="CN158" s="1386">
        <f t="shared" ref="CN158" si="936">+CN155*CN157</f>
        <v>160.35</v>
      </c>
      <c r="CO158" s="1387">
        <f t="shared" ref="CO158" si="937">+CN158</f>
        <v>160.35</v>
      </c>
      <c r="CP158" s="1386">
        <f t="shared" ref="CP158" si="938">+CP155*CP157</f>
        <v>165</v>
      </c>
      <c r="CQ158" s="1386">
        <f t="shared" ref="CQ158" si="939">+CQ155*CQ157</f>
        <v>184.80000000000004</v>
      </c>
      <c r="CR158" s="1386">
        <f t="shared" ref="CR158" si="940">+CR155*CR157</f>
        <v>219.02222222222224</v>
      </c>
      <c r="CS158" s="1386">
        <f t="shared" ref="CS158" si="941">+CS155*CS157</f>
        <v>262.34999999999997</v>
      </c>
      <c r="CT158" s="1387">
        <f t="shared" ref="CT158" si="942">+CS158</f>
        <v>262.34999999999997</v>
      </c>
      <c r="CU158" s="1386">
        <f t="shared" ref="CU158" si="943">+CU155*CU157</f>
        <v>272.84399999999999</v>
      </c>
      <c r="CV158" s="1386">
        <f t="shared" ref="CV158" si="944">+CV155*CV157</f>
        <v>283.75776000000002</v>
      </c>
      <c r="CW158" s="1386">
        <f t="shared" ref="CW158" si="945">+CW155*CW157</f>
        <v>295.10807040000003</v>
      </c>
      <c r="CX158" s="1386">
        <f t="shared" ref="CX158" si="946">+CX155*CX157</f>
        <v>309.45</v>
      </c>
      <c r="CY158" s="1387">
        <f t="shared" ref="CY158" si="947">+CX158</f>
        <v>309.45</v>
      </c>
      <c r="CZ158" s="1386">
        <f t="shared" ref="CZ158" si="948">+CZ155*CZ157</f>
        <v>312.54450000000003</v>
      </c>
      <c r="DA158" s="1386">
        <f t="shared" ref="DA158" si="949">+DA155*DA157</f>
        <v>315.66994499999998</v>
      </c>
      <c r="DB158" s="1386">
        <f t="shared" ref="DB158" si="950">+DB155*DB157</f>
        <v>318.82664445</v>
      </c>
      <c r="DC158" s="1386">
        <f t="shared" ref="DC158" si="951">+DC155*DC157</f>
        <v>366.65064111750002</v>
      </c>
      <c r="DD158" s="1387">
        <f t="shared" ref="DD158:DD163" si="952">+DC158</f>
        <v>366.65064111750002</v>
      </c>
      <c r="DE158" s="1386">
        <f>+DE155*DE157</f>
        <v>421.64823728512494</v>
      </c>
      <c r="DF158" s="1386">
        <f>+DF155*DF157</f>
        <v>442.73064914938124</v>
      </c>
      <c r="DG158" s="1386">
        <f>+DG155*DG157</f>
        <v>447.15795564087506</v>
      </c>
      <c r="DH158" s="1386">
        <f>+DH155*DH157</f>
        <v>458.33690453189683</v>
      </c>
      <c r="DI158" s="1387">
        <f t="shared" ref="DI158:DI163" si="953">+DH158</f>
        <v>458.33690453189683</v>
      </c>
      <c r="DJ158" s="1386">
        <f>+DJ155*DJ157</f>
        <v>469.79532714519422</v>
      </c>
      <c r="DK158" s="1386">
        <f>+DK155*DK157</f>
        <v>481.540210323824</v>
      </c>
      <c r="DL158" s="1386">
        <f>+DL155*DL157</f>
        <v>493.5787155819196</v>
      </c>
      <c r="DM158" s="1386">
        <f>+DM155*DM157</f>
        <v>505.91818347146756</v>
      </c>
      <c r="DN158" s="1387">
        <f t="shared" ref="DN158:DN163" si="954">+DM158</f>
        <v>505.91818347146756</v>
      </c>
      <c r="DO158" s="1386">
        <f>+DO155*DO157</f>
        <v>518.56613805825418</v>
      </c>
      <c r="DP158" s="1386">
        <f>+DP155*DP157</f>
        <v>531.53029150971054</v>
      </c>
      <c r="DQ158" s="1386">
        <f>+DQ155*DQ157</f>
        <v>544.81854879745322</v>
      </c>
      <c r="DR158" s="1386">
        <f>+DR155*DR157</f>
        <v>558.43901251738953</v>
      </c>
      <c r="DS158" s="1387">
        <f t="shared" ref="DS158:DS163" si="955">+DR158</f>
        <v>558.43901251738953</v>
      </c>
      <c r="DT158" s="1386">
        <f>+DT155*DT157</f>
        <v>572.39998783032422</v>
      </c>
      <c r="DU158" s="1386">
        <f>+DU155*DU157</f>
        <v>586.70998752608227</v>
      </c>
      <c r="DV158" s="1386">
        <f>+DV155*DV157</f>
        <v>601.37773721423423</v>
      </c>
      <c r="DW158" s="1386">
        <f>+DW155*DW157</f>
        <v>616.41218064459008</v>
      </c>
      <c r="DX158" s="1387">
        <f t="shared" ref="DX158:DX163" si="956">+DW158</f>
        <v>616.41218064459008</v>
      </c>
      <c r="DY158" s="1386">
        <f>+DY155*DY157</f>
        <v>631.82248516070479</v>
      </c>
      <c r="DZ158" s="1386">
        <f>+DZ155*DZ157</f>
        <v>647.61804728972231</v>
      </c>
      <c r="EA158" s="1386">
        <f>+EA155*EA157</f>
        <v>663.80849847196532</v>
      </c>
      <c r="EB158" s="1386">
        <f>+EB155*EB157</f>
        <v>680.40371093376439</v>
      </c>
      <c r="EC158" s="1387">
        <f t="shared" ref="EC158:EC163" si="957">+EB158</f>
        <v>680.40371093376439</v>
      </c>
    </row>
    <row r="159" spans="3:133" hidden="1" outlineLevel="1">
      <c r="C159" s="240" t="s">
        <v>665</v>
      </c>
      <c r="BT159" s="1388">
        <v>39</v>
      </c>
      <c r="BU159" s="1389">
        <f t="shared" si="917"/>
        <v>39</v>
      </c>
      <c r="BV159" s="1388">
        <v>39</v>
      </c>
      <c r="BW159" s="1388">
        <v>39</v>
      </c>
      <c r="BX159" s="1388">
        <v>39</v>
      </c>
      <c r="BY159" s="1388">
        <v>39</v>
      </c>
      <c r="BZ159" s="1389">
        <f t="shared" ref="BZ159" si="958">+BY159</f>
        <v>39</v>
      </c>
      <c r="CA159" s="1388">
        <v>39</v>
      </c>
      <c r="CB159" s="1388">
        <v>39</v>
      </c>
      <c r="CC159" s="1388">
        <v>39</v>
      </c>
      <c r="CD159" s="1388">
        <v>39</v>
      </c>
      <c r="CE159" s="1389">
        <f t="shared" ref="CE159" si="959">+CD159</f>
        <v>39</v>
      </c>
      <c r="CF159" s="1388">
        <v>39</v>
      </c>
      <c r="CG159" s="1388">
        <v>39</v>
      </c>
      <c r="CH159" s="1388">
        <v>39</v>
      </c>
      <c r="CI159" s="1388">
        <v>39</v>
      </c>
      <c r="CJ159" s="1389">
        <f t="shared" ref="CJ159" si="960">+CI159</f>
        <v>39</v>
      </c>
      <c r="CK159" s="1388">
        <v>39</v>
      </c>
      <c r="CL159" s="1388">
        <v>39</v>
      </c>
      <c r="CM159" s="1388">
        <v>39</v>
      </c>
      <c r="CN159" s="1388">
        <v>39</v>
      </c>
      <c r="CO159" s="1389">
        <f t="shared" ref="CO159" si="961">+CN159</f>
        <v>39</v>
      </c>
      <c r="CP159" s="1388">
        <v>39</v>
      </c>
      <c r="CQ159" s="1388">
        <v>39</v>
      </c>
      <c r="CR159" s="1388">
        <v>39</v>
      </c>
      <c r="CS159" s="1388">
        <v>39</v>
      </c>
      <c r="CT159" s="1389">
        <f t="shared" ref="CT159" si="962">+CS159</f>
        <v>39</v>
      </c>
      <c r="CU159" s="1388">
        <v>39</v>
      </c>
      <c r="CV159" s="1388">
        <v>39</v>
      </c>
      <c r="CW159" s="1388">
        <v>39</v>
      </c>
      <c r="CX159" s="1388">
        <v>39</v>
      </c>
      <c r="CY159" s="1389">
        <f t="shared" ref="CY159" si="963">+CX159</f>
        <v>39</v>
      </c>
      <c r="CZ159" s="1388">
        <v>39</v>
      </c>
      <c r="DA159" s="1388">
        <v>39</v>
      </c>
      <c r="DB159" s="1388">
        <v>39</v>
      </c>
      <c r="DC159" s="1388">
        <v>39</v>
      </c>
      <c r="DD159" s="1389">
        <f t="shared" si="952"/>
        <v>39</v>
      </c>
      <c r="DE159" s="1388">
        <v>39</v>
      </c>
      <c r="DF159" s="1388">
        <v>39</v>
      </c>
      <c r="DG159" s="1388">
        <v>39</v>
      </c>
      <c r="DH159" s="1388">
        <v>39</v>
      </c>
      <c r="DI159" s="1389">
        <f t="shared" si="953"/>
        <v>39</v>
      </c>
      <c r="DJ159" s="1388">
        <v>39</v>
      </c>
      <c r="DK159" s="1388">
        <v>39</v>
      </c>
      <c r="DL159" s="1388">
        <v>39</v>
      </c>
      <c r="DM159" s="1390">
        <v>39</v>
      </c>
      <c r="DN159" s="1389">
        <f t="shared" si="954"/>
        <v>39</v>
      </c>
      <c r="DO159" s="1390">
        <v>39</v>
      </c>
      <c r="DP159" s="1390">
        <v>39</v>
      </c>
      <c r="DQ159" s="1390">
        <v>39</v>
      </c>
      <c r="DR159" s="1390">
        <v>39</v>
      </c>
      <c r="DS159" s="1389">
        <f t="shared" si="955"/>
        <v>39</v>
      </c>
      <c r="DT159" s="1390">
        <v>39</v>
      </c>
      <c r="DU159" s="1390">
        <v>39</v>
      </c>
      <c r="DV159" s="1390">
        <v>39</v>
      </c>
      <c r="DW159" s="1390">
        <v>39</v>
      </c>
      <c r="DX159" s="1389">
        <f t="shared" si="956"/>
        <v>39</v>
      </c>
      <c r="DY159" s="1390">
        <v>39</v>
      </c>
      <c r="DZ159" s="1390">
        <v>39</v>
      </c>
      <c r="EA159" s="1390">
        <v>39</v>
      </c>
      <c r="EB159" s="1390">
        <v>39</v>
      </c>
      <c r="EC159" s="1389">
        <f t="shared" si="957"/>
        <v>39</v>
      </c>
    </row>
    <row r="160" spans="3:133" hidden="1" outlineLevel="1">
      <c r="C160" s="1381" t="s">
        <v>668</v>
      </c>
      <c r="BT160" s="1382">
        <v>0.25</v>
      </c>
      <c r="BU160" s="1383">
        <f t="shared" si="917"/>
        <v>0.25</v>
      </c>
      <c r="BV160" s="1382">
        <v>0.25</v>
      </c>
      <c r="BW160" s="1382">
        <v>0.25</v>
      </c>
      <c r="BX160" s="1382">
        <v>0.25</v>
      </c>
      <c r="BY160" s="1382">
        <v>0.25</v>
      </c>
      <c r="BZ160" s="1383">
        <f t="shared" ref="BZ160" si="964">+BY160</f>
        <v>0.25</v>
      </c>
      <c r="CA160" s="1382">
        <v>0.25</v>
      </c>
      <c r="CB160" s="1382">
        <v>0.25</v>
      </c>
      <c r="CC160" s="1382">
        <v>0.25</v>
      </c>
      <c r="CD160" s="1382">
        <v>0.25</v>
      </c>
      <c r="CE160" s="1383">
        <f t="shared" ref="CE160" si="965">+CD160</f>
        <v>0.25</v>
      </c>
      <c r="CF160" s="1382">
        <v>0.25</v>
      </c>
      <c r="CG160" s="1382">
        <v>0.25</v>
      </c>
      <c r="CH160" s="1382">
        <v>0.25</v>
      </c>
      <c r="CI160" s="1382">
        <v>0.25</v>
      </c>
      <c r="CJ160" s="1383">
        <f t="shared" ref="CJ160" si="966">+CI160</f>
        <v>0.25</v>
      </c>
      <c r="CK160" s="1382">
        <v>0.25</v>
      </c>
      <c r="CL160" s="1382">
        <v>0.25</v>
      </c>
      <c r="CM160" s="1382">
        <v>0.25</v>
      </c>
      <c r="CN160" s="1382">
        <v>0.25</v>
      </c>
      <c r="CO160" s="1383">
        <f t="shared" ref="CO160" si="967">+CN160</f>
        <v>0.25</v>
      </c>
      <c r="CP160" s="1382">
        <v>0.25</v>
      </c>
      <c r="CQ160" s="1382">
        <v>0.25</v>
      </c>
      <c r="CR160" s="1382">
        <v>0.25</v>
      </c>
      <c r="CS160" s="1382">
        <v>0.25</v>
      </c>
      <c r="CT160" s="1383">
        <f t="shared" ref="CT160" si="968">+CS160</f>
        <v>0.25</v>
      </c>
      <c r="CU160" s="1382">
        <v>0.25</v>
      </c>
      <c r="CV160" s="1382">
        <v>0.25</v>
      </c>
      <c r="CW160" s="1382">
        <v>0.25</v>
      </c>
      <c r="CX160" s="1382">
        <v>0.25</v>
      </c>
      <c r="CY160" s="1383">
        <f t="shared" ref="CY160" si="969">+CX160</f>
        <v>0.25</v>
      </c>
      <c r="CZ160" s="1382">
        <v>0.25</v>
      </c>
      <c r="DA160" s="1382">
        <v>0.25</v>
      </c>
      <c r="DB160" s="1382">
        <v>0.25</v>
      </c>
      <c r="DC160" s="1382">
        <v>0.25</v>
      </c>
      <c r="DD160" s="1383">
        <f t="shared" si="952"/>
        <v>0.25</v>
      </c>
      <c r="DE160" s="1382">
        <v>0.25</v>
      </c>
      <c r="DF160" s="1382">
        <v>0.25</v>
      </c>
      <c r="DG160" s="1382">
        <v>0.25</v>
      </c>
      <c r="DH160" s="1382">
        <v>0.25</v>
      </c>
      <c r="DI160" s="1383">
        <f t="shared" si="953"/>
        <v>0.25</v>
      </c>
      <c r="DJ160" s="1382">
        <v>0.25</v>
      </c>
      <c r="DK160" s="1382">
        <v>0.25</v>
      </c>
      <c r="DL160" s="1382">
        <v>0.25</v>
      </c>
      <c r="DM160" s="1384">
        <v>0.25</v>
      </c>
      <c r="DN160" s="1383">
        <f t="shared" si="954"/>
        <v>0.25</v>
      </c>
      <c r="DO160" s="1384">
        <v>0.25</v>
      </c>
      <c r="DP160" s="1384">
        <v>0.25</v>
      </c>
      <c r="DQ160" s="1384">
        <v>0.25</v>
      </c>
      <c r="DR160" s="1384">
        <v>0.25</v>
      </c>
      <c r="DS160" s="1383">
        <f t="shared" si="955"/>
        <v>0.25</v>
      </c>
      <c r="DT160" s="1384">
        <v>0.25</v>
      </c>
      <c r="DU160" s="1384">
        <v>0.25</v>
      </c>
      <c r="DV160" s="1384">
        <v>0.25</v>
      </c>
      <c r="DW160" s="1384">
        <v>0.25</v>
      </c>
      <c r="DX160" s="1383">
        <f t="shared" si="956"/>
        <v>0.25</v>
      </c>
      <c r="DY160" s="1384">
        <v>0.25</v>
      </c>
      <c r="DZ160" s="1384">
        <v>0.25</v>
      </c>
      <c r="EA160" s="1384">
        <v>0.25</v>
      </c>
      <c r="EB160" s="1384">
        <v>0.25</v>
      </c>
      <c r="EC160" s="1383">
        <f t="shared" si="957"/>
        <v>0.25</v>
      </c>
    </row>
    <row r="161" spans="1:133" hidden="1" outlineLevel="1">
      <c r="C161" s="1385" t="s">
        <v>669</v>
      </c>
      <c r="D161" s="1371"/>
      <c r="E161" s="1371"/>
      <c r="F161" s="1371"/>
      <c r="G161" s="1371"/>
      <c r="H161" s="1371"/>
      <c r="I161" s="1371"/>
      <c r="J161" s="1371"/>
      <c r="K161" s="1371"/>
      <c r="L161" s="1371"/>
      <c r="M161" s="1371"/>
      <c r="N161" s="1371"/>
      <c r="O161" s="1371"/>
      <c r="P161" s="1371"/>
      <c r="Q161" s="1371"/>
      <c r="R161" s="1371"/>
      <c r="S161" s="1371"/>
      <c r="T161" s="1371"/>
      <c r="U161" s="1371"/>
      <c r="V161" s="1371"/>
      <c r="W161" s="1371"/>
      <c r="X161" s="1371"/>
      <c r="Y161" s="1371"/>
      <c r="Z161" s="1371"/>
      <c r="AA161" s="1371"/>
      <c r="AB161" s="1371"/>
      <c r="AC161" s="1371"/>
      <c r="AD161" s="1371"/>
      <c r="AE161" s="1371"/>
      <c r="AF161" s="1371"/>
      <c r="AG161" s="1371"/>
      <c r="AH161" s="1371"/>
      <c r="AI161" s="1371"/>
      <c r="AJ161" s="1371"/>
      <c r="AK161" s="1371"/>
      <c r="AL161" s="1371"/>
      <c r="AM161" s="1371"/>
      <c r="AN161" s="1371"/>
      <c r="AO161" s="1371"/>
      <c r="AP161" s="1371"/>
      <c r="AQ161" s="1371"/>
      <c r="AR161" s="1371"/>
      <c r="AS161" s="1371"/>
      <c r="AT161" s="1371"/>
      <c r="AU161" s="1371"/>
      <c r="AV161" s="1371"/>
      <c r="AW161" s="1371"/>
      <c r="AX161" s="1371"/>
      <c r="AY161" s="1371"/>
      <c r="AZ161" s="1371"/>
      <c r="BA161" s="1371"/>
      <c r="BB161" s="1371"/>
      <c r="BC161" s="1371"/>
      <c r="BD161" s="1371"/>
      <c r="BE161" s="1371"/>
      <c r="BF161" s="1371"/>
      <c r="BG161" s="1371"/>
      <c r="BH161" s="1371"/>
      <c r="BI161" s="1371"/>
      <c r="BJ161" s="1371"/>
      <c r="BK161" s="1371"/>
      <c r="BL161" s="1371"/>
      <c r="BM161" s="1371"/>
      <c r="BN161" s="1371"/>
      <c r="BO161" s="1371"/>
      <c r="BP161" s="1371"/>
      <c r="BQ161" s="1371"/>
      <c r="BR161" s="1371"/>
      <c r="BS161" s="1371"/>
      <c r="BT161" s="1391">
        <f t="shared" ref="BT161" si="970">+BT159*(1-BT160)</f>
        <v>29.25</v>
      </c>
      <c r="BU161" s="1392">
        <f t="shared" si="917"/>
        <v>29.25</v>
      </c>
      <c r="BV161" s="1391">
        <f t="shared" ref="BV161" si="971">+BV159*(1-BV160)</f>
        <v>29.25</v>
      </c>
      <c r="BW161" s="1391">
        <f t="shared" ref="BW161" si="972">+BW159*(1-BW160)</f>
        <v>29.25</v>
      </c>
      <c r="BX161" s="1391">
        <f t="shared" ref="BX161" si="973">+BX159*(1-BX160)</f>
        <v>29.25</v>
      </c>
      <c r="BY161" s="1391">
        <f t="shared" ref="BY161" si="974">+BY159*(1-BY160)</f>
        <v>29.25</v>
      </c>
      <c r="BZ161" s="1392">
        <f t="shared" ref="BZ161" si="975">+BY161</f>
        <v>29.25</v>
      </c>
      <c r="CA161" s="1391">
        <f t="shared" ref="CA161" si="976">+CA159*(1-CA160)</f>
        <v>29.25</v>
      </c>
      <c r="CB161" s="1391">
        <f t="shared" ref="CB161" si="977">+CB159*(1-CB160)</f>
        <v>29.25</v>
      </c>
      <c r="CC161" s="1391">
        <f t="shared" ref="CC161" si="978">+CC159*(1-CC160)</f>
        <v>29.25</v>
      </c>
      <c r="CD161" s="1391">
        <f t="shared" ref="CD161" si="979">+CD159*(1-CD160)</f>
        <v>29.25</v>
      </c>
      <c r="CE161" s="1392">
        <f t="shared" ref="CE161" si="980">+CD161</f>
        <v>29.25</v>
      </c>
      <c r="CF161" s="1391">
        <f t="shared" ref="CF161" si="981">+CF159*(1-CF160)</f>
        <v>29.25</v>
      </c>
      <c r="CG161" s="1391">
        <f t="shared" ref="CG161" si="982">+CG159*(1-CG160)</f>
        <v>29.25</v>
      </c>
      <c r="CH161" s="1391">
        <f t="shared" ref="CH161" si="983">+CH159*(1-CH160)</f>
        <v>29.25</v>
      </c>
      <c r="CI161" s="1391">
        <f t="shared" ref="CI161" si="984">+CI159*(1-CI160)</f>
        <v>29.25</v>
      </c>
      <c r="CJ161" s="1392">
        <f t="shared" ref="CJ161" si="985">+CI161</f>
        <v>29.25</v>
      </c>
      <c r="CK161" s="1391">
        <f t="shared" ref="CK161" si="986">+CK159*(1-CK160)</f>
        <v>29.25</v>
      </c>
      <c r="CL161" s="1391">
        <f t="shared" ref="CL161" si="987">+CL159*(1-CL160)</f>
        <v>29.25</v>
      </c>
      <c r="CM161" s="1391">
        <f t="shared" ref="CM161" si="988">+CM159*(1-CM160)</f>
        <v>29.25</v>
      </c>
      <c r="CN161" s="1391">
        <f t="shared" ref="CN161" si="989">+CN159*(1-CN160)</f>
        <v>29.25</v>
      </c>
      <c r="CO161" s="1392">
        <f t="shared" ref="CO161" si="990">+CN161</f>
        <v>29.25</v>
      </c>
      <c r="CP161" s="1391">
        <f t="shared" ref="CP161" si="991">+CP159*(1-CP160)</f>
        <v>29.25</v>
      </c>
      <c r="CQ161" s="1391">
        <f t="shared" ref="CQ161" si="992">+CQ159*(1-CQ160)</f>
        <v>29.25</v>
      </c>
      <c r="CR161" s="1391">
        <f t="shared" ref="CR161" si="993">+CR159*(1-CR160)</f>
        <v>29.25</v>
      </c>
      <c r="CS161" s="1391">
        <f t="shared" ref="CS161" si="994">+CS159*(1-CS160)</f>
        <v>29.25</v>
      </c>
      <c r="CT161" s="1392">
        <f t="shared" ref="CT161" si="995">+CS161</f>
        <v>29.25</v>
      </c>
      <c r="CU161" s="1391">
        <f t="shared" ref="CU161" si="996">+CU159*(1-CU160)</f>
        <v>29.25</v>
      </c>
      <c r="CV161" s="1391">
        <f t="shared" ref="CV161" si="997">+CV159*(1-CV160)</f>
        <v>29.25</v>
      </c>
      <c r="CW161" s="1391">
        <f t="shared" ref="CW161" si="998">+CW159*(1-CW160)</f>
        <v>29.25</v>
      </c>
      <c r="CX161" s="1391">
        <f t="shared" ref="CX161" si="999">+CX159*(1-CX160)</f>
        <v>29.25</v>
      </c>
      <c r="CY161" s="1392">
        <f t="shared" ref="CY161" si="1000">+CX161</f>
        <v>29.25</v>
      </c>
      <c r="CZ161" s="1391">
        <f t="shared" ref="CZ161" si="1001">+CZ159*(1-CZ160)</f>
        <v>29.25</v>
      </c>
      <c r="DA161" s="1391">
        <f t="shared" ref="DA161" si="1002">+DA159*(1-DA160)</f>
        <v>29.25</v>
      </c>
      <c r="DB161" s="1391">
        <f t="shared" ref="DB161" si="1003">+DB159*(1-DB160)</f>
        <v>29.25</v>
      </c>
      <c r="DC161" s="1391">
        <f t="shared" ref="DC161" si="1004">+DC159*(1-DC160)</f>
        <v>29.25</v>
      </c>
      <c r="DD161" s="1392">
        <f t="shared" si="952"/>
        <v>29.25</v>
      </c>
      <c r="DE161" s="1391">
        <f>+DE159*(1-DE160)</f>
        <v>29.25</v>
      </c>
      <c r="DF161" s="1391">
        <f>+DF159*(1-DF160)</f>
        <v>29.25</v>
      </c>
      <c r="DG161" s="1391">
        <f>+DG159*(1-DG160)</f>
        <v>29.25</v>
      </c>
      <c r="DH161" s="1391">
        <f>+DH159*(1-DH160)</f>
        <v>29.25</v>
      </c>
      <c r="DI161" s="1392">
        <f t="shared" si="953"/>
        <v>29.25</v>
      </c>
      <c r="DJ161" s="1391">
        <f>+DJ159*(1-DJ160)</f>
        <v>29.25</v>
      </c>
      <c r="DK161" s="1391">
        <f>+DK159*(1-DK160)</f>
        <v>29.25</v>
      </c>
      <c r="DL161" s="1391">
        <f>+DL159*(1-DL160)</f>
        <v>29.25</v>
      </c>
      <c r="DM161" s="1391">
        <f>+DM159*(1-DM160)</f>
        <v>29.25</v>
      </c>
      <c r="DN161" s="1392">
        <f t="shared" si="954"/>
        <v>29.25</v>
      </c>
      <c r="DO161" s="1391">
        <f>+DO159*(1-DO160)</f>
        <v>29.25</v>
      </c>
      <c r="DP161" s="1391">
        <f>+DP159*(1-DP160)</f>
        <v>29.25</v>
      </c>
      <c r="DQ161" s="1391">
        <f>+DQ159*(1-DQ160)</f>
        <v>29.25</v>
      </c>
      <c r="DR161" s="1391">
        <f>+DR159*(1-DR160)</f>
        <v>29.25</v>
      </c>
      <c r="DS161" s="1392">
        <f t="shared" si="955"/>
        <v>29.25</v>
      </c>
      <c r="DT161" s="1391">
        <f>+DT159*(1-DT160)</f>
        <v>29.25</v>
      </c>
      <c r="DU161" s="1391">
        <f>+DU159*(1-DU160)</f>
        <v>29.25</v>
      </c>
      <c r="DV161" s="1391">
        <f>+DV159*(1-DV160)</f>
        <v>29.25</v>
      </c>
      <c r="DW161" s="1391">
        <f>+DW159*(1-DW160)</f>
        <v>29.25</v>
      </c>
      <c r="DX161" s="1392">
        <f t="shared" si="956"/>
        <v>29.25</v>
      </c>
      <c r="DY161" s="1391">
        <f>+DY159*(1-DY160)</f>
        <v>29.25</v>
      </c>
      <c r="DZ161" s="1391">
        <f>+DZ159*(1-DZ160)</f>
        <v>29.25</v>
      </c>
      <c r="EA161" s="1391">
        <f>+EA159*(1-EA160)</f>
        <v>29.25</v>
      </c>
      <c r="EB161" s="1391">
        <f>+EB159*(1-EB160)</f>
        <v>29.25</v>
      </c>
      <c r="EC161" s="1392">
        <f t="shared" si="957"/>
        <v>29.25</v>
      </c>
    </row>
    <row r="162" spans="1:133" hidden="1" outlineLevel="1">
      <c r="C162" s="240" t="s">
        <v>680</v>
      </c>
      <c r="BT162" s="1393">
        <f t="shared" ref="BT162" si="1005">+BT155-BT158</f>
        <v>24.75</v>
      </c>
      <c r="BU162" s="1394">
        <f t="shared" si="917"/>
        <v>24.75</v>
      </c>
      <c r="BV162" s="1393">
        <f t="shared" ref="BV162:BY162" si="1006">+BV155-BV158</f>
        <v>32.991749999999996</v>
      </c>
      <c r="BW162" s="1393">
        <f t="shared" si="1006"/>
        <v>42</v>
      </c>
      <c r="BX162" s="1393">
        <f t="shared" si="1006"/>
        <v>48</v>
      </c>
      <c r="BY162" s="1393">
        <f t="shared" si="1006"/>
        <v>56.625</v>
      </c>
      <c r="BZ162" s="1394">
        <f t="shared" ref="BZ162" si="1007">+BY162</f>
        <v>56.625</v>
      </c>
      <c r="CA162" s="1393">
        <f t="shared" ref="CA162:CD162" si="1008">+CA155-CA158</f>
        <v>62.999999999999986</v>
      </c>
      <c r="CB162" s="1393">
        <f t="shared" si="1008"/>
        <v>74.999999999999986</v>
      </c>
      <c r="CC162" s="1393">
        <f t="shared" si="1008"/>
        <v>85.499999999999986</v>
      </c>
      <c r="CD162" s="1393">
        <f t="shared" si="1008"/>
        <v>91.35</v>
      </c>
      <c r="CE162" s="1394">
        <f t="shared" ref="CE162" si="1009">+CD162</f>
        <v>91.35</v>
      </c>
      <c r="CF162" s="1393">
        <f t="shared" ref="CF162:CI162" si="1010">+CF155-CF158</f>
        <v>97.5</v>
      </c>
      <c r="CG162" s="1393">
        <f t="shared" si="1010"/>
        <v>105</v>
      </c>
      <c r="CH162" s="1393">
        <f t="shared" si="1010"/>
        <v>113.99999999999999</v>
      </c>
      <c r="CI162" s="1393">
        <f t="shared" si="1010"/>
        <v>123</v>
      </c>
      <c r="CJ162" s="1394">
        <f t="shared" ref="CJ162" si="1011">+CI162</f>
        <v>123</v>
      </c>
      <c r="CK162" s="1393">
        <f t="shared" ref="CK162:CN162" si="1012">+CK155-CK158</f>
        <v>127.5</v>
      </c>
      <c r="CL162" s="1393">
        <f t="shared" si="1012"/>
        <v>135</v>
      </c>
      <c r="CM162" s="1393">
        <f t="shared" si="1012"/>
        <v>142.5</v>
      </c>
      <c r="CN162" s="1393">
        <f t="shared" si="1012"/>
        <v>160.35</v>
      </c>
      <c r="CO162" s="1394">
        <f t="shared" ref="CO162" si="1013">+CN162</f>
        <v>160.35</v>
      </c>
      <c r="CP162" s="1393">
        <f t="shared" ref="CP162:CS162" si="1014">+CP155-CP158</f>
        <v>165</v>
      </c>
      <c r="CQ162" s="1393">
        <f t="shared" si="1014"/>
        <v>184.80000000000004</v>
      </c>
      <c r="CR162" s="1393">
        <f t="shared" si="1014"/>
        <v>219.02222222222224</v>
      </c>
      <c r="CS162" s="1393">
        <f t="shared" si="1014"/>
        <v>262.34999999999997</v>
      </c>
      <c r="CT162" s="1394">
        <f t="shared" ref="CT162" si="1015">+CS162</f>
        <v>262.34999999999997</v>
      </c>
      <c r="CU162" s="1393">
        <f t="shared" ref="CU162:CX162" si="1016">+CU155-CU158</f>
        <v>272.84399999999999</v>
      </c>
      <c r="CV162" s="1393">
        <f t="shared" si="1016"/>
        <v>283.75776000000002</v>
      </c>
      <c r="CW162" s="1393">
        <f t="shared" si="1016"/>
        <v>295.10807040000003</v>
      </c>
      <c r="CX162" s="1393">
        <f t="shared" si="1016"/>
        <v>309.45</v>
      </c>
      <c r="CY162" s="1394">
        <f t="shared" ref="CY162" si="1017">+CX162</f>
        <v>309.45</v>
      </c>
      <c r="CZ162" s="1393">
        <f t="shared" ref="CZ162:DC162" si="1018">+CZ155-CZ158</f>
        <v>312.54450000000003</v>
      </c>
      <c r="DA162" s="1393">
        <f t="shared" si="1018"/>
        <v>315.66994499999998</v>
      </c>
      <c r="DB162" s="1393">
        <f t="shared" si="1018"/>
        <v>318.82664445</v>
      </c>
      <c r="DC162" s="1393">
        <f t="shared" si="1018"/>
        <v>366.65064111750002</v>
      </c>
      <c r="DD162" s="1394">
        <f t="shared" si="952"/>
        <v>366.65064111750002</v>
      </c>
      <c r="DE162" s="1393">
        <f>+DE155-DE158</f>
        <v>421.64823728512494</v>
      </c>
      <c r="DF162" s="1393">
        <f>+DF155-DF158</f>
        <v>442.73064914938124</v>
      </c>
      <c r="DG162" s="1393">
        <f>+DG155-DG158</f>
        <v>447.15795564087506</v>
      </c>
      <c r="DH162" s="1393">
        <f>+DH155-DH158</f>
        <v>458.33690453189683</v>
      </c>
      <c r="DI162" s="1394">
        <f t="shared" si="953"/>
        <v>458.33690453189683</v>
      </c>
      <c r="DJ162" s="1393">
        <f>+DJ155-DJ158</f>
        <v>469.79532714519422</v>
      </c>
      <c r="DK162" s="1393">
        <f>+DK155-DK158</f>
        <v>481.540210323824</v>
      </c>
      <c r="DL162" s="1393">
        <f>+DL155-DL158</f>
        <v>493.5787155819196</v>
      </c>
      <c r="DM162" s="1393">
        <f>+DM155-DM158</f>
        <v>505.91818347146756</v>
      </c>
      <c r="DN162" s="1394">
        <f t="shared" si="954"/>
        <v>505.91818347146756</v>
      </c>
      <c r="DO162" s="1393">
        <f>+DO155-DO158</f>
        <v>518.56613805825418</v>
      </c>
      <c r="DP162" s="1393">
        <f>+DP155-DP158</f>
        <v>531.53029150971054</v>
      </c>
      <c r="DQ162" s="1393">
        <f>+DQ155-DQ158</f>
        <v>544.81854879745322</v>
      </c>
      <c r="DR162" s="1393">
        <f>+DR155-DR158</f>
        <v>558.43901251738953</v>
      </c>
      <c r="DS162" s="1394">
        <f t="shared" si="955"/>
        <v>558.43901251738953</v>
      </c>
      <c r="DT162" s="1393">
        <f>+DT155-DT158</f>
        <v>572.39998783032422</v>
      </c>
      <c r="DU162" s="1393">
        <f>+DU155-DU158</f>
        <v>586.70998752608227</v>
      </c>
      <c r="DV162" s="1393">
        <f>+DV155-DV158</f>
        <v>601.37773721423423</v>
      </c>
      <c r="DW162" s="1393">
        <f>+DW155-DW158</f>
        <v>616.41218064459008</v>
      </c>
      <c r="DX162" s="1394">
        <f t="shared" si="956"/>
        <v>616.41218064459008</v>
      </c>
      <c r="DY162" s="1393">
        <f>+DY155-DY158</f>
        <v>631.82248516070479</v>
      </c>
      <c r="DZ162" s="1393">
        <f>+DZ155-DZ158</f>
        <v>647.61804728972231</v>
      </c>
      <c r="EA162" s="1393">
        <f>+EA155-EA158</f>
        <v>663.80849847196532</v>
      </c>
      <c r="EB162" s="1393">
        <f>+EB155-EB158</f>
        <v>680.40371093376439</v>
      </c>
      <c r="EC162" s="1394">
        <f t="shared" si="957"/>
        <v>680.40371093376439</v>
      </c>
    </row>
    <row r="163" spans="1:133" hidden="1" outlineLevel="1">
      <c r="C163" s="1395" t="s">
        <v>666</v>
      </c>
      <c r="D163" s="1395"/>
      <c r="E163" s="1395"/>
      <c r="F163" s="1395"/>
      <c r="G163" s="1395"/>
      <c r="H163" s="1395"/>
      <c r="I163" s="1395"/>
      <c r="J163" s="1395"/>
      <c r="K163" s="1395"/>
      <c r="L163" s="1395"/>
      <c r="M163" s="1395"/>
      <c r="N163" s="1395"/>
      <c r="O163" s="1395"/>
      <c r="P163" s="1395"/>
      <c r="Q163" s="1395"/>
      <c r="R163" s="1395"/>
      <c r="S163" s="1395"/>
      <c r="T163" s="1395"/>
      <c r="U163" s="1395"/>
      <c r="V163" s="1395"/>
      <c r="W163" s="1395"/>
      <c r="X163" s="1395"/>
      <c r="Y163" s="1395"/>
      <c r="Z163" s="1395"/>
      <c r="AA163" s="1395"/>
      <c r="AB163" s="1395"/>
      <c r="AC163" s="1395"/>
      <c r="AD163" s="1395"/>
      <c r="AE163" s="1395"/>
      <c r="AF163" s="1395"/>
      <c r="AG163" s="1395"/>
      <c r="AH163" s="1395"/>
      <c r="AI163" s="1395"/>
      <c r="AJ163" s="1395"/>
      <c r="AK163" s="1395"/>
      <c r="AL163" s="1395"/>
      <c r="AM163" s="1395"/>
      <c r="AN163" s="1395"/>
      <c r="AO163" s="1395"/>
      <c r="AP163" s="1395"/>
      <c r="AQ163" s="1395"/>
      <c r="AR163" s="1395"/>
      <c r="AS163" s="1395"/>
      <c r="AT163" s="1395"/>
      <c r="AU163" s="1395"/>
      <c r="AV163" s="1395"/>
      <c r="AW163" s="1395"/>
      <c r="AX163" s="1395"/>
      <c r="AY163" s="1395"/>
      <c r="AZ163" s="1395"/>
      <c r="BA163" s="1395"/>
      <c r="BB163" s="1395"/>
      <c r="BC163" s="1395"/>
      <c r="BD163" s="1395"/>
      <c r="BE163" s="1395"/>
      <c r="BF163" s="1395"/>
      <c r="BG163" s="1395"/>
      <c r="BH163" s="1395"/>
      <c r="BI163" s="1395"/>
      <c r="BJ163" s="1395"/>
      <c r="BK163" s="1395"/>
      <c r="BL163" s="1395"/>
      <c r="BM163" s="1395"/>
      <c r="BN163" s="1395"/>
      <c r="BO163" s="1395"/>
      <c r="BP163" s="1395"/>
      <c r="BQ163" s="1395"/>
      <c r="BR163" s="1395"/>
      <c r="BS163" s="1395"/>
      <c r="BT163" s="1391">
        <f t="shared" ref="BT163" si="1019">+(BT158*BT161+BT162*BT159)/BT155</f>
        <v>34.125</v>
      </c>
      <c r="BU163" s="1392">
        <f t="shared" si="917"/>
        <v>34.125</v>
      </c>
      <c r="BV163" s="1391">
        <f t="shared" ref="BV163" si="1020">+(BV158*BV161+BV162*BV159)/BV155</f>
        <v>34.125</v>
      </c>
      <c r="BW163" s="1391">
        <f t="shared" ref="BW163" si="1021">+(BW158*BW161+BW162*BW159)/BW155</f>
        <v>34.125</v>
      </c>
      <c r="BX163" s="1391">
        <f t="shared" ref="BX163" si="1022">+(BX158*BX161+BX162*BX159)/BX155</f>
        <v>34.125</v>
      </c>
      <c r="BY163" s="1391">
        <f t="shared" ref="BY163" si="1023">+(BY158*BY161+BY162*BY159)/BY155</f>
        <v>34.125</v>
      </c>
      <c r="BZ163" s="1392">
        <f t="shared" ref="BZ163" si="1024">+BY163</f>
        <v>34.125</v>
      </c>
      <c r="CA163" s="1391">
        <f t="shared" ref="CA163" si="1025">+(CA158*CA161+CA162*CA159)/CA155</f>
        <v>34.125</v>
      </c>
      <c r="CB163" s="1391">
        <f t="shared" ref="CB163" si="1026">+(CB158*CB161+CB162*CB159)/CB155</f>
        <v>34.125</v>
      </c>
      <c r="CC163" s="1391">
        <f t="shared" ref="CC163" si="1027">+(CC158*CC161+CC162*CC159)/CC155</f>
        <v>34.125</v>
      </c>
      <c r="CD163" s="1391">
        <f t="shared" ref="CD163" si="1028">+(CD158*CD161+CD162*CD159)/CD155</f>
        <v>34.124999999999993</v>
      </c>
      <c r="CE163" s="1392">
        <f t="shared" ref="CE163" si="1029">+CD163</f>
        <v>34.124999999999993</v>
      </c>
      <c r="CF163" s="1391">
        <f t="shared" ref="CF163" si="1030">+(CF158*CF161+CF162*CF159)/CF155</f>
        <v>34.125</v>
      </c>
      <c r="CG163" s="1391">
        <f t="shared" ref="CG163" si="1031">+(CG158*CG161+CG162*CG159)/CG155</f>
        <v>34.125</v>
      </c>
      <c r="CH163" s="1391">
        <f t="shared" ref="CH163" si="1032">+(CH158*CH161+CH162*CH159)/CH155</f>
        <v>34.124999999999993</v>
      </c>
      <c r="CI163" s="1391">
        <f t="shared" ref="CI163" si="1033">+(CI158*CI161+CI162*CI159)/CI155</f>
        <v>34.125</v>
      </c>
      <c r="CJ163" s="1392">
        <f t="shared" ref="CJ163" si="1034">+CI163</f>
        <v>34.125</v>
      </c>
      <c r="CK163" s="1391">
        <f t="shared" ref="CK163" si="1035">+(CK158*CK161+CK162*CK159)/CK155</f>
        <v>34.125</v>
      </c>
      <c r="CL163" s="1391">
        <f t="shared" ref="CL163" si="1036">+(CL158*CL161+CL162*CL159)/CL155</f>
        <v>34.125</v>
      </c>
      <c r="CM163" s="1391">
        <f t="shared" ref="CM163" si="1037">+(CM158*CM161+CM162*CM159)/CM155</f>
        <v>34.125</v>
      </c>
      <c r="CN163" s="1391">
        <f t="shared" ref="CN163" si="1038">+(CN158*CN161+CN162*CN159)/CN155</f>
        <v>34.125</v>
      </c>
      <c r="CO163" s="1392">
        <f t="shared" ref="CO163" si="1039">+CN163</f>
        <v>34.125</v>
      </c>
      <c r="CP163" s="1391">
        <f t="shared" ref="CP163" si="1040">+(CP158*CP161+CP162*CP159)/CP155</f>
        <v>34.125</v>
      </c>
      <c r="CQ163" s="1391">
        <f t="shared" ref="CQ163" si="1041">+(CQ158*CQ161+CQ162*CQ159)/CQ155</f>
        <v>34.125</v>
      </c>
      <c r="CR163" s="1391">
        <f t="shared" ref="CR163" si="1042">+(CR158*CR161+CR162*CR159)/CR155</f>
        <v>34.125</v>
      </c>
      <c r="CS163" s="1391">
        <f t="shared" ref="CS163" si="1043">+(CS158*CS161+CS162*CS159)/CS155</f>
        <v>34.125</v>
      </c>
      <c r="CT163" s="1392">
        <f t="shared" ref="CT163" si="1044">+CS163</f>
        <v>34.125</v>
      </c>
      <c r="CU163" s="1391">
        <f t="shared" ref="CU163" si="1045">+(CU158*CU161+CU162*CU159)/CU155</f>
        <v>34.125</v>
      </c>
      <c r="CV163" s="1391">
        <f t="shared" ref="CV163" si="1046">+(CV158*CV161+CV162*CV159)/CV155</f>
        <v>34.125</v>
      </c>
      <c r="CW163" s="1391">
        <f t="shared" ref="CW163" si="1047">+(CW158*CW161+CW162*CW159)/CW155</f>
        <v>34.125</v>
      </c>
      <c r="CX163" s="1391">
        <f t="shared" ref="CX163" si="1048">+(CX158*CX161+CX162*CX159)/CX155</f>
        <v>34.125000000000007</v>
      </c>
      <c r="CY163" s="1392">
        <f t="shared" ref="CY163" si="1049">+CX163</f>
        <v>34.125000000000007</v>
      </c>
      <c r="CZ163" s="1391">
        <f t="shared" ref="CZ163" si="1050">+(CZ158*CZ161+CZ162*CZ159)/CZ155</f>
        <v>34.125</v>
      </c>
      <c r="DA163" s="1391">
        <f t="shared" ref="DA163" si="1051">+(DA158*DA161+DA162*DA159)/DA155</f>
        <v>34.125</v>
      </c>
      <c r="DB163" s="1391">
        <f t="shared" ref="DB163" si="1052">+(DB158*DB161+DB162*DB159)/DB155</f>
        <v>34.125</v>
      </c>
      <c r="DC163" s="1391">
        <f t="shared" ref="DC163" si="1053">+(DC158*DC161+DC162*DC159)/DC155</f>
        <v>34.125</v>
      </c>
      <c r="DD163" s="1392">
        <f t="shared" si="952"/>
        <v>34.125</v>
      </c>
      <c r="DE163" s="1391">
        <f>+(DE158*DE161+DE162*DE159)/DE155</f>
        <v>34.125</v>
      </c>
      <c r="DF163" s="1391">
        <f>+(DF158*DF161+DF162*DF159)/DF155</f>
        <v>34.125</v>
      </c>
      <c r="DG163" s="1391">
        <f>+(DG158*DG161+DG162*DG159)/DG155</f>
        <v>34.125</v>
      </c>
      <c r="DH163" s="1391">
        <f>+(DH158*DH161+DH162*DH159)/DH155</f>
        <v>34.124999999999993</v>
      </c>
      <c r="DI163" s="1392">
        <f t="shared" si="953"/>
        <v>34.124999999999993</v>
      </c>
      <c r="DJ163" s="1396">
        <f>+(DJ158*DJ161+DJ162*DJ159)/DJ155</f>
        <v>34.125</v>
      </c>
      <c r="DK163" s="1391">
        <f>+(DK158*DK161+DK162*DK159)/DK155</f>
        <v>34.125</v>
      </c>
      <c r="DL163" s="1391">
        <f>+(DL158*DL161+DL162*DL159)/DL155</f>
        <v>34.125</v>
      </c>
      <c r="DM163" s="1391">
        <f>+(DM158*DM161+DM162*DM159)/DM155</f>
        <v>34.125</v>
      </c>
      <c r="DN163" s="1392">
        <f t="shared" si="954"/>
        <v>34.125</v>
      </c>
      <c r="DO163" s="1396">
        <f>+(DO158*DO161+DO162*DO159)/DO155</f>
        <v>34.125</v>
      </c>
      <c r="DP163" s="1391">
        <f>+(DP158*DP161+DP162*DP159)/DP155</f>
        <v>34.125</v>
      </c>
      <c r="DQ163" s="1391">
        <f>+(DQ158*DQ161+DQ162*DQ159)/DQ155</f>
        <v>34.125</v>
      </c>
      <c r="DR163" s="1391">
        <f>+(DR158*DR161+DR162*DR159)/DR155</f>
        <v>34.125</v>
      </c>
      <c r="DS163" s="1392">
        <f t="shared" si="955"/>
        <v>34.125</v>
      </c>
      <c r="DT163" s="1396">
        <f>+(DT158*DT161+DT162*DT159)/DT155</f>
        <v>34.125</v>
      </c>
      <c r="DU163" s="1391">
        <f>+(DU158*DU161+DU162*DU159)/DU155</f>
        <v>34.125000000000007</v>
      </c>
      <c r="DV163" s="1391">
        <f>+(DV158*DV161+DV162*DV159)/DV155</f>
        <v>34.125</v>
      </c>
      <c r="DW163" s="1391">
        <f>+(DW158*DW161+DW162*DW159)/DW155</f>
        <v>34.125</v>
      </c>
      <c r="DX163" s="1392">
        <f t="shared" si="956"/>
        <v>34.125</v>
      </c>
      <c r="DY163" s="1396">
        <f>+(DY158*DY161+DY162*DY159)/DY155</f>
        <v>34.125</v>
      </c>
      <c r="DZ163" s="1391">
        <f>+(DZ158*DZ161+DZ162*DZ159)/DZ155</f>
        <v>34.125</v>
      </c>
      <c r="EA163" s="1391">
        <f>+(EA158*EA161+EA162*EA159)/EA155</f>
        <v>34.125</v>
      </c>
      <c r="EB163" s="1391">
        <f>+(EB158*EB161+EB162*EB159)/EB155</f>
        <v>34.125</v>
      </c>
      <c r="EC163" s="1392">
        <f t="shared" si="957"/>
        <v>34.125</v>
      </c>
    </row>
    <row r="164" spans="1:133" s="1367" customFormat="1" hidden="1" outlineLevel="1">
      <c r="A164" s="943"/>
      <c r="C164" s="1397" t="s">
        <v>684</v>
      </c>
      <c r="D164" s="1397"/>
      <c r="E164" s="1397"/>
      <c r="F164" s="1397"/>
      <c r="G164" s="1397"/>
      <c r="H164" s="1397"/>
      <c r="I164" s="1397"/>
      <c r="J164" s="1397"/>
      <c r="K164" s="1397"/>
      <c r="L164" s="1397"/>
      <c r="M164" s="1397"/>
      <c r="N164" s="1397"/>
      <c r="O164" s="1397"/>
      <c r="P164" s="1397"/>
      <c r="Q164" s="1397"/>
      <c r="R164" s="1397"/>
      <c r="S164" s="1397"/>
      <c r="T164" s="1397"/>
      <c r="U164" s="1397"/>
      <c r="V164" s="1397"/>
      <c r="W164" s="1397"/>
      <c r="X164" s="1397"/>
      <c r="Y164" s="1397"/>
      <c r="Z164" s="1397"/>
      <c r="AA164" s="1397"/>
      <c r="AB164" s="1397"/>
      <c r="AC164" s="1397"/>
      <c r="AD164" s="1397"/>
      <c r="AE164" s="1397"/>
      <c r="AF164" s="1397"/>
      <c r="AG164" s="1397"/>
      <c r="AH164" s="1397"/>
      <c r="AI164" s="1397"/>
      <c r="AJ164" s="1397"/>
      <c r="AK164" s="1397"/>
      <c r="AL164" s="1397"/>
      <c r="AM164" s="1397"/>
      <c r="AN164" s="1397"/>
      <c r="AO164" s="1397"/>
      <c r="AP164" s="1397"/>
      <c r="AQ164" s="1397"/>
      <c r="AR164" s="1397"/>
      <c r="AS164" s="1397"/>
      <c r="AT164" s="1397"/>
      <c r="AU164" s="1397"/>
      <c r="AV164" s="1397"/>
      <c r="AW164" s="1397"/>
      <c r="AX164" s="1397"/>
      <c r="AY164" s="1397"/>
      <c r="AZ164" s="1397"/>
      <c r="BA164" s="1397"/>
      <c r="BB164" s="1397"/>
      <c r="BC164" s="1397"/>
      <c r="BD164" s="1397"/>
      <c r="BE164" s="1397"/>
      <c r="BF164" s="1397"/>
      <c r="BG164" s="1397"/>
      <c r="BH164" s="1397"/>
      <c r="BI164" s="1397"/>
      <c r="BJ164" s="1397"/>
      <c r="BK164" s="1397"/>
      <c r="BL164" s="1397"/>
      <c r="BM164" s="1397"/>
      <c r="BN164" s="1397"/>
      <c r="BO164" s="1397"/>
      <c r="BP164" s="1397"/>
      <c r="BQ164" s="1397"/>
      <c r="BR164" s="1397"/>
      <c r="BS164" s="1397"/>
      <c r="BT164" s="1398">
        <f t="shared" ref="BT164" si="1054">+BT163*BT155/1000</f>
        <v>1.6891875000000001</v>
      </c>
      <c r="BU164" s="1399">
        <f t="shared" ref="BU164" si="1055">+BU163*BU155/1000</f>
        <v>1.6891875000000001</v>
      </c>
      <c r="BV164" s="1398">
        <f t="shared" ref="BV164" si="1056">+BV163*BV155/1000</f>
        <v>2.2516869374999997</v>
      </c>
      <c r="BW164" s="1398">
        <f t="shared" ref="BW164" si="1057">+BW163*BW155/1000</f>
        <v>2.8664999999999998</v>
      </c>
      <c r="BX164" s="1398">
        <f t="shared" ref="BX164" si="1058">+BX163*BX155/1000</f>
        <v>3.2759999999999998</v>
      </c>
      <c r="BY164" s="1398">
        <f t="shared" ref="BY164" si="1059">+BY163*BY155/1000</f>
        <v>3.8646562499999999</v>
      </c>
      <c r="BZ164" s="1399">
        <f t="shared" ref="BZ164" si="1060">+BZ163*BZ155/1000</f>
        <v>3.8646562499999999</v>
      </c>
      <c r="CA164" s="1398">
        <f t="shared" ref="CA164" si="1061">+CA163*CA155/1000</f>
        <v>4.2997499999999995</v>
      </c>
      <c r="CB164" s="1398">
        <f t="shared" ref="CB164" si="1062">+CB163*CB155/1000</f>
        <v>5.1187499999999995</v>
      </c>
      <c r="CC164" s="1398">
        <f t="shared" ref="CC164" si="1063">+CC163*CC155/1000</f>
        <v>5.8353749999999991</v>
      </c>
      <c r="CD164" s="1398">
        <f t="shared" ref="CD164" si="1064">+CD163*CD155/1000</f>
        <v>6.2346374999999981</v>
      </c>
      <c r="CE164" s="1399">
        <f t="shared" ref="CE164" si="1065">+CE163*CE155/1000</f>
        <v>6.2346374999999981</v>
      </c>
      <c r="CF164" s="1398">
        <f t="shared" ref="CF164" si="1066">+CF163*CF155/1000</f>
        <v>6.6543749999999999</v>
      </c>
      <c r="CG164" s="1398">
        <f t="shared" ref="CG164" si="1067">+CG163*CG155/1000</f>
        <v>7.1662499999999998</v>
      </c>
      <c r="CH164" s="1398">
        <f t="shared" ref="CH164" si="1068">+CH163*CH155/1000</f>
        <v>7.7804999999999973</v>
      </c>
      <c r="CI164" s="1398">
        <f t="shared" ref="CI164" si="1069">+CI163*CI155/1000</f>
        <v>8.3947500000000002</v>
      </c>
      <c r="CJ164" s="1399">
        <f t="shared" ref="CJ164" si="1070">+CJ163*CJ155/1000</f>
        <v>8.3947500000000002</v>
      </c>
      <c r="CK164" s="1398">
        <f t="shared" ref="CK164" si="1071">+CK163*CK155/1000</f>
        <v>8.7018749999999994</v>
      </c>
      <c r="CL164" s="1398">
        <f t="shared" ref="CL164" si="1072">+CL163*CL155/1000</f>
        <v>9.2137499999999992</v>
      </c>
      <c r="CM164" s="1398">
        <f t="shared" ref="CM164" si="1073">+CM163*CM155/1000</f>
        <v>9.7256250000000009</v>
      </c>
      <c r="CN164" s="1398">
        <f t="shared" ref="CN164" si="1074">+CN163*CN155/1000</f>
        <v>10.943887499999999</v>
      </c>
      <c r="CO164" s="1399">
        <f t="shared" ref="CO164" si="1075">+CO163*CO155/1000</f>
        <v>10.943887499999999</v>
      </c>
      <c r="CP164" s="1398">
        <f t="shared" ref="CP164" si="1076">+CP163*CP155/1000</f>
        <v>11.26125</v>
      </c>
      <c r="CQ164" s="1398">
        <f t="shared" ref="CQ164" si="1077">+CQ163*CQ155/1000</f>
        <v>12.612600000000002</v>
      </c>
      <c r="CR164" s="1398">
        <f t="shared" ref="CR164" si="1078">+CR163*CR155/1000</f>
        <v>14.948266666666669</v>
      </c>
      <c r="CS164" s="1398">
        <f t="shared" ref="CS164" si="1079">+CS163*CS155/1000</f>
        <v>17.905387499999996</v>
      </c>
      <c r="CT164" s="1399">
        <f t="shared" ref="CT164" si="1080">+CT163*CT155/1000</f>
        <v>17.905387499999996</v>
      </c>
      <c r="CU164" s="1398">
        <f t="shared" ref="CU164" si="1081">+CU163*CU155/1000</f>
        <v>18.621603</v>
      </c>
      <c r="CV164" s="1398">
        <f t="shared" ref="CV164" si="1082">+CV163*CV155/1000</f>
        <v>19.366467120000003</v>
      </c>
      <c r="CW164" s="1398">
        <f t="shared" ref="CW164" si="1083">+CW163*CW155/1000</f>
        <v>20.141125804800001</v>
      </c>
      <c r="CX164" s="1398">
        <f t="shared" ref="CX164" si="1084">+CX163*CX155/1000</f>
        <v>21.119962500000007</v>
      </c>
      <c r="CY164" s="1399">
        <f t="shared" ref="CY164" si="1085">+CY163*CY155/1000</f>
        <v>21.119962500000007</v>
      </c>
      <c r="CZ164" s="1398">
        <f t="shared" ref="CZ164" si="1086">+CZ163*CZ155/1000</f>
        <v>21.331162125000002</v>
      </c>
      <c r="DA164" s="1398">
        <f t="shared" ref="DA164" si="1087">+DA163*DA155/1000</f>
        <v>21.544473746249999</v>
      </c>
      <c r="DB164" s="1398">
        <f t="shared" ref="DB164" si="1088">+DB163*DB155/1000</f>
        <v>21.7599184837125</v>
      </c>
      <c r="DC164" s="1398">
        <f t="shared" ref="DC164" si="1089">+DC163*DC155/1000</f>
        <v>25.023906256269377</v>
      </c>
      <c r="DD164" s="1399">
        <f t="shared" ref="DD164" si="1090">+DD163*DD155/1000</f>
        <v>25.023906256269377</v>
      </c>
      <c r="DE164" s="1398">
        <f t="shared" ref="DE164" si="1091">+DE163*DE155/1000</f>
        <v>28.777492194709776</v>
      </c>
      <c r="DF164" s="1398">
        <f t="shared" ref="DF164" si="1092">+DF163*DF155/1000</f>
        <v>30.216366804445268</v>
      </c>
      <c r="DG164" s="1398">
        <f t="shared" ref="DG164" si="1093">+DG163*DG155/1000</f>
        <v>30.518530472489722</v>
      </c>
      <c r="DH164" s="1398">
        <f t="shared" ref="DH164" si="1094">+DH163*DH155/1000</f>
        <v>31.281493734301954</v>
      </c>
      <c r="DI164" s="1399">
        <f t="shared" ref="DI164" si="1095">+DI163*DI155/1000</f>
        <v>31.281493734301954</v>
      </c>
      <c r="DJ164" s="1398">
        <f>+DJ163*DJ155/1000</f>
        <v>32.063531077659505</v>
      </c>
      <c r="DK164" s="1398">
        <f t="shared" ref="DK164" si="1096">+DK163*DK155/1000</f>
        <v>32.865119354600992</v>
      </c>
      <c r="DL164" s="1398">
        <f t="shared" ref="DL164" si="1097">+DL163*DL155/1000</f>
        <v>33.686747338466013</v>
      </c>
      <c r="DM164" s="1398">
        <f t="shared" ref="DM164" si="1098">+DM163*DM155/1000</f>
        <v>34.528916021927657</v>
      </c>
      <c r="DN164" s="1399">
        <f t="shared" ref="DN164" si="1099">+DN163*DN155/1000</f>
        <v>34.528916021927657</v>
      </c>
      <c r="DO164" s="1398">
        <f t="shared" ref="DO164" si="1100">+DO163*DO155/1000</f>
        <v>35.392138922475844</v>
      </c>
      <c r="DP164" s="1398">
        <f t="shared" ref="DP164" si="1101">+DP163*DP155/1000</f>
        <v>36.276942395537745</v>
      </c>
      <c r="DQ164" s="1398">
        <f t="shared" ref="DQ164" si="1102">+DQ163*DQ155/1000</f>
        <v>37.183865955426185</v>
      </c>
      <c r="DR164" s="1398">
        <f t="shared" ref="DR164" si="1103">+DR163*DR155/1000</f>
        <v>38.113462604311835</v>
      </c>
      <c r="DS164" s="1399">
        <f t="shared" ref="DS164" si="1104">+DS163*DS155/1000</f>
        <v>38.113462604311835</v>
      </c>
      <c r="DT164" s="1398">
        <f t="shared" ref="DT164" si="1105">+DT163*DT155/1000</f>
        <v>39.066299169419629</v>
      </c>
      <c r="DU164" s="1398">
        <f t="shared" ref="DU164" si="1106">+DU163*DU155/1000</f>
        <v>40.042956648655128</v>
      </c>
      <c r="DV164" s="1398">
        <f t="shared" ref="DV164" si="1107">+DV163*DV155/1000</f>
        <v>41.044030564871484</v>
      </c>
      <c r="DW164" s="1398">
        <f t="shared" ref="DW164" si="1108">+DW163*DW155/1000</f>
        <v>42.07013132899327</v>
      </c>
      <c r="DX164" s="1399">
        <f t="shared" ref="DX164" si="1109">+DX163*DX155/1000</f>
        <v>42.07013132899327</v>
      </c>
      <c r="DY164" s="1398">
        <f t="shared" ref="DY164" si="1110">+DY163*DY155/1000</f>
        <v>43.121884612218096</v>
      </c>
      <c r="DZ164" s="1398">
        <f t="shared" ref="DZ164" si="1111">+DZ163*DZ155/1000</f>
        <v>44.199931727523541</v>
      </c>
      <c r="EA164" s="1398">
        <f t="shared" ref="EA164" si="1112">+EA163*EA155/1000</f>
        <v>45.30493002071163</v>
      </c>
      <c r="EB164" s="1398">
        <f t="shared" ref="EB164" si="1113">+EB163*EB155/1000</f>
        <v>46.437553271229426</v>
      </c>
      <c r="EC164" s="1399">
        <f t="shared" ref="EC164" si="1114">+EC163*EC155/1000</f>
        <v>46.437553271229426</v>
      </c>
    </row>
    <row r="165" spans="1:133" s="1367" customFormat="1" hidden="1" outlineLevel="1">
      <c r="A165" s="943"/>
      <c r="C165" s="1376" t="s">
        <v>674</v>
      </c>
      <c r="BT165" s="1400">
        <f t="shared" ref="BT165" si="1115">+BT164/BT$7</f>
        <v>0.14902404058226731</v>
      </c>
      <c r="BU165" s="1379">
        <f t="shared" ref="BU165" si="1116">+BU164/BU$7</f>
        <v>0.14902404058226731</v>
      </c>
      <c r="BV165" s="1400">
        <f t="shared" ref="BV165" si="1117">+BV164/BV$7</f>
        <v>0.17620212360122073</v>
      </c>
      <c r="BW165" s="1400">
        <f t="shared" ref="BW165" si="1118">+BW164/BW$7</f>
        <v>0.19857984066505022</v>
      </c>
      <c r="BX165" s="1400">
        <f t="shared" ref="BX165" si="1119">+BX164/BX$7</f>
        <v>0.2012532252119425</v>
      </c>
      <c r="BY165" s="1400">
        <f t="shared" ref="BY165" si="1120">+BY164/BY$7</f>
        <v>0.20934165267320298</v>
      </c>
      <c r="BZ165" s="1379">
        <f t="shared" ref="BZ165" si="1121">+BZ164/BZ$7</f>
        <v>0.20934165267320298</v>
      </c>
      <c r="CA165" s="1400">
        <f t="shared" ref="CA165" si="1122">+CA164/CA$7</f>
        <v>0.20747683844817599</v>
      </c>
      <c r="CB165" s="1400">
        <f t="shared" ref="CB165" si="1123">+CB164/CB$7</f>
        <v>0.21634615384615383</v>
      </c>
      <c r="CC165" s="1400">
        <f t="shared" ref="CC165" si="1124">+CC164/CC$7</f>
        <v>0.21743767932332225</v>
      </c>
      <c r="CD165" s="1400">
        <f t="shared" ref="CD165" si="1125">+CD164/CD$7</f>
        <v>0.2086768249824279</v>
      </c>
      <c r="CE165" s="1379">
        <f t="shared" ref="CE165" si="1126">+CE164/CE$7</f>
        <v>0.2086768249824279</v>
      </c>
      <c r="CF165" s="1400">
        <f t="shared" ref="CF165" si="1127">+CF164/CF$7</f>
        <v>0.20499599519423309</v>
      </c>
      <c r="CG165" s="1400">
        <f t="shared" ref="CG165" si="1128">+CG164/CG$7</f>
        <v>0.20311348563006634</v>
      </c>
      <c r="CH165" s="1400">
        <f t="shared" ref="CH165" si="1129">+CH164/CH$7</f>
        <v>0.20553427552502967</v>
      </c>
      <c r="CI165" s="1400">
        <f t="shared" ref="CI165" si="1130">+CI164/CI$7</f>
        <v>0.20509014951627089</v>
      </c>
      <c r="CJ165" s="1379">
        <f t="shared" ref="CJ165" si="1131">+CJ164/CJ$7</f>
        <v>0.20509014951627089</v>
      </c>
      <c r="CK165" s="1400">
        <f t="shared" ref="CK165" si="1132">+CK164/CK$7</f>
        <v>0.19681711261393706</v>
      </c>
      <c r="CL165" s="1400">
        <f t="shared" ref="CL165" si="1133">+CL164/CL$7</f>
        <v>0.1955379881154499</v>
      </c>
      <c r="CM165" s="1400">
        <f t="shared" ref="CM165" si="1134">+CM164/CM$7</f>
        <v>0.19201628825271472</v>
      </c>
      <c r="CN165" s="1400">
        <f t="shared" ref="CN165" si="1135">+CN164/CN$7</f>
        <v>0.20304811866859621</v>
      </c>
      <c r="CO165" s="1379">
        <f t="shared" ref="CO165" si="1136">+CO164/CO$7</f>
        <v>0.20304811866859621</v>
      </c>
      <c r="CP165" s="1400">
        <f t="shared" ref="CP165" si="1137">+CP164/CP$7</f>
        <v>0.20328266873657419</v>
      </c>
      <c r="CQ165" s="1400">
        <f t="shared" ref="CQ165" si="1138">+CQ164/CQ$7</f>
        <v>0.22116891998527016</v>
      </c>
      <c r="CR165" s="1400">
        <f t="shared" ref="CR165" si="1139">+CR164/CR$7</f>
        <v>0.20102564102564105</v>
      </c>
      <c r="CS165" s="1400">
        <f t="shared" ref="CS165" si="1140">+CS164/CS$7</f>
        <v>0.216743381631986</v>
      </c>
      <c r="CT165" s="1379">
        <f t="shared" ref="CT165" si="1141">+CT164/CT$7</f>
        <v>0.216743381631986</v>
      </c>
      <c r="CU165" s="1400">
        <f t="shared" ref="CU165" si="1142">+CU164/CU$7</f>
        <v>0.20706545017847017</v>
      </c>
      <c r="CV165" s="1400">
        <f t="shared" ref="CV165" si="1143">+CV164/CV$7</f>
        <v>0.20361749432248302</v>
      </c>
      <c r="CW165" s="1400">
        <f t="shared" ref="CW165" si="1144">+CW164/CW$7</f>
        <v>0.20390088788912625</v>
      </c>
      <c r="CX165" s="1400">
        <f t="shared" ref="CX165" si="1145">+CX164/CX$7</f>
        <v>0.207058455882353</v>
      </c>
      <c r="CY165" s="1379">
        <f t="shared" ref="CY165" si="1146">+CY164/CY$7</f>
        <v>0.207058455882353</v>
      </c>
      <c r="CZ165" s="1400">
        <f t="shared" ref="CZ165" si="1147">+CZ164/CZ$7</f>
        <v>0.20276770080798481</v>
      </c>
      <c r="DA165" s="1400">
        <f t="shared" ref="DA165" si="1148">+DA164/DA$7</f>
        <v>0.20097456852845147</v>
      </c>
      <c r="DB165" s="1400">
        <f t="shared" ref="DB165" si="1149">+DB164/DB$7</f>
        <v>0.20336372414684581</v>
      </c>
      <c r="DC165" s="1400">
        <f t="shared" ref="DC165" si="1150">+DC164/DC$7</f>
        <v>0.22852882425816784</v>
      </c>
      <c r="DD165" s="1379">
        <f t="shared" ref="DD165" si="1151">+DD164/DD$7</f>
        <v>0.22852882425816784</v>
      </c>
      <c r="DE165" s="1400">
        <f t="shared" ref="DE165" si="1152">+DE164/DE$7</f>
        <v>0.25243414205885767</v>
      </c>
      <c r="DF165" s="1400">
        <f t="shared" ref="DF165" si="1153">+DF164/DF$7</f>
        <v>0.22382493929218716</v>
      </c>
      <c r="DG165" s="1400">
        <f t="shared" ref="DG165" si="1154">+DG164/DG$7</f>
        <v>0.22276299614956002</v>
      </c>
      <c r="DH165" s="1400">
        <f t="shared" ref="DH165" si="1155">+DH164/DH$7</f>
        <v>0.21723259537709691</v>
      </c>
      <c r="DI165" s="1379">
        <f t="shared" ref="DI165" si="1156">+DI164/DI$7</f>
        <v>0.21723259537709691</v>
      </c>
      <c r="DJ165" s="1400">
        <f t="shared" ref="DJ165" si="1157">+DJ164/DJ$7</f>
        <v>0.21234126541496362</v>
      </c>
      <c r="DK165" s="1400">
        <f t="shared" ref="DK165" si="1158">+DK164/DK$7</f>
        <v>0.19446816186154434</v>
      </c>
      <c r="DL165" s="1400">
        <f t="shared" ref="DL165" si="1159">+DL164/DL$7</f>
        <v>0.19249569907694863</v>
      </c>
      <c r="DM165" s="1400">
        <f>+DM164/DM$7</f>
        <v>0.19748417761554263</v>
      </c>
      <c r="DN165" s="1379">
        <f t="shared" ref="DN165" si="1160">+DN164/DN$7</f>
        <v>0.19748417761554263</v>
      </c>
      <c r="DO165" s="1400">
        <f t="shared" ref="DO165" si="1161">+DO164/DO$7</f>
        <v>0.21234126541496362</v>
      </c>
      <c r="DP165" s="1400">
        <f t="shared" ref="DP165" si="1162">+DP164/DP$7</f>
        <v>0.19446816186154434</v>
      </c>
      <c r="DQ165" s="1400">
        <f t="shared" ref="DQ165" si="1163">+DQ164/DQ$7</f>
        <v>0.19249569907694866</v>
      </c>
      <c r="DR165" s="1400">
        <f t="shared" ref="DR165" si="1164">+DR164/DR$7</f>
        <v>0.19748417761554268</v>
      </c>
      <c r="DS165" s="1379">
        <f t="shared" ref="DS165" si="1165">+DS164/DS$7</f>
        <v>0.19748417761554268</v>
      </c>
      <c r="DT165" s="1400">
        <f t="shared" ref="DT165" si="1166">+DT164/DT$7</f>
        <v>0.21234126541496368</v>
      </c>
      <c r="DU165" s="1400">
        <f t="shared" ref="DU165" si="1167">+DU164/DU$7</f>
        <v>0.19446816186154439</v>
      </c>
      <c r="DV165" s="1400">
        <f t="shared" ref="DV165" si="1168">+DV164/DV$7</f>
        <v>0.19249569907694866</v>
      </c>
      <c r="DW165" s="1400">
        <f t="shared" ref="DW165" si="1169">+DW164/DW$7</f>
        <v>0.19748417761554266</v>
      </c>
      <c r="DX165" s="1379">
        <f t="shared" ref="DX165" si="1170">+DX164/DX$7</f>
        <v>0.19748417761554266</v>
      </c>
      <c r="DY165" s="1400">
        <f t="shared" ref="DY165" si="1171">+DY164/DY$7</f>
        <v>0.21234126541496362</v>
      </c>
      <c r="DZ165" s="1400">
        <f t="shared" ref="DZ165" si="1172">+DZ164/DZ$7</f>
        <v>0.19446816186154428</v>
      </c>
      <c r="EA165" s="1400">
        <f t="shared" ref="EA165" si="1173">+EA164/EA$7</f>
        <v>0.19249569907694863</v>
      </c>
      <c r="EB165" s="1400">
        <f t="shared" ref="EB165" si="1174">+EB164/EB$7</f>
        <v>0.19748417761554271</v>
      </c>
      <c r="EC165" s="1379">
        <f t="shared" ref="EC165" si="1175">+EC164/EC$7</f>
        <v>0.19748417761554271</v>
      </c>
    </row>
    <row r="166" spans="1:133" hidden="1" outlineLevel="1">
      <c r="BU166" s="1372"/>
      <c r="BZ166" s="1372"/>
      <c r="CE166" s="1372"/>
      <c r="CJ166" s="1372"/>
      <c r="CO166" s="1372"/>
      <c r="CT166" s="1372"/>
      <c r="CY166" s="1372"/>
      <c r="DD166" s="1372"/>
      <c r="DI166" s="1372"/>
      <c r="DN166" s="1372"/>
      <c r="DS166" s="1372"/>
      <c r="DX166" s="1372"/>
      <c r="EC166" s="1372"/>
    </row>
    <row r="167" spans="1:133" hidden="1" outlineLevel="1">
      <c r="C167" s="1367" t="s">
        <v>677</v>
      </c>
      <c r="D167" s="1367"/>
      <c r="E167" s="1367"/>
      <c r="F167" s="1367"/>
      <c r="G167" s="1367"/>
      <c r="H167" s="1367"/>
      <c r="I167" s="1367"/>
      <c r="J167" s="1367"/>
      <c r="K167" s="1367"/>
      <c r="L167" s="1367"/>
      <c r="M167" s="1367"/>
      <c r="N167" s="1367"/>
      <c r="O167" s="1367"/>
      <c r="P167" s="1367"/>
      <c r="Q167" s="1367"/>
      <c r="R167" s="1367"/>
      <c r="S167" s="1367"/>
      <c r="T167" s="1367"/>
      <c r="U167" s="1367"/>
      <c r="V167" s="1367"/>
      <c r="W167" s="1367"/>
      <c r="X167" s="1367"/>
      <c r="Y167" s="1367"/>
      <c r="Z167" s="1367"/>
      <c r="AA167" s="1367"/>
      <c r="AB167" s="1367"/>
      <c r="AC167" s="1367"/>
      <c r="AD167" s="1367"/>
      <c r="AE167" s="1367"/>
      <c r="AF167" s="1367"/>
      <c r="AG167" s="1367"/>
      <c r="AH167" s="1367"/>
      <c r="AI167" s="1367"/>
      <c r="AJ167" s="1367"/>
      <c r="AK167" s="1367"/>
      <c r="AL167" s="1367"/>
      <c r="AM167" s="1367"/>
      <c r="AN167" s="1367"/>
      <c r="AO167" s="1367"/>
      <c r="AP167" s="1367"/>
      <c r="AQ167" s="1367"/>
      <c r="AR167" s="1367"/>
      <c r="AS167" s="1367"/>
      <c r="AT167" s="1367"/>
      <c r="AU167" s="1367"/>
      <c r="AV167" s="1367"/>
      <c r="AW167" s="1367"/>
      <c r="AX167" s="1367"/>
      <c r="AY167" s="1367"/>
      <c r="AZ167" s="1367"/>
      <c r="BA167" s="1367"/>
      <c r="BB167" s="1367"/>
      <c r="BC167" s="1367"/>
      <c r="BD167" s="1367"/>
      <c r="BE167" s="1367"/>
      <c r="BF167" s="1367"/>
      <c r="BG167" s="1367"/>
      <c r="BH167" s="1367"/>
      <c r="BI167" s="1367"/>
      <c r="BJ167" s="1367"/>
      <c r="BK167" s="1367"/>
      <c r="BL167" s="1367"/>
      <c r="BM167" s="1367"/>
      <c r="BN167" s="1367"/>
      <c r="BO167" s="1367"/>
      <c r="BP167" s="1367"/>
      <c r="BQ167" s="1367"/>
      <c r="BR167" s="1367"/>
      <c r="BS167" s="1367"/>
      <c r="BT167" s="1374">
        <f t="shared" ref="BT167" si="1176">+BT$27*BT168</f>
        <v>24.75</v>
      </c>
      <c r="BU167" s="1375">
        <f>+BT167</f>
        <v>24.75</v>
      </c>
      <c r="BV167" s="1374">
        <f t="shared" ref="BV167" si="1177">+BV$27*BV168</f>
        <v>32.991749999999996</v>
      </c>
      <c r="BW167" s="1374">
        <f t="shared" ref="BW167" si="1178">+BW$27*BW168</f>
        <v>42</v>
      </c>
      <c r="BX167" s="1374">
        <f t="shared" ref="BX167" si="1179">+BX$27*BX168</f>
        <v>48</v>
      </c>
      <c r="BY167" s="1374">
        <f t="shared" ref="BY167" si="1180">+BY$27*BY168</f>
        <v>56.625</v>
      </c>
      <c r="BZ167" s="1375">
        <f t="shared" ref="BZ167" si="1181">+BY167</f>
        <v>56.625</v>
      </c>
      <c r="CA167" s="1374">
        <f t="shared" ref="CA167" si="1182">+CA$27*CA168</f>
        <v>62.999999999999986</v>
      </c>
      <c r="CB167" s="1374">
        <f t="shared" ref="CB167" si="1183">+CB$27*CB168</f>
        <v>74.999999999999986</v>
      </c>
      <c r="CC167" s="1374">
        <f t="shared" ref="CC167" si="1184">+CC$27*CC168</f>
        <v>85.499999999999986</v>
      </c>
      <c r="CD167" s="1374">
        <f t="shared" ref="CD167" si="1185">+CD$27*CD168</f>
        <v>91.35</v>
      </c>
      <c r="CE167" s="1375">
        <f t="shared" ref="CE167" si="1186">+CD167</f>
        <v>91.35</v>
      </c>
      <c r="CF167" s="1374">
        <f t="shared" ref="CF167" si="1187">+CF$27*CF168</f>
        <v>97.5</v>
      </c>
      <c r="CG167" s="1374">
        <f t="shared" ref="CG167" si="1188">+CG$27*CG168</f>
        <v>105</v>
      </c>
      <c r="CH167" s="1374">
        <f t="shared" ref="CH167" si="1189">+CH$27*CH168</f>
        <v>113.99999999999999</v>
      </c>
      <c r="CI167" s="1374">
        <f t="shared" ref="CI167" si="1190">+CI$27*CI168</f>
        <v>123</v>
      </c>
      <c r="CJ167" s="1375">
        <f t="shared" ref="CJ167" si="1191">+CI167</f>
        <v>123</v>
      </c>
      <c r="CK167" s="1374">
        <f t="shared" ref="CK167" si="1192">+CK$27*CK168</f>
        <v>127.5</v>
      </c>
      <c r="CL167" s="1374">
        <f t="shared" ref="CL167" si="1193">+CL$27*CL168</f>
        <v>135</v>
      </c>
      <c r="CM167" s="1374">
        <f t="shared" ref="CM167" si="1194">+CM$27*CM168</f>
        <v>142.5</v>
      </c>
      <c r="CN167" s="1374">
        <f t="shared" ref="CN167" si="1195">+CN$27*CN168</f>
        <v>160.35</v>
      </c>
      <c r="CO167" s="1375">
        <f t="shared" ref="CO167" si="1196">+CN167</f>
        <v>160.35</v>
      </c>
      <c r="CP167" s="1374">
        <f t="shared" ref="CP167" si="1197">+CP$27*CP168</f>
        <v>165</v>
      </c>
      <c r="CQ167" s="1374">
        <f t="shared" ref="CQ167" si="1198">+CQ$27*CQ168</f>
        <v>184.80000000000004</v>
      </c>
      <c r="CR167" s="1374">
        <f t="shared" ref="CR167" si="1199">+CR$27*CR168</f>
        <v>219.02222222222224</v>
      </c>
      <c r="CS167" s="1374">
        <f t="shared" ref="CS167" si="1200">+CS$27*CS168</f>
        <v>262.34999999999997</v>
      </c>
      <c r="CT167" s="1375">
        <f t="shared" ref="CT167" si="1201">+CS167</f>
        <v>262.34999999999997</v>
      </c>
      <c r="CU167" s="1374">
        <f t="shared" ref="CU167" si="1202">+CU$27*CU168</f>
        <v>272.84399999999999</v>
      </c>
      <c r="CV167" s="1374">
        <f t="shared" ref="CV167" si="1203">+CV$27*CV168</f>
        <v>283.75776000000002</v>
      </c>
      <c r="CW167" s="1374">
        <f t="shared" ref="CW167" si="1204">+CW$27*CW168</f>
        <v>295.10807040000003</v>
      </c>
      <c r="CX167" s="1374">
        <f t="shared" ref="CX167" si="1205">+CX$27*CX168</f>
        <v>309.45</v>
      </c>
      <c r="CY167" s="1375">
        <f t="shared" ref="CY167" si="1206">+CX167</f>
        <v>309.45</v>
      </c>
      <c r="CZ167" s="1374">
        <f t="shared" ref="CZ167" si="1207">+CZ$27*CZ168</f>
        <v>312.54450000000003</v>
      </c>
      <c r="DA167" s="1374">
        <f t="shared" ref="DA167" si="1208">+DA$27*DA168</f>
        <v>315.66994499999998</v>
      </c>
      <c r="DB167" s="1374">
        <f t="shared" ref="DB167" si="1209">+DB$27*DB168</f>
        <v>318.82664445</v>
      </c>
      <c r="DC167" s="1374">
        <f t="shared" ref="DC167" si="1210">+DC$27*DC168</f>
        <v>366.65064111750002</v>
      </c>
      <c r="DD167" s="1375">
        <f t="shared" ref="DD167" si="1211">+DC167</f>
        <v>366.65064111750002</v>
      </c>
      <c r="DE167" s="1374">
        <f>+DE$27*DE168</f>
        <v>421.64823728512494</v>
      </c>
      <c r="DF167" s="1374">
        <f>+DF$27*DF168</f>
        <v>442.73064914938124</v>
      </c>
      <c r="DG167" s="1374">
        <f>+DG$27*DG168</f>
        <v>447.15795564087506</v>
      </c>
      <c r="DH167" s="1374">
        <f>+DH$27*DH168</f>
        <v>458.33690453189683</v>
      </c>
      <c r="DI167" s="1375">
        <f t="shared" ref="DI167" si="1212">+DH167</f>
        <v>458.33690453189683</v>
      </c>
      <c r="DJ167" s="1374">
        <f>+DJ$27*DJ168</f>
        <v>469.79532714519422</v>
      </c>
      <c r="DK167" s="1374">
        <f>+DK$27*DK168</f>
        <v>481.540210323824</v>
      </c>
      <c r="DL167" s="1374">
        <f>+DL$27*DL168</f>
        <v>493.5787155819196</v>
      </c>
      <c r="DM167" s="1374">
        <f>+DM$27*DM168</f>
        <v>505.91818347146756</v>
      </c>
      <c r="DN167" s="1375">
        <f t="shared" ref="DN167" si="1213">+DM167</f>
        <v>505.91818347146756</v>
      </c>
      <c r="DO167" s="1374">
        <f t="shared" ref="DO167" si="1214">+DO$27*DO168</f>
        <v>518.56613805825418</v>
      </c>
      <c r="DP167" s="1374">
        <f t="shared" ref="DP167" si="1215">+DP$27*DP168</f>
        <v>531.53029150971054</v>
      </c>
      <c r="DQ167" s="1374">
        <f t="shared" ref="DQ167" si="1216">+DQ$27*DQ168</f>
        <v>544.81854879745322</v>
      </c>
      <c r="DR167" s="1374">
        <f t="shared" ref="DR167" si="1217">+DR$27*DR168</f>
        <v>558.43901251738953</v>
      </c>
      <c r="DS167" s="1375">
        <f t="shared" ref="DS167" si="1218">+DR167</f>
        <v>558.43901251738953</v>
      </c>
      <c r="DT167" s="1374">
        <f t="shared" ref="DT167" si="1219">+DT$27*DT168</f>
        <v>572.39998783032422</v>
      </c>
      <c r="DU167" s="1374">
        <f t="shared" ref="DU167" si="1220">+DU$27*DU168</f>
        <v>586.70998752608227</v>
      </c>
      <c r="DV167" s="1374">
        <f t="shared" ref="DV167" si="1221">+DV$27*DV168</f>
        <v>601.37773721423423</v>
      </c>
      <c r="DW167" s="1374">
        <f t="shared" ref="DW167" si="1222">+DW$27*DW168</f>
        <v>616.41218064459008</v>
      </c>
      <c r="DX167" s="1375">
        <f t="shared" ref="DX167" si="1223">+DW167</f>
        <v>616.41218064459008</v>
      </c>
      <c r="DY167" s="1374">
        <f t="shared" ref="DY167" si="1224">+DY$27*DY168</f>
        <v>631.82248516070479</v>
      </c>
      <c r="DZ167" s="1374">
        <f t="shared" ref="DZ167" si="1225">+DZ$27*DZ168</f>
        <v>647.61804728972231</v>
      </c>
      <c r="EA167" s="1374">
        <f t="shared" ref="EA167" si="1226">+EA$27*EA168</f>
        <v>663.80849847196532</v>
      </c>
      <c r="EB167" s="1374">
        <f t="shared" ref="EB167" si="1227">+EB$27*EB168</f>
        <v>680.40371093376439</v>
      </c>
      <c r="EC167" s="1375">
        <f t="shared" ref="EC167" si="1228">+EB167</f>
        <v>680.40371093376439</v>
      </c>
    </row>
    <row r="168" spans="1:133" hidden="1" outlineLevel="1">
      <c r="C168" s="1376" t="s">
        <v>664</v>
      </c>
      <c r="D168" s="1377"/>
      <c r="E168" s="1377"/>
      <c r="F168" s="1377"/>
      <c r="G168" s="1377"/>
      <c r="H168" s="1377"/>
      <c r="I168" s="1377"/>
      <c r="J168" s="1377"/>
      <c r="K168" s="1377"/>
      <c r="L168" s="1377"/>
      <c r="M168" s="1377"/>
      <c r="N168" s="1377"/>
      <c r="O168" s="1377"/>
      <c r="P168" s="1377"/>
      <c r="Q168" s="1377"/>
      <c r="R168" s="1377"/>
      <c r="S168" s="1377"/>
      <c r="T168" s="1377"/>
      <c r="U168" s="1377"/>
      <c r="V168" s="1377"/>
      <c r="W168" s="1377"/>
      <c r="X168" s="1377"/>
      <c r="Y168" s="1377"/>
      <c r="Z168" s="1377"/>
      <c r="AA168" s="1377"/>
      <c r="AB168" s="1377"/>
      <c r="AC168" s="1377"/>
      <c r="AD168" s="1377"/>
      <c r="AE168" s="1377"/>
      <c r="AF168" s="1377"/>
      <c r="AG168" s="1377"/>
      <c r="AH168" s="1377"/>
      <c r="AI168" s="1377"/>
      <c r="AJ168" s="1377"/>
      <c r="AK168" s="1377"/>
      <c r="AL168" s="1377"/>
      <c r="AM168" s="1377"/>
      <c r="AN168" s="1377"/>
      <c r="AO168" s="1377"/>
      <c r="AP168" s="1377"/>
      <c r="AQ168" s="1377"/>
      <c r="AR168" s="1377"/>
      <c r="AS168" s="1377"/>
      <c r="AT168" s="1377"/>
      <c r="AU168" s="1377"/>
      <c r="AV168" s="1377"/>
      <c r="AW168" s="1377"/>
      <c r="AX168" s="1377"/>
      <c r="AY168" s="1377"/>
      <c r="AZ168" s="1377"/>
      <c r="BA168" s="1377"/>
      <c r="BB168" s="1377"/>
      <c r="BC168" s="1377"/>
      <c r="BD168" s="1377"/>
      <c r="BE168" s="1377"/>
      <c r="BF168" s="1377"/>
      <c r="BG168" s="1377"/>
      <c r="BH168" s="1377"/>
      <c r="BI168" s="1377"/>
      <c r="BJ168" s="1377"/>
      <c r="BK168" s="1377"/>
      <c r="BL168" s="1377"/>
      <c r="BM168" s="1377"/>
      <c r="BN168" s="1377"/>
      <c r="BO168" s="1377"/>
      <c r="BP168" s="1377"/>
      <c r="BQ168" s="1377"/>
      <c r="BR168" s="1377"/>
      <c r="BS168" s="1377"/>
      <c r="BT168" s="1378">
        <v>0.15</v>
      </c>
      <c r="BU168" s="1379">
        <f>+BU167/BU$27</f>
        <v>0.15</v>
      </c>
      <c r="BV168" s="1378">
        <v>0.15</v>
      </c>
      <c r="BW168" s="1378">
        <v>0.15</v>
      </c>
      <c r="BX168" s="1378">
        <v>0.15</v>
      </c>
      <c r="BY168" s="1378">
        <v>0.15</v>
      </c>
      <c r="BZ168" s="1379">
        <f t="shared" ref="BZ168" si="1229">+BZ167/BZ$27</f>
        <v>0.15</v>
      </c>
      <c r="CA168" s="1378">
        <v>0.15</v>
      </c>
      <c r="CB168" s="1378">
        <v>0.15</v>
      </c>
      <c r="CC168" s="1378">
        <v>0.15</v>
      </c>
      <c r="CD168" s="1378">
        <v>0.15</v>
      </c>
      <c r="CE168" s="1379">
        <f t="shared" ref="CE168" si="1230">+CE167/CE$27</f>
        <v>0.15</v>
      </c>
      <c r="CF168" s="1378">
        <v>0.15</v>
      </c>
      <c r="CG168" s="1378">
        <v>0.15</v>
      </c>
      <c r="CH168" s="1378">
        <v>0.15</v>
      </c>
      <c r="CI168" s="1378">
        <v>0.15</v>
      </c>
      <c r="CJ168" s="1379">
        <f t="shared" ref="CJ168" si="1231">+CJ167/CJ$27</f>
        <v>0.15</v>
      </c>
      <c r="CK168" s="1378">
        <v>0.15</v>
      </c>
      <c r="CL168" s="1378">
        <v>0.15</v>
      </c>
      <c r="CM168" s="1378">
        <v>0.15</v>
      </c>
      <c r="CN168" s="1378">
        <v>0.15</v>
      </c>
      <c r="CO168" s="1379">
        <f t="shared" ref="CO168" si="1232">+CO167/CO$27</f>
        <v>0.16034999999999999</v>
      </c>
      <c r="CP168" s="1378">
        <v>0.15</v>
      </c>
      <c r="CQ168" s="1378">
        <v>0.15</v>
      </c>
      <c r="CR168" s="1378">
        <v>0.15</v>
      </c>
      <c r="CS168" s="1378">
        <v>0.15</v>
      </c>
      <c r="CT168" s="1379">
        <f t="shared" ref="CT168" si="1233">+CT167/CT$27</f>
        <v>0.14999999999999997</v>
      </c>
      <c r="CU168" s="1378">
        <v>0.15</v>
      </c>
      <c r="CV168" s="1378">
        <v>0.15</v>
      </c>
      <c r="CW168" s="1378">
        <v>0.15</v>
      </c>
      <c r="CX168" s="1378">
        <v>0.15</v>
      </c>
      <c r="CY168" s="1379">
        <f t="shared" ref="CY168" si="1234">+CY167/CY$27</f>
        <v>0.15</v>
      </c>
      <c r="CZ168" s="1378">
        <v>0.15</v>
      </c>
      <c r="DA168" s="1378">
        <v>0.15</v>
      </c>
      <c r="DB168" s="1378">
        <v>0.15</v>
      </c>
      <c r="DC168" s="1378">
        <v>0.15</v>
      </c>
      <c r="DD168" s="1379">
        <f t="shared" ref="DD168" si="1235">+DD167/DD$27</f>
        <v>0.15</v>
      </c>
      <c r="DE168" s="1378">
        <v>0.15</v>
      </c>
      <c r="DF168" s="1378">
        <v>0.15</v>
      </c>
      <c r="DG168" s="1378">
        <v>0.15</v>
      </c>
      <c r="DH168" s="1378">
        <v>0.15</v>
      </c>
      <c r="DI168" s="1379">
        <f t="shared" ref="DI168" si="1236">+DI167/DI$27</f>
        <v>0.15</v>
      </c>
      <c r="DJ168" s="1378">
        <v>0.15</v>
      </c>
      <c r="DK168" s="1378">
        <v>0.15</v>
      </c>
      <c r="DL168" s="1378">
        <v>0.15</v>
      </c>
      <c r="DM168" s="1380">
        <v>0.15</v>
      </c>
      <c r="DN168" s="1379">
        <f t="shared" ref="DN168" si="1237">+DN167/DN$27</f>
        <v>0.15</v>
      </c>
      <c r="DO168" s="1380">
        <v>0.15</v>
      </c>
      <c r="DP168" s="1380">
        <v>0.15</v>
      </c>
      <c r="DQ168" s="1380">
        <v>0.15</v>
      </c>
      <c r="DR168" s="1380">
        <v>0.15</v>
      </c>
      <c r="DS168" s="1379">
        <f t="shared" ref="DS168" si="1238">+DS167/DS$27</f>
        <v>0.15</v>
      </c>
      <c r="DT168" s="1380">
        <v>0.15</v>
      </c>
      <c r="DU168" s="1380">
        <v>0.15</v>
      </c>
      <c r="DV168" s="1380">
        <v>0.15</v>
      </c>
      <c r="DW168" s="1380">
        <v>0.15</v>
      </c>
      <c r="DX168" s="1379">
        <f t="shared" ref="DX168" si="1239">+DX167/DX$27</f>
        <v>0.15</v>
      </c>
      <c r="DY168" s="1380">
        <v>0.15</v>
      </c>
      <c r="DZ168" s="1380">
        <v>0.15</v>
      </c>
      <c r="EA168" s="1380">
        <v>0.15</v>
      </c>
      <c r="EB168" s="1380">
        <v>0.15</v>
      </c>
      <c r="EC168" s="1379">
        <f t="shared" ref="EC168" si="1240">+EC167/EC$27</f>
        <v>0.15</v>
      </c>
    </row>
    <row r="169" spans="1:133" hidden="1" outlineLevel="1">
      <c r="C169" s="1381" t="s">
        <v>667</v>
      </c>
      <c r="BT169" s="1382">
        <v>0.5</v>
      </c>
      <c r="BU169" s="1383">
        <f t="shared" ref="BU169" si="1241">+BU170/BU167</f>
        <v>0.5</v>
      </c>
      <c r="BV169" s="1382">
        <v>0.5</v>
      </c>
      <c r="BW169" s="1382">
        <v>0.5</v>
      </c>
      <c r="BX169" s="1382">
        <v>0.5</v>
      </c>
      <c r="BY169" s="1382">
        <v>0.5</v>
      </c>
      <c r="BZ169" s="1383">
        <f t="shared" ref="BZ169" si="1242">+BZ170/BZ167</f>
        <v>0.5</v>
      </c>
      <c r="CA169" s="1382">
        <v>0.5</v>
      </c>
      <c r="CB169" s="1382">
        <v>0.5</v>
      </c>
      <c r="CC169" s="1382">
        <v>0.5</v>
      </c>
      <c r="CD169" s="1382">
        <v>0.5</v>
      </c>
      <c r="CE169" s="1383">
        <f t="shared" ref="CE169" si="1243">+CE170/CE167</f>
        <v>0.5</v>
      </c>
      <c r="CF169" s="1382">
        <v>0.5</v>
      </c>
      <c r="CG169" s="1382">
        <v>0.5</v>
      </c>
      <c r="CH169" s="1382">
        <v>0.5</v>
      </c>
      <c r="CI169" s="1382">
        <v>0.5</v>
      </c>
      <c r="CJ169" s="1383">
        <f t="shared" ref="CJ169" si="1244">+CJ170/CJ167</f>
        <v>0.5</v>
      </c>
      <c r="CK169" s="1382">
        <v>0.5</v>
      </c>
      <c r="CL169" s="1382">
        <v>0.5</v>
      </c>
      <c r="CM169" s="1382">
        <v>0.5</v>
      </c>
      <c r="CN169" s="1382">
        <v>0.5</v>
      </c>
      <c r="CO169" s="1383">
        <f t="shared" ref="CO169" si="1245">+CO170/CO167</f>
        <v>0.5</v>
      </c>
      <c r="CP169" s="1382">
        <v>0.5</v>
      </c>
      <c r="CQ169" s="1382">
        <v>0.5</v>
      </c>
      <c r="CR169" s="1382">
        <v>0.5</v>
      </c>
      <c r="CS169" s="1382">
        <v>0.5</v>
      </c>
      <c r="CT169" s="1383">
        <f t="shared" ref="CT169" si="1246">+CT170/CT167</f>
        <v>0.5</v>
      </c>
      <c r="CU169" s="1382">
        <v>0.5</v>
      </c>
      <c r="CV169" s="1382">
        <v>0.5</v>
      </c>
      <c r="CW169" s="1382">
        <v>0.5</v>
      </c>
      <c r="CX169" s="1382">
        <v>0.5</v>
      </c>
      <c r="CY169" s="1383">
        <f t="shared" ref="CY169" si="1247">+CY170/CY167</f>
        <v>0.5</v>
      </c>
      <c r="CZ169" s="1382">
        <v>0.5</v>
      </c>
      <c r="DA169" s="1382">
        <v>0.5</v>
      </c>
      <c r="DB169" s="1382">
        <v>0.5</v>
      </c>
      <c r="DC169" s="1382">
        <v>0.5</v>
      </c>
      <c r="DD169" s="1383">
        <f t="shared" ref="DD169" si="1248">+DD170/DD167</f>
        <v>0.5</v>
      </c>
      <c r="DE169" s="1382">
        <v>0.5</v>
      </c>
      <c r="DF169" s="1382">
        <v>0.5</v>
      </c>
      <c r="DG169" s="1382">
        <v>0.5</v>
      </c>
      <c r="DH169" s="1382">
        <v>0.5</v>
      </c>
      <c r="DI169" s="1383">
        <f>+DI170/DI167</f>
        <v>0.5</v>
      </c>
      <c r="DJ169" s="1382">
        <v>0.5</v>
      </c>
      <c r="DK169" s="1382">
        <v>0.5</v>
      </c>
      <c r="DL169" s="1382">
        <v>0.5</v>
      </c>
      <c r="DM169" s="1384">
        <v>0.5</v>
      </c>
      <c r="DN169" s="1383">
        <f>+DN170/DN167</f>
        <v>0.5</v>
      </c>
      <c r="DO169" s="1384">
        <v>0.5</v>
      </c>
      <c r="DP169" s="1384">
        <v>0.5</v>
      </c>
      <c r="DQ169" s="1384">
        <v>0.5</v>
      </c>
      <c r="DR169" s="1384">
        <v>0.5</v>
      </c>
      <c r="DS169" s="1383">
        <f>+DS170/DS167</f>
        <v>0.5</v>
      </c>
      <c r="DT169" s="1384">
        <v>0.5</v>
      </c>
      <c r="DU169" s="1384">
        <v>0.5</v>
      </c>
      <c r="DV169" s="1384">
        <v>0.5</v>
      </c>
      <c r="DW169" s="1384">
        <v>0.5</v>
      </c>
      <c r="DX169" s="1383">
        <f>+DX170/DX167</f>
        <v>0.5</v>
      </c>
      <c r="DY169" s="1384">
        <v>0.5</v>
      </c>
      <c r="DZ169" s="1384">
        <v>0.5</v>
      </c>
      <c r="EA169" s="1384">
        <v>0.5</v>
      </c>
      <c r="EB169" s="1384">
        <v>0.5</v>
      </c>
      <c r="EC169" s="1383">
        <f>+EC170/EC167</f>
        <v>0.5</v>
      </c>
    </row>
    <row r="170" spans="1:133" hidden="1" outlineLevel="1">
      <c r="C170" s="1385" t="s">
        <v>671</v>
      </c>
      <c r="D170" s="1371"/>
      <c r="E170" s="1371"/>
      <c r="F170" s="1371"/>
      <c r="G170" s="1371"/>
      <c r="H170" s="1371"/>
      <c r="I170" s="1371"/>
      <c r="J170" s="1371"/>
      <c r="K170" s="1371"/>
      <c r="L170" s="1371"/>
      <c r="M170" s="1371"/>
      <c r="N170" s="1371"/>
      <c r="O170" s="1371"/>
      <c r="P170" s="1371"/>
      <c r="Q170" s="1371"/>
      <c r="R170" s="1371"/>
      <c r="S170" s="1371"/>
      <c r="T170" s="1371"/>
      <c r="U170" s="1371"/>
      <c r="V170" s="1371"/>
      <c r="W170" s="1371"/>
      <c r="X170" s="1371"/>
      <c r="Y170" s="1371"/>
      <c r="Z170" s="1371"/>
      <c r="AA170" s="1371"/>
      <c r="AB170" s="1371"/>
      <c r="AC170" s="1371"/>
      <c r="AD170" s="1371"/>
      <c r="AE170" s="1371"/>
      <c r="AF170" s="1371"/>
      <c r="AG170" s="1371"/>
      <c r="AH170" s="1371"/>
      <c r="AI170" s="1371"/>
      <c r="AJ170" s="1371"/>
      <c r="AK170" s="1371"/>
      <c r="AL170" s="1371"/>
      <c r="AM170" s="1371"/>
      <c r="AN170" s="1371"/>
      <c r="AO170" s="1371"/>
      <c r="AP170" s="1371"/>
      <c r="AQ170" s="1371"/>
      <c r="AR170" s="1371"/>
      <c r="AS170" s="1371"/>
      <c r="AT170" s="1371"/>
      <c r="AU170" s="1371"/>
      <c r="AV170" s="1371"/>
      <c r="AW170" s="1371"/>
      <c r="AX170" s="1371"/>
      <c r="AY170" s="1371"/>
      <c r="AZ170" s="1371"/>
      <c r="BA170" s="1371"/>
      <c r="BB170" s="1371"/>
      <c r="BC170" s="1371"/>
      <c r="BD170" s="1371"/>
      <c r="BE170" s="1371"/>
      <c r="BF170" s="1371"/>
      <c r="BG170" s="1371"/>
      <c r="BH170" s="1371"/>
      <c r="BI170" s="1371"/>
      <c r="BJ170" s="1371"/>
      <c r="BK170" s="1371"/>
      <c r="BL170" s="1371"/>
      <c r="BM170" s="1371"/>
      <c r="BN170" s="1371"/>
      <c r="BO170" s="1371"/>
      <c r="BP170" s="1371"/>
      <c r="BQ170" s="1371"/>
      <c r="BR170" s="1371"/>
      <c r="BS170" s="1371"/>
      <c r="BT170" s="1386">
        <f t="shared" ref="BT170" si="1249">+BT167*BT169</f>
        <v>12.375</v>
      </c>
      <c r="BU170" s="1387">
        <f t="shared" ref="BU170:BU175" si="1250">+BT170</f>
        <v>12.375</v>
      </c>
      <c r="BV170" s="1386">
        <f t="shared" ref="BV170" si="1251">+BV167*BV169</f>
        <v>16.495874999999998</v>
      </c>
      <c r="BW170" s="1386">
        <f t="shared" ref="BW170" si="1252">+BW167*BW169</f>
        <v>21</v>
      </c>
      <c r="BX170" s="1386">
        <f t="shared" ref="BX170" si="1253">+BX167*BX169</f>
        <v>24</v>
      </c>
      <c r="BY170" s="1386">
        <f t="shared" ref="BY170" si="1254">+BY167*BY169</f>
        <v>28.3125</v>
      </c>
      <c r="BZ170" s="1387">
        <f t="shared" ref="BZ170" si="1255">+BY170</f>
        <v>28.3125</v>
      </c>
      <c r="CA170" s="1386">
        <f t="shared" ref="CA170" si="1256">+CA167*CA169</f>
        <v>31.499999999999993</v>
      </c>
      <c r="CB170" s="1386">
        <f t="shared" ref="CB170" si="1257">+CB167*CB169</f>
        <v>37.499999999999993</v>
      </c>
      <c r="CC170" s="1386">
        <f t="shared" ref="CC170" si="1258">+CC167*CC169</f>
        <v>42.749999999999993</v>
      </c>
      <c r="CD170" s="1386">
        <f t="shared" ref="CD170" si="1259">+CD167*CD169</f>
        <v>45.674999999999997</v>
      </c>
      <c r="CE170" s="1387">
        <f t="shared" ref="CE170" si="1260">+CD170</f>
        <v>45.674999999999997</v>
      </c>
      <c r="CF170" s="1386">
        <f t="shared" ref="CF170" si="1261">+CF167*CF169</f>
        <v>48.75</v>
      </c>
      <c r="CG170" s="1386">
        <f t="shared" ref="CG170" si="1262">+CG167*CG169</f>
        <v>52.5</v>
      </c>
      <c r="CH170" s="1386">
        <f t="shared" ref="CH170" si="1263">+CH167*CH169</f>
        <v>56.999999999999993</v>
      </c>
      <c r="CI170" s="1386">
        <f t="shared" ref="CI170" si="1264">+CI167*CI169</f>
        <v>61.5</v>
      </c>
      <c r="CJ170" s="1387">
        <f t="shared" ref="CJ170" si="1265">+CI170</f>
        <v>61.5</v>
      </c>
      <c r="CK170" s="1386">
        <f t="shared" ref="CK170" si="1266">+CK167*CK169</f>
        <v>63.75</v>
      </c>
      <c r="CL170" s="1386">
        <f t="shared" ref="CL170" si="1267">+CL167*CL169</f>
        <v>67.5</v>
      </c>
      <c r="CM170" s="1386">
        <f t="shared" ref="CM170" si="1268">+CM167*CM169</f>
        <v>71.25</v>
      </c>
      <c r="CN170" s="1386">
        <f t="shared" ref="CN170" si="1269">+CN167*CN169</f>
        <v>80.174999999999997</v>
      </c>
      <c r="CO170" s="1387">
        <f t="shared" ref="CO170" si="1270">+CN170</f>
        <v>80.174999999999997</v>
      </c>
      <c r="CP170" s="1386">
        <f t="shared" ref="CP170" si="1271">+CP167*CP169</f>
        <v>82.5</v>
      </c>
      <c r="CQ170" s="1386">
        <f t="shared" ref="CQ170" si="1272">+CQ167*CQ169</f>
        <v>92.40000000000002</v>
      </c>
      <c r="CR170" s="1386">
        <f t="shared" ref="CR170" si="1273">+CR167*CR169</f>
        <v>109.51111111111112</v>
      </c>
      <c r="CS170" s="1386">
        <f t="shared" ref="CS170" si="1274">+CS167*CS169</f>
        <v>131.17499999999998</v>
      </c>
      <c r="CT170" s="1387">
        <f t="shared" ref="CT170" si="1275">+CS170</f>
        <v>131.17499999999998</v>
      </c>
      <c r="CU170" s="1386">
        <f t="shared" ref="CU170" si="1276">+CU167*CU169</f>
        <v>136.422</v>
      </c>
      <c r="CV170" s="1386">
        <f t="shared" ref="CV170" si="1277">+CV167*CV169</f>
        <v>141.87888000000001</v>
      </c>
      <c r="CW170" s="1386">
        <f t="shared" ref="CW170" si="1278">+CW167*CW169</f>
        <v>147.55403520000002</v>
      </c>
      <c r="CX170" s="1386">
        <f t="shared" ref="CX170" si="1279">+CX167*CX169</f>
        <v>154.72499999999999</v>
      </c>
      <c r="CY170" s="1387">
        <f t="shared" ref="CY170" si="1280">+CX170</f>
        <v>154.72499999999999</v>
      </c>
      <c r="CZ170" s="1386">
        <f t="shared" ref="CZ170" si="1281">+CZ167*CZ169</f>
        <v>156.27225000000001</v>
      </c>
      <c r="DA170" s="1386">
        <f t="shared" ref="DA170" si="1282">+DA167*DA169</f>
        <v>157.83497249999999</v>
      </c>
      <c r="DB170" s="1386">
        <f t="shared" ref="DB170" si="1283">+DB167*DB169</f>
        <v>159.413322225</v>
      </c>
      <c r="DC170" s="1386">
        <f t="shared" ref="DC170" si="1284">+DC167*DC169</f>
        <v>183.32532055875001</v>
      </c>
      <c r="DD170" s="1387">
        <f t="shared" ref="DD170:DD175" si="1285">+DC170</f>
        <v>183.32532055875001</v>
      </c>
      <c r="DE170" s="1386">
        <f>+DE167*DE169</f>
        <v>210.82411864256247</v>
      </c>
      <c r="DF170" s="1386">
        <f>+DF167*DF169</f>
        <v>221.36532457469062</v>
      </c>
      <c r="DG170" s="1386">
        <f>+DG167*DG169</f>
        <v>223.57897782043753</v>
      </c>
      <c r="DH170" s="1386">
        <f>+DH167*DH169</f>
        <v>229.16845226594842</v>
      </c>
      <c r="DI170" s="1387">
        <f t="shared" ref="DI170:DI175" si="1286">+DH170</f>
        <v>229.16845226594842</v>
      </c>
      <c r="DJ170" s="1386">
        <f>+DJ167*DJ169</f>
        <v>234.89766357259711</v>
      </c>
      <c r="DK170" s="1386">
        <f>+DK167*DK169</f>
        <v>240.770105161912</v>
      </c>
      <c r="DL170" s="1386">
        <f>+DL167*DL169</f>
        <v>246.7893577909598</v>
      </c>
      <c r="DM170" s="1386">
        <f>+DM167*DM169</f>
        <v>252.95909173573378</v>
      </c>
      <c r="DN170" s="1387">
        <f t="shared" ref="DN170:DN175" si="1287">+DM170</f>
        <v>252.95909173573378</v>
      </c>
      <c r="DO170" s="1386">
        <f>+DO167*DO169</f>
        <v>259.28306902912709</v>
      </c>
      <c r="DP170" s="1386">
        <f>+DP167*DP169</f>
        <v>265.76514575485527</v>
      </c>
      <c r="DQ170" s="1386">
        <f>+DQ167*DQ169</f>
        <v>272.40927439872661</v>
      </c>
      <c r="DR170" s="1386">
        <f>+DR167*DR169</f>
        <v>279.21950625869476</v>
      </c>
      <c r="DS170" s="1387">
        <f t="shared" ref="DS170:DS175" si="1288">+DR170</f>
        <v>279.21950625869476</v>
      </c>
      <c r="DT170" s="1386">
        <f>+DT167*DT169</f>
        <v>286.19999391516211</v>
      </c>
      <c r="DU170" s="1386">
        <f>+DU167*DU169</f>
        <v>293.35499376304114</v>
      </c>
      <c r="DV170" s="1386">
        <f>+DV167*DV169</f>
        <v>300.68886860711712</v>
      </c>
      <c r="DW170" s="1386">
        <f>+DW167*DW169</f>
        <v>308.20609032229504</v>
      </c>
      <c r="DX170" s="1387">
        <f t="shared" ref="DX170:DX175" si="1289">+DW170</f>
        <v>308.20609032229504</v>
      </c>
      <c r="DY170" s="1386">
        <f>+DY167*DY169</f>
        <v>315.91124258035239</v>
      </c>
      <c r="DZ170" s="1386">
        <f>+DZ167*DZ169</f>
        <v>323.80902364486116</v>
      </c>
      <c r="EA170" s="1386">
        <f>+EA167*EA169</f>
        <v>331.90424923598266</v>
      </c>
      <c r="EB170" s="1386">
        <f>+EB167*EB169</f>
        <v>340.20185546688219</v>
      </c>
      <c r="EC170" s="1387">
        <f t="shared" ref="EC170:EC175" si="1290">+EB170</f>
        <v>340.20185546688219</v>
      </c>
    </row>
    <row r="171" spans="1:133" hidden="1" outlineLevel="1">
      <c r="C171" s="240" t="s">
        <v>665</v>
      </c>
      <c r="BT171" s="1388">
        <v>39</v>
      </c>
      <c r="BU171" s="1389">
        <f t="shared" si="1250"/>
        <v>39</v>
      </c>
      <c r="BV171" s="1388">
        <v>39</v>
      </c>
      <c r="BW171" s="1388">
        <v>39</v>
      </c>
      <c r="BX171" s="1388">
        <v>39</v>
      </c>
      <c r="BY171" s="1388">
        <v>39</v>
      </c>
      <c r="BZ171" s="1389">
        <f t="shared" ref="BZ171" si="1291">+BY171</f>
        <v>39</v>
      </c>
      <c r="CA171" s="1388">
        <v>39</v>
      </c>
      <c r="CB171" s="1388">
        <v>39</v>
      </c>
      <c r="CC171" s="1388">
        <v>39</v>
      </c>
      <c r="CD171" s="1388">
        <v>39</v>
      </c>
      <c r="CE171" s="1389">
        <f t="shared" ref="CE171" si="1292">+CD171</f>
        <v>39</v>
      </c>
      <c r="CF171" s="1388">
        <v>39</v>
      </c>
      <c r="CG171" s="1388">
        <v>39</v>
      </c>
      <c r="CH171" s="1388">
        <v>39</v>
      </c>
      <c r="CI171" s="1388">
        <v>39</v>
      </c>
      <c r="CJ171" s="1389">
        <f t="shared" ref="CJ171" si="1293">+CI171</f>
        <v>39</v>
      </c>
      <c r="CK171" s="1388">
        <v>39</v>
      </c>
      <c r="CL171" s="1388">
        <v>39</v>
      </c>
      <c r="CM171" s="1388">
        <v>39</v>
      </c>
      <c r="CN171" s="1388">
        <v>39</v>
      </c>
      <c r="CO171" s="1389">
        <f t="shared" ref="CO171" si="1294">+CN171</f>
        <v>39</v>
      </c>
      <c r="CP171" s="1388">
        <v>39</v>
      </c>
      <c r="CQ171" s="1388">
        <v>39</v>
      </c>
      <c r="CR171" s="1388">
        <v>39</v>
      </c>
      <c r="CS171" s="1388">
        <v>39</v>
      </c>
      <c r="CT171" s="1389">
        <f t="shared" ref="CT171" si="1295">+CS171</f>
        <v>39</v>
      </c>
      <c r="CU171" s="1388">
        <v>39</v>
      </c>
      <c r="CV171" s="1388">
        <v>39</v>
      </c>
      <c r="CW171" s="1388">
        <v>39</v>
      </c>
      <c r="CX171" s="1388">
        <v>39</v>
      </c>
      <c r="CY171" s="1389">
        <f t="shared" ref="CY171" si="1296">+CX171</f>
        <v>39</v>
      </c>
      <c r="CZ171" s="1388">
        <v>39</v>
      </c>
      <c r="DA171" s="1388">
        <v>39</v>
      </c>
      <c r="DB171" s="1388">
        <v>39</v>
      </c>
      <c r="DC171" s="1388">
        <v>39</v>
      </c>
      <c r="DD171" s="1389">
        <f t="shared" si="1285"/>
        <v>39</v>
      </c>
      <c r="DE171" s="1388">
        <v>39</v>
      </c>
      <c r="DF171" s="1388">
        <v>39</v>
      </c>
      <c r="DG171" s="1388">
        <v>39</v>
      </c>
      <c r="DH171" s="1388">
        <v>39</v>
      </c>
      <c r="DI171" s="1389">
        <f t="shared" si="1286"/>
        <v>39</v>
      </c>
      <c r="DJ171" s="1388">
        <v>39</v>
      </c>
      <c r="DK171" s="1388">
        <v>39</v>
      </c>
      <c r="DL171" s="1388">
        <v>39</v>
      </c>
      <c r="DM171" s="1390">
        <v>39</v>
      </c>
      <c r="DN171" s="1389">
        <f t="shared" si="1287"/>
        <v>39</v>
      </c>
      <c r="DO171" s="1390">
        <v>39</v>
      </c>
      <c r="DP171" s="1390">
        <v>39</v>
      </c>
      <c r="DQ171" s="1390">
        <v>39</v>
      </c>
      <c r="DR171" s="1390">
        <v>39</v>
      </c>
      <c r="DS171" s="1389">
        <f t="shared" si="1288"/>
        <v>39</v>
      </c>
      <c r="DT171" s="1390">
        <v>39</v>
      </c>
      <c r="DU171" s="1390">
        <v>39</v>
      </c>
      <c r="DV171" s="1390">
        <v>39</v>
      </c>
      <c r="DW171" s="1390">
        <v>39</v>
      </c>
      <c r="DX171" s="1389">
        <f t="shared" si="1289"/>
        <v>39</v>
      </c>
      <c r="DY171" s="1390">
        <v>39</v>
      </c>
      <c r="DZ171" s="1390">
        <v>39</v>
      </c>
      <c r="EA171" s="1390">
        <v>39</v>
      </c>
      <c r="EB171" s="1390">
        <v>39</v>
      </c>
      <c r="EC171" s="1389">
        <f t="shared" si="1290"/>
        <v>39</v>
      </c>
    </row>
    <row r="172" spans="1:133" hidden="1" outlineLevel="1">
      <c r="C172" s="1381" t="s">
        <v>668</v>
      </c>
      <c r="BT172" s="1382">
        <v>0.25</v>
      </c>
      <c r="BU172" s="1383">
        <f t="shared" si="1250"/>
        <v>0.25</v>
      </c>
      <c r="BV172" s="1382">
        <v>0.25</v>
      </c>
      <c r="BW172" s="1382">
        <v>0.25</v>
      </c>
      <c r="BX172" s="1382">
        <v>0.25</v>
      </c>
      <c r="BY172" s="1382">
        <v>0.25</v>
      </c>
      <c r="BZ172" s="1383">
        <f t="shared" ref="BZ172" si="1297">+BY172</f>
        <v>0.25</v>
      </c>
      <c r="CA172" s="1382">
        <v>0.25</v>
      </c>
      <c r="CB172" s="1382">
        <v>0.25</v>
      </c>
      <c r="CC172" s="1382">
        <v>0.25</v>
      </c>
      <c r="CD172" s="1382">
        <v>0.25</v>
      </c>
      <c r="CE172" s="1383">
        <f t="shared" ref="CE172" si="1298">+CD172</f>
        <v>0.25</v>
      </c>
      <c r="CF172" s="1382">
        <v>0.25</v>
      </c>
      <c r="CG172" s="1382">
        <v>0.25</v>
      </c>
      <c r="CH172" s="1382">
        <v>0.25</v>
      </c>
      <c r="CI172" s="1382">
        <v>0.25</v>
      </c>
      <c r="CJ172" s="1383">
        <f t="shared" ref="CJ172" si="1299">+CI172</f>
        <v>0.25</v>
      </c>
      <c r="CK172" s="1382">
        <v>0.25</v>
      </c>
      <c r="CL172" s="1382">
        <v>0.25</v>
      </c>
      <c r="CM172" s="1382">
        <v>0.25</v>
      </c>
      <c r="CN172" s="1382">
        <v>0.25</v>
      </c>
      <c r="CO172" s="1383">
        <f t="shared" ref="CO172" si="1300">+CN172</f>
        <v>0.25</v>
      </c>
      <c r="CP172" s="1382">
        <v>0.25</v>
      </c>
      <c r="CQ172" s="1382">
        <v>0.25</v>
      </c>
      <c r="CR172" s="1382">
        <v>0.25</v>
      </c>
      <c r="CS172" s="1382">
        <v>0.25</v>
      </c>
      <c r="CT172" s="1383">
        <f t="shared" ref="CT172" si="1301">+CS172</f>
        <v>0.25</v>
      </c>
      <c r="CU172" s="1382">
        <v>0.25</v>
      </c>
      <c r="CV172" s="1382">
        <v>0.25</v>
      </c>
      <c r="CW172" s="1382">
        <v>0.25</v>
      </c>
      <c r="CX172" s="1382">
        <v>0.25</v>
      </c>
      <c r="CY172" s="1383">
        <f t="shared" ref="CY172" si="1302">+CX172</f>
        <v>0.25</v>
      </c>
      <c r="CZ172" s="1382">
        <v>0.25</v>
      </c>
      <c r="DA172" s="1382">
        <v>0.25</v>
      </c>
      <c r="DB172" s="1382">
        <v>0.25</v>
      </c>
      <c r="DC172" s="1382">
        <v>0.25</v>
      </c>
      <c r="DD172" s="1383">
        <f t="shared" si="1285"/>
        <v>0.25</v>
      </c>
      <c r="DE172" s="1382">
        <v>0.25</v>
      </c>
      <c r="DF172" s="1382">
        <v>0.25</v>
      </c>
      <c r="DG172" s="1382">
        <v>0.25</v>
      </c>
      <c r="DH172" s="1382">
        <v>0.25</v>
      </c>
      <c r="DI172" s="1383">
        <f t="shared" si="1286"/>
        <v>0.25</v>
      </c>
      <c r="DJ172" s="1382">
        <v>0.25</v>
      </c>
      <c r="DK172" s="1382">
        <v>0.25</v>
      </c>
      <c r="DL172" s="1382">
        <v>0.25</v>
      </c>
      <c r="DM172" s="1384">
        <v>0.25</v>
      </c>
      <c r="DN172" s="1383">
        <f t="shared" si="1287"/>
        <v>0.25</v>
      </c>
      <c r="DO172" s="1384">
        <v>0.25</v>
      </c>
      <c r="DP172" s="1384">
        <v>0.25</v>
      </c>
      <c r="DQ172" s="1384">
        <v>0.25</v>
      </c>
      <c r="DR172" s="1384">
        <v>0.25</v>
      </c>
      <c r="DS172" s="1383">
        <f t="shared" si="1288"/>
        <v>0.25</v>
      </c>
      <c r="DT172" s="1384">
        <v>0.25</v>
      </c>
      <c r="DU172" s="1384">
        <v>0.25</v>
      </c>
      <c r="DV172" s="1384">
        <v>0.25</v>
      </c>
      <c r="DW172" s="1384">
        <v>0.25</v>
      </c>
      <c r="DX172" s="1383">
        <f t="shared" si="1289"/>
        <v>0.25</v>
      </c>
      <c r="DY172" s="1384">
        <v>0.25</v>
      </c>
      <c r="DZ172" s="1384">
        <v>0.25</v>
      </c>
      <c r="EA172" s="1384">
        <v>0.25</v>
      </c>
      <c r="EB172" s="1384">
        <v>0.25</v>
      </c>
      <c r="EC172" s="1383">
        <f t="shared" si="1290"/>
        <v>0.25</v>
      </c>
    </row>
    <row r="173" spans="1:133" hidden="1" outlineLevel="1">
      <c r="C173" s="1385" t="s">
        <v>669</v>
      </c>
      <c r="D173" s="1371"/>
      <c r="E173" s="1371"/>
      <c r="F173" s="1371"/>
      <c r="G173" s="1371"/>
      <c r="H173" s="1371"/>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1"/>
      <c r="AJ173" s="1371"/>
      <c r="AK173" s="1371"/>
      <c r="AL173" s="1371"/>
      <c r="AM173" s="1371"/>
      <c r="AN173" s="1371"/>
      <c r="AO173" s="1371"/>
      <c r="AP173" s="1371"/>
      <c r="AQ173" s="1371"/>
      <c r="AR173" s="1371"/>
      <c r="AS173" s="1371"/>
      <c r="AT173" s="1371"/>
      <c r="AU173" s="1371"/>
      <c r="AV173" s="1371"/>
      <c r="AW173" s="1371"/>
      <c r="AX173" s="1371"/>
      <c r="AY173" s="1371"/>
      <c r="AZ173" s="1371"/>
      <c r="BA173" s="1371"/>
      <c r="BB173" s="1371"/>
      <c r="BC173" s="1371"/>
      <c r="BD173" s="1371"/>
      <c r="BE173" s="1371"/>
      <c r="BF173" s="1371"/>
      <c r="BG173" s="1371"/>
      <c r="BH173" s="1371"/>
      <c r="BI173" s="1371"/>
      <c r="BJ173" s="1371"/>
      <c r="BK173" s="1371"/>
      <c r="BL173" s="1371"/>
      <c r="BM173" s="1371"/>
      <c r="BN173" s="1371"/>
      <c r="BO173" s="1371"/>
      <c r="BP173" s="1371"/>
      <c r="BQ173" s="1371"/>
      <c r="BR173" s="1371"/>
      <c r="BS173" s="1371"/>
      <c r="BT173" s="1391">
        <f t="shared" ref="BT173" si="1303">+BT171*(1-BT172)</f>
        <v>29.25</v>
      </c>
      <c r="BU173" s="1392">
        <f t="shared" si="1250"/>
        <v>29.25</v>
      </c>
      <c r="BV173" s="1391">
        <f t="shared" ref="BV173" si="1304">+BV171*(1-BV172)</f>
        <v>29.25</v>
      </c>
      <c r="BW173" s="1391">
        <f t="shared" ref="BW173" si="1305">+BW171*(1-BW172)</f>
        <v>29.25</v>
      </c>
      <c r="BX173" s="1391">
        <f t="shared" ref="BX173" si="1306">+BX171*(1-BX172)</f>
        <v>29.25</v>
      </c>
      <c r="BY173" s="1391">
        <f t="shared" ref="BY173" si="1307">+BY171*(1-BY172)</f>
        <v>29.25</v>
      </c>
      <c r="BZ173" s="1392">
        <f t="shared" ref="BZ173" si="1308">+BY173</f>
        <v>29.25</v>
      </c>
      <c r="CA173" s="1391">
        <f t="shared" ref="CA173" si="1309">+CA171*(1-CA172)</f>
        <v>29.25</v>
      </c>
      <c r="CB173" s="1391">
        <f t="shared" ref="CB173" si="1310">+CB171*(1-CB172)</f>
        <v>29.25</v>
      </c>
      <c r="CC173" s="1391">
        <f t="shared" ref="CC173" si="1311">+CC171*(1-CC172)</f>
        <v>29.25</v>
      </c>
      <c r="CD173" s="1391">
        <f t="shared" ref="CD173" si="1312">+CD171*(1-CD172)</f>
        <v>29.25</v>
      </c>
      <c r="CE173" s="1392">
        <f t="shared" ref="CE173" si="1313">+CD173</f>
        <v>29.25</v>
      </c>
      <c r="CF173" s="1391">
        <f t="shared" ref="CF173" si="1314">+CF171*(1-CF172)</f>
        <v>29.25</v>
      </c>
      <c r="CG173" s="1391">
        <f t="shared" ref="CG173" si="1315">+CG171*(1-CG172)</f>
        <v>29.25</v>
      </c>
      <c r="CH173" s="1391">
        <f t="shared" ref="CH173" si="1316">+CH171*(1-CH172)</f>
        <v>29.25</v>
      </c>
      <c r="CI173" s="1391">
        <f t="shared" ref="CI173" si="1317">+CI171*(1-CI172)</f>
        <v>29.25</v>
      </c>
      <c r="CJ173" s="1392">
        <f t="shared" ref="CJ173" si="1318">+CI173</f>
        <v>29.25</v>
      </c>
      <c r="CK173" s="1391">
        <f t="shared" ref="CK173" si="1319">+CK171*(1-CK172)</f>
        <v>29.25</v>
      </c>
      <c r="CL173" s="1391">
        <f t="shared" ref="CL173" si="1320">+CL171*(1-CL172)</f>
        <v>29.25</v>
      </c>
      <c r="CM173" s="1391">
        <f t="shared" ref="CM173" si="1321">+CM171*(1-CM172)</f>
        <v>29.25</v>
      </c>
      <c r="CN173" s="1391">
        <f t="shared" ref="CN173" si="1322">+CN171*(1-CN172)</f>
        <v>29.25</v>
      </c>
      <c r="CO173" s="1392">
        <f t="shared" ref="CO173" si="1323">+CN173</f>
        <v>29.25</v>
      </c>
      <c r="CP173" s="1391">
        <f t="shared" ref="CP173" si="1324">+CP171*(1-CP172)</f>
        <v>29.25</v>
      </c>
      <c r="CQ173" s="1391">
        <f t="shared" ref="CQ173" si="1325">+CQ171*(1-CQ172)</f>
        <v>29.25</v>
      </c>
      <c r="CR173" s="1391">
        <f t="shared" ref="CR173" si="1326">+CR171*(1-CR172)</f>
        <v>29.25</v>
      </c>
      <c r="CS173" s="1391">
        <f t="shared" ref="CS173" si="1327">+CS171*(1-CS172)</f>
        <v>29.25</v>
      </c>
      <c r="CT173" s="1392">
        <f t="shared" ref="CT173" si="1328">+CS173</f>
        <v>29.25</v>
      </c>
      <c r="CU173" s="1391">
        <f t="shared" ref="CU173" si="1329">+CU171*(1-CU172)</f>
        <v>29.25</v>
      </c>
      <c r="CV173" s="1391">
        <f t="shared" ref="CV173" si="1330">+CV171*(1-CV172)</f>
        <v>29.25</v>
      </c>
      <c r="CW173" s="1391">
        <f t="shared" ref="CW173" si="1331">+CW171*(1-CW172)</f>
        <v>29.25</v>
      </c>
      <c r="CX173" s="1391">
        <f t="shared" ref="CX173" si="1332">+CX171*(1-CX172)</f>
        <v>29.25</v>
      </c>
      <c r="CY173" s="1392">
        <f t="shared" ref="CY173" si="1333">+CX173</f>
        <v>29.25</v>
      </c>
      <c r="CZ173" s="1391">
        <f t="shared" ref="CZ173" si="1334">+CZ171*(1-CZ172)</f>
        <v>29.25</v>
      </c>
      <c r="DA173" s="1391">
        <f t="shared" ref="DA173" si="1335">+DA171*(1-DA172)</f>
        <v>29.25</v>
      </c>
      <c r="DB173" s="1391">
        <f t="shared" ref="DB173" si="1336">+DB171*(1-DB172)</f>
        <v>29.25</v>
      </c>
      <c r="DC173" s="1391">
        <f t="shared" ref="DC173" si="1337">+DC171*(1-DC172)</f>
        <v>29.25</v>
      </c>
      <c r="DD173" s="1392">
        <f t="shared" si="1285"/>
        <v>29.25</v>
      </c>
      <c r="DE173" s="1391">
        <f>+DE171*(1-DE172)</f>
        <v>29.25</v>
      </c>
      <c r="DF173" s="1391">
        <f>+DF171*(1-DF172)</f>
        <v>29.25</v>
      </c>
      <c r="DG173" s="1391">
        <f>+DG171*(1-DG172)</f>
        <v>29.25</v>
      </c>
      <c r="DH173" s="1391">
        <f>+DH171*(1-DH172)</f>
        <v>29.25</v>
      </c>
      <c r="DI173" s="1392">
        <f t="shared" si="1286"/>
        <v>29.25</v>
      </c>
      <c r="DJ173" s="1391">
        <f>+DJ171*(1-DJ172)</f>
        <v>29.25</v>
      </c>
      <c r="DK173" s="1391">
        <f>+DK171*(1-DK172)</f>
        <v>29.25</v>
      </c>
      <c r="DL173" s="1391">
        <f>+DL171*(1-DL172)</f>
        <v>29.25</v>
      </c>
      <c r="DM173" s="1391">
        <f>+DM171*(1-DM172)</f>
        <v>29.25</v>
      </c>
      <c r="DN173" s="1392">
        <f t="shared" si="1287"/>
        <v>29.25</v>
      </c>
      <c r="DO173" s="1391">
        <f>+DO171*(1-DO172)</f>
        <v>29.25</v>
      </c>
      <c r="DP173" s="1391">
        <f>+DP171*(1-DP172)</f>
        <v>29.25</v>
      </c>
      <c r="DQ173" s="1391">
        <f>+DQ171*(1-DQ172)</f>
        <v>29.25</v>
      </c>
      <c r="DR173" s="1391">
        <f>+DR171*(1-DR172)</f>
        <v>29.25</v>
      </c>
      <c r="DS173" s="1392">
        <f t="shared" si="1288"/>
        <v>29.25</v>
      </c>
      <c r="DT173" s="1391">
        <f>+DT171*(1-DT172)</f>
        <v>29.25</v>
      </c>
      <c r="DU173" s="1391">
        <f>+DU171*(1-DU172)</f>
        <v>29.25</v>
      </c>
      <c r="DV173" s="1391">
        <f>+DV171*(1-DV172)</f>
        <v>29.25</v>
      </c>
      <c r="DW173" s="1391">
        <f>+DW171*(1-DW172)</f>
        <v>29.25</v>
      </c>
      <c r="DX173" s="1392">
        <f t="shared" si="1289"/>
        <v>29.25</v>
      </c>
      <c r="DY173" s="1391">
        <f>+DY171*(1-DY172)</f>
        <v>29.25</v>
      </c>
      <c r="DZ173" s="1391">
        <f>+DZ171*(1-DZ172)</f>
        <v>29.25</v>
      </c>
      <c r="EA173" s="1391">
        <f>+EA171*(1-EA172)</f>
        <v>29.25</v>
      </c>
      <c r="EB173" s="1391">
        <f>+EB171*(1-EB172)</f>
        <v>29.25</v>
      </c>
      <c r="EC173" s="1392">
        <f t="shared" si="1290"/>
        <v>29.25</v>
      </c>
    </row>
    <row r="174" spans="1:133" hidden="1" outlineLevel="1">
      <c r="C174" s="240" t="s">
        <v>672</v>
      </c>
      <c r="BT174" s="1393">
        <f t="shared" ref="BT174" si="1338">+BT167-BT170</f>
        <v>12.375</v>
      </c>
      <c r="BU174" s="1394">
        <f t="shared" si="1250"/>
        <v>12.375</v>
      </c>
      <c r="BV174" s="1393">
        <f t="shared" ref="BV174:BY174" si="1339">+BV167-BV170</f>
        <v>16.495874999999998</v>
      </c>
      <c r="BW174" s="1393">
        <f t="shared" si="1339"/>
        <v>21</v>
      </c>
      <c r="BX174" s="1393">
        <f t="shared" si="1339"/>
        <v>24</v>
      </c>
      <c r="BY174" s="1393">
        <f t="shared" si="1339"/>
        <v>28.3125</v>
      </c>
      <c r="BZ174" s="1394">
        <f t="shared" ref="BZ174" si="1340">+BY174</f>
        <v>28.3125</v>
      </c>
      <c r="CA174" s="1393">
        <f t="shared" ref="CA174:CD174" si="1341">+CA167-CA170</f>
        <v>31.499999999999993</v>
      </c>
      <c r="CB174" s="1393">
        <f t="shared" si="1341"/>
        <v>37.499999999999993</v>
      </c>
      <c r="CC174" s="1393">
        <f t="shared" si="1341"/>
        <v>42.749999999999993</v>
      </c>
      <c r="CD174" s="1393">
        <f t="shared" si="1341"/>
        <v>45.674999999999997</v>
      </c>
      <c r="CE174" s="1394">
        <f t="shared" ref="CE174" si="1342">+CD174</f>
        <v>45.674999999999997</v>
      </c>
      <c r="CF174" s="1393">
        <f t="shared" ref="CF174:CI174" si="1343">+CF167-CF170</f>
        <v>48.75</v>
      </c>
      <c r="CG174" s="1393">
        <f t="shared" si="1343"/>
        <v>52.5</v>
      </c>
      <c r="CH174" s="1393">
        <f t="shared" si="1343"/>
        <v>56.999999999999993</v>
      </c>
      <c r="CI174" s="1393">
        <f t="shared" si="1343"/>
        <v>61.5</v>
      </c>
      <c r="CJ174" s="1394">
        <f t="shared" ref="CJ174" si="1344">+CI174</f>
        <v>61.5</v>
      </c>
      <c r="CK174" s="1393">
        <f t="shared" ref="CK174:CN174" si="1345">+CK167-CK170</f>
        <v>63.75</v>
      </c>
      <c r="CL174" s="1393">
        <f t="shared" si="1345"/>
        <v>67.5</v>
      </c>
      <c r="CM174" s="1393">
        <f t="shared" si="1345"/>
        <v>71.25</v>
      </c>
      <c r="CN174" s="1393">
        <f t="shared" si="1345"/>
        <v>80.174999999999997</v>
      </c>
      <c r="CO174" s="1394">
        <f t="shared" ref="CO174" si="1346">+CN174</f>
        <v>80.174999999999997</v>
      </c>
      <c r="CP174" s="1393">
        <f t="shared" ref="CP174:CS174" si="1347">+CP167-CP170</f>
        <v>82.5</v>
      </c>
      <c r="CQ174" s="1393">
        <f t="shared" si="1347"/>
        <v>92.40000000000002</v>
      </c>
      <c r="CR174" s="1393">
        <f t="shared" si="1347"/>
        <v>109.51111111111112</v>
      </c>
      <c r="CS174" s="1393">
        <f t="shared" si="1347"/>
        <v>131.17499999999998</v>
      </c>
      <c r="CT174" s="1394">
        <f t="shared" ref="CT174" si="1348">+CS174</f>
        <v>131.17499999999998</v>
      </c>
      <c r="CU174" s="1393">
        <f t="shared" ref="CU174:CX174" si="1349">+CU167-CU170</f>
        <v>136.422</v>
      </c>
      <c r="CV174" s="1393">
        <f t="shared" si="1349"/>
        <v>141.87888000000001</v>
      </c>
      <c r="CW174" s="1393">
        <f t="shared" si="1349"/>
        <v>147.55403520000002</v>
      </c>
      <c r="CX174" s="1393">
        <f t="shared" si="1349"/>
        <v>154.72499999999999</v>
      </c>
      <c r="CY174" s="1394">
        <f t="shared" ref="CY174" si="1350">+CX174</f>
        <v>154.72499999999999</v>
      </c>
      <c r="CZ174" s="1393">
        <f t="shared" ref="CZ174:DC174" si="1351">+CZ167-CZ170</f>
        <v>156.27225000000001</v>
      </c>
      <c r="DA174" s="1393">
        <f t="shared" si="1351"/>
        <v>157.83497249999999</v>
      </c>
      <c r="DB174" s="1393">
        <f t="shared" si="1351"/>
        <v>159.413322225</v>
      </c>
      <c r="DC174" s="1393">
        <f t="shared" si="1351"/>
        <v>183.32532055875001</v>
      </c>
      <c r="DD174" s="1394">
        <f t="shared" si="1285"/>
        <v>183.32532055875001</v>
      </c>
      <c r="DE174" s="1393">
        <f>+DE167-DE170</f>
        <v>210.82411864256247</v>
      </c>
      <c r="DF174" s="1393">
        <f>+DF167-DF170</f>
        <v>221.36532457469062</v>
      </c>
      <c r="DG174" s="1393">
        <f>+DG167-DG170</f>
        <v>223.57897782043753</v>
      </c>
      <c r="DH174" s="1393">
        <f>+DH167-DH170</f>
        <v>229.16845226594842</v>
      </c>
      <c r="DI174" s="1394">
        <f t="shared" si="1286"/>
        <v>229.16845226594842</v>
      </c>
      <c r="DJ174" s="1393">
        <f>+DJ167-DJ170</f>
        <v>234.89766357259711</v>
      </c>
      <c r="DK174" s="1393">
        <f>+DK167-DK170</f>
        <v>240.770105161912</v>
      </c>
      <c r="DL174" s="1393">
        <f>+DL167-DL170</f>
        <v>246.7893577909598</v>
      </c>
      <c r="DM174" s="1393">
        <f>+DM167-DM170</f>
        <v>252.95909173573378</v>
      </c>
      <c r="DN174" s="1394">
        <f t="shared" si="1287"/>
        <v>252.95909173573378</v>
      </c>
      <c r="DO174" s="1393">
        <f>+DO167-DO170</f>
        <v>259.28306902912709</v>
      </c>
      <c r="DP174" s="1393">
        <f>+DP167-DP170</f>
        <v>265.76514575485527</v>
      </c>
      <c r="DQ174" s="1393">
        <f>+DQ167-DQ170</f>
        <v>272.40927439872661</v>
      </c>
      <c r="DR174" s="1393">
        <f>+DR167-DR170</f>
        <v>279.21950625869476</v>
      </c>
      <c r="DS174" s="1394">
        <f t="shared" si="1288"/>
        <v>279.21950625869476</v>
      </c>
      <c r="DT174" s="1393">
        <f>+DT167-DT170</f>
        <v>286.19999391516211</v>
      </c>
      <c r="DU174" s="1393">
        <f>+DU167-DU170</f>
        <v>293.35499376304114</v>
      </c>
      <c r="DV174" s="1393">
        <f>+DV167-DV170</f>
        <v>300.68886860711712</v>
      </c>
      <c r="DW174" s="1393">
        <f>+DW167-DW170</f>
        <v>308.20609032229504</v>
      </c>
      <c r="DX174" s="1394">
        <f t="shared" si="1289"/>
        <v>308.20609032229504</v>
      </c>
      <c r="DY174" s="1393">
        <f>+DY167-DY170</f>
        <v>315.91124258035239</v>
      </c>
      <c r="DZ174" s="1393">
        <f>+DZ167-DZ170</f>
        <v>323.80902364486116</v>
      </c>
      <c r="EA174" s="1393">
        <f>+EA167-EA170</f>
        <v>331.90424923598266</v>
      </c>
      <c r="EB174" s="1393">
        <f>+EB167-EB170</f>
        <v>340.20185546688219</v>
      </c>
      <c r="EC174" s="1394">
        <f t="shared" si="1290"/>
        <v>340.20185546688219</v>
      </c>
    </row>
    <row r="175" spans="1:133" hidden="1" outlineLevel="1">
      <c r="C175" s="1395" t="s">
        <v>666</v>
      </c>
      <c r="D175" s="1395"/>
      <c r="E175" s="1395"/>
      <c r="F175" s="1395"/>
      <c r="G175" s="1395"/>
      <c r="H175" s="1395"/>
      <c r="I175" s="1395"/>
      <c r="J175" s="1395"/>
      <c r="K175" s="1395"/>
      <c r="L175" s="1395"/>
      <c r="M175" s="1395"/>
      <c r="N175" s="1395"/>
      <c r="O175" s="1395"/>
      <c r="P175" s="1395"/>
      <c r="Q175" s="1395"/>
      <c r="R175" s="1395"/>
      <c r="S175" s="1395"/>
      <c r="T175" s="1395"/>
      <c r="U175" s="1395"/>
      <c r="V175" s="1395"/>
      <c r="W175" s="1395"/>
      <c r="X175" s="1395"/>
      <c r="Y175" s="1395"/>
      <c r="Z175" s="1395"/>
      <c r="AA175" s="1395"/>
      <c r="AB175" s="1395"/>
      <c r="AC175" s="1395"/>
      <c r="AD175" s="1395"/>
      <c r="AE175" s="1395"/>
      <c r="AF175" s="1395"/>
      <c r="AG175" s="1395"/>
      <c r="AH175" s="1395"/>
      <c r="AI175" s="1395"/>
      <c r="AJ175" s="1395"/>
      <c r="AK175" s="1395"/>
      <c r="AL175" s="1395"/>
      <c r="AM175" s="1395"/>
      <c r="AN175" s="1395"/>
      <c r="AO175" s="1395"/>
      <c r="AP175" s="1395"/>
      <c r="AQ175" s="1395"/>
      <c r="AR175" s="1395"/>
      <c r="AS175" s="1395"/>
      <c r="AT175" s="1395"/>
      <c r="AU175" s="1395"/>
      <c r="AV175" s="1395"/>
      <c r="AW175" s="1395"/>
      <c r="AX175" s="1395"/>
      <c r="AY175" s="1395"/>
      <c r="AZ175" s="1395"/>
      <c r="BA175" s="1395"/>
      <c r="BB175" s="1395"/>
      <c r="BC175" s="1395"/>
      <c r="BD175" s="1395"/>
      <c r="BE175" s="1395"/>
      <c r="BF175" s="1395"/>
      <c r="BG175" s="1395"/>
      <c r="BH175" s="1395"/>
      <c r="BI175" s="1395"/>
      <c r="BJ175" s="1395"/>
      <c r="BK175" s="1395"/>
      <c r="BL175" s="1395"/>
      <c r="BM175" s="1395"/>
      <c r="BN175" s="1395"/>
      <c r="BO175" s="1395"/>
      <c r="BP175" s="1395"/>
      <c r="BQ175" s="1395"/>
      <c r="BR175" s="1395"/>
      <c r="BS175" s="1395"/>
      <c r="BT175" s="1391">
        <f t="shared" ref="BT175" si="1352">+(BT170*BT173+BT174*BT171)/BT167</f>
        <v>34.125</v>
      </c>
      <c r="BU175" s="1392">
        <f t="shared" si="1250"/>
        <v>34.125</v>
      </c>
      <c r="BV175" s="1391">
        <f t="shared" ref="BV175" si="1353">+(BV170*BV173+BV174*BV171)/BV167</f>
        <v>34.125</v>
      </c>
      <c r="BW175" s="1391">
        <f t="shared" ref="BW175" si="1354">+(BW170*BW173+BW174*BW171)/BW167</f>
        <v>34.125</v>
      </c>
      <c r="BX175" s="1391">
        <f t="shared" ref="BX175" si="1355">+(BX170*BX173+BX174*BX171)/BX167</f>
        <v>34.125</v>
      </c>
      <c r="BY175" s="1391">
        <f t="shared" ref="BY175" si="1356">+(BY170*BY173+BY174*BY171)/BY167</f>
        <v>34.125</v>
      </c>
      <c r="BZ175" s="1392">
        <f t="shared" ref="BZ175" si="1357">+BY175</f>
        <v>34.125</v>
      </c>
      <c r="CA175" s="1391">
        <f t="shared" ref="CA175" si="1358">+(CA170*CA173+CA174*CA171)/CA167</f>
        <v>34.125</v>
      </c>
      <c r="CB175" s="1391">
        <f t="shared" ref="CB175" si="1359">+(CB170*CB173+CB174*CB171)/CB167</f>
        <v>34.125</v>
      </c>
      <c r="CC175" s="1391">
        <f t="shared" ref="CC175" si="1360">+(CC170*CC173+CC174*CC171)/CC167</f>
        <v>34.125</v>
      </c>
      <c r="CD175" s="1391">
        <f t="shared" ref="CD175" si="1361">+(CD170*CD173+CD174*CD171)/CD167</f>
        <v>34.124999999999993</v>
      </c>
      <c r="CE175" s="1392">
        <f t="shared" ref="CE175" si="1362">+CD175</f>
        <v>34.124999999999993</v>
      </c>
      <c r="CF175" s="1391">
        <f t="shared" ref="CF175" si="1363">+(CF170*CF173+CF174*CF171)/CF167</f>
        <v>34.125</v>
      </c>
      <c r="CG175" s="1391">
        <f t="shared" ref="CG175" si="1364">+(CG170*CG173+CG174*CG171)/CG167</f>
        <v>34.125</v>
      </c>
      <c r="CH175" s="1391">
        <f t="shared" ref="CH175" si="1365">+(CH170*CH173+CH174*CH171)/CH167</f>
        <v>34.124999999999993</v>
      </c>
      <c r="CI175" s="1391">
        <f t="shared" ref="CI175" si="1366">+(CI170*CI173+CI174*CI171)/CI167</f>
        <v>34.125</v>
      </c>
      <c r="CJ175" s="1392">
        <f t="shared" ref="CJ175" si="1367">+CI175</f>
        <v>34.125</v>
      </c>
      <c r="CK175" s="1391">
        <f t="shared" ref="CK175" si="1368">+(CK170*CK173+CK174*CK171)/CK167</f>
        <v>34.125</v>
      </c>
      <c r="CL175" s="1391">
        <f t="shared" ref="CL175" si="1369">+(CL170*CL173+CL174*CL171)/CL167</f>
        <v>34.125</v>
      </c>
      <c r="CM175" s="1391">
        <f t="shared" ref="CM175" si="1370">+(CM170*CM173+CM174*CM171)/CM167</f>
        <v>34.125</v>
      </c>
      <c r="CN175" s="1391">
        <f t="shared" ref="CN175" si="1371">+(CN170*CN173+CN174*CN171)/CN167</f>
        <v>34.125</v>
      </c>
      <c r="CO175" s="1392">
        <f t="shared" ref="CO175" si="1372">+CN175</f>
        <v>34.125</v>
      </c>
      <c r="CP175" s="1391">
        <f t="shared" ref="CP175" si="1373">+(CP170*CP173+CP174*CP171)/CP167</f>
        <v>34.125</v>
      </c>
      <c r="CQ175" s="1391">
        <f t="shared" ref="CQ175" si="1374">+(CQ170*CQ173+CQ174*CQ171)/CQ167</f>
        <v>34.125</v>
      </c>
      <c r="CR175" s="1391">
        <f t="shared" ref="CR175" si="1375">+(CR170*CR173+CR174*CR171)/CR167</f>
        <v>34.125</v>
      </c>
      <c r="CS175" s="1391">
        <f t="shared" ref="CS175" si="1376">+(CS170*CS173+CS174*CS171)/CS167</f>
        <v>34.125</v>
      </c>
      <c r="CT175" s="1392">
        <f t="shared" ref="CT175" si="1377">+CS175</f>
        <v>34.125</v>
      </c>
      <c r="CU175" s="1391">
        <f t="shared" ref="CU175" si="1378">+(CU170*CU173+CU174*CU171)/CU167</f>
        <v>34.125</v>
      </c>
      <c r="CV175" s="1391">
        <f t="shared" ref="CV175" si="1379">+(CV170*CV173+CV174*CV171)/CV167</f>
        <v>34.125</v>
      </c>
      <c r="CW175" s="1391">
        <f t="shared" ref="CW175" si="1380">+(CW170*CW173+CW174*CW171)/CW167</f>
        <v>34.125</v>
      </c>
      <c r="CX175" s="1391">
        <f t="shared" ref="CX175" si="1381">+(CX170*CX173+CX174*CX171)/CX167</f>
        <v>34.125000000000007</v>
      </c>
      <c r="CY175" s="1392">
        <f t="shared" ref="CY175" si="1382">+CX175</f>
        <v>34.125000000000007</v>
      </c>
      <c r="CZ175" s="1391">
        <f t="shared" ref="CZ175" si="1383">+(CZ170*CZ173+CZ174*CZ171)/CZ167</f>
        <v>34.125</v>
      </c>
      <c r="DA175" s="1391">
        <f t="shared" ref="DA175" si="1384">+(DA170*DA173+DA174*DA171)/DA167</f>
        <v>34.125</v>
      </c>
      <c r="DB175" s="1391">
        <f t="shared" ref="DB175" si="1385">+(DB170*DB173+DB174*DB171)/DB167</f>
        <v>34.125</v>
      </c>
      <c r="DC175" s="1391">
        <f t="shared" ref="DC175" si="1386">+(DC170*DC173+DC174*DC171)/DC167</f>
        <v>34.125</v>
      </c>
      <c r="DD175" s="1392">
        <f t="shared" si="1285"/>
        <v>34.125</v>
      </c>
      <c r="DE175" s="1391">
        <f>+(DE170*DE173+DE174*DE171)/DE167</f>
        <v>34.125</v>
      </c>
      <c r="DF175" s="1391">
        <f>+(DF170*DF173+DF174*DF171)/DF167</f>
        <v>34.125</v>
      </c>
      <c r="DG175" s="1391">
        <f>+(DG170*DG173+DG174*DG171)/DG167</f>
        <v>34.125</v>
      </c>
      <c r="DH175" s="1391">
        <f>+(DH170*DH173+DH174*DH171)/DH167</f>
        <v>34.124999999999993</v>
      </c>
      <c r="DI175" s="1392">
        <f t="shared" si="1286"/>
        <v>34.124999999999993</v>
      </c>
      <c r="DJ175" s="1396">
        <f>+(DJ170*DJ173+DJ174*DJ171)/DJ167</f>
        <v>34.125</v>
      </c>
      <c r="DK175" s="1391">
        <f>+(DK170*DK173+DK174*DK171)/DK167</f>
        <v>34.125</v>
      </c>
      <c r="DL175" s="1391">
        <f>+(DL170*DL173+DL174*DL171)/DL167</f>
        <v>34.125</v>
      </c>
      <c r="DM175" s="1391">
        <f>+(DM170*DM173+DM174*DM171)/DM167</f>
        <v>34.125</v>
      </c>
      <c r="DN175" s="1392">
        <f t="shared" si="1287"/>
        <v>34.125</v>
      </c>
      <c r="DO175" s="1396">
        <f>+(DO170*DO173+DO174*DO171)/DO167</f>
        <v>34.125</v>
      </c>
      <c r="DP175" s="1391">
        <f>+(DP170*DP173+DP174*DP171)/DP167</f>
        <v>34.125</v>
      </c>
      <c r="DQ175" s="1391">
        <f>+(DQ170*DQ173+DQ174*DQ171)/DQ167</f>
        <v>34.125</v>
      </c>
      <c r="DR175" s="1391">
        <f>+(DR170*DR173+DR174*DR171)/DR167</f>
        <v>34.125</v>
      </c>
      <c r="DS175" s="1392">
        <f t="shared" si="1288"/>
        <v>34.125</v>
      </c>
      <c r="DT175" s="1396">
        <f>+(DT170*DT173+DT174*DT171)/DT167</f>
        <v>34.125</v>
      </c>
      <c r="DU175" s="1391">
        <f>+(DU170*DU173+DU174*DU171)/DU167</f>
        <v>34.125000000000007</v>
      </c>
      <c r="DV175" s="1391">
        <f>+(DV170*DV173+DV174*DV171)/DV167</f>
        <v>34.125</v>
      </c>
      <c r="DW175" s="1391">
        <f>+(DW170*DW173+DW174*DW171)/DW167</f>
        <v>34.125</v>
      </c>
      <c r="DX175" s="1392">
        <f t="shared" si="1289"/>
        <v>34.125</v>
      </c>
      <c r="DY175" s="1396">
        <f>+(DY170*DY173+DY174*DY171)/DY167</f>
        <v>34.125</v>
      </c>
      <c r="DZ175" s="1391">
        <f>+(DZ170*DZ173+DZ174*DZ171)/DZ167</f>
        <v>34.125</v>
      </c>
      <c r="EA175" s="1391">
        <f>+(EA170*EA173+EA174*EA171)/EA167</f>
        <v>34.125</v>
      </c>
      <c r="EB175" s="1391">
        <f>+(EB170*EB173+EB174*EB171)/EB167</f>
        <v>34.125</v>
      </c>
      <c r="EC175" s="1392">
        <f t="shared" si="1290"/>
        <v>34.125</v>
      </c>
    </row>
    <row r="176" spans="1:133" s="1367" customFormat="1" hidden="1" outlineLevel="1">
      <c r="A176" s="943"/>
      <c r="C176" s="1397" t="s">
        <v>678</v>
      </c>
      <c r="D176" s="1397"/>
      <c r="E176" s="1397"/>
      <c r="F176" s="1397"/>
      <c r="G176" s="1397"/>
      <c r="H176" s="1397"/>
      <c r="I176" s="1397"/>
      <c r="J176" s="1397"/>
      <c r="K176" s="1397"/>
      <c r="L176" s="1397"/>
      <c r="M176" s="1397"/>
      <c r="N176" s="1397"/>
      <c r="O176" s="1397"/>
      <c r="P176" s="1397"/>
      <c r="Q176" s="1397"/>
      <c r="R176" s="1397"/>
      <c r="S176" s="1397"/>
      <c r="T176" s="1397"/>
      <c r="U176" s="1397"/>
      <c r="V176" s="1397"/>
      <c r="W176" s="1397"/>
      <c r="X176" s="1397"/>
      <c r="Y176" s="1397"/>
      <c r="Z176" s="1397"/>
      <c r="AA176" s="1397"/>
      <c r="AB176" s="1397"/>
      <c r="AC176" s="1397"/>
      <c r="AD176" s="1397"/>
      <c r="AE176" s="1397"/>
      <c r="AF176" s="1397"/>
      <c r="AG176" s="1397"/>
      <c r="AH176" s="1397"/>
      <c r="AI176" s="1397"/>
      <c r="AJ176" s="1397"/>
      <c r="AK176" s="1397"/>
      <c r="AL176" s="1397"/>
      <c r="AM176" s="1397"/>
      <c r="AN176" s="1397"/>
      <c r="AO176" s="1397"/>
      <c r="AP176" s="1397"/>
      <c r="AQ176" s="1397"/>
      <c r="AR176" s="1397"/>
      <c r="AS176" s="1397"/>
      <c r="AT176" s="1397"/>
      <c r="AU176" s="1397"/>
      <c r="AV176" s="1397"/>
      <c r="AW176" s="1397"/>
      <c r="AX176" s="1397"/>
      <c r="AY176" s="1397"/>
      <c r="AZ176" s="1397"/>
      <c r="BA176" s="1397"/>
      <c r="BB176" s="1397"/>
      <c r="BC176" s="1397"/>
      <c r="BD176" s="1397"/>
      <c r="BE176" s="1397"/>
      <c r="BF176" s="1397"/>
      <c r="BG176" s="1397"/>
      <c r="BH176" s="1397"/>
      <c r="BI176" s="1397"/>
      <c r="BJ176" s="1397"/>
      <c r="BK176" s="1397"/>
      <c r="BL176" s="1397"/>
      <c r="BM176" s="1397"/>
      <c r="BN176" s="1397"/>
      <c r="BO176" s="1397"/>
      <c r="BP176" s="1397"/>
      <c r="BQ176" s="1397"/>
      <c r="BR176" s="1397"/>
      <c r="BS176" s="1397"/>
      <c r="BT176" s="1398">
        <f t="shared" ref="BT176" si="1387">+BT175*BT167/1000</f>
        <v>0.84459375000000003</v>
      </c>
      <c r="BU176" s="1399">
        <f t="shared" ref="BU176" si="1388">+BU175*BU167/1000</f>
        <v>0.84459375000000003</v>
      </c>
      <c r="BV176" s="1398">
        <f t="shared" ref="BV176" si="1389">+BV175*BV167/1000</f>
        <v>1.1258434687499999</v>
      </c>
      <c r="BW176" s="1398">
        <f t="shared" ref="BW176" si="1390">+BW175*BW167/1000</f>
        <v>1.4332499999999999</v>
      </c>
      <c r="BX176" s="1398">
        <f t="shared" ref="BX176" si="1391">+BX175*BX167/1000</f>
        <v>1.6379999999999999</v>
      </c>
      <c r="BY176" s="1398">
        <f t="shared" ref="BY176" si="1392">+BY175*BY167/1000</f>
        <v>1.932328125</v>
      </c>
      <c r="BZ176" s="1399">
        <f t="shared" ref="BZ176" si="1393">+BZ175*BZ167/1000</f>
        <v>1.932328125</v>
      </c>
      <c r="CA176" s="1398">
        <f t="shared" ref="CA176" si="1394">+CA175*CA167/1000</f>
        <v>2.1498749999999998</v>
      </c>
      <c r="CB176" s="1398">
        <f t="shared" ref="CB176" si="1395">+CB175*CB167/1000</f>
        <v>2.5593749999999997</v>
      </c>
      <c r="CC176" s="1398">
        <f t="shared" ref="CC176" si="1396">+CC175*CC167/1000</f>
        <v>2.9176874999999995</v>
      </c>
      <c r="CD176" s="1398">
        <f t="shared" ref="CD176" si="1397">+CD175*CD167/1000</f>
        <v>3.117318749999999</v>
      </c>
      <c r="CE176" s="1399">
        <f t="shared" ref="CE176" si="1398">+CE175*CE167/1000</f>
        <v>3.117318749999999</v>
      </c>
      <c r="CF176" s="1398">
        <f t="shared" ref="CF176" si="1399">+CF175*CF167/1000</f>
        <v>3.3271875</v>
      </c>
      <c r="CG176" s="1398">
        <f t="shared" ref="CG176" si="1400">+CG175*CG167/1000</f>
        <v>3.5831249999999999</v>
      </c>
      <c r="CH176" s="1398">
        <f t="shared" ref="CH176" si="1401">+CH175*CH167/1000</f>
        <v>3.8902499999999987</v>
      </c>
      <c r="CI176" s="1398">
        <f t="shared" ref="CI176" si="1402">+CI175*CI167/1000</f>
        <v>4.1973750000000001</v>
      </c>
      <c r="CJ176" s="1399">
        <f t="shared" ref="CJ176" si="1403">+CJ175*CJ167/1000</f>
        <v>4.1973750000000001</v>
      </c>
      <c r="CK176" s="1398">
        <f t="shared" ref="CK176" si="1404">+CK175*CK167/1000</f>
        <v>4.3509374999999997</v>
      </c>
      <c r="CL176" s="1398">
        <f t="shared" ref="CL176" si="1405">+CL175*CL167/1000</f>
        <v>4.6068749999999996</v>
      </c>
      <c r="CM176" s="1398">
        <f t="shared" ref="CM176" si="1406">+CM175*CM167/1000</f>
        <v>4.8628125000000004</v>
      </c>
      <c r="CN176" s="1398">
        <f t="shared" ref="CN176" si="1407">+CN175*CN167/1000</f>
        <v>5.4719437499999994</v>
      </c>
      <c r="CO176" s="1399">
        <f t="shared" ref="CO176" si="1408">+CO175*CO167/1000</f>
        <v>5.4719437499999994</v>
      </c>
      <c r="CP176" s="1398">
        <f t="shared" ref="CP176" si="1409">+CP175*CP167/1000</f>
        <v>5.6306250000000002</v>
      </c>
      <c r="CQ176" s="1398">
        <f t="shared" ref="CQ176" si="1410">+CQ175*CQ167/1000</f>
        <v>6.3063000000000011</v>
      </c>
      <c r="CR176" s="1398">
        <f t="shared" ref="CR176" si="1411">+CR175*CR167/1000</f>
        <v>7.4741333333333344</v>
      </c>
      <c r="CS176" s="1398">
        <f t="shared" ref="CS176" si="1412">+CS175*CS167/1000</f>
        <v>8.9526937499999981</v>
      </c>
      <c r="CT176" s="1399">
        <f t="shared" ref="CT176" si="1413">+CT175*CT167/1000</f>
        <v>8.9526937499999981</v>
      </c>
      <c r="CU176" s="1398">
        <f t="shared" ref="CU176" si="1414">+CU175*CU167/1000</f>
        <v>9.3108015000000002</v>
      </c>
      <c r="CV176" s="1398">
        <f t="shared" ref="CV176" si="1415">+CV175*CV167/1000</f>
        <v>9.6832335600000015</v>
      </c>
      <c r="CW176" s="1398">
        <f t="shared" ref="CW176" si="1416">+CW175*CW167/1000</f>
        <v>10.070562902400001</v>
      </c>
      <c r="CX176" s="1398">
        <f t="shared" ref="CX176" si="1417">+CX175*CX167/1000</f>
        <v>10.559981250000003</v>
      </c>
      <c r="CY176" s="1399">
        <f t="shared" ref="CY176" si="1418">+CY175*CY167/1000</f>
        <v>10.559981250000003</v>
      </c>
      <c r="CZ176" s="1398">
        <f t="shared" ref="CZ176" si="1419">+CZ175*CZ167/1000</f>
        <v>10.665581062500001</v>
      </c>
      <c r="DA176" s="1398">
        <f t="shared" ref="DA176" si="1420">+DA175*DA167/1000</f>
        <v>10.772236873124999</v>
      </c>
      <c r="DB176" s="1398">
        <f t="shared" ref="DB176" si="1421">+DB175*DB167/1000</f>
        <v>10.87995924185625</v>
      </c>
      <c r="DC176" s="1398">
        <f t="shared" ref="DC176" si="1422">+DC175*DC167/1000</f>
        <v>12.511953128134689</v>
      </c>
      <c r="DD176" s="1399">
        <f t="shared" ref="DD176" si="1423">+DD175*DD167/1000</f>
        <v>12.511953128134689</v>
      </c>
      <c r="DE176" s="1398">
        <f t="shared" ref="DE176" si="1424">+DE175*DE167/1000</f>
        <v>14.388746097354888</v>
      </c>
      <c r="DF176" s="1398">
        <f t="shared" ref="DF176" si="1425">+DF175*DF167/1000</f>
        <v>15.108183402222634</v>
      </c>
      <c r="DG176" s="1398">
        <f t="shared" ref="DG176" si="1426">+DG175*DG167/1000</f>
        <v>15.259265236244861</v>
      </c>
      <c r="DH176" s="1398">
        <f t="shared" ref="DH176" si="1427">+DH175*DH167/1000</f>
        <v>15.640746867150977</v>
      </c>
      <c r="DI176" s="1399">
        <f t="shared" ref="DI176" si="1428">+DI175*DI167/1000</f>
        <v>15.640746867150977</v>
      </c>
      <c r="DJ176" s="1398">
        <f>+DJ175*DJ167/1000</f>
        <v>16.031765538829752</v>
      </c>
      <c r="DK176" s="1398">
        <f t="shared" ref="DK176" si="1429">+DK175*DK167/1000</f>
        <v>16.432559677300496</v>
      </c>
      <c r="DL176" s="1398">
        <f t="shared" ref="DL176" si="1430">+DL175*DL167/1000</f>
        <v>16.843373669233006</v>
      </c>
      <c r="DM176" s="1398">
        <f t="shared" ref="DM176" si="1431">+DM175*DM167/1000</f>
        <v>17.264458010963828</v>
      </c>
      <c r="DN176" s="1399">
        <f t="shared" ref="DN176" si="1432">+DN175*DN167/1000</f>
        <v>17.264458010963828</v>
      </c>
      <c r="DO176" s="1398">
        <f t="shared" ref="DO176" si="1433">+DO175*DO167/1000</f>
        <v>17.696069461237922</v>
      </c>
      <c r="DP176" s="1398">
        <f t="shared" ref="DP176" si="1434">+DP175*DP167/1000</f>
        <v>18.138471197768872</v>
      </c>
      <c r="DQ176" s="1398">
        <f t="shared" ref="DQ176" si="1435">+DQ175*DQ167/1000</f>
        <v>18.591932977713093</v>
      </c>
      <c r="DR176" s="1398">
        <f t="shared" ref="DR176" si="1436">+DR175*DR167/1000</f>
        <v>19.056731302155917</v>
      </c>
      <c r="DS176" s="1399">
        <f t="shared" ref="DS176" si="1437">+DS175*DS167/1000</f>
        <v>19.056731302155917</v>
      </c>
      <c r="DT176" s="1398">
        <f t="shared" ref="DT176" si="1438">+DT175*DT167/1000</f>
        <v>19.533149584709815</v>
      </c>
      <c r="DU176" s="1398">
        <f t="shared" ref="DU176" si="1439">+DU175*DU167/1000</f>
        <v>20.021478324327564</v>
      </c>
      <c r="DV176" s="1398">
        <f t="shared" ref="DV176" si="1440">+DV175*DV167/1000</f>
        <v>20.522015282435742</v>
      </c>
      <c r="DW176" s="1398">
        <f t="shared" ref="DW176" si="1441">+DW175*DW167/1000</f>
        <v>21.035065664496635</v>
      </c>
      <c r="DX176" s="1399">
        <f t="shared" ref="DX176" si="1442">+DX175*DX167/1000</f>
        <v>21.035065664496635</v>
      </c>
      <c r="DY176" s="1398">
        <f t="shared" ref="DY176" si="1443">+DY175*DY167/1000</f>
        <v>21.560942306109048</v>
      </c>
      <c r="DZ176" s="1398">
        <f t="shared" ref="DZ176" si="1444">+DZ175*DZ167/1000</f>
        <v>22.099965863761771</v>
      </c>
      <c r="EA176" s="1398">
        <f t="shared" ref="EA176" si="1445">+EA175*EA167/1000</f>
        <v>22.652465010355815</v>
      </c>
      <c r="EB176" s="1398">
        <f t="shared" ref="EB176" si="1446">+EB175*EB167/1000</f>
        <v>23.218776635614713</v>
      </c>
      <c r="EC176" s="1399">
        <f t="shared" ref="EC176" si="1447">+EC175*EC167/1000</f>
        <v>23.218776635614713</v>
      </c>
    </row>
    <row r="177" spans="1:133" s="1367" customFormat="1" hidden="1" outlineLevel="1">
      <c r="A177" s="943"/>
      <c r="C177" s="1376" t="s">
        <v>674</v>
      </c>
      <c r="BT177" s="1400">
        <f t="shared" ref="BT177" si="1448">+BT176/BT$7</f>
        <v>7.4512020291133657E-2</v>
      </c>
      <c r="BU177" s="1379">
        <f t="shared" ref="BU177" si="1449">+BU176/BU$7</f>
        <v>7.4512020291133657E-2</v>
      </c>
      <c r="BV177" s="1400">
        <f t="shared" ref="BV177" si="1450">+BV176/BV$7</f>
        <v>8.8101061800610364E-2</v>
      </c>
      <c r="BW177" s="1400">
        <f t="shared" ref="BW177" si="1451">+BW176/BW$7</f>
        <v>9.9289920332525108E-2</v>
      </c>
      <c r="BX177" s="1400">
        <f t="shared" ref="BX177" si="1452">+BX176/BX$7</f>
        <v>0.10062661260597125</v>
      </c>
      <c r="BY177" s="1400">
        <f t="shared" ref="BY177" si="1453">+BY176/BY$7</f>
        <v>0.10467082633660149</v>
      </c>
      <c r="BZ177" s="1379">
        <f t="shared" ref="BZ177" si="1454">+BZ176/BZ$7</f>
        <v>0.10467082633660149</v>
      </c>
      <c r="CA177" s="1400">
        <f t="shared" ref="CA177" si="1455">+CA176/CA$7</f>
        <v>0.103738419224088</v>
      </c>
      <c r="CB177" s="1400">
        <f t="shared" ref="CB177" si="1456">+CB176/CB$7</f>
        <v>0.10817307692307691</v>
      </c>
      <c r="CC177" s="1400">
        <f t="shared" ref="CC177" si="1457">+CC176/CC$7</f>
        <v>0.10871883966166113</v>
      </c>
      <c r="CD177" s="1400">
        <f t="shared" ref="CD177" si="1458">+CD176/CD$7</f>
        <v>0.10433841249121395</v>
      </c>
      <c r="CE177" s="1379">
        <f t="shared" ref="CE177" si="1459">+CE176/CE$7</f>
        <v>0.10433841249121395</v>
      </c>
      <c r="CF177" s="1400">
        <f t="shared" ref="CF177" si="1460">+CF176/CF$7</f>
        <v>0.10249799759711654</v>
      </c>
      <c r="CG177" s="1400">
        <f t="shared" ref="CG177" si="1461">+CG176/CG$7</f>
        <v>0.10155674281503317</v>
      </c>
      <c r="CH177" s="1400">
        <f t="shared" ref="CH177" si="1462">+CH176/CH$7</f>
        <v>0.10276713776251484</v>
      </c>
      <c r="CI177" s="1400">
        <f t="shared" ref="CI177" si="1463">+CI176/CI$7</f>
        <v>0.10254507475813544</v>
      </c>
      <c r="CJ177" s="1379">
        <f t="shared" ref="CJ177" si="1464">+CJ176/CJ$7</f>
        <v>0.10254507475813544</v>
      </c>
      <c r="CK177" s="1400">
        <f t="shared" ref="CK177" si="1465">+CK176/CK$7</f>
        <v>9.8408556306968528E-2</v>
      </c>
      <c r="CL177" s="1400">
        <f t="shared" ref="CL177" si="1466">+CL176/CL$7</f>
        <v>9.7768994057724948E-2</v>
      </c>
      <c r="CM177" s="1400">
        <f t="shared" ref="CM177" si="1467">+CM176/CM$7</f>
        <v>9.6008144126357359E-2</v>
      </c>
      <c r="CN177" s="1400">
        <f t="shared" ref="CN177" si="1468">+CN176/CN$7</f>
        <v>0.1015240593342981</v>
      </c>
      <c r="CO177" s="1379">
        <f t="shared" ref="CO177" si="1469">+CO176/CO$7</f>
        <v>0.1015240593342981</v>
      </c>
      <c r="CP177" s="1400">
        <f t="shared" ref="CP177" si="1470">+CP176/CP$7</f>
        <v>0.1016413343682871</v>
      </c>
      <c r="CQ177" s="1400">
        <f t="shared" ref="CQ177" si="1471">+CQ176/CQ$7</f>
        <v>0.11058445999263508</v>
      </c>
      <c r="CR177" s="1400">
        <f t="shared" ref="CR177" si="1472">+CR176/CR$7</f>
        <v>0.10051282051282052</v>
      </c>
      <c r="CS177" s="1400">
        <f t="shared" ref="CS177" si="1473">+CS176/CS$7</f>
        <v>0.108371690815993</v>
      </c>
      <c r="CT177" s="1379">
        <f t="shared" ref="CT177" si="1474">+CT176/CT$7</f>
        <v>0.108371690815993</v>
      </c>
      <c r="CU177" s="1400">
        <f t="shared" ref="CU177" si="1475">+CU176/CU$7</f>
        <v>0.10353272508923508</v>
      </c>
      <c r="CV177" s="1400">
        <f t="shared" ref="CV177" si="1476">+CV176/CV$7</f>
        <v>0.10180874716124151</v>
      </c>
      <c r="CW177" s="1400">
        <f t="shared" ref="CW177" si="1477">+CW176/CW$7</f>
        <v>0.10195044394456312</v>
      </c>
      <c r="CX177" s="1400">
        <f t="shared" ref="CX177" si="1478">+CX176/CX$7</f>
        <v>0.1035292279411765</v>
      </c>
      <c r="CY177" s="1379">
        <f t="shared" ref="CY177" si="1479">+CY176/CY$7</f>
        <v>0.1035292279411765</v>
      </c>
      <c r="CZ177" s="1400">
        <f t="shared" ref="CZ177" si="1480">+CZ176/CZ$7</f>
        <v>0.10138385040399241</v>
      </c>
      <c r="DA177" s="1400">
        <f t="shared" ref="DA177" si="1481">+DA176/DA$7</f>
        <v>0.10048728426422573</v>
      </c>
      <c r="DB177" s="1400">
        <f t="shared" ref="DB177" si="1482">+DB176/DB$7</f>
        <v>0.1016818620734229</v>
      </c>
      <c r="DC177" s="1400">
        <f t="shared" ref="DC177" si="1483">+DC176/DC$7</f>
        <v>0.11426441212908392</v>
      </c>
      <c r="DD177" s="1379">
        <f t="shared" ref="DD177" si="1484">+DD176/DD$7</f>
        <v>0.11426441212908392</v>
      </c>
      <c r="DE177" s="1400">
        <f t="shared" ref="DE177" si="1485">+DE176/DE$7</f>
        <v>0.12621707102942883</v>
      </c>
      <c r="DF177" s="1400">
        <f t="shared" ref="DF177" si="1486">+DF176/DF$7</f>
        <v>0.11191246964609358</v>
      </c>
      <c r="DG177" s="1400">
        <f t="shared" ref="DG177" si="1487">+DG176/DG$7</f>
        <v>0.11138149807478001</v>
      </c>
      <c r="DH177" s="1400">
        <f t="shared" ref="DH177" si="1488">+DH176/DH$7</f>
        <v>0.10861629768854845</v>
      </c>
      <c r="DI177" s="1379">
        <f t="shared" ref="DI177" si="1489">+DI176/DI$7</f>
        <v>0.10861629768854845</v>
      </c>
      <c r="DJ177" s="1400">
        <f t="shared" ref="DJ177" si="1490">+DJ176/DJ$7</f>
        <v>0.10617063270748181</v>
      </c>
      <c r="DK177" s="1400">
        <f t="shared" ref="DK177" si="1491">+DK176/DK$7</f>
        <v>9.7234080930772168E-2</v>
      </c>
      <c r="DL177" s="1400">
        <f t="shared" ref="DL177" si="1492">+DL176/DL$7</f>
        <v>9.6247849538474317E-2</v>
      </c>
      <c r="DM177" s="1400">
        <f>+DM176/DM$7</f>
        <v>9.8742088807771314E-2</v>
      </c>
      <c r="DN177" s="1379">
        <f t="shared" ref="DN177" si="1493">+DN176/DN$7</f>
        <v>9.8742088807771314E-2</v>
      </c>
      <c r="DO177" s="1400">
        <f t="shared" ref="DO177" si="1494">+DO176/DO$7</f>
        <v>0.10617063270748181</v>
      </c>
      <c r="DP177" s="1400">
        <f t="shared" ref="DP177" si="1495">+DP176/DP$7</f>
        <v>9.7234080930772168E-2</v>
      </c>
      <c r="DQ177" s="1400">
        <f t="shared" ref="DQ177" si="1496">+DQ176/DQ$7</f>
        <v>9.6247849538474331E-2</v>
      </c>
      <c r="DR177" s="1400">
        <f t="shared" ref="DR177" si="1497">+DR176/DR$7</f>
        <v>9.8742088807771342E-2</v>
      </c>
      <c r="DS177" s="1379">
        <f t="shared" ref="DS177" si="1498">+DS176/DS$7</f>
        <v>9.8742088807771342E-2</v>
      </c>
      <c r="DT177" s="1400">
        <f t="shared" ref="DT177" si="1499">+DT176/DT$7</f>
        <v>0.10617063270748184</v>
      </c>
      <c r="DU177" s="1400">
        <f t="shared" ref="DU177" si="1500">+DU176/DU$7</f>
        <v>9.7234080930772196E-2</v>
      </c>
      <c r="DV177" s="1400">
        <f t="shared" ref="DV177" si="1501">+DV176/DV$7</f>
        <v>9.6247849538474331E-2</v>
      </c>
      <c r="DW177" s="1400">
        <f t="shared" ref="DW177" si="1502">+DW176/DW$7</f>
        <v>9.8742088807771328E-2</v>
      </c>
      <c r="DX177" s="1379">
        <f t="shared" ref="DX177" si="1503">+DX176/DX$7</f>
        <v>9.8742088807771328E-2</v>
      </c>
      <c r="DY177" s="1400">
        <f t="shared" ref="DY177" si="1504">+DY176/DY$7</f>
        <v>0.10617063270748181</v>
      </c>
      <c r="DZ177" s="1400">
        <f t="shared" ref="DZ177" si="1505">+DZ176/DZ$7</f>
        <v>9.723408093077214E-2</v>
      </c>
      <c r="EA177" s="1400">
        <f t="shared" ref="EA177" si="1506">+EA176/EA$7</f>
        <v>9.6247849538474317E-2</v>
      </c>
      <c r="EB177" s="1400">
        <f t="shared" ref="EB177" si="1507">+EB176/EB$7</f>
        <v>9.8742088807771355E-2</v>
      </c>
      <c r="EC177" s="1379">
        <f t="shared" ref="EC177" si="1508">+EC176/EC$7</f>
        <v>9.8742088807771355E-2</v>
      </c>
    </row>
    <row r="178" spans="1:133" hidden="1" outlineLevel="1">
      <c r="BU178" s="1372"/>
      <c r="BZ178" s="1372"/>
      <c r="CE178" s="1372"/>
      <c r="CJ178" s="1372"/>
      <c r="CO178" s="1372"/>
      <c r="CT178" s="1372"/>
      <c r="CY178" s="1372"/>
      <c r="DD178" s="1372"/>
      <c r="DI178" s="1372"/>
      <c r="DN178" s="1372"/>
      <c r="DS178" s="1372"/>
      <c r="DX178" s="1372"/>
      <c r="EC178" s="1372"/>
    </row>
    <row r="179" spans="1:133" s="1367" customFormat="1" hidden="1" outlineLevel="1">
      <c r="A179" s="943"/>
      <c r="C179" s="1367" t="s">
        <v>670</v>
      </c>
      <c r="BT179" s="1374">
        <f t="shared" ref="BT179:BY179" si="1509">+BT$27*BT180</f>
        <v>6.6000000000000005</v>
      </c>
      <c r="BU179" s="1375">
        <f>+BT179</f>
        <v>6.6000000000000005</v>
      </c>
      <c r="BV179" s="1374">
        <f t="shared" si="1509"/>
        <v>8.7978000000000005</v>
      </c>
      <c r="BW179" s="1374">
        <f t="shared" si="1509"/>
        <v>11.200000000000001</v>
      </c>
      <c r="BX179" s="1374">
        <f t="shared" si="1509"/>
        <v>12.8</v>
      </c>
      <c r="BY179" s="1374">
        <f t="shared" si="1509"/>
        <v>15.1</v>
      </c>
      <c r="BZ179" s="1375">
        <f t="shared" ref="BZ179:DD179" si="1510">+BY179</f>
        <v>15.1</v>
      </c>
      <c r="CA179" s="1374">
        <f t="shared" ref="CA179:CD179" si="1511">+CA$27*CA180</f>
        <v>16.799999999999997</v>
      </c>
      <c r="CB179" s="1374">
        <f t="shared" si="1511"/>
        <v>19.999999999999996</v>
      </c>
      <c r="CC179" s="1374">
        <f t="shared" si="1511"/>
        <v>22.799999999999997</v>
      </c>
      <c r="CD179" s="1374">
        <f t="shared" si="1511"/>
        <v>24.36</v>
      </c>
      <c r="CE179" s="1375">
        <f t="shared" si="1510"/>
        <v>24.36</v>
      </c>
      <c r="CF179" s="1374">
        <f t="shared" ref="CF179:CI179" si="1512">+CF$27*CF180</f>
        <v>26</v>
      </c>
      <c r="CG179" s="1374">
        <f t="shared" si="1512"/>
        <v>28</v>
      </c>
      <c r="CH179" s="1374">
        <f t="shared" si="1512"/>
        <v>30.399999999999995</v>
      </c>
      <c r="CI179" s="1374">
        <f t="shared" si="1512"/>
        <v>32.799999999999997</v>
      </c>
      <c r="CJ179" s="1375">
        <f t="shared" si="1510"/>
        <v>32.799999999999997</v>
      </c>
      <c r="CK179" s="1374">
        <f t="shared" ref="CK179:CN179" si="1513">+CK$27*CK180</f>
        <v>34</v>
      </c>
      <c r="CL179" s="1374">
        <f t="shared" si="1513"/>
        <v>36</v>
      </c>
      <c r="CM179" s="1374">
        <f t="shared" si="1513"/>
        <v>38</v>
      </c>
      <c r="CN179" s="1374">
        <f t="shared" si="1513"/>
        <v>42.76</v>
      </c>
      <c r="CO179" s="1375">
        <f t="shared" si="1510"/>
        <v>42.76</v>
      </c>
      <c r="CP179" s="1374">
        <f t="shared" ref="CP179:CS179" si="1514">+CP$27*CP180</f>
        <v>44</v>
      </c>
      <c r="CQ179" s="1374">
        <f t="shared" si="1514"/>
        <v>49.280000000000008</v>
      </c>
      <c r="CR179" s="1374">
        <f t="shared" si="1514"/>
        <v>58.405925925925935</v>
      </c>
      <c r="CS179" s="1374">
        <f t="shared" si="1514"/>
        <v>69.960000000000008</v>
      </c>
      <c r="CT179" s="1375">
        <f t="shared" si="1510"/>
        <v>69.960000000000008</v>
      </c>
      <c r="CU179" s="1374">
        <f t="shared" ref="CU179:CX179" si="1515">+CU$27*CU180</f>
        <v>72.758400000000009</v>
      </c>
      <c r="CV179" s="1374">
        <f t="shared" si="1515"/>
        <v>75.66873600000001</v>
      </c>
      <c r="CW179" s="1374">
        <f t="shared" si="1515"/>
        <v>78.695485440000013</v>
      </c>
      <c r="CX179" s="1374">
        <f t="shared" si="1515"/>
        <v>82.52</v>
      </c>
      <c r="CY179" s="1375">
        <f t="shared" si="1510"/>
        <v>82.52</v>
      </c>
      <c r="CZ179" s="1374">
        <f t="shared" ref="CZ179:DC179" si="1516">+CZ$27*CZ180</f>
        <v>83.345200000000006</v>
      </c>
      <c r="DA179" s="1374">
        <f t="shared" si="1516"/>
        <v>84.178652</v>
      </c>
      <c r="DB179" s="1374">
        <f t="shared" si="1516"/>
        <v>85.020438520000013</v>
      </c>
      <c r="DC179" s="1374">
        <f t="shared" si="1516"/>
        <v>97.773504298000006</v>
      </c>
      <c r="DD179" s="1375">
        <f t="shared" si="1510"/>
        <v>97.773504298000006</v>
      </c>
      <c r="DE179" s="1374">
        <f>+DE$27*DE180</f>
        <v>112.43952994269999</v>
      </c>
      <c r="DF179" s="1374">
        <f>+DF$27*DF180</f>
        <v>118.061506439835</v>
      </c>
      <c r="DG179" s="1374">
        <f>+DG$27*DG180</f>
        <v>119.24212150423335</v>
      </c>
      <c r="DH179" s="1374">
        <f>+DH$27*DH180</f>
        <v>122.22317454183917</v>
      </c>
      <c r="DI179" s="1375">
        <f t="shared" ref="DI179" si="1517">+DH179</f>
        <v>122.22317454183917</v>
      </c>
      <c r="DJ179" s="1374">
        <f>+DJ$27*DJ180</f>
        <v>125.27875390538513</v>
      </c>
      <c r="DK179" s="1374">
        <f>+DK$27*DK180</f>
        <v>128.41072275301974</v>
      </c>
      <c r="DL179" s="1374">
        <f>+DL$27*DL180</f>
        <v>131.62099082184523</v>
      </c>
      <c r="DM179" s="1374">
        <f>+DM$27*DM180</f>
        <v>134.91151559239137</v>
      </c>
      <c r="DN179" s="1375">
        <f t="shared" ref="DN179" si="1518">+DM179</f>
        <v>134.91151559239137</v>
      </c>
      <c r="DO179" s="1374">
        <f t="shared" ref="DO179:DR179" si="1519">+DO$27*DO180</f>
        <v>138.28430348220112</v>
      </c>
      <c r="DP179" s="1374">
        <f t="shared" si="1519"/>
        <v>141.74141106925615</v>
      </c>
      <c r="DQ179" s="1374">
        <f t="shared" si="1519"/>
        <v>145.28494634598755</v>
      </c>
      <c r="DR179" s="1374">
        <f t="shared" si="1519"/>
        <v>148.91707000463722</v>
      </c>
      <c r="DS179" s="1375">
        <f t="shared" ref="DS179:DX179" si="1520">+DR179</f>
        <v>148.91707000463722</v>
      </c>
      <c r="DT179" s="1374">
        <f t="shared" ref="DT179:DW179" si="1521">+DT$27*DT180</f>
        <v>152.63999675475313</v>
      </c>
      <c r="DU179" s="1374">
        <f t="shared" si="1521"/>
        <v>156.45599667362194</v>
      </c>
      <c r="DV179" s="1374">
        <f t="shared" si="1521"/>
        <v>160.36739659046248</v>
      </c>
      <c r="DW179" s="1374">
        <f t="shared" si="1521"/>
        <v>164.37658150522404</v>
      </c>
      <c r="DX179" s="1375">
        <f t="shared" si="1520"/>
        <v>164.37658150522404</v>
      </c>
      <c r="DY179" s="1374">
        <f t="shared" ref="DY179" si="1522">+DY$27*DY180</f>
        <v>168.48599604285459</v>
      </c>
      <c r="DZ179" s="1374">
        <f t="shared" ref="DZ179" si="1523">+DZ$27*DZ180</f>
        <v>172.69814594392597</v>
      </c>
      <c r="EA179" s="1374">
        <f t="shared" ref="EA179" si="1524">+EA$27*EA180</f>
        <v>177.0155995925241</v>
      </c>
      <c r="EB179" s="1374">
        <f t="shared" ref="EB179" si="1525">+EB$27*EB180</f>
        <v>181.44098958233718</v>
      </c>
      <c r="EC179" s="1375">
        <f t="shared" ref="EC179" si="1526">+EB179</f>
        <v>181.44098958233718</v>
      </c>
    </row>
    <row r="180" spans="1:133" hidden="1" outlineLevel="1">
      <c r="C180" s="1376" t="s">
        <v>664</v>
      </c>
      <c r="D180" s="1377"/>
      <c r="E180" s="1377"/>
      <c r="F180" s="1377"/>
      <c r="G180" s="1377"/>
      <c r="H180" s="1377"/>
      <c r="I180" s="1377"/>
      <c r="J180" s="1377"/>
      <c r="K180" s="1377"/>
      <c r="L180" s="1377"/>
      <c r="M180" s="1377"/>
      <c r="N180" s="1377"/>
      <c r="O180" s="1377"/>
      <c r="P180" s="1377"/>
      <c r="Q180" s="1377"/>
      <c r="R180" s="1377"/>
      <c r="S180" s="1377"/>
      <c r="T180" s="1377"/>
      <c r="U180" s="1377"/>
      <c r="V180" s="1377"/>
      <c r="W180" s="1377"/>
      <c r="X180" s="1377"/>
      <c r="Y180" s="1377"/>
      <c r="Z180" s="1377"/>
      <c r="AA180" s="1377"/>
      <c r="AB180" s="1377"/>
      <c r="AC180" s="1377"/>
      <c r="AD180" s="1377"/>
      <c r="AE180" s="1377"/>
      <c r="AF180" s="1377"/>
      <c r="AG180" s="1377"/>
      <c r="AH180" s="1377"/>
      <c r="AI180" s="1377"/>
      <c r="AJ180" s="1377"/>
      <c r="AK180" s="1377"/>
      <c r="AL180" s="1377"/>
      <c r="AM180" s="1377"/>
      <c r="AN180" s="1377"/>
      <c r="AO180" s="1377"/>
      <c r="AP180" s="1377"/>
      <c r="AQ180" s="1377"/>
      <c r="AR180" s="1377"/>
      <c r="AS180" s="1377"/>
      <c r="AT180" s="1377"/>
      <c r="AU180" s="1377"/>
      <c r="AV180" s="1377"/>
      <c r="AW180" s="1377"/>
      <c r="AX180" s="1377"/>
      <c r="AY180" s="1377"/>
      <c r="AZ180" s="1377"/>
      <c r="BA180" s="1377"/>
      <c r="BB180" s="1377"/>
      <c r="BC180" s="1377"/>
      <c r="BD180" s="1377"/>
      <c r="BE180" s="1377"/>
      <c r="BF180" s="1377"/>
      <c r="BG180" s="1377"/>
      <c r="BH180" s="1377"/>
      <c r="BI180" s="1377"/>
      <c r="BJ180" s="1377"/>
      <c r="BK180" s="1377"/>
      <c r="BL180" s="1377"/>
      <c r="BM180" s="1377"/>
      <c r="BN180" s="1377"/>
      <c r="BO180" s="1377"/>
      <c r="BP180" s="1377"/>
      <c r="BQ180" s="1377"/>
      <c r="BR180" s="1377"/>
      <c r="BS180" s="1377"/>
      <c r="BT180" s="1378">
        <v>0.04</v>
      </c>
      <c r="BU180" s="1379">
        <f>+BU179/BU$27</f>
        <v>0.04</v>
      </c>
      <c r="BV180" s="1378">
        <v>0.04</v>
      </c>
      <c r="BW180" s="1378">
        <v>0.04</v>
      </c>
      <c r="BX180" s="1378">
        <v>0.04</v>
      </c>
      <c r="BY180" s="1378">
        <v>0.04</v>
      </c>
      <c r="BZ180" s="1379">
        <f t="shared" ref="BZ180" si="1527">+BZ179/BZ$27</f>
        <v>0.04</v>
      </c>
      <c r="CA180" s="1378">
        <v>0.04</v>
      </c>
      <c r="CB180" s="1378">
        <v>0.04</v>
      </c>
      <c r="CC180" s="1378">
        <v>0.04</v>
      </c>
      <c r="CD180" s="1378">
        <v>0.04</v>
      </c>
      <c r="CE180" s="1379">
        <f t="shared" ref="CE180" si="1528">+CE179/CE$27</f>
        <v>0.04</v>
      </c>
      <c r="CF180" s="1378">
        <v>0.04</v>
      </c>
      <c r="CG180" s="1378">
        <v>0.04</v>
      </c>
      <c r="CH180" s="1378">
        <v>0.04</v>
      </c>
      <c r="CI180" s="1378">
        <v>0.04</v>
      </c>
      <c r="CJ180" s="1379">
        <f t="shared" ref="CJ180" si="1529">+CJ179/CJ$27</f>
        <v>3.9999999999999994E-2</v>
      </c>
      <c r="CK180" s="1378">
        <v>0.04</v>
      </c>
      <c r="CL180" s="1378">
        <v>0.04</v>
      </c>
      <c r="CM180" s="1378">
        <v>0.04</v>
      </c>
      <c r="CN180" s="1378">
        <v>0.04</v>
      </c>
      <c r="CO180" s="1379">
        <f t="shared" ref="CO180" si="1530">+CO179/CO$27</f>
        <v>4.2759999999999999E-2</v>
      </c>
      <c r="CP180" s="1378">
        <v>0.04</v>
      </c>
      <c r="CQ180" s="1378">
        <v>0.04</v>
      </c>
      <c r="CR180" s="1378">
        <v>0.04</v>
      </c>
      <c r="CS180" s="1378">
        <v>0.04</v>
      </c>
      <c r="CT180" s="1379">
        <f t="shared" ref="CT180" si="1531">+CT179/CT$27</f>
        <v>4.0000000000000008E-2</v>
      </c>
      <c r="CU180" s="1378">
        <v>0.04</v>
      </c>
      <c r="CV180" s="1378">
        <v>0.04</v>
      </c>
      <c r="CW180" s="1378">
        <v>0.04</v>
      </c>
      <c r="CX180" s="1378">
        <v>0.04</v>
      </c>
      <c r="CY180" s="1379">
        <f t="shared" ref="CY180" si="1532">+CY179/CY$27</f>
        <v>0.04</v>
      </c>
      <c r="CZ180" s="1378">
        <v>0.04</v>
      </c>
      <c r="DA180" s="1378">
        <v>0.04</v>
      </c>
      <c r="DB180" s="1378">
        <v>0.04</v>
      </c>
      <c r="DC180" s="1378">
        <v>0.04</v>
      </c>
      <c r="DD180" s="1379">
        <f t="shared" ref="DD180" si="1533">+DD179/DD$27</f>
        <v>0.04</v>
      </c>
      <c r="DE180" s="1378">
        <v>0.04</v>
      </c>
      <c r="DF180" s="1378">
        <v>0.04</v>
      </c>
      <c r="DG180" s="1378">
        <v>0.04</v>
      </c>
      <c r="DH180" s="1378">
        <v>0.04</v>
      </c>
      <c r="DI180" s="1379">
        <f t="shared" ref="DI180" si="1534">+DI179/DI$27</f>
        <v>0.04</v>
      </c>
      <c r="DJ180" s="1378">
        <v>0.04</v>
      </c>
      <c r="DK180" s="1378">
        <v>0.04</v>
      </c>
      <c r="DL180" s="1378">
        <v>0.04</v>
      </c>
      <c r="DM180" s="1380">
        <v>0.04</v>
      </c>
      <c r="DN180" s="1379">
        <f t="shared" ref="DN180" si="1535">+DN179/DN$27</f>
        <v>4.0000000000000008E-2</v>
      </c>
      <c r="DO180" s="1380">
        <v>0.04</v>
      </c>
      <c r="DP180" s="1380">
        <v>0.04</v>
      </c>
      <c r="DQ180" s="1380">
        <v>0.04</v>
      </c>
      <c r="DR180" s="1380">
        <v>0.04</v>
      </c>
      <c r="DS180" s="1379">
        <f t="shared" ref="DS180" si="1536">+DS179/DS$27</f>
        <v>4.0000000000000008E-2</v>
      </c>
      <c r="DT180" s="1380">
        <v>0.04</v>
      </c>
      <c r="DU180" s="1380">
        <v>0.04</v>
      </c>
      <c r="DV180" s="1380">
        <v>0.04</v>
      </c>
      <c r="DW180" s="1380">
        <v>0.04</v>
      </c>
      <c r="DX180" s="1379">
        <f t="shared" ref="DX180" si="1537">+DX179/DX$27</f>
        <v>0.04</v>
      </c>
      <c r="DY180" s="1380">
        <v>0.04</v>
      </c>
      <c r="DZ180" s="1380">
        <v>0.04</v>
      </c>
      <c r="EA180" s="1380">
        <v>0.04</v>
      </c>
      <c r="EB180" s="1380">
        <v>0.04</v>
      </c>
      <c r="EC180" s="1379">
        <f t="shared" ref="EC180" si="1538">+EC179/EC$27</f>
        <v>0.04</v>
      </c>
    </row>
    <row r="181" spans="1:133" hidden="1" outlineLevel="1">
      <c r="C181" s="1381" t="s">
        <v>667</v>
      </c>
      <c r="BT181" s="1382">
        <v>0.5</v>
      </c>
      <c r="BU181" s="1383">
        <f t="shared" ref="BU181" si="1539">+BU182/BU179</f>
        <v>0.5</v>
      </c>
      <c r="BV181" s="1382">
        <v>0.5</v>
      </c>
      <c r="BW181" s="1382">
        <v>0.5</v>
      </c>
      <c r="BX181" s="1382">
        <v>0.5</v>
      </c>
      <c r="BY181" s="1382">
        <v>0.5</v>
      </c>
      <c r="BZ181" s="1383">
        <f t="shared" ref="BZ181" si="1540">+BZ182/BZ179</f>
        <v>0.5</v>
      </c>
      <c r="CA181" s="1382">
        <v>0.5</v>
      </c>
      <c r="CB181" s="1382">
        <v>0.5</v>
      </c>
      <c r="CC181" s="1382">
        <v>0.5</v>
      </c>
      <c r="CD181" s="1382">
        <v>0.5</v>
      </c>
      <c r="CE181" s="1383">
        <f t="shared" ref="CE181" si="1541">+CE182/CE179</f>
        <v>0.5</v>
      </c>
      <c r="CF181" s="1382">
        <v>0.5</v>
      </c>
      <c r="CG181" s="1382">
        <v>0.5</v>
      </c>
      <c r="CH181" s="1382">
        <v>0.5</v>
      </c>
      <c r="CI181" s="1382">
        <v>0.5</v>
      </c>
      <c r="CJ181" s="1383">
        <f t="shared" ref="CJ181" si="1542">+CJ182/CJ179</f>
        <v>0.5</v>
      </c>
      <c r="CK181" s="1382">
        <v>0.5</v>
      </c>
      <c r="CL181" s="1382">
        <v>0.5</v>
      </c>
      <c r="CM181" s="1382">
        <v>0.5</v>
      </c>
      <c r="CN181" s="1382">
        <v>0.5</v>
      </c>
      <c r="CO181" s="1383">
        <f t="shared" ref="CO181" si="1543">+CO182/CO179</f>
        <v>0.5</v>
      </c>
      <c r="CP181" s="1382">
        <v>0.5</v>
      </c>
      <c r="CQ181" s="1382">
        <v>0.5</v>
      </c>
      <c r="CR181" s="1382">
        <v>0.5</v>
      </c>
      <c r="CS181" s="1382">
        <v>0.5</v>
      </c>
      <c r="CT181" s="1383">
        <f t="shared" ref="CT181" si="1544">+CT182/CT179</f>
        <v>0.5</v>
      </c>
      <c r="CU181" s="1382">
        <v>0.5</v>
      </c>
      <c r="CV181" s="1382">
        <v>0.5</v>
      </c>
      <c r="CW181" s="1382">
        <v>0.5</v>
      </c>
      <c r="CX181" s="1382">
        <v>0.5</v>
      </c>
      <c r="CY181" s="1383">
        <f t="shared" ref="CY181" si="1545">+CY182/CY179</f>
        <v>0.5</v>
      </c>
      <c r="CZ181" s="1382">
        <v>0.5</v>
      </c>
      <c r="DA181" s="1382">
        <v>0.5</v>
      </c>
      <c r="DB181" s="1382">
        <v>0.5</v>
      </c>
      <c r="DC181" s="1382">
        <v>0.5</v>
      </c>
      <c r="DD181" s="1383">
        <f t="shared" ref="DD181" si="1546">+DD182/DD179</f>
        <v>0.5</v>
      </c>
      <c r="DE181" s="1382">
        <v>0.5</v>
      </c>
      <c r="DF181" s="1382">
        <v>0.5</v>
      </c>
      <c r="DG181" s="1382">
        <v>0.5</v>
      </c>
      <c r="DH181" s="1382">
        <v>0.5</v>
      </c>
      <c r="DI181" s="1383">
        <f>+DI182/DI179</f>
        <v>0.5</v>
      </c>
      <c r="DJ181" s="1382">
        <v>0.5</v>
      </c>
      <c r="DK181" s="1382">
        <v>0.5</v>
      </c>
      <c r="DL181" s="1382">
        <v>0.5</v>
      </c>
      <c r="DM181" s="1384">
        <v>0.5</v>
      </c>
      <c r="DN181" s="1383">
        <f>+DN182/DN179</f>
        <v>0.5</v>
      </c>
      <c r="DO181" s="1384">
        <v>0.5</v>
      </c>
      <c r="DP181" s="1384">
        <v>0.5</v>
      </c>
      <c r="DQ181" s="1384">
        <v>0.5</v>
      </c>
      <c r="DR181" s="1384">
        <v>0.5</v>
      </c>
      <c r="DS181" s="1383">
        <f>+DS182/DS179</f>
        <v>0.5</v>
      </c>
      <c r="DT181" s="1384">
        <v>0.5</v>
      </c>
      <c r="DU181" s="1384">
        <v>0.5</v>
      </c>
      <c r="DV181" s="1384">
        <v>0.5</v>
      </c>
      <c r="DW181" s="1384">
        <v>0.5</v>
      </c>
      <c r="DX181" s="1383">
        <f>+DX182/DX179</f>
        <v>0.5</v>
      </c>
      <c r="DY181" s="1384">
        <v>0.5</v>
      </c>
      <c r="DZ181" s="1384">
        <v>0.5</v>
      </c>
      <c r="EA181" s="1384">
        <v>0.5</v>
      </c>
      <c r="EB181" s="1384">
        <v>0.5</v>
      </c>
      <c r="EC181" s="1383">
        <f>+EC182/EC179</f>
        <v>0.5</v>
      </c>
    </row>
    <row r="182" spans="1:133" hidden="1" outlineLevel="1">
      <c r="C182" s="1385" t="s">
        <v>671</v>
      </c>
      <c r="D182" s="1371"/>
      <c r="E182" s="1371"/>
      <c r="F182" s="1371"/>
      <c r="G182" s="1371"/>
      <c r="H182" s="1371"/>
      <c r="I182" s="1371"/>
      <c r="J182" s="1371"/>
      <c r="K182" s="1371"/>
      <c r="L182" s="1371"/>
      <c r="M182" s="1371"/>
      <c r="N182" s="1371"/>
      <c r="O182" s="1371"/>
      <c r="P182" s="1371"/>
      <c r="Q182" s="1371"/>
      <c r="R182" s="1371"/>
      <c r="S182" s="1371"/>
      <c r="T182" s="1371"/>
      <c r="U182" s="1371"/>
      <c r="V182" s="1371"/>
      <c r="W182" s="1371"/>
      <c r="X182" s="1371"/>
      <c r="Y182" s="1371"/>
      <c r="Z182" s="1371"/>
      <c r="AA182" s="1371"/>
      <c r="AB182" s="1371"/>
      <c r="AC182" s="1371"/>
      <c r="AD182" s="1371"/>
      <c r="AE182" s="1371"/>
      <c r="AF182" s="1371"/>
      <c r="AG182" s="1371"/>
      <c r="AH182" s="1371"/>
      <c r="AI182" s="1371"/>
      <c r="AJ182" s="1371"/>
      <c r="AK182" s="1371"/>
      <c r="AL182" s="1371"/>
      <c r="AM182" s="1371"/>
      <c r="AN182" s="1371"/>
      <c r="AO182" s="1371"/>
      <c r="AP182" s="1371"/>
      <c r="AQ182" s="1371"/>
      <c r="AR182" s="1371"/>
      <c r="AS182" s="1371"/>
      <c r="AT182" s="1371"/>
      <c r="AU182" s="1371"/>
      <c r="AV182" s="1371"/>
      <c r="AW182" s="1371"/>
      <c r="AX182" s="1371"/>
      <c r="AY182" s="1371"/>
      <c r="AZ182" s="1371"/>
      <c r="BA182" s="1371"/>
      <c r="BB182" s="1371"/>
      <c r="BC182" s="1371"/>
      <c r="BD182" s="1371"/>
      <c r="BE182" s="1371"/>
      <c r="BF182" s="1371"/>
      <c r="BG182" s="1371"/>
      <c r="BH182" s="1371"/>
      <c r="BI182" s="1371"/>
      <c r="BJ182" s="1371"/>
      <c r="BK182" s="1371"/>
      <c r="BL182" s="1371"/>
      <c r="BM182" s="1371"/>
      <c r="BN182" s="1371"/>
      <c r="BO182" s="1371"/>
      <c r="BP182" s="1371"/>
      <c r="BQ182" s="1371"/>
      <c r="BR182" s="1371"/>
      <c r="BS182" s="1371"/>
      <c r="BT182" s="1386">
        <f t="shared" ref="BT182:BY182" si="1547">+BT179*BT181</f>
        <v>3.3000000000000003</v>
      </c>
      <c r="BU182" s="1387">
        <f t="shared" ref="BU182" si="1548">+BT182</f>
        <v>3.3000000000000003</v>
      </c>
      <c r="BV182" s="1386">
        <f t="shared" si="1547"/>
        <v>4.3989000000000003</v>
      </c>
      <c r="BW182" s="1386">
        <f t="shared" si="1547"/>
        <v>5.6000000000000005</v>
      </c>
      <c r="BX182" s="1386">
        <f t="shared" si="1547"/>
        <v>6.4</v>
      </c>
      <c r="BY182" s="1386">
        <f t="shared" si="1547"/>
        <v>7.55</v>
      </c>
      <c r="BZ182" s="1387">
        <f t="shared" ref="BZ182" si="1549">+BY182</f>
        <v>7.55</v>
      </c>
      <c r="CA182" s="1386">
        <f t="shared" ref="CA182:CD182" si="1550">+CA179*CA181</f>
        <v>8.3999999999999986</v>
      </c>
      <c r="CB182" s="1386">
        <f t="shared" si="1550"/>
        <v>9.9999999999999982</v>
      </c>
      <c r="CC182" s="1386">
        <f t="shared" si="1550"/>
        <v>11.399999999999999</v>
      </c>
      <c r="CD182" s="1386">
        <f t="shared" si="1550"/>
        <v>12.18</v>
      </c>
      <c r="CE182" s="1387">
        <f t="shared" ref="CE182" si="1551">+CD182</f>
        <v>12.18</v>
      </c>
      <c r="CF182" s="1386">
        <f t="shared" ref="CF182:CI182" si="1552">+CF179*CF181</f>
        <v>13</v>
      </c>
      <c r="CG182" s="1386">
        <f t="shared" si="1552"/>
        <v>14</v>
      </c>
      <c r="CH182" s="1386">
        <f t="shared" si="1552"/>
        <v>15.199999999999998</v>
      </c>
      <c r="CI182" s="1386">
        <f t="shared" si="1552"/>
        <v>16.399999999999999</v>
      </c>
      <c r="CJ182" s="1387">
        <f t="shared" ref="CJ182" si="1553">+CI182</f>
        <v>16.399999999999999</v>
      </c>
      <c r="CK182" s="1386">
        <f t="shared" ref="CK182:CN182" si="1554">+CK179*CK181</f>
        <v>17</v>
      </c>
      <c r="CL182" s="1386">
        <f t="shared" si="1554"/>
        <v>18</v>
      </c>
      <c r="CM182" s="1386">
        <f t="shared" si="1554"/>
        <v>19</v>
      </c>
      <c r="CN182" s="1386">
        <f t="shared" si="1554"/>
        <v>21.38</v>
      </c>
      <c r="CO182" s="1387">
        <f t="shared" ref="CO182" si="1555">+CN182</f>
        <v>21.38</v>
      </c>
      <c r="CP182" s="1386">
        <f t="shared" ref="CP182:CS182" si="1556">+CP179*CP181</f>
        <v>22</v>
      </c>
      <c r="CQ182" s="1386">
        <f t="shared" si="1556"/>
        <v>24.640000000000004</v>
      </c>
      <c r="CR182" s="1386">
        <f t="shared" si="1556"/>
        <v>29.202962962962967</v>
      </c>
      <c r="CS182" s="1386">
        <f t="shared" si="1556"/>
        <v>34.980000000000004</v>
      </c>
      <c r="CT182" s="1387">
        <f t="shared" ref="CT182" si="1557">+CS182</f>
        <v>34.980000000000004</v>
      </c>
      <c r="CU182" s="1386">
        <f t="shared" ref="CU182:CX182" si="1558">+CU179*CU181</f>
        <v>36.379200000000004</v>
      </c>
      <c r="CV182" s="1386">
        <f t="shared" si="1558"/>
        <v>37.834368000000005</v>
      </c>
      <c r="CW182" s="1386">
        <f t="shared" si="1558"/>
        <v>39.347742720000006</v>
      </c>
      <c r="CX182" s="1386">
        <f t="shared" si="1558"/>
        <v>41.26</v>
      </c>
      <c r="CY182" s="1387">
        <f t="shared" ref="CY182" si="1559">+CX182</f>
        <v>41.26</v>
      </c>
      <c r="CZ182" s="1386">
        <f t="shared" ref="CZ182:DC182" si="1560">+CZ179*CZ181</f>
        <v>41.672600000000003</v>
      </c>
      <c r="DA182" s="1386">
        <f t="shared" si="1560"/>
        <v>42.089326</v>
      </c>
      <c r="DB182" s="1386">
        <f t="shared" si="1560"/>
        <v>42.510219260000007</v>
      </c>
      <c r="DC182" s="1386">
        <f t="shared" si="1560"/>
        <v>48.886752149000003</v>
      </c>
      <c r="DD182" s="1387">
        <f t="shared" ref="DD182:DD187" si="1561">+DC182</f>
        <v>48.886752149000003</v>
      </c>
      <c r="DE182" s="1386">
        <f>+DE179*DE181</f>
        <v>56.219764971349996</v>
      </c>
      <c r="DF182" s="1386">
        <f>+DF179*DF181</f>
        <v>59.0307532199175</v>
      </c>
      <c r="DG182" s="1386">
        <f>+DG179*DG181</f>
        <v>59.621060752116676</v>
      </c>
      <c r="DH182" s="1386">
        <f>+DH179*DH181</f>
        <v>61.111587270919586</v>
      </c>
      <c r="DI182" s="1387">
        <f t="shared" ref="DI182:DI187" si="1562">+DH182</f>
        <v>61.111587270919586</v>
      </c>
      <c r="DJ182" s="1386">
        <f>+DJ179*DJ181</f>
        <v>62.639376952692565</v>
      </c>
      <c r="DK182" s="1386">
        <f>+DK179*DK181</f>
        <v>64.20536137650987</v>
      </c>
      <c r="DL182" s="1386">
        <f>+DL179*DL181</f>
        <v>65.810495410922613</v>
      </c>
      <c r="DM182" s="1386">
        <f>+DM179*DM181</f>
        <v>67.455757796195684</v>
      </c>
      <c r="DN182" s="1387">
        <f t="shared" ref="DN182:DN187" si="1563">+DM182</f>
        <v>67.455757796195684</v>
      </c>
      <c r="DO182" s="1386">
        <f>+DO179*DO181</f>
        <v>69.142151741100562</v>
      </c>
      <c r="DP182" s="1386">
        <f>+DP179*DP181</f>
        <v>70.870705534628073</v>
      </c>
      <c r="DQ182" s="1386">
        <f>+DQ179*DQ181</f>
        <v>72.642473172993775</v>
      </c>
      <c r="DR182" s="1386">
        <f>+DR179*DR181</f>
        <v>74.458535002318612</v>
      </c>
      <c r="DS182" s="1387">
        <f t="shared" ref="DS182:DS187" si="1564">+DR182</f>
        <v>74.458535002318612</v>
      </c>
      <c r="DT182" s="1386">
        <f>+DT179*DT181</f>
        <v>76.319998377376564</v>
      </c>
      <c r="DU182" s="1386">
        <f>+DU179*DU181</f>
        <v>78.22799833681097</v>
      </c>
      <c r="DV182" s="1386">
        <f>+DV179*DV181</f>
        <v>80.183698295231238</v>
      </c>
      <c r="DW182" s="1386">
        <f>+DW179*DW181</f>
        <v>82.188290752612019</v>
      </c>
      <c r="DX182" s="1387">
        <f t="shared" ref="DX182:DX187" si="1565">+DW182</f>
        <v>82.188290752612019</v>
      </c>
      <c r="DY182" s="1386">
        <f>+DY179*DY181</f>
        <v>84.242998021427297</v>
      </c>
      <c r="DZ182" s="1386">
        <f>+DZ179*DZ181</f>
        <v>86.349072971962983</v>
      </c>
      <c r="EA182" s="1386">
        <f>+EA179*EA181</f>
        <v>88.507799796262049</v>
      </c>
      <c r="EB182" s="1386">
        <f>+EB179*EB181</f>
        <v>90.720494791168591</v>
      </c>
      <c r="EC182" s="1387">
        <f t="shared" ref="EC182:EC187" si="1566">+EB182</f>
        <v>90.720494791168591</v>
      </c>
    </row>
    <row r="183" spans="1:133" hidden="1" outlineLevel="1">
      <c r="C183" s="240" t="s">
        <v>665</v>
      </c>
      <c r="BT183" s="1388">
        <v>39</v>
      </c>
      <c r="BU183" s="1389">
        <f t="shared" ref="BU183" si="1567">+BT183</f>
        <v>39</v>
      </c>
      <c r="BV183" s="1388">
        <v>39</v>
      </c>
      <c r="BW183" s="1388">
        <v>39</v>
      </c>
      <c r="BX183" s="1388">
        <v>39</v>
      </c>
      <c r="BY183" s="1388">
        <v>39</v>
      </c>
      <c r="BZ183" s="1389">
        <f t="shared" ref="BZ183" si="1568">+BY183</f>
        <v>39</v>
      </c>
      <c r="CA183" s="1388">
        <v>39</v>
      </c>
      <c r="CB183" s="1388">
        <v>39</v>
      </c>
      <c r="CC183" s="1388">
        <v>39</v>
      </c>
      <c r="CD183" s="1388">
        <v>39</v>
      </c>
      <c r="CE183" s="1389">
        <f t="shared" ref="CE183" si="1569">+CD183</f>
        <v>39</v>
      </c>
      <c r="CF183" s="1388">
        <v>39</v>
      </c>
      <c r="CG183" s="1388">
        <v>39</v>
      </c>
      <c r="CH183" s="1388">
        <v>39</v>
      </c>
      <c r="CI183" s="1388">
        <v>39</v>
      </c>
      <c r="CJ183" s="1389">
        <f t="shared" ref="CJ183" si="1570">+CI183</f>
        <v>39</v>
      </c>
      <c r="CK183" s="1388">
        <v>39</v>
      </c>
      <c r="CL183" s="1388">
        <v>39</v>
      </c>
      <c r="CM183" s="1388">
        <v>39</v>
      </c>
      <c r="CN183" s="1388">
        <v>39</v>
      </c>
      <c r="CO183" s="1389">
        <f t="shared" ref="CO183" si="1571">+CN183</f>
        <v>39</v>
      </c>
      <c r="CP183" s="1388">
        <v>39</v>
      </c>
      <c r="CQ183" s="1388">
        <v>39</v>
      </c>
      <c r="CR183" s="1388">
        <v>39</v>
      </c>
      <c r="CS183" s="1388">
        <v>39</v>
      </c>
      <c r="CT183" s="1389">
        <f t="shared" ref="CT183" si="1572">+CS183</f>
        <v>39</v>
      </c>
      <c r="CU183" s="1388">
        <v>39</v>
      </c>
      <c r="CV183" s="1388">
        <v>39</v>
      </c>
      <c r="CW183" s="1388">
        <v>39</v>
      </c>
      <c r="CX183" s="1388">
        <v>39</v>
      </c>
      <c r="CY183" s="1389">
        <f t="shared" ref="CY183" si="1573">+CX183</f>
        <v>39</v>
      </c>
      <c r="CZ183" s="1388">
        <v>39</v>
      </c>
      <c r="DA183" s="1388">
        <v>39</v>
      </c>
      <c r="DB183" s="1388">
        <v>39</v>
      </c>
      <c r="DC183" s="1388">
        <v>39</v>
      </c>
      <c r="DD183" s="1389">
        <f t="shared" si="1561"/>
        <v>39</v>
      </c>
      <c r="DE183" s="1388">
        <v>39</v>
      </c>
      <c r="DF183" s="1388">
        <v>39</v>
      </c>
      <c r="DG183" s="1388">
        <v>39</v>
      </c>
      <c r="DH183" s="1388">
        <v>39</v>
      </c>
      <c r="DI183" s="1389">
        <f t="shared" si="1562"/>
        <v>39</v>
      </c>
      <c r="DJ183" s="1388">
        <v>39</v>
      </c>
      <c r="DK183" s="1388">
        <v>39</v>
      </c>
      <c r="DL183" s="1388">
        <v>39</v>
      </c>
      <c r="DM183" s="1390">
        <v>39</v>
      </c>
      <c r="DN183" s="1389">
        <f t="shared" si="1563"/>
        <v>39</v>
      </c>
      <c r="DO183" s="1390">
        <v>39</v>
      </c>
      <c r="DP183" s="1390">
        <v>39</v>
      </c>
      <c r="DQ183" s="1390">
        <v>39</v>
      </c>
      <c r="DR183" s="1390">
        <v>39</v>
      </c>
      <c r="DS183" s="1389">
        <f t="shared" si="1564"/>
        <v>39</v>
      </c>
      <c r="DT183" s="1390">
        <v>39</v>
      </c>
      <c r="DU183" s="1390">
        <v>39</v>
      </c>
      <c r="DV183" s="1390">
        <v>39</v>
      </c>
      <c r="DW183" s="1390">
        <v>39</v>
      </c>
      <c r="DX183" s="1389">
        <f t="shared" si="1565"/>
        <v>39</v>
      </c>
      <c r="DY183" s="1390">
        <v>39</v>
      </c>
      <c r="DZ183" s="1390">
        <v>39</v>
      </c>
      <c r="EA183" s="1390">
        <v>39</v>
      </c>
      <c r="EB183" s="1390">
        <v>39</v>
      </c>
      <c r="EC183" s="1389">
        <f t="shared" si="1566"/>
        <v>39</v>
      </c>
    </row>
    <row r="184" spans="1:133" hidden="1" outlineLevel="1">
      <c r="C184" s="1381" t="s">
        <v>668</v>
      </c>
      <c r="BT184" s="1382">
        <v>0.25</v>
      </c>
      <c r="BU184" s="1383">
        <f t="shared" ref="BU184" si="1574">+BT184</f>
        <v>0.25</v>
      </c>
      <c r="BV184" s="1382">
        <v>0.25</v>
      </c>
      <c r="BW184" s="1382">
        <v>0.25</v>
      </c>
      <c r="BX184" s="1382">
        <v>0.25</v>
      </c>
      <c r="BY184" s="1382">
        <v>0.25</v>
      </c>
      <c r="BZ184" s="1383">
        <f t="shared" ref="BZ184" si="1575">+BY184</f>
        <v>0.25</v>
      </c>
      <c r="CA184" s="1382">
        <v>0.25</v>
      </c>
      <c r="CB184" s="1382">
        <v>0.25</v>
      </c>
      <c r="CC184" s="1382">
        <v>0.25</v>
      </c>
      <c r="CD184" s="1382">
        <v>0.25</v>
      </c>
      <c r="CE184" s="1383">
        <f t="shared" ref="CE184" si="1576">+CD184</f>
        <v>0.25</v>
      </c>
      <c r="CF184" s="1382">
        <v>0.25</v>
      </c>
      <c r="CG184" s="1382">
        <v>0.25</v>
      </c>
      <c r="CH184" s="1382">
        <v>0.25</v>
      </c>
      <c r="CI184" s="1382">
        <v>0.25</v>
      </c>
      <c r="CJ184" s="1383">
        <f t="shared" ref="CJ184" si="1577">+CI184</f>
        <v>0.25</v>
      </c>
      <c r="CK184" s="1382">
        <v>0.25</v>
      </c>
      <c r="CL184" s="1382">
        <v>0.25</v>
      </c>
      <c r="CM184" s="1382">
        <v>0.25</v>
      </c>
      <c r="CN184" s="1382">
        <v>0.25</v>
      </c>
      <c r="CO184" s="1383">
        <f t="shared" ref="CO184" si="1578">+CN184</f>
        <v>0.25</v>
      </c>
      <c r="CP184" s="1382">
        <v>0.25</v>
      </c>
      <c r="CQ184" s="1382">
        <v>0.25</v>
      </c>
      <c r="CR184" s="1382">
        <v>0.25</v>
      </c>
      <c r="CS184" s="1382">
        <v>0.25</v>
      </c>
      <c r="CT184" s="1383">
        <f t="shared" ref="CT184" si="1579">+CS184</f>
        <v>0.25</v>
      </c>
      <c r="CU184" s="1382">
        <v>0.25</v>
      </c>
      <c r="CV184" s="1382">
        <v>0.25</v>
      </c>
      <c r="CW184" s="1382">
        <v>0.25</v>
      </c>
      <c r="CX184" s="1382">
        <v>0.25</v>
      </c>
      <c r="CY184" s="1383">
        <f t="shared" ref="CY184" si="1580">+CX184</f>
        <v>0.25</v>
      </c>
      <c r="CZ184" s="1382">
        <v>0.25</v>
      </c>
      <c r="DA184" s="1382">
        <v>0.25</v>
      </c>
      <c r="DB184" s="1382">
        <v>0.25</v>
      </c>
      <c r="DC184" s="1382">
        <v>0.25</v>
      </c>
      <c r="DD184" s="1383">
        <f t="shared" si="1561"/>
        <v>0.25</v>
      </c>
      <c r="DE184" s="1382">
        <v>0.25</v>
      </c>
      <c r="DF184" s="1382">
        <v>0.25</v>
      </c>
      <c r="DG184" s="1382">
        <v>0.25</v>
      </c>
      <c r="DH184" s="1382">
        <v>0.25</v>
      </c>
      <c r="DI184" s="1383">
        <f t="shared" si="1562"/>
        <v>0.25</v>
      </c>
      <c r="DJ184" s="1382">
        <v>0.25</v>
      </c>
      <c r="DK184" s="1382">
        <v>0.25</v>
      </c>
      <c r="DL184" s="1382">
        <v>0.25</v>
      </c>
      <c r="DM184" s="1384">
        <v>0.25</v>
      </c>
      <c r="DN184" s="1383">
        <f t="shared" si="1563"/>
        <v>0.25</v>
      </c>
      <c r="DO184" s="1384">
        <v>0.25</v>
      </c>
      <c r="DP184" s="1384">
        <v>0.25</v>
      </c>
      <c r="DQ184" s="1384">
        <v>0.25</v>
      </c>
      <c r="DR184" s="1384">
        <v>0.25</v>
      </c>
      <c r="DS184" s="1383">
        <f t="shared" si="1564"/>
        <v>0.25</v>
      </c>
      <c r="DT184" s="1384">
        <v>0.25</v>
      </c>
      <c r="DU184" s="1384">
        <v>0.25</v>
      </c>
      <c r="DV184" s="1384">
        <v>0.25</v>
      </c>
      <c r="DW184" s="1384">
        <v>0.25</v>
      </c>
      <c r="DX184" s="1383">
        <f t="shared" si="1565"/>
        <v>0.25</v>
      </c>
      <c r="DY184" s="1384">
        <v>0.25</v>
      </c>
      <c r="DZ184" s="1384">
        <v>0.25</v>
      </c>
      <c r="EA184" s="1384">
        <v>0.25</v>
      </c>
      <c r="EB184" s="1384">
        <v>0.25</v>
      </c>
      <c r="EC184" s="1383">
        <f t="shared" si="1566"/>
        <v>0.25</v>
      </c>
    </row>
    <row r="185" spans="1:133" hidden="1" outlineLevel="1">
      <c r="C185" s="1385" t="s">
        <v>669</v>
      </c>
      <c r="D185" s="1371"/>
      <c r="E185" s="1371"/>
      <c r="F185" s="1371"/>
      <c r="G185" s="1371"/>
      <c r="H185" s="1371"/>
      <c r="I185" s="1371"/>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AF185" s="1371"/>
      <c r="AG185" s="1371"/>
      <c r="AH185" s="1371"/>
      <c r="AI185" s="1371"/>
      <c r="AJ185" s="1371"/>
      <c r="AK185" s="1371"/>
      <c r="AL185" s="1371"/>
      <c r="AM185" s="1371"/>
      <c r="AN185" s="1371"/>
      <c r="AO185" s="1371"/>
      <c r="AP185" s="1371"/>
      <c r="AQ185" s="1371"/>
      <c r="AR185" s="1371"/>
      <c r="AS185" s="1371"/>
      <c r="AT185" s="1371"/>
      <c r="AU185" s="1371"/>
      <c r="AV185" s="1371"/>
      <c r="AW185" s="1371"/>
      <c r="AX185" s="1371"/>
      <c r="AY185" s="1371"/>
      <c r="AZ185" s="1371"/>
      <c r="BA185" s="1371"/>
      <c r="BB185" s="1371"/>
      <c r="BC185" s="1371"/>
      <c r="BD185" s="1371"/>
      <c r="BE185" s="1371"/>
      <c r="BF185" s="1371"/>
      <c r="BG185" s="1371"/>
      <c r="BH185" s="1371"/>
      <c r="BI185" s="1371"/>
      <c r="BJ185" s="1371"/>
      <c r="BK185" s="1371"/>
      <c r="BL185" s="1371"/>
      <c r="BM185" s="1371"/>
      <c r="BN185" s="1371"/>
      <c r="BO185" s="1371"/>
      <c r="BP185" s="1371"/>
      <c r="BQ185" s="1371"/>
      <c r="BR185" s="1371"/>
      <c r="BS185" s="1371"/>
      <c r="BT185" s="1391">
        <f t="shared" ref="BT185:BY185" si="1581">+BT183*(1-BT184)</f>
        <v>29.25</v>
      </c>
      <c r="BU185" s="1392">
        <f t="shared" ref="BU185" si="1582">+BT185</f>
        <v>29.25</v>
      </c>
      <c r="BV185" s="1391">
        <f t="shared" si="1581"/>
        <v>29.25</v>
      </c>
      <c r="BW185" s="1391">
        <f t="shared" si="1581"/>
        <v>29.25</v>
      </c>
      <c r="BX185" s="1391">
        <f t="shared" si="1581"/>
        <v>29.25</v>
      </c>
      <c r="BY185" s="1391">
        <f t="shared" si="1581"/>
        <v>29.25</v>
      </c>
      <c r="BZ185" s="1392">
        <f t="shared" ref="BZ185" si="1583">+BY185</f>
        <v>29.25</v>
      </c>
      <c r="CA185" s="1391">
        <f t="shared" ref="CA185:CD185" si="1584">+CA183*(1-CA184)</f>
        <v>29.25</v>
      </c>
      <c r="CB185" s="1391">
        <f t="shared" si="1584"/>
        <v>29.25</v>
      </c>
      <c r="CC185" s="1391">
        <f t="shared" si="1584"/>
        <v>29.25</v>
      </c>
      <c r="CD185" s="1391">
        <f t="shared" si="1584"/>
        <v>29.25</v>
      </c>
      <c r="CE185" s="1392">
        <f t="shared" ref="CE185" si="1585">+CD185</f>
        <v>29.25</v>
      </c>
      <c r="CF185" s="1391">
        <f t="shared" ref="CF185:CI185" si="1586">+CF183*(1-CF184)</f>
        <v>29.25</v>
      </c>
      <c r="CG185" s="1391">
        <f t="shared" si="1586"/>
        <v>29.25</v>
      </c>
      <c r="CH185" s="1391">
        <f t="shared" si="1586"/>
        <v>29.25</v>
      </c>
      <c r="CI185" s="1391">
        <f t="shared" si="1586"/>
        <v>29.25</v>
      </c>
      <c r="CJ185" s="1392">
        <f t="shared" ref="CJ185" si="1587">+CI185</f>
        <v>29.25</v>
      </c>
      <c r="CK185" s="1391">
        <f t="shared" ref="CK185:CN185" si="1588">+CK183*(1-CK184)</f>
        <v>29.25</v>
      </c>
      <c r="CL185" s="1391">
        <f t="shared" si="1588"/>
        <v>29.25</v>
      </c>
      <c r="CM185" s="1391">
        <f t="shared" si="1588"/>
        <v>29.25</v>
      </c>
      <c r="CN185" s="1391">
        <f t="shared" si="1588"/>
        <v>29.25</v>
      </c>
      <c r="CO185" s="1392">
        <f t="shared" ref="CO185" si="1589">+CN185</f>
        <v>29.25</v>
      </c>
      <c r="CP185" s="1391">
        <f t="shared" ref="CP185:CS185" si="1590">+CP183*(1-CP184)</f>
        <v>29.25</v>
      </c>
      <c r="CQ185" s="1391">
        <f t="shared" si="1590"/>
        <v>29.25</v>
      </c>
      <c r="CR185" s="1391">
        <f t="shared" si="1590"/>
        <v>29.25</v>
      </c>
      <c r="CS185" s="1391">
        <f t="shared" si="1590"/>
        <v>29.25</v>
      </c>
      <c r="CT185" s="1392">
        <f t="shared" ref="CT185" si="1591">+CS185</f>
        <v>29.25</v>
      </c>
      <c r="CU185" s="1391">
        <f t="shared" ref="CU185:CX185" si="1592">+CU183*(1-CU184)</f>
        <v>29.25</v>
      </c>
      <c r="CV185" s="1391">
        <f t="shared" si="1592"/>
        <v>29.25</v>
      </c>
      <c r="CW185" s="1391">
        <f t="shared" si="1592"/>
        <v>29.25</v>
      </c>
      <c r="CX185" s="1391">
        <f t="shared" si="1592"/>
        <v>29.25</v>
      </c>
      <c r="CY185" s="1392">
        <f t="shared" ref="CY185" si="1593">+CX185</f>
        <v>29.25</v>
      </c>
      <c r="CZ185" s="1391">
        <f t="shared" ref="CZ185:DC185" si="1594">+CZ183*(1-CZ184)</f>
        <v>29.25</v>
      </c>
      <c r="DA185" s="1391">
        <f t="shared" si="1594"/>
        <v>29.25</v>
      </c>
      <c r="DB185" s="1391">
        <f t="shared" si="1594"/>
        <v>29.25</v>
      </c>
      <c r="DC185" s="1391">
        <f t="shared" si="1594"/>
        <v>29.25</v>
      </c>
      <c r="DD185" s="1392">
        <f t="shared" si="1561"/>
        <v>29.25</v>
      </c>
      <c r="DE185" s="1391">
        <f>+DE183*(1-DE184)</f>
        <v>29.25</v>
      </c>
      <c r="DF185" s="1391">
        <f>+DF183*(1-DF184)</f>
        <v>29.25</v>
      </c>
      <c r="DG185" s="1391">
        <f>+DG183*(1-DG184)</f>
        <v>29.25</v>
      </c>
      <c r="DH185" s="1391">
        <f>+DH183*(1-DH184)</f>
        <v>29.25</v>
      </c>
      <c r="DI185" s="1392">
        <f t="shared" si="1562"/>
        <v>29.25</v>
      </c>
      <c r="DJ185" s="1391">
        <f>+DJ183*(1-DJ184)</f>
        <v>29.25</v>
      </c>
      <c r="DK185" s="1391">
        <f>+DK183*(1-DK184)</f>
        <v>29.25</v>
      </c>
      <c r="DL185" s="1391">
        <f>+DL183*(1-DL184)</f>
        <v>29.25</v>
      </c>
      <c r="DM185" s="1391">
        <f>+DM183*(1-DM184)</f>
        <v>29.25</v>
      </c>
      <c r="DN185" s="1392">
        <f t="shared" si="1563"/>
        <v>29.25</v>
      </c>
      <c r="DO185" s="1391">
        <f>+DO183*(1-DO184)</f>
        <v>29.25</v>
      </c>
      <c r="DP185" s="1391">
        <f>+DP183*(1-DP184)</f>
        <v>29.25</v>
      </c>
      <c r="DQ185" s="1391">
        <f>+DQ183*(1-DQ184)</f>
        <v>29.25</v>
      </c>
      <c r="DR185" s="1391">
        <f>+DR183*(1-DR184)</f>
        <v>29.25</v>
      </c>
      <c r="DS185" s="1392">
        <f t="shared" si="1564"/>
        <v>29.25</v>
      </c>
      <c r="DT185" s="1391">
        <f>+DT183*(1-DT184)</f>
        <v>29.25</v>
      </c>
      <c r="DU185" s="1391">
        <f>+DU183*(1-DU184)</f>
        <v>29.25</v>
      </c>
      <c r="DV185" s="1391">
        <f>+DV183*(1-DV184)</f>
        <v>29.25</v>
      </c>
      <c r="DW185" s="1391">
        <f>+DW183*(1-DW184)</f>
        <v>29.25</v>
      </c>
      <c r="DX185" s="1392">
        <f t="shared" si="1565"/>
        <v>29.25</v>
      </c>
      <c r="DY185" s="1391">
        <f>+DY183*(1-DY184)</f>
        <v>29.25</v>
      </c>
      <c r="DZ185" s="1391">
        <f>+DZ183*(1-DZ184)</f>
        <v>29.25</v>
      </c>
      <c r="EA185" s="1391">
        <f>+EA183*(1-EA184)</f>
        <v>29.25</v>
      </c>
      <c r="EB185" s="1391">
        <f>+EB183*(1-EB184)</f>
        <v>29.25</v>
      </c>
      <c r="EC185" s="1392">
        <f t="shared" si="1566"/>
        <v>29.25</v>
      </c>
    </row>
    <row r="186" spans="1:133" hidden="1" outlineLevel="1">
      <c r="C186" s="240" t="s">
        <v>672</v>
      </c>
      <c r="BT186" s="1393">
        <f t="shared" ref="BT186" si="1595">+BT179-BT182</f>
        <v>3.3000000000000003</v>
      </c>
      <c r="BU186" s="1394">
        <f t="shared" ref="BU186" si="1596">+BT186</f>
        <v>3.3000000000000003</v>
      </c>
      <c r="BV186" s="1393">
        <f t="shared" ref="BV186:BY186" si="1597">+BV179-BV182</f>
        <v>4.3989000000000003</v>
      </c>
      <c r="BW186" s="1393">
        <f t="shared" si="1597"/>
        <v>5.6000000000000005</v>
      </c>
      <c r="BX186" s="1393">
        <f t="shared" si="1597"/>
        <v>6.4</v>
      </c>
      <c r="BY186" s="1393">
        <f t="shared" si="1597"/>
        <v>7.55</v>
      </c>
      <c r="BZ186" s="1394">
        <f t="shared" ref="BZ186" si="1598">+BY186</f>
        <v>7.55</v>
      </c>
      <c r="CA186" s="1393">
        <f t="shared" ref="CA186:CD186" si="1599">+CA179-CA182</f>
        <v>8.3999999999999986</v>
      </c>
      <c r="CB186" s="1393">
        <f t="shared" si="1599"/>
        <v>9.9999999999999982</v>
      </c>
      <c r="CC186" s="1393">
        <f t="shared" si="1599"/>
        <v>11.399999999999999</v>
      </c>
      <c r="CD186" s="1393">
        <f t="shared" si="1599"/>
        <v>12.18</v>
      </c>
      <c r="CE186" s="1394">
        <f t="shared" ref="CE186" si="1600">+CD186</f>
        <v>12.18</v>
      </c>
      <c r="CF186" s="1393">
        <f t="shared" ref="CF186:CI186" si="1601">+CF179-CF182</f>
        <v>13</v>
      </c>
      <c r="CG186" s="1393">
        <f t="shared" si="1601"/>
        <v>14</v>
      </c>
      <c r="CH186" s="1393">
        <f t="shared" si="1601"/>
        <v>15.199999999999998</v>
      </c>
      <c r="CI186" s="1393">
        <f t="shared" si="1601"/>
        <v>16.399999999999999</v>
      </c>
      <c r="CJ186" s="1394">
        <f t="shared" ref="CJ186" si="1602">+CI186</f>
        <v>16.399999999999999</v>
      </c>
      <c r="CK186" s="1393">
        <f t="shared" ref="CK186:CN186" si="1603">+CK179-CK182</f>
        <v>17</v>
      </c>
      <c r="CL186" s="1393">
        <f t="shared" si="1603"/>
        <v>18</v>
      </c>
      <c r="CM186" s="1393">
        <f t="shared" si="1603"/>
        <v>19</v>
      </c>
      <c r="CN186" s="1393">
        <f t="shared" si="1603"/>
        <v>21.38</v>
      </c>
      <c r="CO186" s="1394">
        <f t="shared" ref="CO186" si="1604">+CN186</f>
        <v>21.38</v>
      </c>
      <c r="CP186" s="1393">
        <f t="shared" ref="CP186:CS186" si="1605">+CP179-CP182</f>
        <v>22</v>
      </c>
      <c r="CQ186" s="1393">
        <f t="shared" si="1605"/>
        <v>24.640000000000004</v>
      </c>
      <c r="CR186" s="1393">
        <f t="shared" si="1605"/>
        <v>29.202962962962967</v>
      </c>
      <c r="CS186" s="1393">
        <f t="shared" si="1605"/>
        <v>34.980000000000004</v>
      </c>
      <c r="CT186" s="1394">
        <f t="shared" ref="CT186" si="1606">+CS186</f>
        <v>34.980000000000004</v>
      </c>
      <c r="CU186" s="1393">
        <f t="shared" ref="CU186:CX186" si="1607">+CU179-CU182</f>
        <v>36.379200000000004</v>
      </c>
      <c r="CV186" s="1393">
        <f t="shared" si="1607"/>
        <v>37.834368000000005</v>
      </c>
      <c r="CW186" s="1393">
        <f t="shared" si="1607"/>
        <v>39.347742720000006</v>
      </c>
      <c r="CX186" s="1393">
        <f t="shared" si="1607"/>
        <v>41.26</v>
      </c>
      <c r="CY186" s="1394">
        <f t="shared" ref="CY186" si="1608">+CX186</f>
        <v>41.26</v>
      </c>
      <c r="CZ186" s="1393">
        <f t="shared" ref="CZ186:DC186" si="1609">+CZ179-CZ182</f>
        <v>41.672600000000003</v>
      </c>
      <c r="DA186" s="1393">
        <f t="shared" si="1609"/>
        <v>42.089326</v>
      </c>
      <c r="DB186" s="1393">
        <f t="shared" si="1609"/>
        <v>42.510219260000007</v>
      </c>
      <c r="DC186" s="1393">
        <f t="shared" si="1609"/>
        <v>48.886752149000003</v>
      </c>
      <c r="DD186" s="1394">
        <f t="shared" si="1561"/>
        <v>48.886752149000003</v>
      </c>
      <c r="DE186" s="1393">
        <f>+DE179-DE182</f>
        <v>56.219764971349996</v>
      </c>
      <c r="DF186" s="1393">
        <f>+DF179-DF182</f>
        <v>59.0307532199175</v>
      </c>
      <c r="DG186" s="1393">
        <f>+DG179-DG182</f>
        <v>59.621060752116676</v>
      </c>
      <c r="DH186" s="1393">
        <f>+DH179-DH182</f>
        <v>61.111587270919586</v>
      </c>
      <c r="DI186" s="1394">
        <f t="shared" si="1562"/>
        <v>61.111587270919586</v>
      </c>
      <c r="DJ186" s="1393">
        <f>+DJ179-DJ182</f>
        <v>62.639376952692565</v>
      </c>
      <c r="DK186" s="1393">
        <f>+DK179-DK182</f>
        <v>64.20536137650987</v>
      </c>
      <c r="DL186" s="1393">
        <f>+DL179-DL182</f>
        <v>65.810495410922613</v>
      </c>
      <c r="DM186" s="1393">
        <f>+DM179-DM182</f>
        <v>67.455757796195684</v>
      </c>
      <c r="DN186" s="1394">
        <f t="shared" si="1563"/>
        <v>67.455757796195684</v>
      </c>
      <c r="DO186" s="1393">
        <f>+DO179-DO182</f>
        <v>69.142151741100562</v>
      </c>
      <c r="DP186" s="1393">
        <f>+DP179-DP182</f>
        <v>70.870705534628073</v>
      </c>
      <c r="DQ186" s="1393">
        <f>+DQ179-DQ182</f>
        <v>72.642473172993775</v>
      </c>
      <c r="DR186" s="1393">
        <f>+DR179-DR182</f>
        <v>74.458535002318612</v>
      </c>
      <c r="DS186" s="1394">
        <f t="shared" si="1564"/>
        <v>74.458535002318612</v>
      </c>
      <c r="DT186" s="1393">
        <f>+DT179-DT182</f>
        <v>76.319998377376564</v>
      </c>
      <c r="DU186" s="1393">
        <f>+DU179-DU182</f>
        <v>78.22799833681097</v>
      </c>
      <c r="DV186" s="1393">
        <f>+DV179-DV182</f>
        <v>80.183698295231238</v>
      </c>
      <c r="DW186" s="1393">
        <f>+DW179-DW182</f>
        <v>82.188290752612019</v>
      </c>
      <c r="DX186" s="1394">
        <f t="shared" si="1565"/>
        <v>82.188290752612019</v>
      </c>
      <c r="DY186" s="1393">
        <f>+DY179-DY182</f>
        <v>84.242998021427297</v>
      </c>
      <c r="DZ186" s="1393">
        <f>+DZ179-DZ182</f>
        <v>86.349072971962983</v>
      </c>
      <c r="EA186" s="1393">
        <f>+EA179-EA182</f>
        <v>88.507799796262049</v>
      </c>
      <c r="EB186" s="1393">
        <f>+EB179-EB182</f>
        <v>90.720494791168591</v>
      </c>
      <c r="EC186" s="1394">
        <f t="shared" si="1566"/>
        <v>90.720494791168591</v>
      </c>
    </row>
    <row r="187" spans="1:133" hidden="1" outlineLevel="1">
      <c r="C187" s="1395" t="s">
        <v>666</v>
      </c>
      <c r="D187" s="1395"/>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AF187" s="1395"/>
      <c r="AG187" s="1395"/>
      <c r="AH187" s="1395"/>
      <c r="AI187" s="1395"/>
      <c r="AJ187" s="1395"/>
      <c r="AK187" s="1395"/>
      <c r="AL187" s="1395"/>
      <c r="AM187" s="1395"/>
      <c r="AN187" s="1395"/>
      <c r="AO187" s="1395"/>
      <c r="AP187" s="1395"/>
      <c r="AQ187" s="1395"/>
      <c r="AR187" s="1395"/>
      <c r="AS187" s="1395"/>
      <c r="AT187" s="1395"/>
      <c r="AU187" s="1395"/>
      <c r="AV187" s="1395"/>
      <c r="AW187" s="1395"/>
      <c r="AX187" s="1395"/>
      <c r="AY187" s="1395"/>
      <c r="AZ187" s="1395"/>
      <c r="BA187" s="1395"/>
      <c r="BB187" s="1395"/>
      <c r="BC187" s="1395"/>
      <c r="BD187" s="1395"/>
      <c r="BE187" s="1395"/>
      <c r="BF187" s="1395"/>
      <c r="BG187" s="1395"/>
      <c r="BH187" s="1395"/>
      <c r="BI187" s="1395"/>
      <c r="BJ187" s="1395"/>
      <c r="BK187" s="1395"/>
      <c r="BL187" s="1395"/>
      <c r="BM187" s="1395"/>
      <c r="BN187" s="1395"/>
      <c r="BO187" s="1395"/>
      <c r="BP187" s="1395"/>
      <c r="BQ187" s="1395"/>
      <c r="BR187" s="1395"/>
      <c r="BS187" s="1395"/>
      <c r="BT187" s="1391">
        <f t="shared" ref="BT187:BY187" si="1610">+(BT182*BT185+BT186*BT183)/BT179</f>
        <v>34.125</v>
      </c>
      <c r="BU187" s="1392">
        <f t="shared" ref="BU187" si="1611">+BT187</f>
        <v>34.125</v>
      </c>
      <c r="BV187" s="1391">
        <f t="shared" si="1610"/>
        <v>34.124999999999993</v>
      </c>
      <c r="BW187" s="1391">
        <f t="shared" si="1610"/>
        <v>34.125</v>
      </c>
      <c r="BX187" s="1391">
        <f t="shared" si="1610"/>
        <v>34.125</v>
      </c>
      <c r="BY187" s="1391">
        <f t="shared" si="1610"/>
        <v>34.125</v>
      </c>
      <c r="BZ187" s="1392">
        <f t="shared" ref="BZ187" si="1612">+BY187</f>
        <v>34.125</v>
      </c>
      <c r="CA187" s="1391">
        <f t="shared" ref="CA187:CD187" si="1613">+(CA182*CA185+CA186*CA183)/CA179</f>
        <v>34.125</v>
      </c>
      <c r="CB187" s="1391">
        <f t="shared" si="1613"/>
        <v>34.125</v>
      </c>
      <c r="CC187" s="1391">
        <f t="shared" si="1613"/>
        <v>34.125</v>
      </c>
      <c r="CD187" s="1391">
        <f t="shared" si="1613"/>
        <v>34.125</v>
      </c>
      <c r="CE187" s="1392">
        <f t="shared" ref="CE187" si="1614">+CD187</f>
        <v>34.125</v>
      </c>
      <c r="CF187" s="1391">
        <f t="shared" ref="CF187:CI187" si="1615">+(CF182*CF185+CF186*CF183)/CF179</f>
        <v>34.125</v>
      </c>
      <c r="CG187" s="1391">
        <f t="shared" si="1615"/>
        <v>34.125</v>
      </c>
      <c r="CH187" s="1391">
        <f t="shared" si="1615"/>
        <v>34.125</v>
      </c>
      <c r="CI187" s="1391">
        <f t="shared" si="1615"/>
        <v>34.124999999999993</v>
      </c>
      <c r="CJ187" s="1392">
        <f t="shared" ref="CJ187" si="1616">+CI187</f>
        <v>34.124999999999993</v>
      </c>
      <c r="CK187" s="1391">
        <f t="shared" ref="CK187:CN187" si="1617">+(CK182*CK185+CK186*CK183)/CK179</f>
        <v>34.125</v>
      </c>
      <c r="CL187" s="1391">
        <f t="shared" si="1617"/>
        <v>34.125</v>
      </c>
      <c r="CM187" s="1391">
        <f t="shared" si="1617"/>
        <v>34.125</v>
      </c>
      <c r="CN187" s="1391">
        <f t="shared" si="1617"/>
        <v>34.125</v>
      </c>
      <c r="CO187" s="1392">
        <f t="shared" ref="CO187" si="1618">+CN187</f>
        <v>34.125</v>
      </c>
      <c r="CP187" s="1391">
        <f t="shared" ref="CP187:CS187" si="1619">+(CP182*CP185+CP186*CP183)/CP179</f>
        <v>34.125</v>
      </c>
      <c r="CQ187" s="1391">
        <f t="shared" si="1619"/>
        <v>34.125</v>
      </c>
      <c r="CR187" s="1391">
        <f t="shared" si="1619"/>
        <v>34.125</v>
      </c>
      <c r="CS187" s="1391">
        <f t="shared" si="1619"/>
        <v>34.125</v>
      </c>
      <c r="CT187" s="1392">
        <f t="shared" ref="CT187" si="1620">+CS187</f>
        <v>34.125</v>
      </c>
      <c r="CU187" s="1391">
        <f t="shared" ref="CU187:CX187" si="1621">+(CU182*CU185+CU186*CU183)/CU179</f>
        <v>34.125</v>
      </c>
      <c r="CV187" s="1391">
        <f t="shared" si="1621"/>
        <v>34.125</v>
      </c>
      <c r="CW187" s="1391">
        <f t="shared" si="1621"/>
        <v>34.125</v>
      </c>
      <c r="CX187" s="1391">
        <f t="shared" si="1621"/>
        <v>34.125</v>
      </c>
      <c r="CY187" s="1392">
        <f t="shared" ref="CY187" si="1622">+CX187</f>
        <v>34.125</v>
      </c>
      <c r="CZ187" s="1391">
        <f t="shared" ref="CZ187:DC187" si="1623">+(CZ182*CZ185+CZ186*CZ183)/CZ179</f>
        <v>34.125</v>
      </c>
      <c r="DA187" s="1391">
        <f t="shared" si="1623"/>
        <v>34.125</v>
      </c>
      <c r="DB187" s="1391">
        <f t="shared" si="1623"/>
        <v>34.125</v>
      </c>
      <c r="DC187" s="1391">
        <f t="shared" si="1623"/>
        <v>34.125</v>
      </c>
      <c r="DD187" s="1392">
        <f t="shared" si="1561"/>
        <v>34.125</v>
      </c>
      <c r="DE187" s="1391">
        <f>+(DE182*DE185+DE186*DE183)/DE179</f>
        <v>34.125</v>
      </c>
      <c r="DF187" s="1391">
        <f>+(DF182*DF185+DF186*DF183)/DF179</f>
        <v>34.125</v>
      </c>
      <c r="DG187" s="1391">
        <f>+(DG182*DG185+DG186*DG183)/DG179</f>
        <v>34.125</v>
      </c>
      <c r="DH187" s="1391">
        <f>+(DH182*DH185+DH186*DH183)/DH179</f>
        <v>34.125</v>
      </c>
      <c r="DI187" s="1392">
        <f t="shared" si="1562"/>
        <v>34.125</v>
      </c>
      <c r="DJ187" s="1396">
        <f>+(DJ182*DJ185+DJ186*DJ183)/DJ179</f>
        <v>34.125</v>
      </c>
      <c r="DK187" s="1391">
        <f>+(DK182*DK185+DK186*DK183)/DK179</f>
        <v>34.125</v>
      </c>
      <c r="DL187" s="1391">
        <f>+(DL182*DL185+DL186*DL183)/DL179</f>
        <v>34.125</v>
      </c>
      <c r="DM187" s="1391">
        <f>+(DM182*DM185+DM186*DM183)/DM179</f>
        <v>34.124999999999993</v>
      </c>
      <c r="DN187" s="1392">
        <f t="shared" si="1563"/>
        <v>34.124999999999993</v>
      </c>
      <c r="DO187" s="1396">
        <f>+(DO182*DO185+DO186*DO183)/DO179</f>
        <v>34.125</v>
      </c>
      <c r="DP187" s="1391">
        <f>+(DP182*DP185+DP186*DP183)/DP179</f>
        <v>34.125</v>
      </c>
      <c r="DQ187" s="1391">
        <f>+(DQ182*DQ185+DQ186*DQ183)/DQ179</f>
        <v>34.125</v>
      </c>
      <c r="DR187" s="1391">
        <f>+(DR182*DR185+DR186*DR183)/DR179</f>
        <v>34.125000000000007</v>
      </c>
      <c r="DS187" s="1392">
        <f t="shared" si="1564"/>
        <v>34.125000000000007</v>
      </c>
      <c r="DT187" s="1396">
        <f>+(DT182*DT185+DT186*DT183)/DT179</f>
        <v>34.125</v>
      </c>
      <c r="DU187" s="1391">
        <f>+(DU182*DU185+DU186*DU183)/DU179</f>
        <v>34.125</v>
      </c>
      <c r="DV187" s="1391">
        <f>+(DV182*DV185+DV186*DV183)/DV179</f>
        <v>34.125</v>
      </c>
      <c r="DW187" s="1391">
        <f>+(DW182*DW185+DW186*DW183)/DW179</f>
        <v>34.125</v>
      </c>
      <c r="DX187" s="1392">
        <f t="shared" si="1565"/>
        <v>34.125</v>
      </c>
      <c r="DY187" s="1396">
        <f>+(DY182*DY185+DY186*DY183)/DY179</f>
        <v>34.125</v>
      </c>
      <c r="DZ187" s="1391">
        <f>+(DZ182*DZ185+DZ186*DZ183)/DZ179</f>
        <v>34.125</v>
      </c>
      <c r="EA187" s="1391">
        <f>+(EA182*EA185+EA186*EA183)/EA179</f>
        <v>34.125</v>
      </c>
      <c r="EB187" s="1391">
        <f>+(EB182*EB185+EB186*EB183)/EB179</f>
        <v>34.125</v>
      </c>
      <c r="EC187" s="1392">
        <f t="shared" si="1566"/>
        <v>34.125</v>
      </c>
    </row>
    <row r="188" spans="1:133" s="1367" customFormat="1" hidden="1" outlineLevel="1">
      <c r="A188" s="943"/>
      <c r="C188" s="1397" t="s">
        <v>673</v>
      </c>
      <c r="D188" s="1397"/>
      <c r="E188" s="1397"/>
      <c r="F188" s="1397"/>
      <c r="G188" s="1397"/>
      <c r="H188" s="1397"/>
      <c r="I188" s="1397"/>
      <c r="J188" s="1397"/>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AF188" s="1397"/>
      <c r="AG188" s="1397"/>
      <c r="AH188" s="1397"/>
      <c r="AI188" s="1397"/>
      <c r="AJ188" s="1397"/>
      <c r="AK188" s="1397"/>
      <c r="AL188" s="1397"/>
      <c r="AM188" s="1397"/>
      <c r="AN188" s="1397"/>
      <c r="AO188" s="1397"/>
      <c r="AP188" s="1397"/>
      <c r="AQ188" s="1397"/>
      <c r="AR188" s="1397"/>
      <c r="AS188" s="1397"/>
      <c r="AT188" s="1397"/>
      <c r="AU188" s="1397"/>
      <c r="AV188" s="1397"/>
      <c r="AW188" s="1397"/>
      <c r="AX188" s="1397"/>
      <c r="AY188" s="1397"/>
      <c r="AZ188" s="1397"/>
      <c r="BA188" s="1397"/>
      <c r="BB188" s="1397"/>
      <c r="BC188" s="1397"/>
      <c r="BD188" s="1397"/>
      <c r="BE188" s="1397"/>
      <c r="BF188" s="1397"/>
      <c r="BG188" s="1397"/>
      <c r="BH188" s="1397"/>
      <c r="BI188" s="1397"/>
      <c r="BJ188" s="1397"/>
      <c r="BK188" s="1397"/>
      <c r="BL188" s="1397"/>
      <c r="BM188" s="1397"/>
      <c r="BN188" s="1397"/>
      <c r="BO188" s="1397"/>
      <c r="BP188" s="1397"/>
      <c r="BQ188" s="1397"/>
      <c r="BR188" s="1397"/>
      <c r="BS188" s="1397"/>
      <c r="BT188" s="1398">
        <f t="shared" ref="BT188:BV188" si="1624">+BT187*BT179/1000</f>
        <v>0.22522500000000004</v>
      </c>
      <c r="BU188" s="1399">
        <f t="shared" si="1624"/>
        <v>0.22522500000000004</v>
      </c>
      <c r="BV188" s="1398">
        <f t="shared" si="1624"/>
        <v>0.30022492499999992</v>
      </c>
      <c r="BW188" s="1398">
        <f t="shared" ref="BW188" si="1625">+BW187*BW179/1000</f>
        <v>0.38220000000000004</v>
      </c>
      <c r="BX188" s="1398">
        <f t="shared" ref="BX188" si="1626">+BX187*BX179/1000</f>
        <v>0.43680000000000002</v>
      </c>
      <c r="BY188" s="1398">
        <f t="shared" ref="BY188" si="1627">+BY187*BY179/1000</f>
        <v>0.51528750000000001</v>
      </c>
      <c r="BZ188" s="1399">
        <f t="shared" ref="BZ188" si="1628">+BZ187*BZ179/1000</f>
        <v>0.51528750000000001</v>
      </c>
      <c r="CA188" s="1398">
        <f t="shared" ref="CA188" si="1629">+CA187*CA179/1000</f>
        <v>0.57329999999999992</v>
      </c>
      <c r="CB188" s="1398">
        <f t="shared" ref="CB188" si="1630">+CB187*CB179/1000</f>
        <v>0.68249999999999988</v>
      </c>
      <c r="CC188" s="1398">
        <f t="shared" ref="CC188" si="1631">+CC187*CC179/1000</f>
        <v>0.77804999999999991</v>
      </c>
      <c r="CD188" s="1398">
        <f t="shared" ref="CD188" si="1632">+CD187*CD179/1000</f>
        <v>0.83128499999999994</v>
      </c>
      <c r="CE188" s="1399">
        <f t="shared" ref="CE188" si="1633">+CE187*CE179/1000</f>
        <v>0.83128499999999994</v>
      </c>
      <c r="CF188" s="1398">
        <f t="shared" ref="CF188" si="1634">+CF187*CF179/1000</f>
        <v>0.88724999999999998</v>
      </c>
      <c r="CG188" s="1398">
        <f t="shared" ref="CG188" si="1635">+CG187*CG179/1000</f>
        <v>0.95550000000000002</v>
      </c>
      <c r="CH188" s="1398">
        <f t="shared" ref="CH188" si="1636">+CH187*CH179/1000</f>
        <v>1.0373999999999999</v>
      </c>
      <c r="CI188" s="1398">
        <f t="shared" ref="CI188" si="1637">+CI187*CI179/1000</f>
        <v>1.1192999999999997</v>
      </c>
      <c r="CJ188" s="1399">
        <f t="shared" ref="CJ188" si="1638">+CJ187*CJ179/1000</f>
        <v>1.1192999999999997</v>
      </c>
      <c r="CK188" s="1398">
        <f t="shared" ref="CK188" si="1639">+CK187*CK179/1000</f>
        <v>1.16025</v>
      </c>
      <c r="CL188" s="1398">
        <f t="shared" ref="CL188" si="1640">+CL187*CL179/1000</f>
        <v>1.2284999999999999</v>
      </c>
      <c r="CM188" s="1398">
        <f t="shared" ref="CM188" si="1641">+CM187*CM179/1000</f>
        <v>1.2967500000000001</v>
      </c>
      <c r="CN188" s="1398">
        <f t="shared" ref="CN188" si="1642">+CN187*CN179/1000</f>
        <v>1.459185</v>
      </c>
      <c r="CO188" s="1399">
        <f t="shared" ref="CO188" si="1643">+CO187*CO179/1000</f>
        <v>1.459185</v>
      </c>
      <c r="CP188" s="1398">
        <f t="shared" ref="CP188" si="1644">+CP187*CP179/1000</f>
        <v>1.5015000000000001</v>
      </c>
      <c r="CQ188" s="1398">
        <f t="shared" ref="CQ188" si="1645">+CQ187*CQ179/1000</f>
        <v>1.6816800000000003</v>
      </c>
      <c r="CR188" s="1398">
        <f t="shared" ref="CR188" si="1646">+CR187*CR179/1000</f>
        <v>1.9931022222222226</v>
      </c>
      <c r="CS188" s="1398">
        <f t="shared" ref="CS188" si="1647">+CS187*CS179/1000</f>
        <v>2.3873850000000001</v>
      </c>
      <c r="CT188" s="1399">
        <f t="shared" ref="CT188" si="1648">+CT187*CT179/1000</f>
        <v>2.3873850000000001</v>
      </c>
      <c r="CU188" s="1398">
        <f t="shared" ref="CU188" si="1649">+CU187*CU179/1000</f>
        <v>2.4828804000000004</v>
      </c>
      <c r="CV188" s="1398">
        <f t="shared" ref="CV188" si="1650">+CV187*CV179/1000</f>
        <v>2.5821956160000004</v>
      </c>
      <c r="CW188" s="1398">
        <f t="shared" ref="CW188" si="1651">+CW187*CW179/1000</f>
        <v>2.6854834406400006</v>
      </c>
      <c r="CX188" s="1398">
        <f t="shared" ref="CX188" si="1652">+CX187*CX179/1000</f>
        <v>2.815995</v>
      </c>
      <c r="CY188" s="1399">
        <f t="shared" ref="CY188" si="1653">+CY187*CY179/1000</f>
        <v>2.815995</v>
      </c>
      <c r="CZ188" s="1398">
        <f t="shared" ref="CZ188" si="1654">+CZ187*CZ179/1000</f>
        <v>2.8441549500000001</v>
      </c>
      <c r="DA188" s="1398">
        <f t="shared" ref="DA188" si="1655">+DA187*DA179/1000</f>
        <v>2.8725964994999997</v>
      </c>
      <c r="DB188" s="1398">
        <f t="shared" ref="DB188" si="1656">+DB187*DB179/1000</f>
        <v>2.9013224644950006</v>
      </c>
      <c r="DC188" s="1398">
        <f t="shared" ref="DC188" si="1657">+DC187*DC179/1000</f>
        <v>3.3365208341692503</v>
      </c>
      <c r="DD188" s="1399">
        <f t="shared" ref="DD188" si="1658">+DD187*DD179/1000</f>
        <v>3.3365208341692503</v>
      </c>
      <c r="DE188" s="1398">
        <f t="shared" ref="DE188:EC188" si="1659">+DE187*DE179/1000</f>
        <v>3.836998959294637</v>
      </c>
      <c r="DF188" s="1398">
        <f t="shared" si="1659"/>
        <v>4.0288489072593689</v>
      </c>
      <c r="DG188" s="1398">
        <f t="shared" si="1659"/>
        <v>4.0691373963319633</v>
      </c>
      <c r="DH188" s="1398">
        <f t="shared" si="1659"/>
        <v>4.1708658312402616</v>
      </c>
      <c r="DI188" s="1399">
        <f t="shared" si="1659"/>
        <v>4.1708658312402616</v>
      </c>
      <c r="DJ188" s="1398">
        <f>+DJ187*DJ179/1000</f>
        <v>4.2751374770212678</v>
      </c>
      <c r="DK188" s="1398">
        <f t="shared" si="1659"/>
        <v>4.3820159139467991</v>
      </c>
      <c r="DL188" s="1398">
        <f t="shared" si="1659"/>
        <v>4.4915663117954683</v>
      </c>
      <c r="DM188" s="1398">
        <f t="shared" si="1659"/>
        <v>4.6038554695903553</v>
      </c>
      <c r="DN188" s="1399">
        <f t="shared" si="1659"/>
        <v>4.6038554695903553</v>
      </c>
      <c r="DO188" s="1398">
        <f t="shared" si="1659"/>
        <v>4.7189518563301132</v>
      </c>
      <c r="DP188" s="1398">
        <f t="shared" si="1659"/>
        <v>4.8369256527383655</v>
      </c>
      <c r="DQ188" s="1398">
        <f t="shared" si="1659"/>
        <v>4.957848794056825</v>
      </c>
      <c r="DR188" s="1398">
        <f t="shared" si="1659"/>
        <v>5.0817950139082466</v>
      </c>
      <c r="DS188" s="1399">
        <f t="shared" si="1659"/>
        <v>5.0817950139082466</v>
      </c>
      <c r="DT188" s="1398">
        <f t="shared" si="1659"/>
        <v>5.2088398892559509</v>
      </c>
      <c r="DU188" s="1398">
        <f t="shared" si="1659"/>
        <v>5.3390608864873483</v>
      </c>
      <c r="DV188" s="1398">
        <f t="shared" si="1659"/>
        <v>5.472537408649532</v>
      </c>
      <c r="DW188" s="1398">
        <f t="shared" si="1659"/>
        <v>5.6093508438657702</v>
      </c>
      <c r="DX188" s="1399">
        <f t="shared" si="1659"/>
        <v>5.6093508438657702</v>
      </c>
      <c r="DY188" s="1398">
        <f t="shared" si="1659"/>
        <v>5.749584614962413</v>
      </c>
      <c r="DZ188" s="1398">
        <f t="shared" si="1659"/>
        <v>5.8933242303364732</v>
      </c>
      <c r="EA188" s="1398">
        <f t="shared" si="1659"/>
        <v>6.0406573360948848</v>
      </c>
      <c r="EB188" s="1398">
        <f t="shared" si="1659"/>
        <v>6.1916737694972559</v>
      </c>
      <c r="EC188" s="1399">
        <f t="shared" si="1659"/>
        <v>6.1916737694972559</v>
      </c>
    </row>
    <row r="189" spans="1:133" s="1367" customFormat="1" hidden="1" outlineLevel="1">
      <c r="A189" s="943"/>
      <c r="C189" s="1376" t="s">
        <v>674</v>
      </c>
      <c r="BT189" s="1400">
        <f t="shared" ref="BT189:DL189" si="1660">+BT188/BT$7</f>
        <v>1.9869872077635645E-2</v>
      </c>
      <c r="BU189" s="1379">
        <f t="shared" si="1660"/>
        <v>1.9869872077635645E-2</v>
      </c>
      <c r="BV189" s="1400">
        <f t="shared" si="1660"/>
        <v>2.3493616480162762E-2</v>
      </c>
      <c r="BW189" s="1400">
        <f t="shared" si="1660"/>
        <v>2.6477312088673367E-2</v>
      </c>
      <c r="BX189" s="1400">
        <f t="shared" si="1660"/>
        <v>2.6833763361592336E-2</v>
      </c>
      <c r="BY189" s="1400">
        <f t="shared" si="1660"/>
        <v>2.7912220356427066E-2</v>
      </c>
      <c r="BZ189" s="1379">
        <f t="shared" si="1660"/>
        <v>2.7912220356427066E-2</v>
      </c>
      <c r="CA189" s="1400">
        <f t="shared" si="1660"/>
        <v>2.76635784597568E-2</v>
      </c>
      <c r="CB189" s="1400">
        <f t="shared" si="1660"/>
        <v>2.8846153846153841E-2</v>
      </c>
      <c r="CC189" s="1400">
        <f t="shared" si="1660"/>
        <v>2.8991690576442967E-2</v>
      </c>
      <c r="CD189" s="1400">
        <f t="shared" si="1660"/>
        <v>2.7823576664323727E-2</v>
      </c>
      <c r="CE189" s="1379">
        <f t="shared" si="1660"/>
        <v>2.7823576664323727E-2</v>
      </c>
      <c r="CF189" s="1400">
        <f t="shared" si="1660"/>
        <v>2.7332799359231077E-2</v>
      </c>
      <c r="CG189" s="1400">
        <f t="shared" si="1660"/>
        <v>2.7081798084008846E-2</v>
      </c>
      <c r="CH189" s="1400">
        <f t="shared" si="1660"/>
        <v>2.7404570070003961E-2</v>
      </c>
      <c r="CI189" s="1400">
        <f t="shared" si="1660"/>
        <v>2.7345353268836109E-2</v>
      </c>
      <c r="CJ189" s="1379">
        <f t="shared" si="1660"/>
        <v>2.7345353268836109E-2</v>
      </c>
      <c r="CK189" s="1400">
        <f t="shared" si="1660"/>
        <v>2.6242281681858277E-2</v>
      </c>
      <c r="CL189" s="1400">
        <f t="shared" si="1660"/>
        <v>2.6071731748726654E-2</v>
      </c>
      <c r="CM189" s="1400">
        <f t="shared" si="1660"/>
        <v>2.5602171767028632E-2</v>
      </c>
      <c r="CN189" s="1400">
        <f t="shared" si="1660"/>
        <v>2.7073082489146163E-2</v>
      </c>
      <c r="CO189" s="1379">
        <f t="shared" si="1660"/>
        <v>2.7073082489146163E-2</v>
      </c>
      <c r="CP189" s="1400">
        <f t="shared" si="1660"/>
        <v>2.7104355831543227E-2</v>
      </c>
      <c r="CQ189" s="1400">
        <f t="shared" si="1660"/>
        <v>2.9489189331369355E-2</v>
      </c>
      <c r="CR189" s="1400">
        <f t="shared" si="1660"/>
        <v>2.680341880341881E-2</v>
      </c>
      <c r="CS189" s="1400">
        <f t="shared" si="1660"/>
        <v>2.8899117550931473E-2</v>
      </c>
      <c r="CT189" s="1379">
        <f t="shared" si="1660"/>
        <v>2.8899117550931473E-2</v>
      </c>
      <c r="CU189" s="1400">
        <f t="shared" si="1660"/>
        <v>2.7608726690462694E-2</v>
      </c>
      <c r="CV189" s="1400">
        <f t="shared" si="1660"/>
        <v>2.7148999242997733E-2</v>
      </c>
      <c r="CW189" s="1400">
        <f t="shared" si="1660"/>
        <v>2.7186785051883502E-2</v>
      </c>
      <c r="CX189" s="1400">
        <f t="shared" si="1660"/>
        <v>2.760779411764706E-2</v>
      </c>
      <c r="CY189" s="1379">
        <f t="shared" si="1660"/>
        <v>2.760779411764706E-2</v>
      </c>
      <c r="CZ189" s="1400">
        <f t="shared" si="1660"/>
        <v>2.7035693441064639E-2</v>
      </c>
      <c r="DA189" s="1400">
        <f t="shared" si="1660"/>
        <v>2.6796609137126861E-2</v>
      </c>
      <c r="DB189" s="1400">
        <f t="shared" si="1660"/>
        <v>2.7115163219579446E-2</v>
      </c>
      <c r="DC189" s="1400">
        <f t="shared" si="1660"/>
        <v>3.0470509901089043E-2</v>
      </c>
      <c r="DD189" s="1379">
        <f t="shared" si="1660"/>
        <v>3.0470509901089043E-2</v>
      </c>
      <c r="DE189" s="1400">
        <f t="shared" si="1660"/>
        <v>3.3657885607847694E-2</v>
      </c>
      <c r="DF189" s="1400">
        <f t="shared" si="1660"/>
        <v>2.9843325238958288E-2</v>
      </c>
      <c r="DG189" s="1400">
        <f t="shared" si="1660"/>
        <v>2.9701732819941339E-2</v>
      </c>
      <c r="DH189" s="1400">
        <f t="shared" si="1660"/>
        <v>2.8964346050279595E-2</v>
      </c>
      <c r="DI189" s="1379">
        <f t="shared" si="1660"/>
        <v>2.8964346050279595E-2</v>
      </c>
      <c r="DJ189" s="1400">
        <f t="shared" si="1660"/>
        <v>2.831216872199515E-2</v>
      </c>
      <c r="DK189" s="1400">
        <f t="shared" si="1660"/>
        <v>2.5929088248205914E-2</v>
      </c>
      <c r="DL189" s="1400">
        <f t="shared" si="1660"/>
        <v>2.5666093210259817E-2</v>
      </c>
      <c r="DM189" s="1400">
        <f>+DM188/DM$7</f>
        <v>2.6331223682072358E-2</v>
      </c>
      <c r="DN189" s="1379">
        <f t="shared" ref="DN189:EC189" si="1661">+DN188/DN$7</f>
        <v>2.6331223682072358E-2</v>
      </c>
      <c r="DO189" s="1400">
        <f t="shared" si="1661"/>
        <v>2.8312168721995153E-2</v>
      </c>
      <c r="DP189" s="1400">
        <f t="shared" si="1661"/>
        <v>2.592908824820591E-2</v>
      </c>
      <c r="DQ189" s="1400">
        <f t="shared" si="1661"/>
        <v>2.5666093210259824E-2</v>
      </c>
      <c r="DR189" s="1400">
        <f t="shared" si="1661"/>
        <v>2.6331223682072368E-2</v>
      </c>
      <c r="DS189" s="1379">
        <f t="shared" si="1661"/>
        <v>2.6331223682072368E-2</v>
      </c>
      <c r="DT189" s="1400">
        <f t="shared" si="1661"/>
        <v>2.8312168721995157E-2</v>
      </c>
      <c r="DU189" s="1400">
        <f t="shared" si="1661"/>
        <v>2.5929088248205907E-2</v>
      </c>
      <c r="DV189" s="1400">
        <f t="shared" si="1661"/>
        <v>2.5666093210259824E-2</v>
      </c>
      <c r="DW189" s="1400">
        <f t="shared" si="1661"/>
        <v>2.6331223682072358E-2</v>
      </c>
      <c r="DX189" s="1379">
        <f t="shared" si="1661"/>
        <v>2.6331223682072358E-2</v>
      </c>
      <c r="DY189" s="1400">
        <f t="shared" si="1661"/>
        <v>2.831216872199515E-2</v>
      </c>
      <c r="DZ189" s="1400">
        <f t="shared" si="1661"/>
        <v>2.592908824820591E-2</v>
      </c>
      <c r="EA189" s="1400">
        <f t="shared" si="1661"/>
        <v>2.5666093210259821E-2</v>
      </c>
      <c r="EB189" s="1400">
        <f t="shared" si="1661"/>
        <v>2.6331223682072354E-2</v>
      </c>
      <c r="EC189" s="1379">
        <f t="shared" si="1661"/>
        <v>2.6331223682072354E-2</v>
      </c>
    </row>
    <row r="190" spans="1:133" hidden="1" outlineLevel="1">
      <c r="BU190" s="1372"/>
      <c r="BZ190" s="1372"/>
      <c r="CE190" s="1372"/>
      <c r="CJ190" s="1372"/>
      <c r="CO190" s="1372"/>
      <c r="CT190" s="1372"/>
      <c r="CY190" s="1372"/>
      <c r="DD190" s="1372"/>
      <c r="DI190" s="1372"/>
      <c r="DN190" s="1372"/>
      <c r="DS190" s="1372"/>
      <c r="DX190" s="1372"/>
      <c r="EC190" s="1372"/>
    </row>
    <row r="191" spans="1:133" s="1367" customFormat="1" hidden="1" outlineLevel="1">
      <c r="A191" s="943"/>
      <c r="C191" s="1367" t="s">
        <v>675</v>
      </c>
      <c r="BT191" s="1374">
        <f t="shared" ref="BT191" si="1662">+BT$27*BT192</f>
        <v>1.6500000000000001</v>
      </c>
      <c r="BU191" s="1375">
        <f>+BT191</f>
        <v>1.6500000000000001</v>
      </c>
      <c r="BV191" s="1374">
        <f t="shared" ref="BV191" si="1663">+BV$27*BV192</f>
        <v>2.1994500000000001</v>
      </c>
      <c r="BW191" s="1374">
        <f t="shared" ref="BW191" si="1664">+BW$27*BW192</f>
        <v>2.8000000000000003</v>
      </c>
      <c r="BX191" s="1374">
        <f t="shared" ref="BX191" si="1665">+BX$27*BX192</f>
        <v>3.2</v>
      </c>
      <c r="BY191" s="1374">
        <f t="shared" ref="BY191" si="1666">+BY$27*BY192</f>
        <v>3.7749999999999999</v>
      </c>
      <c r="BZ191" s="1375">
        <f t="shared" ref="BZ191" si="1667">+BY191</f>
        <v>3.7749999999999999</v>
      </c>
      <c r="CA191" s="1374">
        <f t="shared" ref="CA191" si="1668">+CA$27*CA192</f>
        <v>4.1999999999999993</v>
      </c>
      <c r="CB191" s="1374">
        <f t="shared" ref="CB191" si="1669">+CB$27*CB192</f>
        <v>4.9999999999999991</v>
      </c>
      <c r="CC191" s="1374">
        <f t="shared" ref="CC191" si="1670">+CC$27*CC192</f>
        <v>5.6999999999999993</v>
      </c>
      <c r="CD191" s="1374">
        <f t="shared" ref="CD191" si="1671">+CD$27*CD192</f>
        <v>6.09</v>
      </c>
      <c r="CE191" s="1375">
        <f t="shared" ref="CE191" si="1672">+CD191</f>
        <v>6.09</v>
      </c>
      <c r="CF191" s="1374">
        <f t="shared" ref="CF191" si="1673">+CF$27*CF192</f>
        <v>6.5</v>
      </c>
      <c r="CG191" s="1374">
        <f t="shared" ref="CG191" si="1674">+CG$27*CG192</f>
        <v>7</v>
      </c>
      <c r="CH191" s="1374">
        <f t="shared" ref="CH191" si="1675">+CH$27*CH192</f>
        <v>7.5999999999999988</v>
      </c>
      <c r="CI191" s="1374">
        <f t="shared" ref="CI191" si="1676">+CI$27*CI192</f>
        <v>8.1999999999999993</v>
      </c>
      <c r="CJ191" s="1375">
        <f t="shared" ref="CJ191" si="1677">+CI191</f>
        <v>8.1999999999999993</v>
      </c>
      <c r="CK191" s="1374">
        <f t="shared" ref="CK191" si="1678">+CK$27*CK192</f>
        <v>8.5</v>
      </c>
      <c r="CL191" s="1374">
        <f t="shared" ref="CL191" si="1679">+CL$27*CL192</f>
        <v>9</v>
      </c>
      <c r="CM191" s="1374">
        <f t="shared" ref="CM191" si="1680">+CM$27*CM192</f>
        <v>9.5</v>
      </c>
      <c r="CN191" s="1374">
        <f t="shared" ref="CN191" si="1681">+CN$27*CN192</f>
        <v>10.69</v>
      </c>
      <c r="CO191" s="1375">
        <f t="shared" ref="CO191" si="1682">+CN191</f>
        <v>10.69</v>
      </c>
      <c r="CP191" s="1374">
        <f t="shared" ref="CP191" si="1683">+CP$27*CP192</f>
        <v>11</v>
      </c>
      <c r="CQ191" s="1374">
        <f t="shared" ref="CQ191" si="1684">+CQ$27*CQ192</f>
        <v>12.320000000000002</v>
      </c>
      <c r="CR191" s="1374">
        <f t="shared" ref="CR191" si="1685">+CR$27*CR192</f>
        <v>14.601481481481484</v>
      </c>
      <c r="CS191" s="1374">
        <f t="shared" ref="CS191" si="1686">+CS$27*CS192</f>
        <v>17.490000000000002</v>
      </c>
      <c r="CT191" s="1375">
        <f t="shared" ref="CT191" si="1687">+CS191</f>
        <v>17.490000000000002</v>
      </c>
      <c r="CU191" s="1374">
        <f t="shared" ref="CU191" si="1688">+CU$27*CU192</f>
        <v>18.189600000000002</v>
      </c>
      <c r="CV191" s="1374">
        <f t="shared" ref="CV191" si="1689">+CV$27*CV192</f>
        <v>18.917184000000002</v>
      </c>
      <c r="CW191" s="1374">
        <f t="shared" ref="CW191" si="1690">+CW$27*CW192</f>
        <v>19.673871360000003</v>
      </c>
      <c r="CX191" s="1374">
        <f t="shared" ref="CX191" si="1691">+CX$27*CX192</f>
        <v>20.63</v>
      </c>
      <c r="CY191" s="1375">
        <f t="shared" ref="CY191" si="1692">+CX191</f>
        <v>20.63</v>
      </c>
      <c r="CZ191" s="1374">
        <f t="shared" ref="CZ191" si="1693">+CZ$27*CZ192</f>
        <v>20.836300000000001</v>
      </c>
      <c r="DA191" s="1374">
        <f t="shared" ref="DA191" si="1694">+DA$27*DA192</f>
        <v>21.044663</v>
      </c>
      <c r="DB191" s="1374">
        <f t="shared" ref="DB191" si="1695">+DB$27*DB192</f>
        <v>21.255109630000003</v>
      </c>
      <c r="DC191" s="1374">
        <f t="shared" ref="DC191" si="1696">+DC$27*DC192</f>
        <v>24.443376074500001</v>
      </c>
      <c r="DD191" s="1375">
        <f t="shared" ref="DD191" si="1697">+DC191</f>
        <v>24.443376074500001</v>
      </c>
      <c r="DE191" s="1374">
        <f>+DE$27*DE192</f>
        <v>28.109882485674998</v>
      </c>
      <c r="DF191" s="1374">
        <f>+DF$27*DF192</f>
        <v>29.51537660995875</v>
      </c>
      <c r="DG191" s="1374">
        <f>+DG$27*DG192</f>
        <v>29.810530376058338</v>
      </c>
      <c r="DH191" s="1374">
        <f>+DH$27*DH192</f>
        <v>30.555793635459793</v>
      </c>
      <c r="DI191" s="1375">
        <f t="shared" ref="DI191" si="1698">+DH191</f>
        <v>30.555793635459793</v>
      </c>
      <c r="DJ191" s="1374">
        <f>+DJ$27*DJ192</f>
        <v>31.319688476346283</v>
      </c>
      <c r="DK191" s="1374">
        <f>+DK$27*DK192</f>
        <v>32.102680688254935</v>
      </c>
      <c r="DL191" s="1374">
        <f>+DL$27*DL192</f>
        <v>32.905247705461306</v>
      </c>
      <c r="DM191" s="1374">
        <f>+DM$27*DM192</f>
        <v>33.727878898097842</v>
      </c>
      <c r="DN191" s="1375">
        <f t="shared" ref="DN191" si="1699">+DM191</f>
        <v>33.727878898097842</v>
      </c>
      <c r="DO191" s="1374">
        <f t="shared" ref="DO191" si="1700">+DO$27*DO192</f>
        <v>34.571075870550281</v>
      </c>
      <c r="DP191" s="1374">
        <f t="shared" ref="DP191" si="1701">+DP$27*DP192</f>
        <v>35.435352767314036</v>
      </c>
      <c r="DQ191" s="1374">
        <f t="shared" ref="DQ191" si="1702">+DQ$27*DQ192</f>
        <v>36.321236586496887</v>
      </c>
      <c r="DR191" s="1374">
        <f t="shared" ref="DR191" si="1703">+DR$27*DR192</f>
        <v>37.229267501159306</v>
      </c>
      <c r="DS191" s="1375">
        <f t="shared" ref="DS191" si="1704">+DR191</f>
        <v>37.229267501159306</v>
      </c>
      <c r="DT191" s="1374">
        <f t="shared" ref="DT191" si="1705">+DT$27*DT192</f>
        <v>38.159999188688282</v>
      </c>
      <c r="DU191" s="1374">
        <f t="shared" ref="DU191" si="1706">+DU$27*DU192</f>
        <v>39.113999168405485</v>
      </c>
      <c r="DV191" s="1374">
        <f t="shared" ref="DV191" si="1707">+DV$27*DV192</f>
        <v>40.091849147615619</v>
      </c>
      <c r="DW191" s="1374">
        <f t="shared" ref="DW191" si="1708">+DW$27*DW192</f>
        <v>41.09414537630601</v>
      </c>
      <c r="DX191" s="1375">
        <f t="shared" ref="DX191" si="1709">+DW191</f>
        <v>41.09414537630601</v>
      </c>
      <c r="DY191" s="1374">
        <f t="shared" ref="DY191" si="1710">+DY$27*DY192</f>
        <v>42.121499010713649</v>
      </c>
      <c r="DZ191" s="1374">
        <f t="shared" ref="DZ191" si="1711">+DZ$27*DZ192</f>
        <v>43.174536485981491</v>
      </c>
      <c r="EA191" s="1374">
        <f t="shared" ref="EA191" si="1712">+EA$27*EA192</f>
        <v>44.253899898131024</v>
      </c>
      <c r="EB191" s="1374">
        <f t="shared" ref="EB191" si="1713">+EB$27*EB192</f>
        <v>45.360247395584295</v>
      </c>
      <c r="EC191" s="1375">
        <f t="shared" ref="EC191" si="1714">+EB191</f>
        <v>45.360247395584295</v>
      </c>
    </row>
    <row r="192" spans="1:133" hidden="1" outlineLevel="1">
      <c r="C192" s="1376" t="s">
        <v>664</v>
      </c>
      <c r="D192" s="1377"/>
      <c r="E192" s="1377"/>
      <c r="F192" s="1377"/>
      <c r="G192" s="1377"/>
      <c r="H192" s="1377"/>
      <c r="I192" s="1377"/>
      <c r="J192" s="1377"/>
      <c r="K192" s="1377"/>
      <c r="L192" s="1377"/>
      <c r="M192" s="1377"/>
      <c r="N192" s="1377"/>
      <c r="O192" s="1377"/>
      <c r="P192" s="1377"/>
      <c r="Q192" s="1377"/>
      <c r="R192" s="1377"/>
      <c r="S192" s="1377"/>
      <c r="T192" s="1377"/>
      <c r="U192" s="1377"/>
      <c r="V192" s="1377"/>
      <c r="W192" s="1377"/>
      <c r="X192" s="1377"/>
      <c r="Y192" s="1377"/>
      <c r="Z192" s="1377"/>
      <c r="AA192" s="1377"/>
      <c r="AB192" s="1377"/>
      <c r="AC192" s="1377"/>
      <c r="AD192" s="1377"/>
      <c r="AE192" s="1377"/>
      <c r="AF192" s="1377"/>
      <c r="AG192" s="1377"/>
      <c r="AH192" s="1377"/>
      <c r="AI192" s="1377"/>
      <c r="AJ192" s="1377"/>
      <c r="AK192" s="1377"/>
      <c r="AL192" s="1377"/>
      <c r="AM192" s="1377"/>
      <c r="AN192" s="1377"/>
      <c r="AO192" s="1377"/>
      <c r="AP192" s="1377"/>
      <c r="AQ192" s="1377"/>
      <c r="AR192" s="1377"/>
      <c r="AS192" s="1377"/>
      <c r="AT192" s="1377"/>
      <c r="AU192" s="1377"/>
      <c r="AV192" s="1377"/>
      <c r="AW192" s="1377"/>
      <c r="AX192" s="1377"/>
      <c r="AY192" s="1377"/>
      <c r="AZ192" s="1377"/>
      <c r="BA192" s="1377"/>
      <c r="BB192" s="1377"/>
      <c r="BC192" s="1377"/>
      <c r="BD192" s="1377"/>
      <c r="BE192" s="1377"/>
      <c r="BF192" s="1377"/>
      <c r="BG192" s="1377"/>
      <c r="BH192" s="1377"/>
      <c r="BI192" s="1377"/>
      <c r="BJ192" s="1377"/>
      <c r="BK192" s="1377"/>
      <c r="BL192" s="1377"/>
      <c r="BM192" s="1377"/>
      <c r="BN192" s="1377"/>
      <c r="BO192" s="1377"/>
      <c r="BP192" s="1377"/>
      <c r="BQ192" s="1377"/>
      <c r="BR192" s="1377"/>
      <c r="BS192" s="1377"/>
      <c r="BT192" s="1378">
        <v>0.01</v>
      </c>
      <c r="BU192" s="1379">
        <f>+BU191/BU$27</f>
        <v>0.01</v>
      </c>
      <c r="BV192" s="1378">
        <v>0.01</v>
      </c>
      <c r="BW192" s="1378">
        <v>0.01</v>
      </c>
      <c r="BX192" s="1378">
        <v>0.01</v>
      </c>
      <c r="BY192" s="1378">
        <v>0.01</v>
      </c>
      <c r="BZ192" s="1379">
        <f t="shared" ref="BZ192" si="1715">+BZ191/BZ$27</f>
        <v>0.01</v>
      </c>
      <c r="CA192" s="1378">
        <v>0.01</v>
      </c>
      <c r="CB192" s="1378">
        <v>0.01</v>
      </c>
      <c r="CC192" s="1378">
        <v>0.01</v>
      </c>
      <c r="CD192" s="1378">
        <v>0.01</v>
      </c>
      <c r="CE192" s="1379">
        <f t="shared" ref="CE192" si="1716">+CE191/CE$27</f>
        <v>0.01</v>
      </c>
      <c r="CF192" s="1378">
        <v>0.01</v>
      </c>
      <c r="CG192" s="1378">
        <v>0.01</v>
      </c>
      <c r="CH192" s="1378">
        <v>0.01</v>
      </c>
      <c r="CI192" s="1378">
        <v>0.01</v>
      </c>
      <c r="CJ192" s="1379">
        <f t="shared" ref="CJ192" si="1717">+CJ191/CJ$27</f>
        <v>9.9999999999999985E-3</v>
      </c>
      <c r="CK192" s="1378">
        <v>0.01</v>
      </c>
      <c r="CL192" s="1378">
        <v>0.01</v>
      </c>
      <c r="CM192" s="1378">
        <v>0.01</v>
      </c>
      <c r="CN192" s="1378">
        <v>0.01</v>
      </c>
      <c r="CO192" s="1379">
        <f t="shared" ref="CO192" si="1718">+CO191/CO$27</f>
        <v>1.069E-2</v>
      </c>
      <c r="CP192" s="1378">
        <v>0.01</v>
      </c>
      <c r="CQ192" s="1378">
        <v>0.01</v>
      </c>
      <c r="CR192" s="1378">
        <v>0.01</v>
      </c>
      <c r="CS192" s="1378">
        <v>0.01</v>
      </c>
      <c r="CT192" s="1379">
        <f t="shared" ref="CT192" si="1719">+CT191/CT$27</f>
        <v>1.0000000000000002E-2</v>
      </c>
      <c r="CU192" s="1378">
        <v>0.01</v>
      </c>
      <c r="CV192" s="1378">
        <v>0.01</v>
      </c>
      <c r="CW192" s="1378">
        <v>0.01</v>
      </c>
      <c r="CX192" s="1378">
        <v>0.01</v>
      </c>
      <c r="CY192" s="1379">
        <f t="shared" ref="CY192" si="1720">+CY191/CY$27</f>
        <v>0.01</v>
      </c>
      <c r="CZ192" s="1378">
        <v>0.01</v>
      </c>
      <c r="DA192" s="1378">
        <v>0.01</v>
      </c>
      <c r="DB192" s="1378">
        <v>0.01</v>
      </c>
      <c r="DC192" s="1378">
        <v>0.01</v>
      </c>
      <c r="DD192" s="1379">
        <f t="shared" ref="DD192" si="1721">+DD191/DD$27</f>
        <v>0.01</v>
      </c>
      <c r="DE192" s="1378">
        <v>0.01</v>
      </c>
      <c r="DF192" s="1378">
        <v>0.01</v>
      </c>
      <c r="DG192" s="1378">
        <v>0.01</v>
      </c>
      <c r="DH192" s="1378">
        <v>0.01</v>
      </c>
      <c r="DI192" s="1379">
        <f t="shared" ref="DI192" si="1722">+DI191/DI$27</f>
        <v>0.01</v>
      </c>
      <c r="DJ192" s="1378">
        <v>0.01</v>
      </c>
      <c r="DK192" s="1378">
        <v>0.01</v>
      </c>
      <c r="DL192" s="1378">
        <v>0.01</v>
      </c>
      <c r="DM192" s="1380">
        <v>0.01</v>
      </c>
      <c r="DN192" s="1379">
        <f t="shared" ref="DN192" si="1723">+DN191/DN$27</f>
        <v>1.0000000000000002E-2</v>
      </c>
      <c r="DO192" s="1380">
        <v>0.01</v>
      </c>
      <c r="DP192" s="1380">
        <v>0.01</v>
      </c>
      <c r="DQ192" s="1380">
        <v>0.01</v>
      </c>
      <c r="DR192" s="1380">
        <v>0.01</v>
      </c>
      <c r="DS192" s="1379">
        <f t="shared" ref="DS192" si="1724">+DS191/DS$27</f>
        <v>1.0000000000000002E-2</v>
      </c>
      <c r="DT192" s="1380">
        <v>0.01</v>
      </c>
      <c r="DU192" s="1380">
        <v>0.01</v>
      </c>
      <c r="DV192" s="1380">
        <v>0.01</v>
      </c>
      <c r="DW192" s="1380">
        <v>0.01</v>
      </c>
      <c r="DX192" s="1379">
        <f t="shared" ref="DX192" si="1725">+DX191/DX$27</f>
        <v>0.01</v>
      </c>
      <c r="DY192" s="1380">
        <v>0.01</v>
      </c>
      <c r="DZ192" s="1380">
        <v>0.01</v>
      </c>
      <c r="EA192" s="1380">
        <v>0.01</v>
      </c>
      <c r="EB192" s="1380">
        <v>0.01</v>
      </c>
      <c r="EC192" s="1379">
        <f t="shared" ref="EC192" si="1726">+EC191/EC$27</f>
        <v>0.01</v>
      </c>
    </row>
    <row r="193" spans="1:133" hidden="1" outlineLevel="1">
      <c r="C193" s="1381" t="s">
        <v>667</v>
      </c>
      <c r="BT193" s="1382">
        <v>0.5</v>
      </c>
      <c r="BU193" s="1383">
        <f t="shared" ref="BU193" si="1727">+BU194/BU191</f>
        <v>0.5</v>
      </c>
      <c r="BV193" s="1382">
        <v>0.5</v>
      </c>
      <c r="BW193" s="1382">
        <v>0.5</v>
      </c>
      <c r="BX193" s="1382">
        <v>0.5</v>
      </c>
      <c r="BY193" s="1382">
        <v>0.5</v>
      </c>
      <c r="BZ193" s="1383">
        <f t="shared" ref="BZ193" si="1728">+BZ194/BZ191</f>
        <v>0.5</v>
      </c>
      <c r="CA193" s="1382">
        <v>0.5</v>
      </c>
      <c r="CB193" s="1382">
        <v>0.5</v>
      </c>
      <c r="CC193" s="1382">
        <v>0.5</v>
      </c>
      <c r="CD193" s="1382">
        <v>0.5</v>
      </c>
      <c r="CE193" s="1383">
        <f t="shared" ref="CE193" si="1729">+CE194/CE191</f>
        <v>0.5</v>
      </c>
      <c r="CF193" s="1382">
        <v>0.5</v>
      </c>
      <c r="CG193" s="1382">
        <v>0.5</v>
      </c>
      <c r="CH193" s="1382">
        <v>0.5</v>
      </c>
      <c r="CI193" s="1382">
        <v>0.5</v>
      </c>
      <c r="CJ193" s="1383">
        <f t="shared" ref="CJ193" si="1730">+CJ194/CJ191</f>
        <v>0.5</v>
      </c>
      <c r="CK193" s="1382">
        <v>0.5</v>
      </c>
      <c r="CL193" s="1382">
        <v>0.5</v>
      </c>
      <c r="CM193" s="1382">
        <v>0.5</v>
      </c>
      <c r="CN193" s="1382">
        <v>0.5</v>
      </c>
      <c r="CO193" s="1383">
        <f t="shared" ref="CO193" si="1731">+CO194/CO191</f>
        <v>0.5</v>
      </c>
      <c r="CP193" s="1382">
        <v>0.5</v>
      </c>
      <c r="CQ193" s="1382">
        <v>0.5</v>
      </c>
      <c r="CR193" s="1382">
        <v>0.5</v>
      </c>
      <c r="CS193" s="1382">
        <v>0.5</v>
      </c>
      <c r="CT193" s="1383">
        <f t="shared" ref="CT193" si="1732">+CT194/CT191</f>
        <v>0.5</v>
      </c>
      <c r="CU193" s="1382">
        <v>0.5</v>
      </c>
      <c r="CV193" s="1382">
        <v>0.5</v>
      </c>
      <c r="CW193" s="1382">
        <v>0.5</v>
      </c>
      <c r="CX193" s="1382">
        <v>0.5</v>
      </c>
      <c r="CY193" s="1383">
        <f t="shared" ref="CY193" si="1733">+CY194/CY191</f>
        <v>0.5</v>
      </c>
      <c r="CZ193" s="1382">
        <v>0.5</v>
      </c>
      <c r="DA193" s="1382">
        <v>0.5</v>
      </c>
      <c r="DB193" s="1382">
        <v>0.5</v>
      </c>
      <c r="DC193" s="1382">
        <v>0.5</v>
      </c>
      <c r="DD193" s="1383">
        <f t="shared" ref="DD193" si="1734">+DD194/DD191</f>
        <v>0.5</v>
      </c>
      <c r="DE193" s="1382">
        <v>0.5</v>
      </c>
      <c r="DF193" s="1382">
        <v>0.5</v>
      </c>
      <c r="DG193" s="1382">
        <v>0.5</v>
      </c>
      <c r="DH193" s="1382">
        <v>0.5</v>
      </c>
      <c r="DI193" s="1383">
        <f>+DI194/DI191</f>
        <v>0.5</v>
      </c>
      <c r="DJ193" s="1382">
        <v>0.5</v>
      </c>
      <c r="DK193" s="1382">
        <v>0.5</v>
      </c>
      <c r="DL193" s="1382">
        <v>0.5</v>
      </c>
      <c r="DM193" s="1384">
        <v>0.5</v>
      </c>
      <c r="DN193" s="1383">
        <f>+DN194/DN191</f>
        <v>0.5</v>
      </c>
      <c r="DO193" s="1384">
        <v>0.5</v>
      </c>
      <c r="DP193" s="1384">
        <v>0.5</v>
      </c>
      <c r="DQ193" s="1384">
        <v>0.5</v>
      </c>
      <c r="DR193" s="1384">
        <v>0.5</v>
      </c>
      <c r="DS193" s="1383">
        <f>+DS194/DS191</f>
        <v>0.5</v>
      </c>
      <c r="DT193" s="1384">
        <v>0.5</v>
      </c>
      <c r="DU193" s="1384">
        <v>0.5</v>
      </c>
      <c r="DV193" s="1384">
        <v>0.5</v>
      </c>
      <c r="DW193" s="1384">
        <v>0.5</v>
      </c>
      <c r="DX193" s="1383">
        <f>+DX194/DX191</f>
        <v>0.5</v>
      </c>
      <c r="DY193" s="1384">
        <v>0.5</v>
      </c>
      <c r="DZ193" s="1384">
        <v>0.5</v>
      </c>
      <c r="EA193" s="1384">
        <v>0.5</v>
      </c>
      <c r="EB193" s="1384">
        <v>0.5</v>
      </c>
      <c r="EC193" s="1383">
        <f>+EC194/EC191</f>
        <v>0.5</v>
      </c>
    </row>
    <row r="194" spans="1:133" hidden="1" outlineLevel="1">
      <c r="C194" s="1385" t="s">
        <v>671</v>
      </c>
      <c r="D194" s="1371"/>
      <c r="E194" s="1371"/>
      <c r="F194" s="1371"/>
      <c r="G194" s="1371"/>
      <c r="H194" s="1371"/>
      <c r="I194" s="1371"/>
      <c r="J194" s="1371"/>
      <c r="K194" s="1371"/>
      <c r="L194" s="1371"/>
      <c r="M194" s="1371"/>
      <c r="N194" s="1371"/>
      <c r="O194" s="1371"/>
      <c r="P194" s="1371"/>
      <c r="Q194" s="1371"/>
      <c r="R194" s="1371"/>
      <c r="S194" s="1371"/>
      <c r="T194" s="1371"/>
      <c r="U194" s="1371"/>
      <c r="V194" s="1371"/>
      <c r="W194" s="1371"/>
      <c r="X194" s="1371"/>
      <c r="Y194" s="1371"/>
      <c r="Z194" s="1371"/>
      <c r="AA194" s="1371"/>
      <c r="AB194" s="1371"/>
      <c r="AC194" s="1371"/>
      <c r="AD194" s="1371"/>
      <c r="AE194" s="1371"/>
      <c r="AF194" s="1371"/>
      <c r="AG194" s="1371"/>
      <c r="AH194" s="1371"/>
      <c r="AI194" s="1371"/>
      <c r="AJ194" s="1371"/>
      <c r="AK194" s="1371"/>
      <c r="AL194" s="1371"/>
      <c r="AM194" s="1371"/>
      <c r="AN194" s="1371"/>
      <c r="AO194" s="1371"/>
      <c r="AP194" s="1371"/>
      <c r="AQ194" s="1371"/>
      <c r="AR194" s="1371"/>
      <c r="AS194" s="1371"/>
      <c r="AT194" s="1371"/>
      <c r="AU194" s="1371"/>
      <c r="AV194" s="1371"/>
      <c r="AW194" s="1371"/>
      <c r="AX194" s="1371"/>
      <c r="AY194" s="1371"/>
      <c r="AZ194" s="1371"/>
      <c r="BA194" s="1371"/>
      <c r="BB194" s="1371"/>
      <c r="BC194" s="1371"/>
      <c r="BD194" s="1371"/>
      <c r="BE194" s="1371"/>
      <c r="BF194" s="1371"/>
      <c r="BG194" s="1371"/>
      <c r="BH194" s="1371"/>
      <c r="BI194" s="1371"/>
      <c r="BJ194" s="1371"/>
      <c r="BK194" s="1371"/>
      <c r="BL194" s="1371"/>
      <c r="BM194" s="1371"/>
      <c r="BN194" s="1371"/>
      <c r="BO194" s="1371"/>
      <c r="BP194" s="1371"/>
      <c r="BQ194" s="1371"/>
      <c r="BR194" s="1371"/>
      <c r="BS194" s="1371"/>
      <c r="BT194" s="1386">
        <f t="shared" ref="BT194" si="1735">+BT191*BT193</f>
        <v>0.82500000000000007</v>
      </c>
      <c r="BU194" s="1387">
        <f t="shared" ref="BU194:BU199" si="1736">+BT194</f>
        <v>0.82500000000000007</v>
      </c>
      <c r="BV194" s="1386">
        <f t="shared" ref="BV194" si="1737">+BV191*BV193</f>
        <v>1.0997250000000001</v>
      </c>
      <c r="BW194" s="1386">
        <f t="shared" ref="BW194" si="1738">+BW191*BW193</f>
        <v>1.4000000000000001</v>
      </c>
      <c r="BX194" s="1386">
        <f t="shared" ref="BX194" si="1739">+BX191*BX193</f>
        <v>1.6</v>
      </c>
      <c r="BY194" s="1386">
        <f t="shared" ref="BY194" si="1740">+BY191*BY193</f>
        <v>1.8875</v>
      </c>
      <c r="BZ194" s="1387">
        <f t="shared" ref="BZ194" si="1741">+BY194</f>
        <v>1.8875</v>
      </c>
      <c r="CA194" s="1386">
        <f t="shared" ref="CA194" si="1742">+CA191*CA193</f>
        <v>2.0999999999999996</v>
      </c>
      <c r="CB194" s="1386">
        <f t="shared" ref="CB194" si="1743">+CB191*CB193</f>
        <v>2.4999999999999996</v>
      </c>
      <c r="CC194" s="1386">
        <f t="shared" ref="CC194" si="1744">+CC191*CC193</f>
        <v>2.8499999999999996</v>
      </c>
      <c r="CD194" s="1386">
        <f t="shared" ref="CD194" si="1745">+CD191*CD193</f>
        <v>3.0449999999999999</v>
      </c>
      <c r="CE194" s="1387">
        <f t="shared" ref="CE194" si="1746">+CD194</f>
        <v>3.0449999999999999</v>
      </c>
      <c r="CF194" s="1386">
        <f t="shared" ref="CF194" si="1747">+CF191*CF193</f>
        <v>3.25</v>
      </c>
      <c r="CG194" s="1386">
        <f t="shared" ref="CG194" si="1748">+CG191*CG193</f>
        <v>3.5</v>
      </c>
      <c r="CH194" s="1386">
        <f t="shared" ref="CH194" si="1749">+CH191*CH193</f>
        <v>3.7999999999999994</v>
      </c>
      <c r="CI194" s="1386">
        <f t="shared" ref="CI194" si="1750">+CI191*CI193</f>
        <v>4.0999999999999996</v>
      </c>
      <c r="CJ194" s="1387">
        <f t="shared" ref="CJ194" si="1751">+CI194</f>
        <v>4.0999999999999996</v>
      </c>
      <c r="CK194" s="1386">
        <f t="shared" ref="CK194" si="1752">+CK191*CK193</f>
        <v>4.25</v>
      </c>
      <c r="CL194" s="1386">
        <f t="shared" ref="CL194" si="1753">+CL191*CL193</f>
        <v>4.5</v>
      </c>
      <c r="CM194" s="1386">
        <f t="shared" ref="CM194" si="1754">+CM191*CM193</f>
        <v>4.75</v>
      </c>
      <c r="CN194" s="1386">
        <f t="shared" ref="CN194" si="1755">+CN191*CN193</f>
        <v>5.3449999999999998</v>
      </c>
      <c r="CO194" s="1387">
        <f t="shared" ref="CO194" si="1756">+CN194</f>
        <v>5.3449999999999998</v>
      </c>
      <c r="CP194" s="1386">
        <f t="shared" ref="CP194" si="1757">+CP191*CP193</f>
        <v>5.5</v>
      </c>
      <c r="CQ194" s="1386">
        <f t="shared" ref="CQ194" si="1758">+CQ191*CQ193</f>
        <v>6.160000000000001</v>
      </c>
      <c r="CR194" s="1386">
        <f t="shared" ref="CR194" si="1759">+CR191*CR193</f>
        <v>7.3007407407407419</v>
      </c>
      <c r="CS194" s="1386">
        <f t="shared" ref="CS194" si="1760">+CS191*CS193</f>
        <v>8.745000000000001</v>
      </c>
      <c r="CT194" s="1387">
        <f t="shared" ref="CT194" si="1761">+CS194</f>
        <v>8.745000000000001</v>
      </c>
      <c r="CU194" s="1386">
        <f t="shared" ref="CU194" si="1762">+CU191*CU193</f>
        <v>9.0948000000000011</v>
      </c>
      <c r="CV194" s="1386">
        <f t="shared" ref="CV194" si="1763">+CV191*CV193</f>
        <v>9.4585920000000012</v>
      </c>
      <c r="CW194" s="1386">
        <f t="shared" ref="CW194" si="1764">+CW191*CW193</f>
        <v>9.8369356800000016</v>
      </c>
      <c r="CX194" s="1386">
        <f t="shared" ref="CX194" si="1765">+CX191*CX193</f>
        <v>10.315</v>
      </c>
      <c r="CY194" s="1387">
        <f t="shared" ref="CY194" si="1766">+CX194</f>
        <v>10.315</v>
      </c>
      <c r="CZ194" s="1386">
        <f t="shared" ref="CZ194" si="1767">+CZ191*CZ193</f>
        <v>10.418150000000001</v>
      </c>
      <c r="DA194" s="1386">
        <f t="shared" ref="DA194" si="1768">+DA191*DA193</f>
        <v>10.5223315</v>
      </c>
      <c r="DB194" s="1386">
        <f t="shared" ref="DB194" si="1769">+DB191*DB193</f>
        <v>10.627554815000002</v>
      </c>
      <c r="DC194" s="1386">
        <f t="shared" ref="DC194" si="1770">+DC191*DC193</f>
        <v>12.221688037250001</v>
      </c>
      <c r="DD194" s="1387">
        <f t="shared" ref="DD194:DD199" si="1771">+DC194</f>
        <v>12.221688037250001</v>
      </c>
      <c r="DE194" s="1386">
        <f>+DE191*DE193</f>
        <v>14.054941242837499</v>
      </c>
      <c r="DF194" s="1386">
        <f>+DF191*DF193</f>
        <v>14.757688304979375</v>
      </c>
      <c r="DG194" s="1386">
        <f>+DG191*DG193</f>
        <v>14.905265188029169</v>
      </c>
      <c r="DH194" s="1386">
        <f>+DH191*DH193</f>
        <v>15.277896817729896</v>
      </c>
      <c r="DI194" s="1387">
        <f t="shared" ref="DI194:DI199" si="1772">+DH194</f>
        <v>15.277896817729896</v>
      </c>
      <c r="DJ194" s="1386">
        <f>+DJ191*DJ193</f>
        <v>15.659844238173141</v>
      </c>
      <c r="DK194" s="1386">
        <f>+DK191*DK193</f>
        <v>16.051340344127468</v>
      </c>
      <c r="DL194" s="1386">
        <f>+DL191*DL193</f>
        <v>16.452623852730653</v>
      </c>
      <c r="DM194" s="1386">
        <f>+DM191*DM193</f>
        <v>16.863939449048921</v>
      </c>
      <c r="DN194" s="1387">
        <f t="shared" ref="DN194:DN199" si="1773">+DM194</f>
        <v>16.863939449048921</v>
      </c>
      <c r="DO194" s="1386">
        <f>+DO191*DO193</f>
        <v>17.285537935275141</v>
      </c>
      <c r="DP194" s="1386">
        <f>+DP191*DP193</f>
        <v>17.717676383657018</v>
      </c>
      <c r="DQ194" s="1386">
        <f>+DQ191*DQ193</f>
        <v>18.160618293248444</v>
      </c>
      <c r="DR194" s="1386">
        <f>+DR191*DR193</f>
        <v>18.614633750579653</v>
      </c>
      <c r="DS194" s="1387">
        <f t="shared" ref="DS194:DS199" si="1774">+DR194</f>
        <v>18.614633750579653</v>
      </c>
      <c r="DT194" s="1386">
        <f>+DT191*DT193</f>
        <v>19.079999594344141</v>
      </c>
      <c r="DU194" s="1386">
        <f>+DU191*DU193</f>
        <v>19.556999584202742</v>
      </c>
      <c r="DV194" s="1386">
        <f>+DV191*DV193</f>
        <v>20.04592457380781</v>
      </c>
      <c r="DW194" s="1386">
        <f>+DW191*DW193</f>
        <v>20.547072688153005</v>
      </c>
      <c r="DX194" s="1387">
        <f t="shared" ref="DX194:DX199" si="1775">+DW194</f>
        <v>20.547072688153005</v>
      </c>
      <c r="DY194" s="1386">
        <f>+DY191*DY193</f>
        <v>21.060749505356824</v>
      </c>
      <c r="DZ194" s="1386">
        <f>+DZ191*DZ193</f>
        <v>21.587268242990746</v>
      </c>
      <c r="EA194" s="1386">
        <f>+EA191*EA193</f>
        <v>22.126949949065512</v>
      </c>
      <c r="EB194" s="1386">
        <f>+EB191*EB193</f>
        <v>22.680123697792148</v>
      </c>
      <c r="EC194" s="1387">
        <f t="shared" ref="EC194:EC199" si="1776">+EB194</f>
        <v>22.680123697792148</v>
      </c>
    </row>
    <row r="195" spans="1:133" hidden="1" outlineLevel="1">
      <c r="C195" s="240" t="s">
        <v>665</v>
      </c>
      <c r="BT195" s="1388">
        <v>39</v>
      </c>
      <c r="BU195" s="1389">
        <f t="shared" si="1736"/>
        <v>39</v>
      </c>
      <c r="BV195" s="1388">
        <v>39</v>
      </c>
      <c r="BW195" s="1388">
        <v>39</v>
      </c>
      <c r="BX195" s="1388">
        <v>39</v>
      </c>
      <c r="BY195" s="1388">
        <v>39</v>
      </c>
      <c r="BZ195" s="1389">
        <f t="shared" ref="BZ195" si="1777">+BY195</f>
        <v>39</v>
      </c>
      <c r="CA195" s="1388">
        <v>39</v>
      </c>
      <c r="CB195" s="1388">
        <v>39</v>
      </c>
      <c r="CC195" s="1388">
        <v>39</v>
      </c>
      <c r="CD195" s="1388">
        <v>39</v>
      </c>
      <c r="CE195" s="1389">
        <f t="shared" ref="CE195" si="1778">+CD195</f>
        <v>39</v>
      </c>
      <c r="CF195" s="1388">
        <v>39</v>
      </c>
      <c r="CG195" s="1388">
        <v>39</v>
      </c>
      <c r="CH195" s="1388">
        <v>39</v>
      </c>
      <c r="CI195" s="1388">
        <v>39</v>
      </c>
      <c r="CJ195" s="1389">
        <f t="shared" ref="CJ195" si="1779">+CI195</f>
        <v>39</v>
      </c>
      <c r="CK195" s="1388">
        <v>39</v>
      </c>
      <c r="CL195" s="1388">
        <v>39</v>
      </c>
      <c r="CM195" s="1388">
        <v>39</v>
      </c>
      <c r="CN195" s="1388">
        <v>39</v>
      </c>
      <c r="CO195" s="1389">
        <f t="shared" ref="CO195" si="1780">+CN195</f>
        <v>39</v>
      </c>
      <c r="CP195" s="1388">
        <v>39</v>
      </c>
      <c r="CQ195" s="1388">
        <v>39</v>
      </c>
      <c r="CR195" s="1388">
        <v>39</v>
      </c>
      <c r="CS195" s="1388">
        <v>39</v>
      </c>
      <c r="CT195" s="1389">
        <f t="shared" ref="CT195" si="1781">+CS195</f>
        <v>39</v>
      </c>
      <c r="CU195" s="1388">
        <v>39</v>
      </c>
      <c r="CV195" s="1388">
        <v>39</v>
      </c>
      <c r="CW195" s="1388">
        <v>39</v>
      </c>
      <c r="CX195" s="1388">
        <v>39</v>
      </c>
      <c r="CY195" s="1389">
        <f t="shared" ref="CY195" si="1782">+CX195</f>
        <v>39</v>
      </c>
      <c r="CZ195" s="1388">
        <v>39</v>
      </c>
      <c r="DA195" s="1388">
        <v>39</v>
      </c>
      <c r="DB195" s="1388">
        <v>39</v>
      </c>
      <c r="DC195" s="1388">
        <v>39</v>
      </c>
      <c r="DD195" s="1389">
        <f t="shared" si="1771"/>
        <v>39</v>
      </c>
      <c r="DE195" s="1388">
        <v>39</v>
      </c>
      <c r="DF195" s="1388">
        <v>39</v>
      </c>
      <c r="DG195" s="1388">
        <v>39</v>
      </c>
      <c r="DH195" s="1388">
        <v>39</v>
      </c>
      <c r="DI195" s="1389">
        <f t="shared" si="1772"/>
        <v>39</v>
      </c>
      <c r="DJ195" s="1388">
        <v>39</v>
      </c>
      <c r="DK195" s="1388">
        <v>39</v>
      </c>
      <c r="DL195" s="1388">
        <v>39</v>
      </c>
      <c r="DM195" s="1390">
        <v>39</v>
      </c>
      <c r="DN195" s="1389">
        <f t="shared" si="1773"/>
        <v>39</v>
      </c>
      <c r="DO195" s="1390">
        <v>39</v>
      </c>
      <c r="DP195" s="1390">
        <v>39</v>
      </c>
      <c r="DQ195" s="1390">
        <v>39</v>
      </c>
      <c r="DR195" s="1390">
        <v>39</v>
      </c>
      <c r="DS195" s="1389">
        <f t="shared" si="1774"/>
        <v>39</v>
      </c>
      <c r="DT195" s="1390">
        <v>39</v>
      </c>
      <c r="DU195" s="1390">
        <v>39</v>
      </c>
      <c r="DV195" s="1390">
        <v>39</v>
      </c>
      <c r="DW195" s="1390">
        <v>39</v>
      </c>
      <c r="DX195" s="1389">
        <f t="shared" si="1775"/>
        <v>39</v>
      </c>
      <c r="DY195" s="1390">
        <v>39</v>
      </c>
      <c r="DZ195" s="1390">
        <v>39</v>
      </c>
      <c r="EA195" s="1390">
        <v>39</v>
      </c>
      <c r="EB195" s="1390">
        <v>39</v>
      </c>
      <c r="EC195" s="1389">
        <f t="shared" si="1776"/>
        <v>39</v>
      </c>
    </row>
    <row r="196" spans="1:133" hidden="1" outlineLevel="1">
      <c r="C196" s="1381" t="s">
        <v>668</v>
      </c>
      <c r="BT196" s="1382">
        <v>0.25</v>
      </c>
      <c r="BU196" s="1383">
        <f t="shared" si="1736"/>
        <v>0.25</v>
      </c>
      <c r="BV196" s="1382">
        <v>0.25</v>
      </c>
      <c r="BW196" s="1382">
        <v>0.25</v>
      </c>
      <c r="BX196" s="1382">
        <v>0.25</v>
      </c>
      <c r="BY196" s="1382">
        <v>0.25</v>
      </c>
      <c r="BZ196" s="1383">
        <f t="shared" ref="BZ196" si="1783">+BY196</f>
        <v>0.25</v>
      </c>
      <c r="CA196" s="1382">
        <v>0.25</v>
      </c>
      <c r="CB196" s="1382">
        <v>0.25</v>
      </c>
      <c r="CC196" s="1382">
        <v>0.25</v>
      </c>
      <c r="CD196" s="1382">
        <v>0.25</v>
      </c>
      <c r="CE196" s="1383">
        <f t="shared" ref="CE196" si="1784">+CD196</f>
        <v>0.25</v>
      </c>
      <c r="CF196" s="1382">
        <v>0.25</v>
      </c>
      <c r="CG196" s="1382">
        <v>0.25</v>
      </c>
      <c r="CH196" s="1382">
        <v>0.25</v>
      </c>
      <c r="CI196" s="1382">
        <v>0.25</v>
      </c>
      <c r="CJ196" s="1383">
        <f t="shared" ref="CJ196" si="1785">+CI196</f>
        <v>0.25</v>
      </c>
      <c r="CK196" s="1382">
        <v>0.25</v>
      </c>
      <c r="CL196" s="1382">
        <v>0.25</v>
      </c>
      <c r="CM196" s="1382">
        <v>0.25</v>
      </c>
      <c r="CN196" s="1382">
        <v>0.25</v>
      </c>
      <c r="CO196" s="1383">
        <f t="shared" ref="CO196" si="1786">+CN196</f>
        <v>0.25</v>
      </c>
      <c r="CP196" s="1382">
        <v>0.25</v>
      </c>
      <c r="CQ196" s="1382">
        <v>0.25</v>
      </c>
      <c r="CR196" s="1382">
        <v>0.25</v>
      </c>
      <c r="CS196" s="1382">
        <v>0.25</v>
      </c>
      <c r="CT196" s="1383">
        <f t="shared" ref="CT196" si="1787">+CS196</f>
        <v>0.25</v>
      </c>
      <c r="CU196" s="1382">
        <v>0.25</v>
      </c>
      <c r="CV196" s="1382">
        <v>0.25</v>
      </c>
      <c r="CW196" s="1382">
        <v>0.25</v>
      </c>
      <c r="CX196" s="1382">
        <v>0.25</v>
      </c>
      <c r="CY196" s="1383">
        <f t="shared" ref="CY196" si="1788">+CX196</f>
        <v>0.25</v>
      </c>
      <c r="CZ196" s="1382">
        <v>0.25</v>
      </c>
      <c r="DA196" s="1382">
        <v>0.25</v>
      </c>
      <c r="DB196" s="1382">
        <v>0.25</v>
      </c>
      <c r="DC196" s="1382">
        <v>0.25</v>
      </c>
      <c r="DD196" s="1383">
        <f t="shared" si="1771"/>
        <v>0.25</v>
      </c>
      <c r="DE196" s="1382">
        <v>0.25</v>
      </c>
      <c r="DF196" s="1382">
        <v>0.25</v>
      </c>
      <c r="DG196" s="1382">
        <v>0.25</v>
      </c>
      <c r="DH196" s="1382">
        <v>0.25</v>
      </c>
      <c r="DI196" s="1383">
        <f t="shared" si="1772"/>
        <v>0.25</v>
      </c>
      <c r="DJ196" s="1382">
        <v>0.25</v>
      </c>
      <c r="DK196" s="1382">
        <v>0.25</v>
      </c>
      <c r="DL196" s="1382">
        <v>0.25</v>
      </c>
      <c r="DM196" s="1384">
        <v>0.25</v>
      </c>
      <c r="DN196" s="1383">
        <f t="shared" si="1773"/>
        <v>0.25</v>
      </c>
      <c r="DO196" s="1384">
        <v>0.25</v>
      </c>
      <c r="DP196" s="1384">
        <v>0.25</v>
      </c>
      <c r="DQ196" s="1384">
        <v>0.25</v>
      </c>
      <c r="DR196" s="1384">
        <v>0.25</v>
      </c>
      <c r="DS196" s="1383">
        <f t="shared" si="1774"/>
        <v>0.25</v>
      </c>
      <c r="DT196" s="1384">
        <v>0.25</v>
      </c>
      <c r="DU196" s="1384">
        <v>0.25</v>
      </c>
      <c r="DV196" s="1384">
        <v>0.25</v>
      </c>
      <c r="DW196" s="1384">
        <v>0.25</v>
      </c>
      <c r="DX196" s="1383">
        <f t="shared" si="1775"/>
        <v>0.25</v>
      </c>
      <c r="DY196" s="1384">
        <v>0.25</v>
      </c>
      <c r="DZ196" s="1384">
        <v>0.25</v>
      </c>
      <c r="EA196" s="1384">
        <v>0.25</v>
      </c>
      <c r="EB196" s="1384">
        <v>0.25</v>
      </c>
      <c r="EC196" s="1383">
        <f t="shared" si="1776"/>
        <v>0.25</v>
      </c>
    </row>
    <row r="197" spans="1:133" hidden="1" outlineLevel="1">
      <c r="C197" s="1385" t="s">
        <v>669</v>
      </c>
      <c r="D197" s="1371"/>
      <c r="E197" s="1371"/>
      <c r="F197" s="1371"/>
      <c r="G197" s="1371"/>
      <c r="H197" s="1371"/>
      <c r="I197" s="1371"/>
      <c r="J197" s="1371"/>
      <c r="K197" s="1371"/>
      <c r="L197" s="1371"/>
      <c r="M197" s="1371"/>
      <c r="N197" s="1371"/>
      <c r="O197" s="1371"/>
      <c r="P197" s="1371"/>
      <c r="Q197" s="1371"/>
      <c r="R197" s="1371"/>
      <c r="S197" s="1371"/>
      <c r="T197" s="1371"/>
      <c r="U197" s="1371"/>
      <c r="V197" s="1371"/>
      <c r="W197" s="1371"/>
      <c r="X197" s="1371"/>
      <c r="Y197" s="1371"/>
      <c r="Z197" s="1371"/>
      <c r="AA197" s="1371"/>
      <c r="AB197" s="1371"/>
      <c r="AC197" s="1371"/>
      <c r="AD197" s="1371"/>
      <c r="AE197" s="1371"/>
      <c r="AF197" s="1371"/>
      <c r="AG197" s="1371"/>
      <c r="AH197" s="1371"/>
      <c r="AI197" s="1371"/>
      <c r="AJ197" s="1371"/>
      <c r="AK197" s="1371"/>
      <c r="AL197" s="1371"/>
      <c r="AM197" s="1371"/>
      <c r="AN197" s="1371"/>
      <c r="AO197" s="1371"/>
      <c r="AP197" s="1371"/>
      <c r="AQ197" s="1371"/>
      <c r="AR197" s="1371"/>
      <c r="AS197" s="1371"/>
      <c r="AT197" s="1371"/>
      <c r="AU197" s="1371"/>
      <c r="AV197" s="1371"/>
      <c r="AW197" s="1371"/>
      <c r="AX197" s="1371"/>
      <c r="AY197" s="1371"/>
      <c r="AZ197" s="1371"/>
      <c r="BA197" s="1371"/>
      <c r="BB197" s="1371"/>
      <c r="BC197" s="1371"/>
      <c r="BD197" s="1371"/>
      <c r="BE197" s="1371"/>
      <c r="BF197" s="1371"/>
      <c r="BG197" s="1371"/>
      <c r="BH197" s="1371"/>
      <c r="BI197" s="1371"/>
      <c r="BJ197" s="1371"/>
      <c r="BK197" s="1371"/>
      <c r="BL197" s="1371"/>
      <c r="BM197" s="1371"/>
      <c r="BN197" s="1371"/>
      <c r="BO197" s="1371"/>
      <c r="BP197" s="1371"/>
      <c r="BQ197" s="1371"/>
      <c r="BR197" s="1371"/>
      <c r="BS197" s="1371"/>
      <c r="BT197" s="1391">
        <f t="shared" ref="BT197" si="1789">+BT195*(1-BT196)</f>
        <v>29.25</v>
      </c>
      <c r="BU197" s="1392">
        <f t="shared" si="1736"/>
        <v>29.25</v>
      </c>
      <c r="BV197" s="1391">
        <f t="shared" ref="BV197" si="1790">+BV195*(1-BV196)</f>
        <v>29.25</v>
      </c>
      <c r="BW197" s="1391">
        <f t="shared" ref="BW197" si="1791">+BW195*(1-BW196)</f>
        <v>29.25</v>
      </c>
      <c r="BX197" s="1391">
        <f t="shared" ref="BX197" si="1792">+BX195*(1-BX196)</f>
        <v>29.25</v>
      </c>
      <c r="BY197" s="1391">
        <f t="shared" ref="BY197" si="1793">+BY195*(1-BY196)</f>
        <v>29.25</v>
      </c>
      <c r="BZ197" s="1392">
        <f t="shared" ref="BZ197" si="1794">+BY197</f>
        <v>29.25</v>
      </c>
      <c r="CA197" s="1391">
        <f t="shared" ref="CA197" si="1795">+CA195*(1-CA196)</f>
        <v>29.25</v>
      </c>
      <c r="CB197" s="1391">
        <f t="shared" ref="CB197" si="1796">+CB195*(1-CB196)</f>
        <v>29.25</v>
      </c>
      <c r="CC197" s="1391">
        <f t="shared" ref="CC197" si="1797">+CC195*(1-CC196)</f>
        <v>29.25</v>
      </c>
      <c r="CD197" s="1391">
        <f t="shared" ref="CD197" si="1798">+CD195*(1-CD196)</f>
        <v>29.25</v>
      </c>
      <c r="CE197" s="1392">
        <f t="shared" ref="CE197" si="1799">+CD197</f>
        <v>29.25</v>
      </c>
      <c r="CF197" s="1391">
        <f t="shared" ref="CF197" si="1800">+CF195*(1-CF196)</f>
        <v>29.25</v>
      </c>
      <c r="CG197" s="1391">
        <f t="shared" ref="CG197" si="1801">+CG195*(1-CG196)</f>
        <v>29.25</v>
      </c>
      <c r="CH197" s="1391">
        <f t="shared" ref="CH197" si="1802">+CH195*(1-CH196)</f>
        <v>29.25</v>
      </c>
      <c r="CI197" s="1391">
        <f t="shared" ref="CI197" si="1803">+CI195*(1-CI196)</f>
        <v>29.25</v>
      </c>
      <c r="CJ197" s="1392">
        <f t="shared" ref="CJ197" si="1804">+CI197</f>
        <v>29.25</v>
      </c>
      <c r="CK197" s="1391">
        <f t="shared" ref="CK197" si="1805">+CK195*(1-CK196)</f>
        <v>29.25</v>
      </c>
      <c r="CL197" s="1391">
        <f t="shared" ref="CL197" si="1806">+CL195*(1-CL196)</f>
        <v>29.25</v>
      </c>
      <c r="CM197" s="1391">
        <f t="shared" ref="CM197" si="1807">+CM195*(1-CM196)</f>
        <v>29.25</v>
      </c>
      <c r="CN197" s="1391">
        <f t="shared" ref="CN197" si="1808">+CN195*(1-CN196)</f>
        <v>29.25</v>
      </c>
      <c r="CO197" s="1392">
        <f t="shared" ref="CO197" si="1809">+CN197</f>
        <v>29.25</v>
      </c>
      <c r="CP197" s="1391">
        <f t="shared" ref="CP197" si="1810">+CP195*(1-CP196)</f>
        <v>29.25</v>
      </c>
      <c r="CQ197" s="1391">
        <f t="shared" ref="CQ197" si="1811">+CQ195*(1-CQ196)</f>
        <v>29.25</v>
      </c>
      <c r="CR197" s="1391">
        <f t="shared" ref="CR197" si="1812">+CR195*(1-CR196)</f>
        <v>29.25</v>
      </c>
      <c r="CS197" s="1391">
        <f t="shared" ref="CS197" si="1813">+CS195*(1-CS196)</f>
        <v>29.25</v>
      </c>
      <c r="CT197" s="1392">
        <f t="shared" ref="CT197" si="1814">+CS197</f>
        <v>29.25</v>
      </c>
      <c r="CU197" s="1391">
        <f t="shared" ref="CU197" si="1815">+CU195*(1-CU196)</f>
        <v>29.25</v>
      </c>
      <c r="CV197" s="1391">
        <f t="shared" ref="CV197" si="1816">+CV195*(1-CV196)</f>
        <v>29.25</v>
      </c>
      <c r="CW197" s="1391">
        <f t="shared" ref="CW197" si="1817">+CW195*(1-CW196)</f>
        <v>29.25</v>
      </c>
      <c r="CX197" s="1391">
        <f t="shared" ref="CX197" si="1818">+CX195*(1-CX196)</f>
        <v>29.25</v>
      </c>
      <c r="CY197" s="1392">
        <f t="shared" ref="CY197" si="1819">+CX197</f>
        <v>29.25</v>
      </c>
      <c r="CZ197" s="1391">
        <f t="shared" ref="CZ197" si="1820">+CZ195*(1-CZ196)</f>
        <v>29.25</v>
      </c>
      <c r="DA197" s="1391">
        <f t="shared" ref="DA197" si="1821">+DA195*(1-DA196)</f>
        <v>29.25</v>
      </c>
      <c r="DB197" s="1391">
        <f t="shared" ref="DB197" si="1822">+DB195*(1-DB196)</f>
        <v>29.25</v>
      </c>
      <c r="DC197" s="1391">
        <f t="shared" ref="DC197" si="1823">+DC195*(1-DC196)</f>
        <v>29.25</v>
      </c>
      <c r="DD197" s="1392">
        <f t="shared" si="1771"/>
        <v>29.25</v>
      </c>
      <c r="DE197" s="1391">
        <f>+DE195*(1-DE196)</f>
        <v>29.25</v>
      </c>
      <c r="DF197" s="1391">
        <f>+DF195*(1-DF196)</f>
        <v>29.25</v>
      </c>
      <c r="DG197" s="1391">
        <f>+DG195*(1-DG196)</f>
        <v>29.25</v>
      </c>
      <c r="DH197" s="1391">
        <f>+DH195*(1-DH196)</f>
        <v>29.25</v>
      </c>
      <c r="DI197" s="1392">
        <f t="shared" si="1772"/>
        <v>29.25</v>
      </c>
      <c r="DJ197" s="1391">
        <f>+DJ195*(1-DJ196)</f>
        <v>29.25</v>
      </c>
      <c r="DK197" s="1391">
        <f>+DK195*(1-DK196)</f>
        <v>29.25</v>
      </c>
      <c r="DL197" s="1391">
        <f>+DL195*(1-DL196)</f>
        <v>29.25</v>
      </c>
      <c r="DM197" s="1391">
        <f>+DM195*(1-DM196)</f>
        <v>29.25</v>
      </c>
      <c r="DN197" s="1392">
        <f t="shared" si="1773"/>
        <v>29.25</v>
      </c>
      <c r="DO197" s="1391">
        <f>+DO195*(1-DO196)</f>
        <v>29.25</v>
      </c>
      <c r="DP197" s="1391">
        <f>+DP195*(1-DP196)</f>
        <v>29.25</v>
      </c>
      <c r="DQ197" s="1391">
        <f>+DQ195*(1-DQ196)</f>
        <v>29.25</v>
      </c>
      <c r="DR197" s="1391">
        <f>+DR195*(1-DR196)</f>
        <v>29.25</v>
      </c>
      <c r="DS197" s="1392">
        <f t="shared" si="1774"/>
        <v>29.25</v>
      </c>
      <c r="DT197" s="1391">
        <f>+DT195*(1-DT196)</f>
        <v>29.25</v>
      </c>
      <c r="DU197" s="1391">
        <f>+DU195*(1-DU196)</f>
        <v>29.25</v>
      </c>
      <c r="DV197" s="1391">
        <f>+DV195*(1-DV196)</f>
        <v>29.25</v>
      </c>
      <c r="DW197" s="1391">
        <f>+DW195*(1-DW196)</f>
        <v>29.25</v>
      </c>
      <c r="DX197" s="1392">
        <f t="shared" si="1775"/>
        <v>29.25</v>
      </c>
      <c r="DY197" s="1391">
        <f>+DY195*(1-DY196)</f>
        <v>29.25</v>
      </c>
      <c r="DZ197" s="1391">
        <f>+DZ195*(1-DZ196)</f>
        <v>29.25</v>
      </c>
      <c r="EA197" s="1391">
        <f>+EA195*(1-EA196)</f>
        <v>29.25</v>
      </c>
      <c r="EB197" s="1391">
        <f>+EB195*(1-EB196)</f>
        <v>29.25</v>
      </c>
      <c r="EC197" s="1392">
        <f t="shared" si="1776"/>
        <v>29.25</v>
      </c>
    </row>
    <row r="198" spans="1:133" hidden="1" outlineLevel="1">
      <c r="C198" s="240" t="s">
        <v>672</v>
      </c>
      <c r="BT198" s="1393">
        <f t="shared" ref="BT198" si="1824">+BT191-BT194</f>
        <v>0.82500000000000007</v>
      </c>
      <c r="BU198" s="1394">
        <f t="shared" si="1736"/>
        <v>0.82500000000000007</v>
      </c>
      <c r="BV198" s="1393">
        <f t="shared" ref="BV198:BY198" si="1825">+BV191-BV194</f>
        <v>1.0997250000000001</v>
      </c>
      <c r="BW198" s="1393">
        <f t="shared" si="1825"/>
        <v>1.4000000000000001</v>
      </c>
      <c r="BX198" s="1393">
        <f t="shared" si="1825"/>
        <v>1.6</v>
      </c>
      <c r="BY198" s="1393">
        <f t="shared" si="1825"/>
        <v>1.8875</v>
      </c>
      <c r="BZ198" s="1394">
        <f t="shared" ref="BZ198" si="1826">+BY198</f>
        <v>1.8875</v>
      </c>
      <c r="CA198" s="1393">
        <f t="shared" ref="CA198:CD198" si="1827">+CA191-CA194</f>
        <v>2.0999999999999996</v>
      </c>
      <c r="CB198" s="1393">
        <f t="shared" si="1827"/>
        <v>2.4999999999999996</v>
      </c>
      <c r="CC198" s="1393">
        <f t="shared" si="1827"/>
        <v>2.8499999999999996</v>
      </c>
      <c r="CD198" s="1393">
        <f t="shared" si="1827"/>
        <v>3.0449999999999999</v>
      </c>
      <c r="CE198" s="1394">
        <f t="shared" ref="CE198" si="1828">+CD198</f>
        <v>3.0449999999999999</v>
      </c>
      <c r="CF198" s="1393">
        <f t="shared" ref="CF198:CI198" si="1829">+CF191-CF194</f>
        <v>3.25</v>
      </c>
      <c r="CG198" s="1393">
        <f t="shared" si="1829"/>
        <v>3.5</v>
      </c>
      <c r="CH198" s="1393">
        <f t="shared" si="1829"/>
        <v>3.7999999999999994</v>
      </c>
      <c r="CI198" s="1393">
        <f t="shared" si="1829"/>
        <v>4.0999999999999996</v>
      </c>
      <c r="CJ198" s="1394">
        <f t="shared" ref="CJ198" si="1830">+CI198</f>
        <v>4.0999999999999996</v>
      </c>
      <c r="CK198" s="1393">
        <f t="shared" ref="CK198:CN198" si="1831">+CK191-CK194</f>
        <v>4.25</v>
      </c>
      <c r="CL198" s="1393">
        <f t="shared" si="1831"/>
        <v>4.5</v>
      </c>
      <c r="CM198" s="1393">
        <f t="shared" si="1831"/>
        <v>4.75</v>
      </c>
      <c r="CN198" s="1393">
        <f t="shared" si="1831"/>
        <v>5.3449999999999998</v>
      </c>
      <c r="CO198" s="1394">
        <f t="shared" ref="CO198" si="1832">+CN198</f>
        <v>5.3449999999999998</v>
      </c>
      <c r="CP198" s="1393">
        <f t="shared" ref="CP198:CS198" si="1833">+CP191-CP194</f>
        <v>5.5</v>
      </c>
      <c r="CQ198" s="1393">
        <f t="shared" si="1833"/>
        <v>6.160000000000001</v>
      </c>
      <c r="CR198" s="1393">
        <f t="shared" si="1833"/>
        <v>7.3007407407407419</v>
      </c>
      <c r="CS198" s="1393">
        <f t="shared" si="1833"/>
        <v>8.745000000000001</v>
      </c>
      <c r="CT198" s="1394">
        <f t="shared" ref="CT198" si="1834">+CS198</f>
        <v>8.745000000000001</v>
      </c>
      <c r="CU198" s="1393">
        <f t="shared" ref="CU198:CX198" si="1835">+CU191-CU194</f>
        <v>9.0948000000000011</v>
      </c>
      <c r="CV198" s="1393">
        <f t="shared" si="1835"/>
        <v>9.4585920000000012</v>
      </c>
      <c r="CW198" s="1393">
        <f t="shared" si="1835"/>
        <v>9.8369356800000016</v>
      </c>
      <c r="CX198" s="1393">
        <f t="shared" si="1835"/>
        <v>10.315</v>
      </c>
      <c r="CY198" s="1394">
        <f t="shared" ref="CY198" si="1836">+CX198</f>
        <v>10.315</v>
      </c>
      <c r="CZ198" s="1393">
        <f t="shared" ref="CZ198:DC198" si="1837">+CZ191-CZ194</f>
        <v>10.418150000000001</v>
      </c>
      <c r="DA198" s="1393">
        <f t="shared" si="1837"/>
        <v>10.5223315</v>
      </c>
      <c r="DB198" s="1393">
        <f t="shared" si="1837"/>
        <v>10.627554815000002</v>
      </c>
      <c r="DC198" s="1393">
        <f t="shared" si="1837"/>
        <v>12.221688037250001</v>
      </c>
      <c r="DD198" s="1394">
        <f t="shared" si="1771"/>
        <v>12.221688037250001</v>
      </c>
      <c r="DE198" s="1393">
        <f>+DE191-DE194</f>
        <v>14.054941242837499</v>
      </c>
      <c r="DF198" s="1393">
        <f>+DF191-DF194</f>
        <v>14.757688304979375</v>
      </c>
      <c r="DG198" s="1393">
        <f>+DG191-DG194</f>
        <v>14.905265188029169</v>
      </c>
      <c r="DH198" s="1393">
        <f>+DH191-DH194</f>
        <v>15.277896817729896</v>
      </c>
      <c r="DI198" s="1394">
        <f t="shared" si="1772"/>
        <v>15.277896817729896</v>
      </c>
      <c r="DJ198" s="1393">
        <f>+DJ191-DJ194</f>
        <v>15.659844238173141</v>
      </c>
      <c r="DK198" s="1393">
        <f>+DK191-DK194</f>
        <v>16.051340344127468</v>
      </c>
      <c r="DL198" s="1393">
        <f>+DL191-DL194</f>
        <v>16.452623852730653</v>
      </c>
      <c r="DM198" s="1393">
        <f>+DM191-DM194</f>
        <v>16.863939449048921</v>
      </c>
      <c r="DN198" s="1394">
        <f t="shared" si="1773"/>
        <v>16.863939449048921</v>
      </c>
      <c r="DO198" s="1393">
        <f>+DO191-DO194</f>
        <v>17.285537935275141</v>
      </c>
      <c r="DP198" s="1393">
        <f>+DP191-DP194</f>
        <v>17.717676383657018</v>
      </c>
      <c r="DQ198" s="1393">
        <f>+DQ191-DQ194</f>
        <v>18.160618293248444</v>
      </c>
      <c r="DR198" s="1393">
        <f>+DR191-DR194</f>
        <v>18.614633750579653</v>
      </c>
      <c r="DS198" s="1394">
        <f t="shared" si="1774"/>
        <v>18.614633750579653</v>
      </c>
      <c r="DT198" s="1393">
        <f>+DT191-DT194</f>
        <v>19.079999594344141</v>
      </c>
      <c r="DU198" s="1393">
        <f>+DU191-DU194</f>
        <v>19.556999584202742</v>
      </c>
      <c r="DV198" s="1393">
        <f>+DV191-DV194</f>
        <v>20.04592457380781</v>
      </c>
      <c r="DW198" s="1393">
        <f>+DW191-DW194</f>
        <v>20.547072688153005</v>
      </c>
      <c r="DX198" s="1394">
        <f t="shared" si="1775"/>
        <v>20.547072688153005</v>
      </c>
      <c r="DY198" s="1393">
        <f>+DY191-DY194</f>
        <v>21.060749505356824</v>
      </c>
      <c r="DZ198" s="1393">
        <f>+DZ191-DZ194</f>
        <v>21.587268242990746</v>
      </c>
      <c r="EA198" s="1393">
        <f>+EA191-EA194</f>
        <v>22.126949949065512</v>
      </c>
      <c r="EB198" s="1393">
        <f>+EB191-EB194</f>
        <v>22.680123697792148</v>
      </c>
      <c r="EC198" s="1394">
        <f t="shared" si="1776"/>
        <v>22.680123697792148</v>
      </c>
    </row>
    <row r="199" spans="1:133" hidden="1" outlineLevel="1">
      <c r="C199" s="1395" t="s">
        <v>666</v>
      </c>
      <c r="D199" s="1395"/>
      <c r="E199" s="1395"/>
      <c r="F199" s="1395"/>
      <c r="G199" s="1395"/>
      <c r="H199" s="1395"/>
      <c r="I199" s="1395"/>
      <c r="J199" s="1395"/>
      <c r="K199" s="1395"/>
      <c r="L199" s="1395"/>
      <c r="M199" s="1395"/>
      <c r="N199" s="1395"/>
      <c r="O199" s="1395"/>
      <c r="P199" s="1395"/>
      <c r="Q199" s="1395"/>
      <c r="R199" s="1395"/>
      <c r="S199" s="1395"/>
      <c r="T199" s="1395"/>
      <c r="U199" s="1395"/>
      <c r="V199" s="1395"/>
      <c r="W199" s="1395"/>
      <c r="X199" s="1395"/>
      <c r="Y199" s="1395"/>
      <c r="Z199" s="1395"/>
      <c r="AA199" s="1395"/>
      <c r="AB199" s="1395"/>
      <c r="AC199" s="1395"/>
      <c r="AD199" s="1395"/>
      <c r="AE199" s="1395"/>
      <c r="AF199" s="1395"/>
      <c r="AG199" s="1395"/>
      <c r="AH199" s="1395"/>
      <c r="AI199" s="1395"/>
      <c r="AJ199" s="1395"/>
      <c r="AK199" s="1395"/>
      <c r="AL199" s="1395"/>
      <c r="AM199" s="1395"/>
      <c r="AN199" s="1395"/>
      <c r="AO199" s="1395"/>
      <c r="AP199" s="1395"/>
      <c r="AQ199" s="1395"/>
      <c r="AR199" s="1395"/>
      <c r="AS199" s="1395"/>
      <c r="AT199" s="1395"/>
      <c r="AU199" s="1395"/>
      <c r="AV199" s="1395"/>
      <c r="AW199" s="1395"/>
      <c r="AX199" s="1395"/>
      <c r="AY199" s="1395"/>
      <c r="AZ199" s="1395"/>
      <c r="BA199" s="1395"/>
      <c r="BB199" s="1395"/>
      <c r="BC199" s="1395"/>
      <c r="BD199" s="1395"/>
      <c r="BE199" s="1395"/>
      <c r="BF199" s="1395"/>
      <c r="BG199" s="1395"/>
      <c r="BH199" s="1395"/>
      <c r="BI199" s="1395"/>
      <c r="BJ199" s="1395"/>
      <c r="BK199" s="1395"/>
      <c r="BL199" s="1395"/>
      <c r="BM199" s="1395"/>
      <c r="BN199" s="1395"/>
      <c r="BO199" s="1395"/>
      <c r="BP199" s="1395"/>
      <c r="BQ199" s="1395"/>
      <c r="BR199" s="1395"/>
      <c r="BS199" s="1395"/>
      <c r="BT199" s="1391">
        <f t="shared" ref="BT199" si="1838">+(BT194*BT197+BT198*BT195)/BT191</f>
        <v>34.125</v>
      </c>
      <c r="BU199" s="1392">
        <f t="shared" si="1736"/>
        <v>34.125</v>
      </c>
      <c r="BV199" s="1391">
        <f t="shared" ref="BV199" si="1839">+(BV194*BV197+BV198*BV195)/BV191</f>
        <v>34.124999999999993</v>
      </c>
      <c r="BW199" s="1391">
        <f t="shared" ref="BW199" si="1840">+(BW194*BW197+BW198*BW195)/BW191</f>
        <v>34.125</v>
      </c>
      <c r="BX199" s="1391">
        <f t="shared" ref="BX199" si="1841">+(BX194*BX197+BX198*BX195)/BX191</f>
        <v>34.125</v>
      </c>
      <c r="BY199" s="1391">
        <f t="shared" ref="BY199" si="1842">+(BY194*BY197+BY198*BY195)/BY191</f>
        <v>34.125</v>
      </c>
      <c r="BZ199" s="1392">
        <f t="shared" ref="BZ199" si="1843">+BY199</f>
        <v>34.125</v>
      </c>
      <c r="CA199" s="1391">
        <f t="shared" ref="CA199" si="1844">+(CA194*CA197+CA198*CA195)/CA191</f>
        <v>34.125</v>
      </c>
      <c r="CB199" s="1391">
        <f t="shared" ref="CB199" si="1845">+(CB194*CB197+CB198*CB195)/CB191</f>
        <v>34.125</v>
      </c>
      <c r="CC199" s="1391">
        <f t="shared" ref="CC199" si="1846">+(CC194*CC197+CC198*CC195)/CC191</f>
        <v>34.125</v>
      </c>
      <c r="CD199" s="1391">
        <f t="shared" ref="CD199" si="1847">+(CD194*CD197+CD198*CD195)/CD191</f>
        <v>34.125</v>
      </c>
      <c r="CE199" s="1392">
        <f t="shared" ref="CE199" si="1848">+CD199</f>
        <v>34.125</v>
      </c>
      <c r="CF199" s="1391">
        <f t="shared" ref="CF199" si="1849">+(CF194*CF197+CF198*CF195)/CF191</f>
        <v>34.125</v>
      </c>
      <c r="CG199" s="1391">
        <f t="shared" ref="CG199" si="1850">+(CG194*CG197+CG198*CG195)/CG191</f>
        <v>34.125</v>
      </c>
      <c r="CH199" s="1391">
        <f t="shared" ref="CH199" si="1851">+(CH194*CH197+CH198*CH195)/CH191</f>
        <v>34.125</v>
      </c>
      <c r="CI199" s="1391">
        <f t="shared" ref="CI199" si="1852">+(CI194*CI197+CI198*CI195)/CI191</f>
        <v>34.124999999999993</v>
      </c>
      <c r="CJ199" s="1392">
        <f t="shared" ref="CJ199" si="1853">+CI199</f>
        <v>34.124999999999993</v>
      </c>
      <c r="CK199" s="1391">
        <f t="shared" ref="CK199" si="1854">+(CK194*CK197+CK198*CK195)/CK191</f>
        <v>34.125</v>
      </c>
      <c r="CL199" s="1391">
        <f t="shared" ref="CL199" si="1855">+(CL194*CL197+CL198*CL195)/CL191</f>
        <v>34.125</v>
      </c>
      <c r="CM199" s="1391">
        <f t="shared" ref="CM199" si="1856">+(CM194*CM197+CM198*CM195)/CM191</f>
        <v>34.125</v>
      </c>
      <c r="CN199" s="1391">
        <f t="shared" ref="CN199" si="1857">+(CN194*CN197+CN198*CN195)/CN191</f>
        <v>34.125</v>
      </c>
      <c r="CO199" s="1392">
        <f t="shared" ref="CO199" si="1858">+CN199</f>
        <v>34.125</v>
      </c>
      <c r="CP199" s="1391">
        <f t="shared" ref="CP199" si="1859">+(CP194*CP197+CP198*CP195)/CP191</f>
        <v>34.125</v>
      </c>
      <c r="CQ199" s="1391">
        <f t="shared" ref="CQ199" si="1860">+(CQ194*CQ197+CQ198*CQ195)/CQ191</f>
        <v>34.125</v>
      </c>
      <c r="CR199" s="1391">
        <f t="shared" ref="CR199" si="1861">+(CR194*CR197+CR198*CR195)/CR191</f>
        <v>34.125</v>
      </c>
      <c r="CS199" s="1391">
        <f t="shared" ref="CS199" si="1862">+(CS194*CS197+CS198*CS195)/CS191</f>
        <v>34.125</v>
      </c>
      <c r="CT199" s="1392">
        <f t="shared" ref="CT199" si="1863">+CS199</f>
        <v>34.125</v>
      </c>
      <c r="CU199" s="1391">
        <f t="shared" ref="CU199" si="1864">+(CU194*CU197+CU198*CU195)/CU191</f>
        <v>34.125</v>
      </c>
      <c r="CV199" s="1391">
        <f t="shared" ref="CV199" si="1865">+(CV194*CV197+CV198*CV195)/CV191</f>
        <v>34.125</v>
      </c>
      <c r="CW199" s="1391">
        <f t="shared" ref="CW199" si="1866">+(CW194*CW197+CW198*CW195)/CW191</f>
        <v>34.125</v>
      </c>
      <c r="CX199" s="1391">
        <f t="shared" ref="CX199" si="1867">+(CX194*CX197+CX198*CX195)/CX191</f>
        <v>34.125</v>
      </c>
      <c r="CY199" s="1392">
        <f t="shared" ref="CY199" si="1868">+CX199</f>
        <v>34.125</v>
      </c>
      <c r="CZ199" s="1391">
        <f t="shared" ref="CZ199" si="1869">+(CZ194*CZ197+CZ198*CZ195)/CZ191</f>
        <v>34.125</v>
      </c>
      <c r="DA199" s="1391">
        <f t="shared" ref="DA199" si="1870">+(DA194*DA197+DA198*DA195)/DA191</f>
        <v>34.125</v>
      </c>
      <c r="DB199" s="1391">
        <f t="shared" ref="DB199" si="1871">+(DB194*DB197+DB198*DB195)/DB191</f>
        <v>34.125</v>
      </c>
      <c r="DC199" s="1391">
        <f t="shared" ref="DC199" si="1872">+(DC194*DC197+DC198*DC195)/DC191</f>
        <v>34.125</v>
      </c>
      <c r="DD199" s="1392">
        <f t="shared" si="1771"/>
        <v>34.125</v>
      </c>
      <c r="DE199" s="1391">
        <f>+(DE194*DE197+DE198*DE195)/DE191</f>
        <v>34.125</v>
      </c>
      <c r="DF199" s="1391">
        <f>+(DF194*DF197+DF198*DF195)/DF191</f>
        <v>34.125</v>
      </c>
      <c r="DG199" s="1391">
        <f>+(DG194*DG197+DG198*DG195)/DG191</f>
        <v>34.125</v>
      </c>
      <c r="DH199" s="1391">
        <f>+(DH194*DH197+DH198*DH195)/DH191</f>
        <v>34.125</v>
      </c>
      <c r="DI199" s="1392">
        <f t="shared" si="1772"/>
        <v>34.125</v>
      </c>
      <c r="DJ199" s="1396">
        <f>+(DJ194*DJ197+DJ198*DJ195)/DJ191</f>
        <v>34.125</v>
      </c>
      <c r="DK199" s="1391">
        <f>+(DK194*DK197+DK198*DK195)/DK191</f>
        <v>34.125</v>
      </c>
      <c r="DL199" s="1391">
        <f>+(DL194*DL197+DL198*DL195)/DL191</f>
        <v>34.125</v>
      </c>
      <c r="DM199" s="1391">
        <f>+(DM194*DM197+DM198*DM195)/DM191</f>
        <v>34.124999999999993</v>
      </c>
      <c r="DN199" s="1392">
        <f t="shared" si="1773"/>
        <v>34.124999999999993</v>
      </c>
      <c r="DO199" s="1396">
        <f>+(DO194*DO197+DO198*DO195)/DO191</f>
        <v>34.125</v>
      </c>
      <c r="DP199" s="1391">
        <f>+(DP194*DP197+DP198*DP195)/DP191</f>
        <v>34.125</v>
      </c>
      <c r="DQ199" s="1391">
        <f>+(DQ194*DQ197+DQ198*DQ195)/DQ191</f>
        <v>34.125</v>
      </c>
      <c r="DR199" s="1391">
        <f>+(DR194*DR197+DR198*DR195)/DR191</f>
        <v>34.125000000000007</v>
      </c>
      <c r="DS199" s="1392">
        <f t="shared" si="1774"/>
        <v>34.125000000000007</v>
      </c>
      <c r="DT199" s="1396">
        <f>+(DT194*DT197+DT198*DT195)/DT191</f>
        <v>34.125</v>
      </c>
      <c r="DU199" s="1391">
        <f>+(DU194*DU197+DU198*DU195)/DU191</f>
        <v>34.125</v>
      </c>
      <c r="DV199" s="1391">
        <f>+(DV194*DV197+DV198*DV195)/DV191</f>
        <v>34.125</v>
      </c>
      <c r="DW199" s="1391">
        <f>+(DW194*DW197+DW198*DW195)/DW191</f>
        <v>34.125</v>
      </c>
      <c r="DX199" s="1392">
        <f t="shared" si="1775"/>
        <v>34.125</v>
      </c>
      <c r="DY199" s="1396">
        <f>+(DY194*DY197+DY198*DY195)/DY191</f>
        <v>34.125</v>
      </c>
      <c r="DZ199" s="1391">
        <f>+(DZ194*DZ197+DZ198*DZ195)/DZ191</f>
        <v>34.125</v>
      </c>
      <c r="EA199" s="1391">
        <f>+(EA194*EA197+EA198*EA195)/EA191</f>
        <v>34.125</v>
      </c>
      <c r="EB199" s="1391">
        <f>+(EB194*EB197+EB198*EB195)/EB191</f>
        <v>34.125</v>
      </c>
      <c r="EC199" s="1392">
        <f t="shared" si="1776"/>
        <v>34.125</v>
      </c>
    </row>
    <row r="200" spans="1:133" s="1367" customFormat="1" hidden="1" outlineLevel="1">
      <c r="A200" s="943"/>
      <c r="C200" s="1397" t="s">
        <v>676</v>
      </c>
      <c r="D200" s="1397"/>
      <c r="E200" s="1397"/>
      <c r="F200" s="1397"/>
      <c r="G200" s="1397"/>
      <c r="H200" s="1397"/>
      <c r="I200" s="1397"/>
      <c r="J200" s="1397"/>
      <c r="K200" s="1397"/>
      <c r="L200" s="1397"/>
      <c r="M200" s="1397"/>
      <c r="N200" s="1397"/>
      <c r="O200" s="1397"/>
      <c r="P200" s="1397"/>
      <c r="Q200" s="1397"/>
      <c r="R200" s="1397"/>
      <c r="S200" s="1397"/>
      <c r="T200" s="1397"/>
      <c r="U200" s="1397"/>
      <c r="V200" s="1397"/>
      <c r="W200" s="1397"/>
      <c r="X200" s="1397"/>
      <c r="Y200" s="1397"/>
      <c r="Z200" s="1397"/>
      <c r="AA200" s="1397"/>
      <c r="AB200" s="1397"/>
      <c r="AC200" s="1397"/>
      <c r="AD200" s="1397"/>
      <c r="AE200" s="1397"/>
      <c r="AF200" s="1397"/>
      <c r="AG200" s="1397"/>
      <c r="AH200" s="1397"/>
      <c r="AI200" s="1397"/>
      <c r="AJ200" s="1397"/>
      <c r="AK200" s="1397"/>
      <c r="AL200" s="1397"/>
      <c r="AM200" s="1397"/>
      <c r="AN200" s="1397"/>
      <c r="AO200" s="1397"/>
      <c r="AP200" s="1397"/>
      <c r="AQ200" s="1397"/>
      <c r="AR200" s="1397"/>
      <c r="AS200" s="1397"/>
      <c r="AT200" s="1397"/>
      <c r="AU200" s="1397"/>
      <c r="AV200" s="1397"/>
      <c r="AW200" s="1397"/>
      <c r="AX200" s="1397"/>
      <c r="AY200" s="1397"/>
      <c r="AZ200" s="1397"/>
      <c r="BA200" s="1397"/>
      <c r="BB200" s="1397"/>
      <c r="BC200" s="1397"/>
      <c r="BD200" s="1397"/>
      <c r="BE200" s="1397"/>
      <c r="BF200" s="1397"/>
      <c r="BG200" s="1397"/>
      <c r="BH200" s="1397"/>
      <c r="BI200" s="1397"/>
      <c r="BJ200" s="1397"/>
      <c r="BK200" s="1397"/>
      <c r="BL200" s="1397"/>
      <c r="BM200" s="1397"/>
      <c r="BN200" s="1397"/>
      <c r="BO200" s="1397"/>
      <c r="BP200" s="1397"/>
      <c r="BQ200" s="1397"/>
      <c r="BR200" s="1397"/>
      <c r="BS200" s="1397"/>
      <c r="BT200" s="1398">
        <f t="shared" ref="BT200" si="1873">+BT199*BT191/1000</f>
        <v>5.6306250000000009E-2</v>
      </c>
      <c r="BU200" s="1399">
        <f t="shared" ref="BU200" si="1874">+BU199*BU191/1000</f>
        <v>5.6306250000000009E-2</v>
      </c>
      <c r="BV200" s="1398">
        <f t="shared" ref="BV200" si="1875">+BV199*BV191/1000</f>
        <v>7.505623124999998E-2</v>
      </c>
      <c r="BW200" s="1398">
        <f t="shared" ref="BW200" si="1876">+BW199*BW191/1000</f>
        <v>9.555000000000001E-2</v>
      </c>
      <c r="BX200" s="1398">
        <f t="shared" ref="BX200" si="1877">+BX199*BX191/1000</f>
        <v>0.10920000000000001</v>
      </c>
      <c r="BY200" s="1398">
        <f t="shared" ref="BY200" si="1878">+BY199*BY191/1000</f>
        <v>0.128821875</v>
      </c>
      <c r="BZ200" s="1399">
        <f t="shared" ref="BZ200" si="1879">+BZ199*BZ191/1000</f>
        <v>0.128821875</v>
      </c>
      <c r="CA200" s="1398">
        <f t="shared" ref="CA200" si="1880">+CA199*CA191/1000</f>
        <v>0.14332499999999998</v>
      </c>
      <c r="CB200" s="1398">
        <f t="shared" ref="CB200" si="1881">+CB199*CB191/1000</f>
        <v>0.17062499999999997</v>
      </c>
      <c r="CC200" s="1398">
        <f t="shared" ref="CC200" si="1882">+CC199*CC191/1000</f>
        <v>0.19451249999999998</v>
      </c>
      <c r="CD200" s="1398">
        <f t="shared" ref="CD200" si="1883">+CD199*CD191/1000</f>
        <v>0.20782124999999999</v>
      </c>
      <c r="CE200" s="1399">
        <f t="shared" ref="CE200" si="1884">+CE199*CE191/1000</f>
        <v>0.20782124999999999</v>
      </c>
      <c r="CF200" s="1398">
        <f t="shared" ref="CF200" si="1885">+CF199*CF191/1000</f>
        <v>0.2218125</v>
      </c>
      <c r="CG200" s="1398">
        <f t="shared" ref="CG200" si="1886">+CG199*CG191/1000</f>
        <v>0.238875</v>
      </c>
      <c r="CH200" s="1398">
        <f t="shared" ref="CH200" si="1887">+CH199*CH191/1000</f>
        <v>0.25934999999999997</v>
      </c>
      <c r="CI200" s="1398">
        <f t="shared" ref="CI200" si="1888">+CI199*CI191/1000</f>
        <v>0.27982499999999993</v>
      </c>
      <c r="CJ200" s="1399">
        <f t="shared" ref="CJ200" si="1889">+CJ199*CJ191/1000</f>
        <v>0.27982499999999993</v>
      </c>
      <c r="CK200" s="1398">
        <f t="shared" ref="CK200" si="1890">+CK199*CK191/1000</f>
        <v>0.2900625</v>
      </c>
      <c r="CL200" s="1398">
        <f t="shared" ref="CL200" si="1891">+CL199*CL191/1000</f>
        <v>0.30712499999999998</v>
      </c>
      <c r="CM200" s="1398">
        <f t="shared" ref="CM200" si="1892">+CM199*CM191/1000</f>
        <v>0.32418750000000002</v>
      </c>
      <c r="CN200" s="1398">
        <f t="shared" ref="CN200" si="1893">+CN199*CN191/1000</f>
        <v>0.36479624999999999</v>
      </c>
      <c r="CO200" s="1399">
        <f t="shared" ref="CO200" si="1894">+CO199*CO191/1000</f>
        <v>0.36479624999999999</v>
      </c>
      <c r="CP200" s="1398">
        <f t="shared" ref="CP200" si="1895">+CP199*CP191/1000</f>
        <v>0.37537500000000001</v>
      </c>
      <c r="CQ200" s="1398">
        <f t="shared" ref="CQ200" si="1896">+CQ199*CQ191/1000</f>
        <v>0.42042000000000007</v>
      </c>
      <c r="CR200" s="1398">
        <f t="shared" ref="CR200" si="1897">+CR199*CR191/1000</f>
        <v>0.49827555555555564</v>
      </c>
      <c r="CS200" s="1398">
        <f t="shared" ref="CS200" si="1898">+CS199*CS191/1000</f>
        <v>0.59684625000000002</v>
      </c>
      <c r="CT200" s="1399">
        <f t="shared" ref="CT200" si="1899">+CT199*CT191/1000</f>
        <v>0.59684625000000002</v>
      </c>
      <c r="CU200" s="1398">
        <f t="shared" ref="CU200" si="1900">+CU199*CU191/1000</f>
        <v>0.62072010000000011</v>
      </c>
      <c r="CV200" s="1398">
        <f t="shared" ref="CV200" si="1901">+CV199*CV191/1000</f>
        <v>0.64554890400000009</v>
      </c>
      <c r="CW200" s="1398">
        <f t="shared" ref="CW200" si="1902">+CW199*CW191/1000</f>
        <v>0.67137086016000014</v>
      </c>
      <c r="CX200" s="1398">
        <f t="shared" ref="CX200" si="1903">+CX199*CX191/1000</f>
        <v>0.70399875000000001</v>
      </c>
      <c r="CY200" s="1399">
        <f t="shared" ref="CY200" si="1904">+CY199*CY191/1000</f>
        <v>0.70399875000000001</v>
      </c>
      <c r="CZ200" s="1398">
        <f t="shared" ref="CZ200" si="1905">+CZ199*CZ191/1000</f>
        <v>0.71103873750000002</v>
      </c>
      <c r="DA200" s="1398">
        <f t="shared" ref="DA200" si="1906">+DA199*DA191/1000</f>
        <v>0.71814912487499993</v>
      </c>
      <c r="DB200" s="1398">
        <f t="shared" ref="DB200" si="1907">+DB199*DB191/1000</f>
        <v>0.72533061612375016</v>
      </c>
      <c r="DC200" s="1398">
        <f t="shared" ref="DC200" si="1908">+DC199*DC191/1000</f>
        <v>0.83413020854231257</v>
      </c>
      <c r="DD200" s="1399">
        <f t="shared" ref="DD200" si="1909">+DD199*DD191/1000</f>
        <v>0.83413020854231257</v>
      </c>
      <c r="DE200" s="1398">
        <f t="shared" ref="DE200" si="1910">+DE199*DE191/1000</f>
        <v>0.95924973982365924</v>
      </c>
      <c r="DF200" s="1398">
        <f t="shared" ref="DF200" si="1911">+DF199*DF191/1000</f>
        <v>1.0072122268148422</v>
      </c>
      <c r="DG200" s="1398">
        <f t="shared" ref="DG200" si="1912">+DG199*DG191/1000</f>
        <v>1.0172843490829908</v>
      </c>
      <c r="DH200" s="1398">
        <f t="shared" ref="DH200" si="1913">+DH199*DH191/1000</f>
        <v>1.0427164578100654</v>
      </c>
      <c r="DI200" s="1399">
        <f t="shared" ref="DI200" si="1914">+DI199*DI191/1000</f>
        <v>1.0427164578100654</v>
      </c>
      <c r="DJ200" s="1398">
        <f>+DJ199*DJ191/1000</f>
        <v>1.0687843692553169</v>
      </c>
      <c r="DK200" s="1398">
        <f t="shared" ref="DK200" si="1915">+DK199*DK191/1000</f>
        <v>1.0955039784866998</v>
      </c>
      <c r="DL200" s="1398">
        <f t="shared" ref="DL200" si="1916">+DL199*DL191/1000</f>
        <v>1.1228915779488671</v>
      </c>
      <c r="DM200" s="1398">
        <f t="shared" ref="DM200" si="1917">+DM199*DM191/1000</f>
        <v>1.1509638673975888</v>
      </c>
      <c r="DN200" s="1399">
        <f t="shared" ref="DN200" si="1918">+DN199*DN191/1000</f>
        <v>1.1509638673975888</v>
      </c>
      <c r="DO200" s="1398">
        <f t="shared" ref="DO200" si="1919">+DO199*DO191/1000</f>
        <v>1.1797379640825283</v>
      </c>
      <c r="DP200" s="1398">
        <f t="shared" ref="DP200" si="1920">+DP199*DP191/1000</f>
        <v>1.2092314131845914</v>
      </c>
      <c r="DQ200" s="1398">
        <f t="shared" ref="DQ200" si="1921">+DQ199*DQ191/1000</f>
        <v>1.2394621985142062</v>
      </c>
      <c r="DR200" s="1398">
        <f t="shared" ref="DR200" si="1922">+DR199*DR191/1000</f>
        <v>1.2704487534770617</v>
      </c>
      <c r="DS200" s="1399">
        <f t="shared" ref="DS200" si="1923">+DS199*DS191/1000</f>
        <v>1.2704487534770617</v>
      </c>
      <c r="DT200" s="1398">
        <f t="shared" ref="DT200" si="1924">+DT199*DT191/1000</f>
        <v>1.3022099723139877</v>
      </c>
      <c r="DU200" s="1398">
        <f t="shared" ref="DU200" si="1925">+DU199*DU191/1000</f>
        <v>1.3347652216218371</v>
      </c>
      <c r="DV200" s="1398">
        <f t="shared" ref="DV200" si="1926">+DV199*DV191/1000</f>
        <v>1.368134352162383</v>
      </c>
      <c r="DW200" s="1398">
        <f t="shared" ref="DW200" si="1927">+DW199*DW191/1000</f>
        <v>1.4023377109664426</v>
      </c>
      <c r="DX200" s="1399">
        <f t="shared" ref="DX200" si="1928">+DX199*DX191/1000</f>
        <v>1.4023377109664426</v>
      </c>
      <c r="DY200" s="1398">
        <f t="shared" ref="DY200" si="1929">+DY199*DY191/1000</f>
        <v>1.4373961537406033</v>
      </c>
      <c r="DZ200" s="1398">
        <f t="shared" ref="DZ200" si="1930">+DZ199*DZ191/1000</f>
        <v>1.4733310575841183</v>
      </c>
      <c r="EA200" s="1398">
        <f t="shared" ref="EA200" si="1931">+EA199*EA191/1000</f>
        <v>1.5101643340237212</v>
      </c>
      <c r="EB200" s="1398">
        <f t="shared" ref="EB200" si="1932">+EB199*EB191/1000</f>
        <v>1.547918442374314</v>
      </c>
      <c r="EC200" s="1399">
        <f t="shared" ref="EC200" si="1933">+EC199*EC191/1000</f>
        <v>1.547918442374314</v>
      </c>
    </row>
    <row r="201" spans="1:133" hidden="1" outlineLevel="1">
      <c r="C201" s="1376" t="s">
        <v>674</v>
      </c>
      <c r="D201" s="1367"/>
      <c r="E201" s="1367"/>
      <c r="F201" s="1367"/>
      <c r="G201" s="1367"/>
      <c r="H201" s="1367"/>
      <c r="I201" s="1367"/>
      <c r="J201" s="1367"/>
      <c r="K201" s="1367"/>
      <c r="L201" s="1367"/>
      <c r="M201" s="1367"/>
      <c r="N201" s="1367"/>
      <c r="O201" s="1367"/>
      <c r="P201" s="1367"/>
      <c r="Q201" s="1367"/>
      <c r="R201" s="1367"/>
      <c r="S201" s="1367"/>
      <c r="T201" s="1367"/>
      <c r="U201" s="1367"/>
      <c r="V201" s="1367"/>
      <c r="W201" s="1367"/>
      <c r="X201" s="1367"/>
      <c r="Y201" s="1367"/>
      <c r="Z201" s="1367"/>
      <c r="AA201" s="1367"/>
      <c r="AB201" s="1367"/>
      <c r="AC201" s="1367"/>
      <c r="AD201" s="1367"/>
      <c r="AE201" s="1367"/>
      <c r="AF201" s="1367"/>
      <c r="AG201" s="1367"/>
      <c r="AH201" s="1367"/>
      <c r="AI201" s="1367"/>
      <c r="AJ201" s="1367"/>
      <c r="AK201" s="1367"/>
      <c r="AL201" s="1367"/>
      <c r="AM201" s="1367"/>
      <c r="AN201" s="1367"/>
      <c r="AO201" s="1367"/>
      <c r="AP201" s="1367"/>
      <c r="AQ201" s="1367"/>
      <c r="AR201" s="1367"/>
      <c r="AS201" s="1367"/>
      <c r="AT201" s="1367"/>
      <c r="AU201" s="1367"/>
      <c r="AV201" s="1367"/>
      <c r="AW201" s="1367"/>
      <c r="AX201" s="1367"/>
      <c r="AY201" s="1367"/>
      <c r="AZ201" s="1367"/>
      <c r="BA201" s="1367"/>
      <c r="BB201" s="1367"/>
      <c r="BC201" s="1367"/>
      <c r="BD201" s="1367"/>
      <c r="BE201" s="1367"/>
      <c r="BF201" s="1367"/>
      <c r="BG201" s="1367"/>
      <c r="BH201" s="1367"/>
      <c r="BI201" s="1367"/>
      <c r="BJ201" s="1367"/>
      <c r="BK201" s="1367"/>
      <c r="BL201" s="1367"/>
      <c r="BM201" s="1367"/>
      <c r="BN201" s="1367"/>
      <c r="BO201" s="1367"/>
      <c r="BP201" s="1367"/>
      <c r="BQ201" s="1367"/>
      <c r="BR201" s="1367"/>
      <c r="BS201" s="1367"/>
      <c r="BT201" s="1400">
        <f t="shared" ref="BT201" si="1934">+BT200/BT$7</f>
        <v>4.9674680194089112E-3</v>
      </c>
      <c r="BU201" s="1379">
        <f t="shared" ref="BU201" si="1935">+BU200/BU$7</f>
        <v>4.9674680194089112E-3</v>
      </c>
      <c r="BV201" s="1400">
        <f t="shared" ref="BV201" si="1936">+BV200/BV$7</f>
        <v>5.8734041200406905E-3</v>
      </c>
      <c r="BW201" s="1400">
        <f t="shared" ref="BW201" si="1937">+BW200/BW$7</f>
        <v>6.6193280221683417E-3</v>
      </c>
      <c r="BX201" s="1400">
        <f t="shared" ref="BX201" si="1938">+BX200/BX$7</f>
        <v>6.708440840398084E-3</v>
      </c>
      <c r="BY201" s="1400">
        <f t="shared" ref="BY201" si="1939">+BY200/BY$7</f>
        <v>6.9780550891067666E-3</v>
      </c>
      <c r="BZ201" s="1379">
        <f t="shared" ref="BZ201" si="1940">+BZ200/BZ$7</f>
        <v>6.9780550891067666E-3</v>
      </c>
      <c r="CA201" s="1400">
        <f t="shared" ref="CA201" si="1941">+CA200/CA$7</f>
        <v>6.9158946149391999E-3</v>
      </c>
      <c r="CB201" s="1400">
        <f t="shared" ref="CB201" si="1942">+CB200/CB$7</f>
        <v>7.2115384615384602E-3</v>
      </c>
      <c r="CC201" s="1400">
        <f t="shared" ref="CC201" si="1943">+CC200/CC$7</f>
        <v>7.2479226441107417E-3</v>
      </c>
      <c r="CD201" s="1400">
        <f t="shared" ref="CD201" si="1944">+CD200/CD$7</f>
        <v>6.9558941660809318E-3</v>
      </c>
      <c r="CE201" s="1379">
        <f t="shared" ref="CE201" si="1945">+CE200/CE$7</f>
        <v>6.9558941660809318E-3</v>
      </c>
      <c r="CF201" s="1400">
        <f t="shared" ref="CF201" si="1946">+CF200/CF$7</f>
        <v>6.8331998398077692E-3</v>
      </c>
      <c r="CG201" s="1400">
        <f t="shared" ref="CG201" si="1947">+CG200/CG$7</f>
        <v>6.7704495210022114E-3</v>
      </c>
      <c r="CH201" s="1400">
        <f t="shared" ref="CH201" si="1948">+CH200/CH$7</f>
        <v>6.8511425175009901E-3</v>
      </c>
      <c r="CI201" s="1400">
        <f t="shared" ref="CI201" si="1949">+CI200/CI$7</f>
        <v>6.8363383172090272E-3</v>
      </c>
      <c r="CJ201" s="1379">
        <f t="shared" ref="CJ201" si="1950">+CJ200/CJ$7</f>
        <v>6.8363383172090272E-3</v>
      </c>
      <c r="CK201" s="1400">
        <f t="shared" ref="CK201" si="1951">+CK200/CK$7</f>
        <v>6.5605704204645694E-3</v>
      </c>
      <c r="CL201" s="1400">
        <f t="shared" ref="CL201" si="1952">+CL200/CL$7</f>
        <v>6.5179329371816636E-3</v>
      </c>
      <c r="CM201" s="1400">
        <f t="shared" ref="CM201" si="1953">+CM200/CM$7</f>
        <v>6.4005429417571579E-3</v>
      </c>
      <c r="CN201" s="1400">
        <f t="shared" ref="CN201" si="1954">+CN200/CN$7</f>
        <v>6.7682706222865407E-3</v>
      </c>
      <c r="CO201" s="1379">
        <f t="shared" ref="CO201" si="1955">+CO200/CO$7</f>
        <v>6.7682706222865407E-3</v>
      </c>
      <c r="CP201" s="1400">
        <f t="shared" ref="CP201" si="1956">+CP200/CP$7</f>
        <v>6.7760889578858067E-3</v>
      </c>
      <c r="CQ201" s="1400">
        <f t="shared" ref="CQ201" si="1957">+CQ200/CQ$7</f>
        <v>7.3722973328423386E-3</v>
      </c>
      <c r="CR201" s="1400">
        <f t="shared" ref="CR201" si="1958">+CR200/CR$7</f>
        <v>6.7008547008547024E-3</v>
      </c>
      <c r="CS201" s="1400">
        <f t="shared" ref="CS201" si="1959">+CS200/CS$7</f>
        <v>7.2247793877328681E-3</v>
      </c>
      <c r="CT201" s="1379">
        <f t="shared" ref="CT201" si="1960">+CT200/CT$7</f>
        <v>7.2247793877328681E-3</v>
      </c>
      <c r="CU201" s="1400">
        <f t="shared" ref="CU201" si="1961">+CU200/CU$7</f>
        <v>6.9021816726156735E-3</v>
      </c>
      <c r="CV201" s="1400">
        <f t="shared" ref="CV201" si="1962">+CV200/CV$7</f>
        <v>6.7872498107494333E-3</v>
      </c>
      <c r="CW201" s="1400">
        <f t="shared" ref="CW201" si="1963">+CW200/CW$7</f>
        <v>6.7966962629708756E-3</v>
      </c>
      <c r="CX201" s="1400">
        <f t="shared" ref="CX201" si="1964">+CX200/CX$7</f>
        <v>6.9019485294117651E-3</v>
      </c>
      <c r="CY201" s="1379">
        <f t="shared" ref="CY201" si="1965">+CY200/CY$7</f>
        <v>6.9019485294117651E-3</v>
      </c>
      <c r="CZ201" s="1400">
        <f t="shared" ref="CZ201" si="1966">+CZ200/CZ$7</f>
        <v>6.7589233602661598E-3</v>
      </c>
      <c r="DA201" s="1400">
        <f t="shared" ref="DA201" si="1967">+DA200/DA$7</f>
        <v>6.6991522842817152E-3</v>
      </c>
      <c r="DB201" s="1400">
        <f t="shared" ref="DB201" si="1968">+DB200/DB$7</f>
        <v>6.7787908048948615E-3</v>
      </c>
      <c r="DC201" s="1400">
        <f t="shared" ref="DC201" si="1969">+DC200/DC$7</f>
        <v>7.6176274752722609E-3</v>
      </c>
      <c r="DD201" s="1379">
        <f t="shared" ref="DD201" si="1970">+DD200/DD$7</f>
        <v>7.6176274752722609E-3</v>
      </c>
      <c r="DE201" s="1400">
        <f t="shared" ref="DE201" si="1971">+DE200/DE$7</f>
        <v>8.4144714019619236E-3</v>
      </c>
      <c r="DF201" s="1400">
        <f t="shared" ref="DF201" si="1972">+DF200/DF$7</f>
        <v>7.4608313097395719E-3</v>
      </c>
      <c r="DG201" s="1400">
        <f t="shared" ref="DG201" si="1973">+DG200/DG$7</f>
        <v>7.4254332049853346E-3</v>
      </c>
      <c r="DH201" s="1400">
        <f t="shared" ref="DH201" si="1974">+DH200/DH$7</f>
        <v>7.2410865125698987E-3</v>
      </c>
      <c r="DI201" s="1379">
        <f t="shared" ref="DI201" si="1975">+DI200/DI$7</f>
        <v>7.2410865125698987E-3</v>
      </c>
      <c r="DJ201" s="1400">
        <f t="shared" ref="DJ201" si="1976">+DJ200/DJ$7</f>
        <v>7.0780421804987875E-3</v>
      </c>
      <c r="DK201" s="1400">
        <f t="shared" ref="DK201" si="1977">+DK200/DK$7</f>
        <v>6.4822720620514784E-3</v>
      </c>
      <c r="DL201" s="1400">
        <f t="shared" ref="DL201" si="1978">+DL200/DL$7</f>
        <v>6.4165233025649544E-3</v>
      </c>
      <c r="DM201" s="1400">
        <f>+DM200/DM$7</f>
        <v>6.5828059205180894E-3</v>
      </c>
      <c r="DN201" s="1379">
        <f t="shared" ref="DN201" si="1979">+DN200/DN$7</f>
        <v>6.5828059205180894E-3</v>
      </c>
      <c r="DO201" s="1400">
        <f t="shared" ref="DO201" si="1980">+DO200/DO$7</f>
        <v>7.0780421804987883E-3</v>
      </c>
      <c r="DP201" s="1400">
        <f t="shared" ref="DP201" si="1981">+DP200/DP$7</f>
        <v>6.4822720620514775E-3</v>
      </c>
      <c r="DQ201" s="1400">
        <f t="shared" ref="DQ201" si="1982">+DQ200/DQ$7</f>
        <v>6.4165233025649561E-3</v>
      </c>
      <c r="DR201" s="1400">
        <f t="shared" ref="DR201" si="1983">+DR200/DR$7</f>
        <v>6.582805920518092E-3</v>
      </c>
      <c r="DS201" s="1379">
        <f t="shared" ref="DS201" si="1984">+DS200/DS$7</f>
        <v>6.582805920518092E-3</v>
      </c>
      <c r="DT201" s="1400">
        <f t="shared" ref="DT201" si="1985">+DT200/DT$7</f>
        <v>7.0780421804987892E-3</v>
      </c>
      <c r="DU201" s="1400">
        <f t="shared" ref="DU201" si="1986">+DU200/DU$7</f>
        <v>6.4822720620514767E-3</v>
      </c>
      <c r="DV201" s="1400">
        <f t="shared" ref="DV201" si="1987">+DV200/DV$7</f>
        <v>6.4165233025649561E-3</v>
      </c>
      <c r="DW201" s="1400">
        <f t="shared" ref="DW201" si="1988">+DW200/DW$7</f>
        <v>6.5828059205180894E-3</v>
      </c>
      <c r="DX201" s="1379">
        <f t="shared" ref="DX201" si="1989">+DX200/DX$7</f>
        <v>6.5828059205180894E-3</v>
      </c>
      <c r="DY201" s="1400">
        <f t="shared" ref="DY201" si="1990">+DY200/DY$7</f>
        <v>7.0780421804987875E-3</v>
      </c>
      <c r="DZ201" s="1400">
        <f t="shared" ref="DZ201" si="1991">+DZ200/DZ$7</f>
        <v>6.4822720620514775E-3</v>
      </c>
      <c r="EA201" s="1400">
        <f t="shared" ref="EA201" si="1992">+EA200/EA$7</f>
        <v>6.4165233025649552E-3</v>
      </c>
      <c r="EB201" s="1400">
        <f t="shared" ref="EB201" si="1993">+EB200/EB$7</f>
        <v>6.5828059205180886E-3</v>
      </c>
      <c r="EC201" s="1379">
        <f t="shared" ref="EC201" si="1994">+EC200/EC$7</f>
        <v>6.5828059205180886E-3</v>
      </c>
    </row>
    <row r="202" spans="1:133" collapsed="1">
      <c r="C202" s="1554"/>
      <c r="CY202" s="1372"/>
      <c r="DD202" s="1372"/>
      <c r="DI202" s="1372"/>
      <c r="DN202" s="1372"/>
      <c r="DS202" s="1372"/>
      <c r="DX202" s="1372"/>
      <c r="EC202" s="1372"/>
    </row>
    <row r="203" spans="1:133">
      <c r="C203" s="240" t="s">
        <v>716</v>
      </c>
      <c r="CY203" s="1372"/>
      <c r="DD203" s="1372"/>
      <c r="DH203" s="1416">
        <v>441</v>
      </c>
      <c r="DI203" s="1372"/>
      <c r="DN203" s="1372"/>
      <c r="DS203" s="1372"/>
      <c r="DX203" s="1372"/>
      <c r="EC203" s="1372"/>
    </row>
    <row r="204" spans="1:133">
      <c r="C204" s="240" t="s">
        <v>710</v>
      </c>
      <c r="CY204" s="1372"/>
      <c r="DD204" s="1372"/>
      <c r="DE204" s="240" t="s">
        <v>718</v>
      </c>
      <c r="DF204" s="240" t="s">
        <v>717</v>
      </c>
      <c r="DH204" s="1416"/>
      <c r="DI204" s="1372"/>
      <c r="DN204" s="1372"/>
      <c r="DS204" s="1372"/>
      <c r="DX204" s="1372"/>
      <c r="EC204" s="1372"/>
    </row>
    <row r="205" spans="1:133">
      <c r="C205" s="1414" t="s">
        <v>711</v>
      </c>
      <c r="CY205" s="1372"/>
      <c r="CZ205" s="1412">
        <v>0.8</v>
      </c>
      <c r="DA205" s="1412">
        <v>0.47</v>
      </c>
      <c r="DB205" s="1412">
        <v>0.35</v>
      </c>
      <c r="DC205" s="1412">
        <v>0.25</v>
      </c>
      <c r="DD205" s="1541">
        <v>0.4</v>
      </c>
      <c r="DE205" s="1412">
        <v>0.31</v>
      </c>
      <c r="DF205" s="1412">
        <v>0.23</v>
      </c>
      <c r="DG205" s="1413">
        <v>0.26</v>
      </c>
      <c r="DH205" s="1412">
        <v>0.28000000000000003</v>
      </c>
      <c r="DI205" s="1372"/>
      <c r="DJ205" s="1412">
        <v>0.32</v>
      </c>
      <c r="DK205" s="1412">
        <v>0.27</v>
      </c>
      <c r="DL205" s="1412">
        <v>0.27</v>
      </c>
      <c r="DN205" s="1372"/>
      <c r="DS205" s="1372"/>
      <c r="DX205" s="1372"/>
      <c r="EC205" s="1372"/>
    </row>
    <row r="206" spans="1:133">
      <c r="C206" s="240" t="s">
        <v>712</v>
      </c>
      <c r="CY206" s="1372"/>
      <c r="DD206" s="1372"/>
      <c r="DI206" s="1372"/>
      <c r="DN206" s="1372"/>
      <c r="DS206" s="1372"/>
      <c r="DX206" s="1372"/>
      <c r="EC206" s="1372"/>
    </row>
    <row r="207" spans="1:133">
      <c r="C207" s="1414" t="s">
        <v>711</v>
      </c>
      <c r="CY207" s="1372"/>
      <c r="DD207" s="1372"/>
      <c r="DI207" s="1372"/>
      <c r="DL207" s="1412">
        <v>0.5</v>
      </c>
      <c r="DN207" s="1372"/>
      <c r="DS207" s="1372"/>
      <c r="DX207" s="1372"/>
      <c r="EC207" s="1372"/>
    </row>
    <row r="208" spans="1:133">
      <c r="CY208" s="1372"/>
      <c r="DD208" s="1372"/>
      <c r="DI208" s="1372"/>
      <c r="DN208" s="1372"/>
      <c r="DS208" s="1372"/>
      <c r="DX208" s="1372"/>
      <c r="EC208" s="1372"/>
    </row>
    <row r="209" spans="3:133">
      <c r="C209" s="240" t="s">
        <v>713</v>
      </c>
      <c r="CY209" s="1372"/>
      <c r="DD209" s="1372"/>
      <c r="DI209" s="1372"/>
      <c r="DN209" s="1372"/>
      <c r="DS209" s="1372"/>
      <c r="DX209" s="1372"/>
      <c r="EC209" s="1372"/>
    </row>
    <row r="210" spans="3:133">
      <c r="C210" s="1414" t="s">
        <v>711</v>
      </c>
      <c r="CY210" s="1372"/>
      <c r="DD210" s="1372"/>
      <c r="DF210" s="1413">
        <v>0.61</v>
      </c>
      <c r="DG210" s="1413">
        <v>1</v>
      </c>
      <c r="DH210" s="1413">
        <v>1.5</v>
      </c>
      <c r="DI210" s="1372" t="s">
        <v>766</v>
      </c>
      <c r="DJ210" s="1487">
        <v>1.3</v>
      </c>
      <c r="DK210" s="1413">
        <v>1.4</v>
      </c>
      <c r="DL210" s="1413">
        <v>1.45</v>
      </c>
      <c r="DN210" s="1372"/>
      <c r="DS210" s="1372"/>
      <c r="DX210" s="1372"/>
      <c r="EC210" s="1372"/>
    </row>
    <row r="211" spans="3:133">
      <c r="CY211" s="1372"/>
      <c r="DD211" s="1372"/>
      <c r="DI211" s="1372"/>
      <c r="DN211" s="1372"/>
      <c r="DS211" s="1372"/>
      <c r="DX211" s="1372"/>
      <c r="EC211" s="1372"/>
    </row>
    <row r="212" spans="3:133">
      <c r="C212" s="240" t="s">
        <v>714</v>
      </c>
      <c r="CY212" s="1372"/>
      <c r="DD212" s="1372"/>
      <c r="DI212" s="1372"/>
      <c r="DJ212" s="1415">
        <f>+DJ214*DJ41</f>
        <v>8519.7000000000007</v>
      </c>
      <c r="DK212" s="1415">
        <f>+DK214*DK41</f>
        <v>9414.3000000000011</v>
      </c>
      <c r="DL212" s="1415">
        <f>+DL214*DL41</f>
        <v>9760.1</v>
      </c>
      <c r="DN212" s="1372"/>
      <c r="DS212" s="1372"/>
      <c r="DX212" s="1372"/>
      <c r="EC212" s="1372"/>
    </row>
    <row r="213" spans="3:133">
      <c r="C213" s="1414" t="s">
        <v>711</v>
      </c>
      <c r="CY213" s="1372"/>
      <c r="DD213" s="1372"/>
      <c r="DI213" s="1372"/>
      <c r="DJ213" s="1413">
        <v>0.15</v>
      </c>
      <c r="DK213" s="1415"/>
      <c r="DL213" s="1415"/>
      <c r="DN213" s="1372"/>
      <c r="DS213" s="1372"/>
      <c r="DX213" s="1372"/>
      <c r="EC213" s="1372"/>
    </row>
    <row r="214" spans="3:133">
      <c r="C214" s="1414" t="s">
        <v>697</v>
      </c>
      <c r="CY214" s="1372"/>
      <c r="DD214" s="1372"/>
      <c r="DI214" s="1372"/>
      <c r="DJ214" s="1413">
        <v>0.14000000000000001</v>
      </c>
      <c r="DK214" s="1413">
        <v>0.14000000000000001</v>
      </c>
      <c r="DL214" s="1413">
        <v>0.14000000000000001</v>
      </c>
      <c r="DN214" s="1372"/>
      <c r="DS214" s="1372"/>
      <c r="DX214" s="1372"/>
      <c r="EC214" s="1372"/>
    </row>
    <row r="215" spans="3:133">
      <c r="CY215" s="1372"/>
      <c r="DD215" s="1372"/>
      <c r="DI215" s="1372"/>
      <c r="DN215" s="1372"/>
      <c r="DS215" s="1372"/>
      <c r="DX215" s="1372"/>
      <c r="EC215" s="1372"/>
    </row>
    <row r="216" spans="3:133">
      <c r="C216" s="240" t="s">
        <v>715</v>
      </c>
      <c r="CY216" s="1372"/>
      <c r="CZ216" s="1489"/>
      <c r="DA216" s="1489">
        <f>+DF216/(1+DF217)</f>
        <v>8029.1970802919705</v>
      </c>
      <c r="DB216" s="1489">
        <f>+DG216/(1+DG217)</f>
        <v>8000</v>
      </c>
      <c r="DC216" s="1489">
        <f>+DH216/(1+DH217)</f>
        <v>11392.405063291139</v>
      </c>
      <c r="DD216" s="1542">
        <f>+DI216/(1+DI217)</f>
        <v>33316.23931623932</v>
      </c>
      <c r="DE216" s="1489">
        <f>+DJ216/(1+DJ217)</f>
        <v>8974.3589743589746</v>
      </c>
      <c r="DF216" s="1416">
        <v>11000</v>
      </c>
      <c r="DG216" s="1416">
        <v>12000</v>
      </c>
      <c r="DH216" s="1416">
        <v>18000</v>
      </c>
      <c r="DI216" s="1532">
        <f>SUM(DE216:DH216)</f>
        <v>49974.358974358976</v>
      </c>
      <c r="DJ216" s="1416">
        <v>14000</v>
      </c>
      <c r="DK216" s="1416">
        <v>16000</v>
      </c>
      <c r="DL216" s="1416">
        <v>17000</v>
      </c>
      <c r="DM216" s="1415">
        <f>+DM220*DM41</f>
        <v>24827.822499999998</v>
      </c>
      <c r="DN216" s="1532">
        <f>+SUM(DJ216:DM216)</f>
        <v>71827.822499999995</v>
      </c>
      <c r="DO216" s="1415">
        <f>+DO220*DO41</f>
        <v>19315.8462</v>
      </c>
      <c r="DP216" s="1415">
        <f>+DP220*DP41</f>
        <v>21274.588461126546</v>
      </c>
      <c r="DQ216" s="1415">
        <f>+DQ220*DQ41</f>
        <v>22337.945507985598</v>
      </c>
      <c r="DR216" s="1415">
        <f>+DR220*DR41</f>
        <v>32586.857801150822</v>
      </c>
      <c r="DS216" s="1532">
        <f>+SUM(DO216:DR216)</f>
        <v>95515.23797026297</v>
      </c>
      <c r="DT216" s="1415">
        <f>+DT220*DT41</f>
        <v>24620.553146250004</v>
      </c>
      <c r="DU216" s="1415">
        <f>+DU220*DU41</f>
        <v>27054.096551487572</v>
      </c>
      <c r="DV216" s="1415">
        <f>+DV220*DV41</f>
        <v>28359.110884481372</v>
      </c>
      <c r="DW216" s="1415">
        <f>+DW220*DW41</f>
        <v>41121.741899152265</v>
      </c>
      <c r="DX216" s="1532">
        <f>+SUM(DT216:DW216)</f>
        <v>121155.50248137122</v>
      </c>
      <c r="DY216" s="1415">
        <f>+DY220*DY41</f>
        <v>30526.485538918503</v>
      </c>
      <c r="DZ216" s="1415">
        <f>+DZ220*DZ41</f>
        <v>33488.337378376957</v>
      </c>
      <c r="EA216" s="1415">
        <f>+EA220*EA41</f>
        <v>35062.153988413411</v>
      </c>
      <c r="EB216" s="1415">
        <f>+EB220*EB41</f>
        <v>50621.946190847026</v>
      </c>
      <c r="EC216" s="1532">
        <f>+SUM(DY216:EB216)</f>
        <v>149698.9230965559</v>
      </c>
    </row>
    <row r="217" spans="3:133">
      <c r="C217" s="1414" t="s">
        <v>711</v>
      </c>
      <c r="CY217" s="1372"/>
      <c r="DD217" s="1372"/>
      <c r="DF217" s="1413">
        <v>0.37</v>
      </c>
      <c r="DG217" s="1413">
        <v>0.5</v>
      </c>
      <c r="DH217" s="1413">
        <v>0.57999999999999996</v>
      </c>
      <c r="DI217" s="1536">
        <v>0.5</v>
      </c>
      <c r="DJ217" s="1413">
        <v>0.56000000000000005</v>
      </c>
      <c r="DK217" s="1413">
        <v>0.45</v>
      </c>
      <c r="DL217" s="1413">
        <v>0.42</v>
      </c>
      <c r="DM217" s="592">
        <f>+DM216/DH216-1</f>
        <v>0.37932347222222207</v>
      </c>
      <c r="DN217" s="1383">
        <f>+DN216/DI216-1</f>
        <v>0.43729352360184692</v>
      </c>
      <c r="DO217" s="592">
        <f>+DO216/DJ216-1</f>
        <v>0.37970330000000008</v>
      </c>
      <c r="DP217" s="592">
        <f t="shared" ref="DP217:DR217" si="1995">+DP216/DK216-1</f>
        <v>0.32966177882040926</v>
      </c>
      <c r="DQ217" s="592">
        <f t="shared" si="1995"/>
        <v>0.31399679458738805</v>
      </c>
      <c r="DR217" s="592">
        <f t="shared" si="1995"/>
        <v>0.3125137253237098</v>
      </c>
      <c r="DS217" s="1383">
        <f>+DS216/DN216-1</f>
        <v>0.32978050351259047</v>
      </c>
      <c r="DT217" s="592">
        <f>+DT216/DO216-1</f>
        <v>0.27462979831812939</v>
      </c>
      <c r="DU217" s="592">
        <f t="shared" ref="DU217" si="1996">+DU216/DP216-1</f>
        <v>0.27166250952028914</v>
      </c>
      <c r="DV217" s="592">
        <f t="shared" ref="DV217" si="1997">+DV216/DQ216-1</f>
        <v>0.26954875390591604</v>
      </c>
      <c r="DW217" s="592">
        <f t="shared" ref="DW217" si="1998">+DW216/DR216-1</f>
        <v>0.26191184648984556</v>
      </c>
      <c r="DX217" s="1383">
        <f>+DX216/DS216-1</f>
        <v>0.26844161262615396</v>
      </c>
      <c r="DY217" s="592">
        <f>+DY216/DT216-1</f>
        <v>0.23987813586422368</v>
      </c>
      <c r="DZ217" s="592">
        <f t="shared" ref="DZ217" si="1999">+DZ216/DU216-1</f>
        <v>0.2378287079239243</v>
      </c>
      <c r="EA217" s="592">
        <f t="shared" ref="EA217" si="2000">+EA216/DV216-1</f>
        <v>0.23636294985538742</v>
      </c>
      <c r="EB217" s="592">
        <f t="shared" ref="EB217" si="2001">+EB216/DW216-1</f>
        <v>0.23102630999905704</v>
      </c>
      <c r="EC217" s="1383">
        <f>+EC216/DX216-1</f>
        <v>0.23559326675710413</v>
      </c>
    </row>
    <row r="218" spans="3:133">
      <c r="C218" s="1414" t="s">
        <v>778</v>
      </c>
      <c r="CY218" s="1372"/>
      <c r="DA218" s="592">
        <f t="shared" ref="DA218:EC218" si="2002">+DA216/DA51</f>
        <v>0.3224577140679506</v>
      </c>
      <c r="DB218" s="592">
        <f t="shared" si="2002"/>
        <v>0.32</v>
      </c>
      <c r="DC218" s="592">
        <f t="shared" si="2002"/>
        <v>0.33311125916055961</v>
      </c>
      <c r="DD218" s="1383">
        <f t="shared" si="2002"/>
        <v>0.3140079106148852</v>
      </c>
      <c r="DE218" s="592">
        <f t="shared" si="2002"/>
        <v>0.32634032634032634</v>
      </c>
      <c r="DF218" s="592">
        <f t="shared" si="2002"/>
        <v>0.3470031545741325</v>
      </c>
      <c r="DG218" s="592">
        <f t="shared" si="2002"/>
        <v>0.36585365853658536</v>
      </c>
      <c r="DH218" s="592">
        <f t="shared" si="2002"/>
        <v>0.39934330212539382</v>
      </c>
      <c r="DI218" s="1383">
        <f t="shared" si="2002"/>
        <v>0.36457941677020422</v>
      </c>
      <c r="DJ218" s="592">
        <f t="shared" si="2002"/>
        <v>0.38633478668800708</v>
      </c>
      <c r="DK218" s="592">
        <f t="shared" si="2002"/>
        <v>0.38647342995169082</v>
      </c>
      <c r="DL218" s="592">
        <f t="shared" si="2002"/>
        <v>0.39627039627039629</v>
      </c>
      <c r="DM218" s="592">
        <f t="shared" si="2002"/>
        <v>0.4247719361262684</v>
      </c>
      <c r="DN218" s="1383">
        <f t="shared" si="2002"/>
        <v>0.40130016703585275</v>
      </c>
      <c r="DO218" s="592">
        <f t="shared" si="2002"/>
        <v>0.41522592538437764</v>
      </c>
      <c r="DP218" s="592">
        <f t="shared" si="2002"/>
        <v>0.4144504184051449</v>
      </c>
      <c r="DQ218" s="592">
        <f t="shared" si="2002"/>
        <v>0.42386316695141124</v>
      </c>
      <c r="DR218" s="592">
        <f t="shared" si="2002"/>
        <v>0.45061991436862081</v>
      </c>
      <c r="DS218" s="1383">
        <f t="shared" si="2002"/>
        <v>0.42857431045110167</v>
      </c>
      <c r="DT218" s="592">
        <f t="shared" si="2002"/>
        <v>0.43521878983754458</v>
      </c>
      <c r="DU218" s="592">
        <f t="shared" si="2002"/>
        <v>0.4338611214185969</v>
      </c>
      <c r="DV218" s="592">
        <f t="shared" si="2002"/>
        <v>0.44297038121087257</v>
      </c>
      <c r="DW218" s="592">
        <f t="shared" si="2002"/>
        <v>0.46844675681645281</v>
      </c>
      <c r="DX218" s="1383">
        <f t="shared" si="2002"/>
        <v>0.44751313760452466</v>
      </c>
      <c r="DY218" s="592">
        <f t="shared" si="2002"/>
        <v>0.45058742602988044</v>
      </c>
      <c r="DZ218" s="592">
        <f t="shared" si="2002"/>
        <v>0.44881067459717533</v>
      </c>
      <c r="EA218" s="592">
        <f t="shared" si="2002"/>
        <v>0.45768579692424544</v>
      </c>
      <c r="EB218" s="592">
        <f t="shared" si="2002"/>
        <v>0.48219408637111272</v>
      </c>
      <c r="EC218" s="1383">
        <f t="shared" si="2002"/>
        <v>0.46209943762036909</v>
      </c>
    </row>
    <row r="219" spans="3:133">
      <c r="C219" s="1506" t="s">
        <v>780</v>
      </c>
      <c r="CY219" s="1372"/>
      <c r="DA219" s="1490"/>
      <c r="DB219" s="1490"/>
      <c r="DC219" s="1490"/>
      <c r="DD219" s="1534"/>
      <c r="DE219" s="1497"/>
      <c r="DF219" s="1507">
        <f t="shared" ref="DF219:DO219" si="2003">+(DF218-DA218)*10000</f>
        <v>245.45440506181905</v>
      </c>
      <c r="DG219" s="1507">
        <f t="shared" si="2003"/>
        <v>458.53658536585351</v>
      </c>
      <c r="DH219" s="1507">
        <f t="shared" si="2003"/>
        <v>662.32042964834204</v>
      </c>
      <c r="DI219" s="1533">
        <f t="shared" si="2003"/>
        <v>505.71506155319025</v>
      </c>
      <c r="DJ219" s="1507">
        <f t="shared" si="2003"/>
        <v>599.9446034768074</v>
      </c>
      <c r="DK219" s="1507">
        <f t="shared" si="2003"/>
        <v>394.70275377558318</v>
      </c>
      <c r="DL219" s="1507">
        <f t="shared" si="2003"/>
        <v>304.1673773381093</v>
      </c>
      <c r="DM219" s="1507">
        <f t="shared" si="2003"/>
        <v>254.28634000874584</v>
      </c>
      <c r="DN219" s="1533">
        <f t="shared" si="2003"/>
        <v>367.20750265648525</v>
      </c>
      <c r="DO219" s="1507">
        <f t="shared" si="2003"/>
        <v>288.91138696370552</v>
      </c>
      <c r="DP219" s="1507">
        <f t="shared" ref="DP219:DR219" si="2004">+(DP218-DK218)*10000</f>
        <v>279.76988453454089</v>
      </c>
      <c r="DQ219" s="1507">
        <f t="shared" si="2004"/>
        <v>275.92770681014957</v>
      </c>
      <c r="DR219" s="1507">
        <f t="shared" si="2004"/>
        <v>258.47978242352411</v>
      </c>
      <c r="DS219" s="1533">
        <f>+(DS218-DN218)*10000</f>
        <v>272.74143415248921</v>
      </c>
      <c r="DT219" s="1507">
        <f>+(DT218-DO218)*10000</f>
        <v>199.92864453166948</v>
      </c>
      <c r="DU219" s="1507">
        <f t="shared" ref="DU219" si="2005">+(DU218-DP218)*10000</f>
        <v>194.1070301345199</v>
      </c>
      <c r="DV219" s="1507">
        <f t="shared" ref="DV219" si="2006">+(DV218-DQ218)*10000</f>
        <v>191.07214259461324</v>
      </c>
      <c r="DW219" s="1507">
        <f t="shared" ref="DW219" si="2007">+(DW218-DR218)*10000</f>
        <v>178.26842447832004</v>
      </c>
      <c r="DX219" s="1533">
        <f>+(DX218-DS218)*10000</f>
        <v>189.38827153422989</v>
      </c>
      <c r="DY219" s="1507">
        <f>+(DY218-DT218)*10000</f>
        <v>153.68636192335862</v>
      </c>
      <c r="DZ219" s="1507">
        <f t="shared" ref="DZ219" si="2008">+(DZ218-DU218)*10000</f>
        <v>149.49553178578435</v>
      </c>
      <c r="EA219" s="1507">
        <f t="shared" ref="EA219" si="2009">+(EA218-DV218)*10000</f>
        <v>147.15415713372869</v>
      </c>
      <c r="EB219" s="1507">
        <f t="shared" ref="EB219" si="2010">+(EB218-DW218)*10000</f>
        <v>137.47329554659905</v>
      </c>
      <c r="EC219" s="1533">
        <f>+(EC218-DX218)*10000</f>
        <v>145.86300015844432</v>
      </c>
    </row>
    <row r="220" spans="3:133">
      <c r="C220" s="1414" t="s">
        <v>779</v>
      </c>
      <c r="CY220" s="1372"/>
      <c r="DA220" s="592">
        <f t="shared" ref="DA220:DL220" si="2011">+DA216/DA41</f>
        <v>0.17138013976609098</v>
      </c>
      <c r="DB220" s="592">
        <f t="shared" si="2011"/>
        <v>0.17316017316017315</v>
      </c>
      <c r="DC220" s="592">
        <f t="shared" si="2011"/>
        <v>0.18676073874247767</v>
      </c>
      <c r="DD220" s="1383">
        <f t="shared" si="2011"/>
        <v>0.1689034749492781</v>
      </c>
      <c r="DE220" s="592">
        <f t="shared" si="2011"/>
        <v>0.18093465674110837</v>
      </c>
      <c r="DF220" s="592">
        <f t="shared" si="2011"/>
        <v>0.2</v>
      </c>
      <c r="DG220" s="592">
        <f t="shared" si="2011"/>
        <v>0.21352313167259787</v>
      </c>
      <c r="DH220" s="592">
        <f t="shared" si="2011"/>
        <v>0.23960066555740434</v>
      </c>
      <c r="DI220" s="1383">
        <f t="shared" si="2011"/>
        <v>0.21182307502112527</v>
      </c>
      <c r="DJ220" s="592">
        <f t="shared" si="2011"/>
        <v>0.23005504888669789</v>
      </c>
      <c r="DK220" s="592">
        <f t="shared" si="2011"/>
        <v>0.23793590601531711</v>
      </c>
      <c r="DL220" s="592">
        <f t="shared" si="2011"/>
        <v>0.24384996055368285</v>
      </c>
      <c r="DM220" s="592">
        <f>+DH220+DM221/10000</f>
        <v>0.26760066555740436</v>
      </c>
      <c r="DN220" s="1383">
        <f>+DN216/DN41</f>
        <v>0.2471755432292865</v>
      </c>
      <c r="DO220" s="592">
        <f>+DJ220+DO221/10000</f>
        <v>0.25805504888669789</v>
      </c>
      <c r="DP220" s="592">
        <f t="shared" ref="DP220:DR220" si="2012">+DK220+DP221/10000</f>
        <v>0.26593590601531714</v>
      </c>
      <c r="DQ220" s="592">
        <f t="shared" si="2012"/>
        <v>0.27184996055368288</v>
      </c>
      <c r="DR220" s="592">
        <f t="shared" si="2012"/>
        <v>0.29560066555740439</v>
      </c>
      <c r="DS220" s="1383">
        <f>+DS216/DS41</f>
        <v>0.27505382628279756</v>
      </c>
      <c r="DT220" s="592">
        <f>+DO220+DT221/10000</f>
        <v>0.28005504888669791</v>
      </c>
      <c r="DU220" s="592">
        <f t="shared" ref="DU220" si="2013">+DP220+DU221/10000</f>
        <v>0.28793590601531716</v>
      </c>
      <c r="DV220" s="592">
        <f t="shared" ref="DV220" si="2014">+DQ220+DV221/10000</f>
        <v>0.2938499605536829</v>
      </c>
      <c r="DW220" s="592">
        <f t="shared" ref="DW220" si="2015">+DR220+DW221/10000</f>
        <v>0.3176006655574044</v>
      </c>
      <c r="DX220" s="1383">
        <f>+DX216/DX41</f>
        <v>0.29705382628279764</v>
      </c>
      <c r="DY220" s="592">
        <f>+DT220+DY221/10000</f>
        <v>0.29805504888669793</v>
      </c>
      <c r="DZ220" s="592">
        <f t="shared" ref="DZ220" si="2016">+DU220+DZ221/10000</f>
        <v>0.30593590601531717</v>
      </c>
      <c r="EA220" s="592">
        <f t="shared" ref="EA220" si="2017">+DV220+EA221/10000</f>
        <v>0.31184996055368291</v>
      </c>
      <c r="EB220" s="592">
        <f t="shared" ref="EB220" si="2018">+DW220+EB221/10000</f>
        <v>0.33560066555740442</v>
      </c>
      <c r="EC220" s="1383">
        <f>+EC216/EC41</f>
        <v>0.31505382628279754</v>
      </c>
    </row>
    <row r="221" spans="3:133">
      <c r="CY221" s="1372"/>
      <c r="DD221" s="1372"/>
      <c r="DF221" s="1507">
        <f t="shared" ref="DF221:DL221" si="2019">+(DF220-DA220)*10000</f>
        <v>286.19860233909026</v>
      </c>
      <c r="DG221" s="1507">
        <f t="shared" si="2019"/>
        <v>403.62958512424717</v>
      </c>
      <c r="DH221" s="1507">
        <f t="shared" si="2019"/>
        <v>528.39926814926662</v>
      </c>
      <c r="DI221" s="1533">
        <f t="shared" si="2019"/>
        <v>429.19600071847168</v>
      </c>
      <c r="DJ221" s="1507">
        <f t="shared" si="2019"/>
        <v>491.20392145589523</v>
      </c>
      <c r="DK221" s="1507">
        <f t="shared" si="2019"/>
        <v>379.35906015317101</v>
      </c>
      <c r="DL221" s="1507">
        <f t="shared" si="2019"/>
        <v>303.26828881084981</v>
      </c>
      <c r="DM221" s="1508">
        <v>280</v>
      </c>
      <c r="DN221" s="1533">
        <f>+(DN220-DI220)*10000</f>
        <v>353.52468208161235</v>
      </c>
      <c r="DO221" s="1508">
        <v>280</v>
      </c>
      <c r="DP221" s="1508">
        <v>280</v>
      </c>
      <c r="DQ221" s="1508">
        <v>280</v>
      </c>
      <c r="DR221" s="1508">
        <v>280</v>
      </c>
      <c r="DS221" s="1533">
        <f>+(DS220-DN220)*10000</f>
        <v>278.78283053511058</v>
      </c>
      <c r="DT221" s="1508">
        <v>220</v>
      </c>
      <c r="DU221" s="1508">
        <v>220</v>
      </c>
      <c r="DV221" s="1508">
        <v>220</v>
      </c>
      <c r="DW221" s="1508">
        <v>220</v>
      </c>
      <c r="DX221" s="1533">
        <f>+(DX220-DS220)*10000</f>
        <v>220.00000000000074</v>
      </c>
      <c r="DY221" s="1508">
        <v>180</v>
      </c>
      <c r="DZ221" s="1508">
        <v>180</v>
      </c>
      <c r="EA221" s="1508">
        <v>180</v>
      </c>
      <c r="EB221" s="1508">
        <v>180</v>
      </c>
      <c r="EC221" s="1533">
        <f>+(EC220-DX220)*10000</f>
        <v>179.99999999999906</v>
      </c>
    </row>
    <row r="222" spans="3:133">
      <c r="C222" s="1530" t="s">
        <v>755</v>
      </c>
      <c r="CY222" s="1372"/>
      <c r="DD222" s="1372"/>
      <c r="DG222" s="1490"/>
      <c r="DI222" s="1372"/>
      <c r="DL222" s="1490"/>
      <c r="DN222" s="1372"/>
      <c r="DS222" s="1372"/>
      <c r="DX222" s="1372"/>
      <c r="EC222" s="1372"/>
    </row>
    <row r="223" spans="3:133">
      <c r="C223" s="240" t="s">
        <v>786</v>
      </c>
      <c r="CQ223" s="1488"/>
      <c r="CR223" s="1488"/>
      <c r="CS223" s="1488"/>
      <c r="CT223" s="1488"/>
      <c r="CU223" s="1488"/>
      <c r="CV223" s="1488"/>
      <c r="CW223" s="1488"/>
      <c r="CX223" s="1488"/>
      <c r="CY223" s="1537"/>
      <c r="CZ223" s="1488"/>
      <c r="DA223" s="1488"/>
      <c r="DB223" s="1488">
        <v>0.15</v>
      </c>
      <c r="DC223" s="1488">
        <v>0.19</v>
      </c>
      <c r="DD223" s="1383"/>
      <c r="DE223" s="1488">
        <v>0.11</v>
      </c>
      <c r="DF223" s="1488">
        <v>0.14000000000000001</v>
      </c>
      <c r="DG223" s="1488">
        <v>0.14000000000000001</v>
      </c>
      <c r="DH223" s="1488">
        <v>0.18</v>
      </c>
      <c r="DI223" s="1383">
        <f>+DI235/DI$237</f>
        <v>0.14519324986390855</v>
      </c>
      <c r="DJ223" s="1488">
        <v>0.13</v>
      </c>
      <c r="DK223" s="1488">
        <v>0.14000000000000001</v>
      </c>
      <c r="DL223" s="1488">
        <v>0.14777770000000001</v>
      </c>
      <c r="DM223" s="1529">
        <f>DH223+(DM224/10000)</f>
        <v>0.185</v>
      </c>
      <c r="DN223" s="1383">
        <f>+DN235/DN$237</f>
        <v>0.15248324679917472</v>
      </c>
      <c r="DO223" s="1529">
        <f t="shared" ref="DO223:DR223" si="2020">DJ223+(DO224/10000)</f>
        <v>0.13300000000000001</v>
      </c>
      <c r="DP223" s="1529">
        <f t="shared" si="2020"/>
        <v>0.14300000000000002</v>
      </c>
      <c r="DQ223" s="1529">
        <f t="shared" si="2020"/>
        <v>0.15077770000000001</v>
      </c>
      <c r="DR223" s="1529">
        <f t="shared" si="2020"/>
        <v>0.188</v>
      </c>
      <c r="DS223" s="1383">
        <f>+DS235/DS$237</f>
        <v>0.15548324679917475</v>
      </c>
      <c r="DT223" s="1529">
        <f t="shared" ref="DT223:DW223" si="2021">DO223+(DT224/10000)</f>
        <v>0.13600000000000001</v>
      </c>
      <c r="DU223" s="1529">
        <f t="shared" si="2021"/>
        <v>0.14600000000000002</v>
      </c>
      <c r="DV223" s="1529">
        <f t="shared" si="2021"/>
        <v>0.15377770000000002</v>
      </c>
      <c r="DW223" s="1529">
        <f t="shared" si="2021"/>
        <v>0.191</v>
      </c>
      <c r="DX223" s="1383">
        <f>+DX235/DX$237</f>
        <v>0.15848324679917469</v>
      </c>
      <c r="DY223" s="1529">
        <f t="shared" ref="DY223:EB223" si="2022">DT223+(DY224/10000)</f>
        <v>0.13900000000000001</v>
      </c>
      <c r="DZ223" s="1529">
        <f t="shared" si="2022"/>
        <v>0.14900000000000002</v>
      </c>
      <c r="EA223" s="1529">
        <f t="shared" si="2022"/>
        <v>0.15677770000000002</v>
      </c>
      <c r="EB223" s="1529">
        <f t="shared" si="2022"/>
        <v>0.19400000000000001</v>
      </c>
      <c r="EC223" s="1383">
        <f>+EC235/EC$237</f>
        <v>0.16148324679917472</v>
      </c>
    </row>
    <row r="224" spans="3:133">
      <c r="C224" s="1376" t="s">
        <v>783</v>
      </c>
      <c r="CQ224" s="1488"/>
      <c r="CR224" s="1488"/>
      <c r="CS224" s="1488"/>
      <c r="CT224" s="1488"/>
      <c r="CU224" s="1488"/>
      <c r="CV224" s="1488"/>
      <c r="CW224" s="1488"/>
      <c r="CX224" s="1488"/>
      <c r="CY224" s="1537"/>
      <c r="CZ224" s="1488"/>
      <c r="DA224" s="1488"/>
      <c r="DB224" s="1488"/>
      <c r="DC224" s="1488"/>
      <c r="DD224" s="1394"/>
      <c r="DE224" s="1488"/>
      <c r="DF224" s="1488"/>
      <c r="DG224" s="1393">
        <f t="shared" ref="DG224:DH224" si="2023">(DG223-DB223)*10000</f>
        <v>-99.999999999999815</v>
      </c>
      <c r="DH224" s="1393">
        <f t="shared" si="2023"/>
        <v>-100.00000000000009</v>
      </c>
      <c r="DI224" s="1394"/>
      <c r="DJ224" s="1393">
        <f>(DJ223-DE223)*10000</f>
        <v>200.00000000000003</v>
      </c>
      <c r="DK224" s="1393">
        <f>(DK223-DF223)*10000</f>
        <v>0</v>
      </c>
      <c r="DL224" s="1393">
        <f>(DL223-DG223)*10000</f>
        <v>77.776999999999987</v>
      </c>
      <c r="DM224" s="1528">
        <v>50</v>
      </c>
      <c r="DN224" s="1394">
        <f>(DN223-DI223)*10000</f>
        <v>72.899969352661628</v>
      </c>
      <c r="DO224" s="1528">
        <v>30</v>
      </c>
      <c r="DP224" s="1528">
        <v>30</v>
      </c>
      <c r="DQ224" s="1528">
        <v>30</v>
      </c>
      <c r="DR224" s="1528">
        <v>30</v>
      </c>
      <c r="DS224" s="1394">
        <f>(DS223-DN223)*10000</f>
        <v>30.000000000000306</v>
      </c>
      <c r="DT224" s="1528">
        <v>30</v>
      </c>
      <c r="DU224" s="1528">
        <v>30</v>
      </c>
      <c r="DV224" s="1528">
        <v>30</v>
      </c>
      <c r="DW224" s="1528">
        <v>30</v>
      </c>
      <c r="DX224" s="1394">
        <f>(DX223-DS223)*10000</f>
        <v>29.999999999999471</v>
      </c>
      <c r="DY224" s="1528">
        <v>30</v>
      </c>
      <c r="DZ224" s="1528">
        <v>30</v>
      </c>
      <c r="EA224" s="1528">
        <v>30</v>
      </c>
      <c r="EB224" s="1528">
        <v>30</v>
      </c>
      <c r="EC224" s="1394">
        <f>(EC223-DX223)*10000</f>
        <v>30.000000000000306</v>
      </c>
    </row>
    <row r="225" spans="3:133">
      <c r="C225" s="240" t="s">
        <v>770</v>
      </c>
      <c r="CQ225" s="1488"/>
      <c r="CR225" s="1488"/>
      <c r="CS225" s="1488"/>
      <c r="CT225" s="1488"/>
      <c r="CU225" s="1488"/>
      <c r="CV225" s="1488"/>
      <c r="CW225" s="1488"/>
      <c r="CX225" s="1488"/>
      <c r="CY225" s="1537"/>
      <c r="CZ225" s="1488"/>
      <c r="DA225" s="1488"/>
      <c r="DB225" s="1488">
        <v>0.27</v>
      </c>
      <c r="DC225" s="1488">
        <v>0.27</v>
      </c>
      <c r="DD225" s="1383"/>
      <c r="DE225" s="1488">
        <v>0.3</v>
      </c>
      <c r="DF225" s="1488">
        <v>0.27</v>
      </c>
      <c r="DG225" s="1488">
        <v>0.26</v>
      </c>
      <c r="DH225" s="1488">
        <v>0.25</v>
      </c>
      <c r="DI225" s="1383">
        <f>+DI233/DI$237</f>
        <v>0.26787697332607513</v>
      </c>
      <c r="DJ225" s="1488">
        <v>0.27</v>
      </c>
      <c r="DK225" s="1488">
        <v>0.26</v>
      </c>
      <c r="DL225" s="1488">
        <v>0.26777699999999999</v>
      </c>
      <c r="DM225" s="1529">
        <f>DH225+(DM226/10000)</f>
        <v>0.26</v>
      </c>
      <c r="DN225" s="1383">
        <f>+DN233/DN$237</f>
        <v>0.26420797915985167</v>
      </c>
      <c r="DO225" s="1529">
        <f t="shared" ref="DO225:DR225" si="2024">DJ225+(DO226/10000)</f>
        <v>0.28000000000000003</v>
      </c>
      <c r="DP225" s="1529">
        <f t="shared" si="2024"/>
        <v>0.27</v>
      </c>
      <c r="DQ225" s="1529">
        <f t="shared" si="2024"/>
        <v>0.277777</v>
      </c>
      <c r="DR225" s="1529">
        <f t="shared" si="2024"/>
        <v>0.27</v>
      </c>
      <c r="DS225" s="1383">
        <f>+DS233/DS$237</f>
        <v>0.27420797915985168</v>
      </c>
      <c r="DT225" s="1529">
        <f t="shared" ref="DT225:DW225" si="2025">DO225+(DT226/10000)</f>
        <v>0.29000000000000004</v>
      </c>
      <c r="DU225" s="1529">
        <f t="shared" si="2025"/>
        <v>0.28000000000000003</v>
      </c>
      <c r="DV225" s="1529">
        <f t="shared" si="2025"/>
        <v>0.28777700000000001</v>
      </c>
      <c r="DW225" s="1529">
        <f t="shared" si="2025"/>
        <v>0.28000000000000003</v>
      </c>
      <c r="DX225" s="1383">
        <f>+DX233/DX$237</f>
        <v>0.28420797915985163</v>
      </c>
      <c r="DY225" s="1529">
        <f t="shared" ref="DY225:EB225" si="2026">DT225+(DY226/10000)</f>
        <v>0.30000000000000004</v>
      </c>
      <c r="DZ225" s="1529">
        <f t="shared" si="2026"/>
        <v>0.29000000000000004</v>
      </c>
      <c r="EA225" s="1529">
        <f t="shared" si="2026"/>
        <v>0.29777700000000001</v>
      </c>
      <c r="EB225" s="1529">
        <f t="shared" si="2026"/>
        <v>0.29000000000000004</v>
      </c>
      <c r="EC225" s="1383">
        <f>+EC233/EC$237</f>
        <v>0.29420797915985164</v>
      </c>
    </row>
    <row r="226" spans="3:133">
      <c r="C226" s="1376" t="s">
        <v>783</v>
      </c>
      <c r="CQ226" s="1488"/>
      <c r="CR226" s="1488"/>
      <c r="CS226" s="1488"/>
      <c r="CT226" s="1488"/>
      <c r="CU226" s="1488"/>
      <c r="CV226" s="1488"/>
      <c r="CW226" s="1488"/>
      <c r="CX226" s="1488"/>
      <c r="CY226" s="1537"/>
      <c r="CZ226" s="1488"/>
      <c r="DA226" s="1488"/>
      <c r="DB226" s="1488"/>
      <c r="DC226" s="1488"/>
      <c r="DD226" s="1537"/>
      <c r="DE226" s="1488"/>
      <c r="DF226" s="1488"/>
      <c r="DG226" s="1393">
        <f>(DG225-DB225)*10000</f>
        <v>-100.00000000000009</v>
      </c>
      <c r="DH226" s="1393">
        <f>(DH225-DC225)*10000</f>
        <v>-200.00000000000017</v>
      </c>
      <c r="DI226" s="1537"/>
      <c r="DJ226" s="1393">
        <f t="shared" ref="DJ226:DL226" si="2027">(DJ225-DE225)*10000</f>
        <v>-299.99999999999972</v>
      </c>
      <c r="DK226" s="1393">
        <f t="shared" si="2027"/>
        <v>-100.00000000000009</v>
      </c>
      <c r="DL226" s="1393">
        <f t="shared" si="2027"/>
        <v>77.769999999999783</v>
      </c>
      <c r="DM226" s="1528">
        <v>100</v>
      </c>
      <c r="DN226" s="1394">
        <f>(DN225-DI225)*10000</f>
        <v>-36.689941662234602</v>
      </c>
      <c r="DO226" s="1528">
        <v>100</v>
      </c>
      <c r="DP226" s="1528">
        <v>100</v>
      </c>
      <c r="DQ226" s="1528">
        <v>100</v>
      </c>
      <c r="DR226" s="1528">
        <v>100</v>
      </c>
      <c r="DS226" s="1394">
        <f>(DS225-DN225)*10000</f>
        <v>100.00000000000009</v>
      </c>
      <c r="DT226" s="1528">
        <v>100</v>
      </c>
      <c r="DU226" s="1528">
        <v>100</v>
      </c>
      <c r="DV226" s="1528">
        <v>100</v>
      </c>
      <c r="DW226" s="1528">
        <v>100</v>
      </c>
      <c r="DX226" s="1394">
        <f>(DX225-DS225)*10000</f>
        <v>99.999999999999531</v>
      </c>
      <c r="DY226" s="1528">
        <v>100</v>
      </c>
      <c r="DZ226" s="1528">
        <v>100</v>
      </c>
      <c r="EA226" s="1528">
        <v>100</v>
      </c>
      <c r="EB226" s="1528">
        <v>100</v>
      </c>
      <c r="EC226" s="1394">
        <f>(EC225-DX225)*10000</f>
        <v>100.00000000000009</v>
      </c>
    </row>
    <row r="227" spans="3:133">
      <c r="C227" s="240" t="s">
        <v>769</v>
      </c>
      <c r="CQ227" s="1488"/>
      <c r="CR227" s="1488"/>
      <c r="CS227" s="1488"/>
      <c r="CT227" s="1488"/>
      <c r="CU227" s="1488"/>
      <c r="CV227" s="1488"/>
      <c r="CW227" s="1488"/>
      <c r="CX227" s="1488"/>
      <c r="CY227" s="1537"/>
      <c r="CZ227" s="1488"/>
      <c r="DA227" s="1488"/>
      <c r="DB227" s="1488">
        <v>0.57999999999999996</v>
      </c>
      <c r="DC227" s="1488">
        <v>0.54</v>
      </c>
      <c r="DD227" s="1383"/>
      <c r="DE227" s="1488">
        <v>0.59</v>
      </c>
      <c r="DF227" s="1488">
        <v>0.59</v>
      </c>
      <c r="DG227" s="1488">
        <v>0.6</v>
      </c>
      <c r="DH227" s="1488">
        <v>0.56000000000000005</v>
      </c>
      <c r="DI227" s="1383">
        <f>+DI231/DI$237</f>
        <v>0.5840718562874252</v>
      </c>
      <c r="DJ227" s="1488">
        <v>0.6</v>
      </c>
      <c r="DK227" s="1488">
        <v>0.6</v>
      </c>
      <c r="DL227" s="1488">
        <v>0.58777699999999999</v>
      </c>
      <c r="DM227" s="1529">
        <f>DM231/DM237</f>
        <v>0.55500000000000005</v>
      </c>
      <c r="DN227" s="1383">
        <f>+DN231/DN$237</f>
        <v>0.58417665081975378</v>
      </c>
      <c r="DO227" s="1529">
        <f t="shared" ref="DO227:DR227" si="2028">DO231/DO237</f>
        <v>0.58699999999999997</v>
      </c>
      <c r="DP227" s="1529">
        <f t="shared" si="2028"/>
        <v>0.58700000000000008</v>
      </c>
      <c r="DQ227" s="1529">
        <f t="shared" si="2028"/>
        <v>0.57144529999999993</v>
      </c>
      <c r="DR227" s="1529">
        <f t="shared" si="2028"/>
        <v>0.54199999999999993</v>
      </c>
      <c r="DS227" s="1383">
        <f>+DS231/DS$237</f>
        <v>0.57030877404097358</v>
      </c>
      <c r="DT227" s="1529">
        <f t="shared" ref="DT227:DW227" si="2029">DT231/DT237</f>
        <v>0.57399999999999995</v>
      </c>
      <c r="DU227" s="1529">
        <f t="shared" si="2029"/>
        <v>0.57400000000000007</v>
      </c>
      <c r="DV227" s="1529">
        <f t="shared" si="2029"/>
        <v>0.55844530000000003</v>
      </c>
      <c r="DW227" s="1529">
        <f t="shared" si="2029"/>
        <v>0.52900000000000003</v>
      </c>
      <c r="DX227" s="1383">
        <f>+DX231/DX$237</f>
        <v>0.55730877404097368</v>
      </c>
      <c r="DY227" s="1529">
        <f t="shared" ref="DY227:EB227" si="2030">DY231/DY237</f>
        <v>0.56099999999999994</v>
      </c>
      <c r="DZ227" s="1529">
        <f t="shared" si="2030"/>
        <v>0.56099999999999994</v>
      </c>
      <c r="EA227" s="1529">
        <f t="shared" si="2030"/>
        <v>0.54544530000000002</v>
      </c>
      <c r="EB227" s="1529">
        <f t="shared" si="2030"/>
        <v>0.5159999999999999</v>
      </c>
      <c r="EC227" s="1383">
        <f>+EC231/EC$237</f>
        <v>0.54430877404097355</v>
      </c>
    </row>
    <row r="228" spans="3:133">
      <c r="C228" s="1376" t="s">
        <v>783</v>
      </c>
      <c r="CQ228" s="1488"/>
      <c r="CR228" s="1488"/>
      <c r="CS228" s="1488"/>
      <c r="CT228" s="1488"/>
      <c r="CU228" s="1488"/>
      <c r="CV228" s="1488"/>
      <c r="CW228" s="1488"/>
      <c r="CX228" s="1488"/>
      <c r="CY228" s="1537"/>
      <c r="CZ228" s="1488"/>
      <c r="DA228" s="1488"/>
      <c r="DB228" s="1488"/>
      <c r="DC228" s="1488"/>
      <c r="DD228" s="1537"/>
      <c r="DE228" s="1488"/>
      <c r="DF228" s="1488"/>
      <c r="DG228" s="1393">
        <f>(DG227-DB227)*10000</f>
        <v>200.00000000000017</v>
      </c>
      <c r="DH228" s="1393">
        <f>(DH227-DC227)*10000</f>
        <v>200.00000000000017</v>
      </c>
      <c r="DI228" s="1537"/>
      <c r="DJ228" s="1393">
        <f>(DJ227-DE227)*10000</f>
        <v>100.00000000000009</v>
      </c>
      <c r="DK228" s="1393">
        <f t="shared" ref="DK228:DM228" si="2031">(DK227-DF227)*10000</f>
        <v>100.00000000000009</v>
      </c>
      <c r="DL228" s="1393">
        <f t="shared" si="2031"/>
        <v>-122.22999999999983</v>
      </c>
      <c r="DM228" s="1393">
        <f t="shared" si="2031"/>
        <v>-50.000000000000043</v>
      </c>
      <c r="DN228" s="1394">
        <f>(DN227-DI227)*10000</f>
        <v>1.0479453232858926</v>
      </c>
      <c r="DO228" s="1393">
        <f t="shared" ref="DO228" si="2032">(DO227-DJ227)*10000</f>
        <v>-130.00000000000011</v>
      </c>
      <c r="DP228" s="1393">
        <f t="shared" ref="DP228" si="2033">(DP227-DK227)*10000</f>
        <v>-129.99999999999901</v>
      </c>
      <c r="DQ228" s="1393">
        <f t="shared" ref="DQ228" si="2034">(DQ227-DL227)*10000</f>
        <v>-163.3170000000006</v>
      </c>
      <c r="DR228" s="1393">
        <f t="shared" ref="DR228" si="2035">(DR227-DM227)*10000</f>
        <v>-130.00000000000122</v>
      </c>
      <c r="DS228" s="1394">
        <f>(DS227-DN227)*10000</f>
        <v>-138.67876778780209</v>
      </c>
      <c r="DT228" s="1393">
        <f t="shared" ref="DT228" si="2036">(DT227-DO227)*10000</f>
        <v>-130.00000000000011</v>
      </c>
      <c r="DU228" s="1393">
        <f t="shared" ref="DU228" si="2037">(DU227-DP227)*10000</f>
        <v>-130.00000000000011</v>
      </c>
      <c r="DV228" s="1393">
        <f t="shared" ref="DV228" si="2038">(DV227-DQ227)*10000</f>
        <v>-129.99999999999901</v>
      </c>
      <c r="DW228" s="1393">
        <f t="shared" ref="DW228" si="2039">(DW227-DR227)*10000</f>
        <v>-129.99999999999901</v>
      </c>
      <c r="DX228" s="1394">
        <f>(DX227-DS227)*10000</f>
        <v>-129.99999999999901</v>
      </c>
      <c r="DY228" s="1393">
        <f t="shared" ref="DY228" si="2040">(DY227-DT227)*10000</f>
        <v>-130.00000000000011</v>
      </c>
      <c r="DZ228" s="1393">
        <f t="shared" ref="DZ228" si="2041">(DZ227-DU227)*10000</f>
        <v>-130.00000000000122</v>
      </c>
      <c r="EA228" s="1393">
        <f t="shared" ref="EA228" si="2042">(EA227-DV227)*10000</f>
        <v>-130.00000000000011</v>
      </c>
      <c r="EB228" s="1393">
        <f t="shared" ref="EB228" si="2043">(EB227-DW227)*10000</f>
        <v>-130.00000000000122</v>
      </c>
      <c r="EC228" s="1394">
        <f>(EC227-DX227)*10000</f>
        <v>-130.00000000000122</v>
      </c>
    </row>
    <row r="229" spans="3:133">
      <c r="CQ229" s="1488"/>
      <c r="CR229" s="1488"/>
      <c r="CS229" s="1488"/>
      <c r="CT229" s="1488"/>
      <c r="CU229" s="1488"/>
      <c r="CV229" s="1488"/>
      <c r="CW229" s="1488"/>
      <c r="CX229" s="1488"/>
      <c r="CY229" s="1537"/>
      <c r="CZ229" s="1488"/>
      <c r="DA229" s="1488"/>
      <c r="DB229" s="1488"/>
      <c r="DC229" s="1488"/>
      <c r="DD229" s="1537"/>
      <c r="DE229" s="1488"/>
      <c r="DF229" s="1488"/>
      <c r="DG229" s="1488"/>
      <c r="DH229" s="1488"/>
      <c r="DI229" s="1537"/>
      <c r="DJ229" s="1488"/>
      <c r="DK229" s="1488"/>
      <c r="DL229" s="1488"/>
      <c r="DN229" s="1372"/>
      <c r="DS229" s="1372"/>
      <c r="DX229" s="1372"/>
      <c r="EC229" s="1372"/>
    </row>
    <row r="230" spans="3:133">
      <c r="C230" s="1530" t="s">
        <v>771</v>
      </c>
      <c r="CQ230" s="1488"/>
      <c r="CR230" s="1488"/>
      <c r="CS230" s="1488"/>
      <c r="CT230" s="1488"/>
      <c r="CU230" s="1488"/>
      <c r="CV230" s="1488"/>
      <c r="CW230" s="1488"/>
      <c r="CX230" s="1488"/>
      <c r="CY230" s="1537"/>
      <c r="CZ230" s="1488"/>
      <c r="DA230" s="1488"/>
      <c r="DB230" s="1488"/>
      <c r="DC230" s="1488"/>
      <c r="DD230" s="1537"/>
      <c r="DE230" s="1488"/>
      <c r="DF230" s="1488"/>
      <c r="DG230" s="1488"/>
      <c r="DH230" s="1488"/>
      <c r="DI230" s="1537"/>
      <c r="DJ230" s="1488"/>
      <c r="DK230" s="1488"/>
      <c r="DL230" s="1488"/>
      <c r="DN230" s="1372"/>
      <c r="DS230" s="1372"/>
      <c r="DX230" s="1372"/>
      <c r="EC230" s="1372"/>
    </row>
    <row r="231" spans="3:133">
      <c r="C231" s="240" t="s">
        <v>756</v>
      </c>
      <c r="CQ231" s="1488"/>
      <c r="CR231" s="1488"/>
      <c r="CS231" s="1488"/>
      <c r="CT231" s="1488"/>
      <c r="CU231" s="1488"/>
      <c r="CV231" s="1488"/>
      <c r="CW231" s="1488"/>
      <c r="CX231" s="1488"/>
      <c r="CY231" s="1537"/>
      <c r="CZ231" s="1488"/>
      <c r="DA231" s="1488"/>
      <c r="DB231" s="1497">
        <f t="shared" ref="DB231:DC231" si="2044">DB$36*DB227</f>
        <v>218.25457999999998</v>
      </c>
      <c r="DC231" s="1497">
        <f t="shared" si="2044"/>
        <v>216.13716000000002</v>
      </c>
      <c r="DD231" s="1537"/>
      <c r="DE231" s="1497">
        <f t="shared" ref="DE231:DH231" si="2045">DE$36*DE227</f>
        <v>225.38</v>
      </c>
      <c r="DF231" s="1497">
        <f t="shared" si="2045"/>
        <v>261.95999999999998</v>
      </c>
      <c r="DG231" s="1497">
        <f t="shared" si="2045"/>
        <v>291.59999999999997</v>
      </c>
      <c r="DH231" s="1497">
        <f t="shared" si="2045"/>
        <v>294</v>
      </c>
      <c r="DI231" s="1534">
        <f>SUM(DE231:DH231)</f>
        <v>1072.94</v>
      </c>
      <c r="DJ231" s="1497">
        <f t="shared" ref="DJ231:DK231" si="2046">DJ$36*DJ227</f>
        <v>306.59999999999997</v>
      </c>
      <c r="DK231" s="1497">
        <f t="shared" si="2046"/>
        <v>337.8</v>
      </c>
      <c r="DL231" s="1497">
        <f>DL$36*DL227</f>
        <v>358.54397</v>
      </c>
      <c r="DM231" s="1497">
        <f>DM237-DM235-DM233</f>
        <v>365.04265094165038</v>
      </c>
      <c r="DN231" s="1534">
        <f>SUM(DJ231:DM231)</f>
        <v>1367.9866209416505</v>
      </c>
      <c r="DO231" s="1497">
        <f>DO237-DO235-DO233</f>
        <v>354.2731514595273</v>
      </c>
      <c r="DP231" s="1497">
        <f>DP237-DP235-DP233</f>
        <v>390.32443106010544</v>
      </c>
      <c r="DQ231" s="1497">
        <f t="shared" ref="DQ231:DR231" si="2047">DQ237-DQ235-DQ233</f>
        <v>411.70272293634866</v>
      </c>
      <c r="DR231" s="1497">
        <f t="shared" si="2047"/>
        <v>421.04561845156564</v>
      </c>
      <c r="DS231" s="1534">
        <f>SUM(DO231:DR231)</f>
        <v>1577.3459239075469</v>
      </c>
      <c r="DT231" s="1497">
        <f>DT237-DT235-DT233</f>
        <v>401.51039397403156</v>
      </c>
      <c r="DU231" s="1497">
        <f>DU237-DU235-DU233</f>
        <v>442.36859453498982</v>
      </c>
      <c r="DV231" s="1497">
        <f t="shared" ref="DV231:DW231" si="2048">DV237-DV235-DV233</f>
        <v>466.30972736973763</v>
      </c>
      <c r="DW231" s="1497">
        <f t="shared" si="2048"/>
        <v>476.2887224555019</v>
      </c>
      <c r="DX231" s="1534">
        <f>SUM(DT231:DW231)</f>
        <v>1786.477438334261</v>
      </c>
      <c r="DY231" s="1497">
        <f>DY237-DY235-DY233</f>
        <v>450.48108686489559</v>
      </c>
      <c r="DZ231" s="1497">
        <f>DZ237-DZ235-DZ233</f>
        <v>496.32260646758562</v>
      </c>
      <c r="EA231" s="1497">
        <f t="shared" ref="EA231:EB231" si="2049">EA237-EA235-EA233</f>
        <v>522.84605996875473</v>
      </c>
      <c r="EB231" s="1497">
        <f t="shared" si="2049"/>
        <v>533.32645748812195</v>
      </c>
      <c r="EC231" s="1534">
        <f>SUM(DY231:EB231)</f>
        <v>2002.976210789358</v>
      </c>
    </row>
    <row r="232" spans="3:133">
      <c r="C232" s="1414" t="s">
        <v>711</v>
      </c>
      <c r="CQ232" s="1488"/>
      <c r="CR232" s="1488"/>
      <c r="CS232" s="1488"/>
      <c r="CT232" s="1488"/>
      <c r="CU232" s="1488"/>
      <c r="CV232" s="1488"/>
      <c r="CW232" s="1488"/>
      <c r="CX232" s="1488"/>
      <c r="CY232" s="1537"/>
      <c r="CZ232" s="1488"/>
      <c r="DA232" s="1488"/>
      <c r="DB232" s="1497"/>
      <c r="DC232" s="1497"/>
      <c r="DD232" s="1537"/>
      <c r="DE232" s="1497"/>
      <c r="DF232" s="1497"/>
      <c r="DG232" s="1527">
        <f>DG231/DB231-1</f>
        <v>0.33605443697905435</v>
      </c>
      <c r="DH232" s="1527">
        <f>DH231/DC231-1</f>
        <v>0.36024735404129471</v>
      </c>
      <c r="DI232" s="1538"/>
      <c r="DJ232" s="1527">
        <f t="shared" ref="DJ232:DP232" si="2050">DJ231/DE231-1</f>
        <v>0.36036915431715322</v>
      </c>
      <c r="DK232" s="1527">
        <f t="shared" si="2050"/>
        <v>0.2895098488318828</v>
      </c>
      <c r="DL232" s="1527">
        <f t="shared" si="2050"/>
        <v>0.22957465706447211</v>
      </c>
      <c r="DM232" s="1527">
        <f t="shared" si="2050"/>
        <v>0.24164166986955915</v>
      </c>
      <c r="DN232" s="1535">
        <f t="shared" si="2050"/>
        <v>0.2749889284970739</v>
      </c>
      <c r="DO232" s="1527">
        <f t="shared" si="2050"/>
        <v>0.15548973078776029</v>
      </c>
      <c r="DP232" s="1527">
        <f t="shared" si="2050"/>
        <v>0.15548973078776029</v>
      </c>
      <c r="DQ232" s="1527">
        <f t="shared" ref="DQ232:DR232" si="2051">DQ231/DL231-1</f>
        <v>0.14826285583982535</v>
      </c>
      <c r="DR232" s="1527">
        <f t="shared" si="2051"/>
        <v>0.15341486088119316</v>
      </c>
      <c r="DS232" s="1535">
        <f>DS231/DN231-1</f>
        <v>0.15304192289671992</v>
      </c>
      <c r="DT232" s="1527">
        <f>DT231/DO231-1</f>
        <v>0.13333565447987583</v>
      </c>
      <c r="DU232" s="1527">
        <f>DU231/DP231-1</f>
        <v>0.13333565447987605</v>
      </c>
      <c r="DV232" s="1527">
        <f t="shared" ref="DV232" si="2052">DV231/DQ231-1</f>
        <v>0.13263697661244644</v>
      </c>
      <c r="DW232" s="1527">
        <f t="shared" ref="DW232" si="2053">DW231/DR231-1</f>
        <v>0.13120455737574921</v>
      </c>
      <c r="DX232" s="1535">
        <f>DX231/DS231-1</f>
        <v>0.13258443265801478</v>
      </c>
      <c r="DY232" s="1527">
        <f>DY231/DT231-1</f>
        <v>0.12196618973214246</v>
      </c>
      <c r="DZ232" s="1527">
        <f>DZ231/DU231-1</f>
        <v>0.12196618973214246</v>
      </c>
      <c r="EA232" s="1527">
        <f t="shared" ref="EA232" si="2054">EA231/DV231-1</f>
        <v>0.12124201851399374</v>
      </c>
      <c r="EB232" s="1527">
        <f t="shared" ref="EB232" si="2055">EB231/DW231-1</f>
        <v>0.11975453615311848</v>
      </c>
      <c r="EC232" s="1535">
        <f>EC231/DX231-1</f>
        <v>0.12118752121323384</v>
      </c>
    </row>
    <row r="233" spans="3:133">
      <c r="C233" s="240" t="s">
        <v>757</v>
      </c>
      <c r="CQ233" s="1488"/>
      <c r="CR233" s="1488"/>
      <c r="CS233" s="1488"/>
      <c r="CT233" s="1488"/>
      <c r="CU233" s="1488"/>
      <c r="CV233" s="1488"/>
      <c r="CW233" s="1488"/>
      <c r="CX233" s="1488"/>
      <c r="CY233" s="1537"/>
      <c r="CZ233" s="1488"/>
      <c r="DA233" s="1488"/>
      <c r="DB233" s="1497">
        <f t="shared" ref="DB233:DC233" si="2056">DB$36*DB225</f>
        <v>101.60127</v>
      </c>
      <c r="DC233" s="1497">
        <f t="shared" si="2056"/>
        <v>108.06858000000001</v>
      </c>
      <c r="DD233" s="1537"/>
      <c r="DE233" s="1497">
        <f t="shared" ref="DE233:DH233" si="2057">DE$36*DE225</f>
        <v>114.6</v>
      </c>
      <c r="DF233" s="1497">
        <f t="shared" si="2057"/>
        <v>119.88000000000001</v>
      </c>
      <c r="DG233" s="1497">
        <f t="shared" si="2057"/>
        <v>126.36</v>
      </c>
      <c r="DH233" s="1497">
        <f t="shared" si="2057"/>
        <v>131.25</v>
      </c>
      <c r="DI233" s="1534">
        <f>SUM(DE233:DH233)</f>
        <v>492.09000000000003</v>
      </c>
      <c r="DJ233" s="1497">
        <f t="shared" ref="DJ233:DK233" si="2058">DJ$36*DJ225</f>
        <v>137.97</v>
      </c>
      <c r="DK233" s="1497">
        <f t="shared" si="2058"/>
        <v>146.38</v>
      </c>
      <c r="DL233" s="1497">
        <f>DL$36*DL225</f>
        <v>163.34396999999998</v>
      </c>
      <c r="DM233" s="1497">
        <f>DM$36*DM225</f>
        <v>171.01097161230467</v>
      </c>
      <c r="DN233" s="1534">
        <f>SUM(DJ233:DM233)</f>
        <v>618.70494161230476</v>
      </c>
      <c r="DO233" s="1497">
        <f>DO$36*DO225</f>
        <v>168.98889677796873</v>
      </c>
      <c r="DP233" s="1497">
        <f>DP$36*DP225</f>
        <v>179.53593932917968</v>
      </c>
      <c r="DQ233" s="1497">
        <f t="shared" ref="DQ233:DR233" si="2059">DQ$36*DQ225</f>
        <v>200.12684900740302</v>
      </c>
      <c r="DR233" s="1497">
        <f t="shared" si="2059"/>
        <v>209.74597229137038</v>
      </c>
      <c r="DS233" s="1534">
        <f>SUM(DO233:DR233)</f>
        <v>758.39765740592179</v>
      </c>
      <c r="DT233" s="1497">
        <f>DT$36*DT225</f>
        <v>202.85368336667105</v>
      </c>
      <c r="DU233" s="1497">
        <f>DU$36*DU225</f>
        <v>215.78955830975113</v>
      </c>
      <c r="DV233" s="1497">
        <f t="shared" ref="DV233:DW233" si="2060">DV$36*DV225</f>
        <v>240.29786697691068</v>
      </c>
      <c r="DW233" s="1497">
        <f t="shared" si="2060"/>
        <v>252.09989090272316</v>
      </c>
      <c r="DX233" s="1534">
        <f>SUM(DT233:DW233)</f>
        <v>911.04099955605602</v>
      </c>
      <c r="DY233" s="1497">
        <f>DY$36*DY225</f>
        <v>240.89897693309931</v>
      </c>
      <c r="DZ233" s="1497">
        <f>DZ$36*DZ225</f>
        <v>256.56605325418866</v>
      </c>
      <c r="EA233" s="1497">
        <f t="shared" ref="EA233:EB233" si="2061">EA$36*EA225</f>
        <v>285.43931206175193</v>
      </c>
      <c r="EB233" s="1497">
        <f t="shared" si="2061"/>
        <v>299.73773773557252</v>
      </c>
      <c r="EC233" s="1534">
        <f>SUM(DY233:EB233)</f>
        <v>1082.6420799846123</v>
      </c>
    </row>
    <row r="234" spans="3:133">
      <c r="C234" s="1414" t="s">
        <v>711</v>
      </c>
      <c r="CQ234" s="1488"/>
      <c r="CR234" s="1488"/>
      <c r="CS234" s="1488"/>
      <c r="CT234" s="1488"/>
      <c r="CU234" s="1488"/>
      <c r="CV234" s="1488"/>
      <c r="CW234" s="1488"/>
      <c r="CX234" s="1488"/>
      <c r="CY234" s="1537"/>
      <c r="CZ234" s="1488"/>
      <c r="DA234" s="1488"/>
      <c r="DB234" s="1497"/>
      <c r="DC234" s="1497"/>
      <c r="DD234" s="1537"/>
      <c r="DE234" s="1497"/>
      <c r="DF234" s="1497"/>
      <c r="DG234" s="1527">
        <f>DG233/DB233-1</f>
        <v>0.24368524133605818</v>
      </c>
      <c r="DH234" s="1527">
        <f>DH233/DC233-1</f>
        <v>0.21450656610829899</v>
      </c>
      <c r="DI234" s="1535"/>
      <c r="DJ234" s="1527">
        <f t="shared" ref="DJ234:DP234" si="2062">DJ233/DE233-1</f>
        <v>0.20392670157068071</v>
      </c>
      <c r="DK234" s="1527">
        <f t="shared" si="2062"/>
        <v>0.22105438772105424</v>
      </c>
      <c r="DL234" s="1527">
        <f t="shared" si="2062"/>
        <v>0.29268732193732183</v>
      </c>
      <c r="DM234" s="1527">
        <f t="shared" si="2062"/>
        <v>0.30294073609374994</v>
      </c>
      <c r="DN234" s="1535">
        <f t="shared" si="2062"/>
        <v>0.25730037515963478</v>
      </c>
      <c r="DO234" s="1527">
        <f t="shared" si="2062"/>
        <v>0.22482348900462945</v>
      </c>
      <c r="DP234" s="1527">
        <f t="shared" si="2062"/>
        <v>0.22650593885216352</v>
      </c>
      <c r="DQ234" s="1527">
        <f t="shared" ref="DQ234:DR234" si="2063">DQ233/DL233-1</f>
        <v>0.22518663534015393</v>
      </c>
      <c r="DR234" s="1527">
        <f t="shared" si="2063"/>
        <v>0.2265059388521633</v>
      </c>
      <c r="DS234" s="1535">
        <f>DS233/DN233-1</f>
        <v>0.22578244717035378</v>
      </c>
      <c r="DT234" s="1527">
        <f>DT233/DO233-1</f>
        <v>0.20039651855468721</v>
      </c>
      <c r="DU234" s="1527">
        <f>DU233/DP233-1</f>
        <v>0.20192959201388816</v>
      </c>
      <c r="DV234" s="1527">
        <f t="shared" ref="DV234" si="2064">DV233/DQ233-1</f>
        <v>0.20072777924975815</v>
      </c>
      <c r="DW234" s="1527">
        <f t="shared" ref="DW234" si="2065">DW233/DR233-1</f>
        <v>0.2019295920138886</v>
      </c>
      <c r="DX234" s="1535">
        <f>DX233/DS233-1</f>
        <v>0.20127085132652778</v>
      </c>
      <c r="DY234" s="1527">
        <f>DY233/DT233-1</f>
        <v>0.18755042025862023</v>
      </c>
      <c r="DZ234" s="1527">
        <f>DZ233/DU233-1</f>
        <v>0.18896417075892824</v>
      </c>
      <c r="EA234" s="1527">
        <f t="shared" ref="EA234" si="2066">EA233/DV233-1</f>
        <v>0.18785620385543722</v>
      </c>
      <c r="EB234" s="1527">
        <f t="shared" ref="EB234" si="2067">EB233/DW233-1</f>
        <v>0.18896417075892824</v>
      </c>
      <c r="EC234" s="1535">
        <f>EC233/DX233-1</f>
        <v>0.18835714365454059</v>
      </c>
    </row>
    <row r="235" spans="3:133">
      <c r="C235" s="240" t="s">
        <v>758</v>
      </c>
      <c r="CY235" s="1372"/>
      <c r="DB235" s="1497">
        <f t="shared" ref="DB235:DC235" si="2068">DB$36*DB223</f>
        <v>56.445149999999998</v>
      </c>
      <c r="DC235" s="1497">
        <f t="shared" si="2068"/>
        <v>76.048259999999999</v>
      </c>
      <c r="DD235" s="1372"/>
      <c r="DE235" s="1497">
        <f t="shared" ref="DE235:DH235" si="2069">DE$36*DE223</f>
        <v>42.02</v>
      </c>
      <c r="DF235" s="1497">
        <f t="shared" si="2069"/>
        <v>62.160000000000004</v>
      </c>
      <c r="DG235" s="1497">
        <f t="shared" si="2069"/>
        <v>68.040000000000006</v>
      </c>
      <c r="DH235" s="1497">
        <f t="shared" si="2069"/>
        <v>94.5</v>
      </c>
      <c r="DI235" s="1534">
        <f>SUM(DE235:DH235)</f>
        <v>266.72000000000003</v>
      </c>
      <c r="DJ235" s="1497">
        <f t="shared" ref="DJ235:DK235" si="2070">DJ$36*DJ223</f>
        <v>66.430000000000007</v>
      </c>
      <c r="DK235" s="1497">
        <f t="shared" si="2070"/>
        <v>78.820000000000007</v>
      </c>
      <c r="DL235" s="1497">
        <f>DL$36*DL223</f>
        <v>90.144397000000012</v>
      </c>
      <c r="DM235" s="1497">
        <f>DM$36*DM223</f>
        <v>121.68088364721679</v>
      </c>
      <c r="DN235" s="1534">
        <f>SUM(DJ235:DM235)</f>
        <v>357.0752806472168</v>
      </c>
      <c r="DO235" s="1497">
        <f>DO$36*DO223</f>
        <v>80.269725969535145</v>
      </c>
      <c r="DP235" s="1497">
        <f>DP$36*DP223</f>
        <v>95.087553052121095</v>
      </c>
      <c r="DQ235" s="1497">
        <f t="shared" ref="DQ235:DR235" si="2071">DQ$36*DQ223</f>
        <v>108.6291017671856</v>
      </c>
      <c r="DR235" s="1497">
        <f t="shared" si="2071"/>
        <v>146.04534366954678</v>
      </c>
      <c r="DS235" s="1534">
        <f>SUM(DO235:DR235)</f>
        <v>430.03172445838868</v>
      </c>
      <c r="DT235" s="1497">
        <f>DT$36*DT223</f>
        <v>95.13138254436987</v>
      </c>
      <c r="DU235" s="1497">
        <f>DU$36*DU223</f>
        <v>112.51884111865596</v>
      </c>
      <c r="DV235" s="1497">
        <f t="shared" ref="DV235:DW235" si="2072">DV$36*DV223</f>
        <v>128.406555418311</v>
      </c>
      <c r="DW235" s="1497">
        <f t="shared" si="2072"/>
        <v>171.96813986578613</v>
      </c>
      <c r="DX235" s="1534">
        <f>SUM(DT235:DW235)</f>
        <v>508.02491894712296</v>
      </c>
      <c r="DY235" s="1497">
        <f>DY$36*DY223</f>
        <v>111.61652597900267</v>
      </c>
      <c r="DZ235" s="1497">
        <f>DZ$36*DZ223</f>
        <v>131.82186874094523</v>
      </c>
      <c r="EA235" s="1497">
        <f t="shared" ref="EA235:EB235" si="2073">EA$36*EA223</f>
        <v>150.28198562892274</v>
      </c>
      <c r="EB235" s="1497">
        <f t="shared" si="2073"/>
        <v>200.51421076103813</v>
      </c>
      <c r="EC235" s="1534">
        <f>SUM(DY235:EB235)</f>
        <v>594.23459110990882</v>
      </c>
    </row>
    <row r="236" spans="3:133">
      <c r="C236" s="1414" t="s">
        <v>711</v>
      </c>
      <c r="CY236" s="1372"/>
      <c r="DB236" s="1497"/>
      <c r="DC236" s="1497"/>
      <c r="DD236" s="1372"/>
      <c r="DE236" s="1497"/>
      <c r="DF236" s="1497"/>
      <c r="DG236" s="1527">
        <f>DG235/DB235-1</f>
        <v>0.20541800314110259</v>
      </c>
      <c r="DH236" s="1527">
        <f>DH235/DC235-1</f>
        <v>0.24263198132343855</v>
      </c>
      <c r="DI236" s="1372"/>
      <c r="DJ236" s="1527">
        <f t="shared" ref="DJ236:DP236" si="2074">DJ235/DE235-1</f>
        <v>0.58091385054735833</v>
      </c>
      <c r="DK236" s="1527">
        <f t="shared" si="2074"/>
        <v>0.26801801801801806</v>
      </c>
      <c r="DL236" s="1527">
        <f t="shared" si="2074"/>
        <v>0.32487355967078191</v>
      </c>
      <c r="DM236" s="1527">
        <f t="shared" si="2074"/>
        <v>0.28762839838324639</v>
      </c>
      <c r="DN236" s="1535">
        <f t="shared" si="2074"/>
        <v>0.3387645495171594</v>
      </c>
      <c r="DO236" s="1527">
        <f t="shared" si="2074"/>
        <v>0.2083354804987978</v>
      </c>
      <c r="DP236" s="1527">
        <f t="shared" si="2074"/>
        <v>0.20638864567522308</v>
      </c>
      <c r="DQ236" s="1527">
        <f t="shared" ref="DQ236:DR236" si="2075">DQ235/DL235-1</f>
        <v>0.205056613415314</v>
      </c>
      <c r="DR236" s="1527">
        <f t="shared" si="2075"/>
        <v>0.20023243826013482</v>
      </c>
      <c r="DS236" s="1535">
        <f>DS235/DN235-1</f>
        <v>0.20431670229015753</v>
      </c>
      <c r="DT236" s="1527">
        <f>DT235/DO235-1</f>
        <v>0.18514647203947332</v>
      </c>
      <c r="DU236" s="1527">
        <f>DU235/DP235-1</f>
        <v>0.18331829463505178</v>
      </c>
      <c r="DV236" s="1527">
        <f t="shared" ref="DV236" si="2076">DV235/DQ235-1</f>
        <v>0.18206404480368921</v>
      </c>
      <c r="DW236" s="1527">
        <f t="shared" ref="DW236" si="2077">DW235/DR235-1</f>
        <v>0.17749827241938099</v>
      </c>
      <c r="DX236" s="1535">
        <f>DX235/DS235-1</f>
        <v>0.18136614127007533</v>
      </c>
      <c r="DY236" s="1527">
        <f>DY235/DT235-1</f>
        <v>0.17328817256433782</v>
      </c>
      <c r="DZ236" s="1527">
        <f>DZ235/DU235-1</f>
        <v>0.17155373651541073</v>
      </c>
      <c r="EA236" s="1527">
        <f t="shared" ref="EA236" si="2078">EA235/DV235-1</f>
        <v>0.17036069645625163</v>
      </c>
      <c r="EB236" s="1527">
        <f t="shared" ref="EB236" si="2079">EB235/DW235-1</f>
        <v>0.16599627650523519</v>
      </c>
      <c r="EC236" s="1535">
        <f>EC235/DX235-1</f>
        <v>0.1696957549670095</v>
      </c>
    </row>
    <row r="237" spans="3:133">
      <c r="C237" s="240" t="s">
        <v>771</v>
      </c>
      <c r="CY237" s="1372"/>
      <c r="DB237" s="1386">
        <f>+DB36</f>
        <v>376.30099999999999</v>
      </c>
      <c r="DC237" s="1386">
        <f>+DC36</f>
        <v>400.25400000000002</v>
      </c>
      <c r="DD237" s="1372"/>
      <c r="DE237" s="1386">
        <f>+DE36</f>
        <v>382</v>
      </c>
      <c r="DF237" s="1386">
        <f>+DF36</f>
        <v>444</v>
      </c>
      <c r="DG237" s="1386">
        <f>+DG36</f>
        <v>486</v>
      </c>
      <c r="DH237" s="1386">
        <f>+DH36</f>
        <v>525</v>
      </c>
      <c r="DI237" s="1539">
        <f>SUM(DE237:DH237)</f>
        <v>1837</v>
      </c>
      <c r="DJ237" s="1386">
        <f t="shared" ref="DJ237:EC237" si="2080">+DJ36</f>
        <v>511</v>
      </c>
      <c r="DK237" s="1386">
        <f t="shared" si="2080"/>
        <v>563</v>
      </c>
      <c r="DL237" s="1386">
        <f t="shared" si="2080"/>
        <v>610</v>
      </c>
      <c r="DM237" s="1386">
        <f t="shared" si="2080"/>
        <v>657.73450620117183</v>
      </c>
      <c r="DN237" s="1387">
        <f t="shared" si="2080"/>
        <v>2341.7345062011718</v>
      </c>
      <c r="DO237" s="1386">
        <f t="shared" si="2080"/>
        <v>603.53177420703116</v>
      </c>
      <c r="DP237" s="1386">
        <f t="shared" si="2080"/>
        <v>664.94792344140615</v>
      </c>
      <c r="DQ237" s="1386">
        <f t="shared" si="2080"/>
        <v>720.45867371093732</v>
      </c>
      <c r="DR237" s="1386">
        <f t="shared" si="2080"/>
        <v>776.83693441248283</v>
      </c>
      <c r="DS237" s="1387">
        <f t="shared" si="2080"/>
        <v>2765.7753057718573</v>
      </c>
      <c r="DT237" s="1386">
        <f t="shared" si="2080"/>
        <v>699.49545988507248</v>
      </c>
      <c r="DU237" s="1386">
        <f t="shared" si="2080"/>
        <v>770.67699396339685</v>
      </c>
      <c r="DV237" s="1386">
        <f t="shared" si="2080"/>
        <v>835.01414976495926</v>
      </c>
      <c r="DW237" s="1386">
        <f t="shared" si="2080"/>
        <v>900.35675322401119</v>
      </c>
      <c r="DX237" s="1387">
        <f t="shared" si="2080"/>
        <v>3205.5433568374401</v>
      </c>
      <c r="DY237" s="1386">
        <f t="shared" si="2080"/>
        <v>802.99658977699755</v>
      </c>
      <c r="DZ237" s="1386">
        <f t="shared" si="2080"/>
        <v>884.71052846271948</v>
      </c>
      <c r="EA237" s="1386">
        <f t="shared" si="2080"/>
        <v>958.56735765942938</v>
      </c>
      <c r="EB237" s="1386">
        <f t="shared" si="2080"/>
        <v>1033.5784059847326</v>
      </c>
      <c r="EC237" s="1387">
        <f t="shared" si="2080"/>
        <v>3679.8528818838795</v>
      </c>
    </row>
    <row r="238" spans="3:133">
      <c r="C238" s="1414" t="s">
        <v>711</v>
      </c>
      <c r="CY238" s="1372"/>
      <c r="DD238" s="1372"/>
      <c r="DG238" s="1527">
        <f>DG237/DB237-1</f>
        <v>0.29151928907975266</v>
      </c>
      <c r="DH238" s="1527">
        <f>DH237/DC237-1</f>
        <v>0.3116670913969628</v>
      </c>
      <c r="DI238" s="1372"/>
      <c r="DJ238" s="1527">
        <f t="shared" ref="DJ238:DP238" si="2081">DJ237/DE237-1</f>
        <v>0.33769633507853403</v>
      </c>
      <c r="DK238" s="1527">
        <f t="shared" si="2081"/>
        <v>0.26801801801801806</v>
      </c>
      <c r="DL238" s="1527">
        <f t="shared" si="2081"/>
        <v>0.25514403292181065</v>
      </c>
      <c r="DM238" s="1527">
        <f t="shared" si="2081"/>
        <v>0.25282763085937487</v>
      </c>
      <c r="DN238" s="1535">
        <f t="shared" si="2081"/>
        <v>0.27476021023471531</v>
      </c>
      <c r="DO238" s="1527">
        <f t="shared" si="2081"/>
        <v>0.18107979296874976</v>
      </c>
      <c r="DP238" s="1527">
        <f t="shared" si="2081"/>
        <v>0.18107979296874976</v>
      </c>
      <c r="DQ238" s="1527">
        <f t="shared" ref="DQ238:DR238" si="2082">DQ237/DL237-1</f>
        <v>0.18107979296874976</v>
      </c>
      <c r="DR238" s="1527">
        <f t="shared" si="2082"/>
        <v>0.18107979296874976</v>
      </c>
      <c r="DS238" s="1535">
        <f>DS237/DN237-1</f>
        <v>0.18107979296874976</v>
      </c>
      <c r="DT238" s="1527">
        <f>DT237/DO237-1</f>
        <v>0.15900353515624954</v>
      </c>
      <c r="DU238" s="1527">
        <f>DU237/DP237-1</f>
        <v>0.15900353515624954</v>
      </c>
      <c r="DV238" s="1527">
        <f t="shared" ref="DV238" si="2083">DV237/DQ237-1</f>
        <v>0.15900353515624954</v>
      </c>
      <c r="DW238" s="1527">
        <f t="shared" ref="DW238" si="2084">DW237/DR237-1</f>
        <v>0.15900353515624954</v>
      </c>
      <c r="DX238" s="1535">
        <f>DX237/DS237-1</f>
        <v>0.15900353515624976</v>
      </c>
      <c r="DY238" s="1527">
        <f>DY237/DT237-1</f>
        <v>0.14796540624999954</v>
      </c>
      <c r="DZ238" s="1527">
        <f>DZ237/DU237-1</f>
        <v>0.14796540624999976</v>
      </c>
      <c r="EA238" s="1527">
        <f t="shared" ref="EA238" si="2085">EA237/DV237-1</f>
        <v>0.14796540624999954</v>
      </c>
      <c r="EB238" s="1527">
        <f t="shared" ref="EB238" si="2086">EB237/DW237-1</f>
        <v>0.14796540624999954</v>
      </c>
      <c r="EC238" s="1535">
        <f>EC237/DX237-1</f>
        <v>0.14796540624999954</v>
      </c>
    </row>
    <row r="239" spans="3:133">
      <c r="CY239" s="1372"/>
      <c r="DD239" s="1372"/>
      <c r="DG239" s="1527"/>
      <c r="DH239" s="1527"/>
      <c r="DI239" s="1372"/>
      <c r="DJ239" s="1531">
        <f t="shared" ref="DJ239:DP239" si="2087">DJ237-DJ235-DJ233-DJ231</f>
        <v>0</v>
      </c>
      <c r="DK239" s="1531">
        <f t="shared" si="2087"/>
        <v>0</v>
      </c>
      <c r="DL239" s="1531">
        <f t="shared" si="2087"/>
        <v>-2.0323370000000409</v>
      </c>
      <c r="DM239" s="1531">
        <f t="shared" si="2087"/>
        <v>0</v>
      </c>
      <c r="DN239" s="1555">
        <f t="shared" si="2087"/>
        <v>-2.0323370000003251</v>
      </c>
      <c r="DO239" s="1531">
        <f t="shared" si="2087"/>
        <v>0</v>
      </c>
      <c r="DP239" s="1531">
        <f t="shared" si="2087"/>
        <v>0</v>
      </c>
      <c r="DQ239" s="1531">
        <f t="shared" ref="DQ239:DS239" si="2088">DQ237-DQ235-DQ233-DQ231</f>
        <v>0</v>
      </c>
      <c r="DR239" s="1531">
        <f t="shared" si="2088"/>
        <v>0</v>
      </c>
      <c r="DS239" s="1555">
        <f t="shared" si="2088"/>
        <v>0</v>
      </c>
      <c r="DT239" s="1531">
        <f>DT237-DT235-DT233-DT231</f>
        <v>0</v>
      </c>
      <c r="DU239" s="1531">
        <f>DU237-DU235-DU233-DU231</f>
        <v>0</v>
      </c>
      <c r="DV239" s="1531">
        <f t="shared" ref="DV239:DX239" si="2089">DV237-DV235-DV233-DV231</f>
        <v>0</v>
      </c>
      <c r="DW239" s="1531">
        <f t="shared" si="2089"/>
        <v>0</v>
      </c>
      <c r="DX239" s="1555">
        <f t="shared" si="2089"/>
        <v>0</v>
      </c>
      <c r="DY239" s="1531">
        <f>DY237-DY235-DY233-DY231</f>
        <v>0</v>
      </c>
      <c r="DZ239" s="1531">
        <f>DZ237-DZ235-DZ233-DZ231</f>
        <v>0</v>
      </c>
      <c r="EA239" s="1531">
        <f t="shared" ref="EA239:EC239" si="2090">EA237-EA235-EA233-EA231</f>
        <v>0</v>
      </c>
      <c r="EB239" s="1531">
        <f t="shared" si="2090"/>
        <v>0</v>
      </c>
      <c r="EC239" s="1555">
        <f t="shared" si="2090"/>
        <v>0</v>
      </c>
    </row>
    <row r="240" spans="3:133">
      <c r="C240" s="240" t="s">
        <v>777</v>
      </c>
      <c r="BZ240" s="1505">
        <v>1400</v>
      </c>
      <c r="CE240" s="1505">
        <v>2300</v>
      </c>
      <c r="CJ240" s="1505">
        <v>2500</v>
      </c>
      <c r="CO240" s="1505">
        <v>3700</v>
      </c>
      <c r="CS240" s="1505"/>
      <c r="CT240" s="1505">
        <v>6000</v>
      </c>
      <c r="CY240" s="1540">
        <v>8000</v>
      </c>
      <c r="DD240" s="1540">
        <v>10000</v>
      </c>
      <c r="DI240" s="1540">
        <v>13000</v>
      </c>
      <c r="DN240" s="1540"/>
      <c r="DS240" s="1540"/>
      <c r="DX240" s="1540"/>
      <c r="EC240" s="1540"/>
    </row>
  </sheetData>
  <phoneticPr fontId="0" type="noConversion"/>
  <conditionalFormatting sqref="BF6:DD6 DI6:EC6">
    <cfRule type="cellIs" dxfId="4" priority="3" operator="lessThan">
      <formula>-0.01</formula>
    </cfRule>
    <cfRule type="cellIs" dxfId="3" priority="4" operator="greaterThan">
      <formula>0.001</formula>
    </cfRule>
  </conditionalFormatting>
  <conditionalFormatting sqref="CA74:EC74">
    <cfRule type="cellIs" dxfId="2" priority="2" operator="greaterThan">
      <formula>1</formula>
    </cfRule>
  </conditionalFormatting>
  <conditionalFormatting sqref="CA79:EC79">
    <cfRule type="cellIs" dxfId="1" priority="1" operator="greaterThan">
      <formula>1</formula>
    </cfRule>
  </conditionalFormatting>
  <pageMargins left="0.15" right="0.15" top="0.3" bottom="0.3" header="0.25" footer="0.25"/>
  <pageSetup scale="65" pageOrder="overThenDown" orientation="portrait" horizontalDpi="1200" verticalDpi="1200" r:id="rId1"/>
  <headerFooter alignWithMargins="0">
    <oddFooter>&amp;R&amp;"Book Antiqua,Regular"&amp;8Daniel Salmon
BMO Capital Markets
 (212) 885-4029</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4EFE2-A565-439C-9671-B6E483F236BE}">
  <sheetPr codeName="Sheet18"/>
  <dimension ref="B2:R129"/>
  <sheetViews>
    <sheetView showGridLines="0" zoomScale="85" zoomScaleNormal="85" workbookViewId="0">
      <pane xSplit="2" ySplit="5" topLeftCell="M24" activePane="bottomRight" state="frozen"/>
      <selection pane="topRight" activeCell="C1" sqref="C1"/>
      <selection pane="bottomLeft" activeCell="A6" sqref="A6"/>
      <selection pane="bottomRight" activeCell="T72" sqref="T72"/>
    </sheetView>
  </sheetViews>
  <sheetFormatPr defaultColWidth="9.140625" defaultRowHeight="11.25"/>
  <cols>
    <col min="1" max="1" width="1.5703125" style="824" customWidth="1"/>
    <col min="2" max="2" width="35" style="825" customWidth="1"/>
    <col min="3" max="3" width="9.140625" style="824"/>
    <col min="4" max="4" width="8.140625" style="824" customWidth="1"/>
    <col min="5" max="16384" width="9.140625" style="824"/>
  </cols>
  <sheetData>
    <row r="2" spans="2:14">
      <c r="B2" s="1133" t="s">
        <v>734</v>
      </c>
    </row>
    <row r="3" spans="2:14">
      <c r="B3" s="826" t="s">
        <v>453</v>
      </c>
    </row>
    <row r="5" spans="2:14">
      <c r="B5" s="1589" t="str">
        <f>'Revenue Build'!C94</f>
        <v>Revenue breakdown by Geo (40-F)</v>
      </c>
      <c r="C5" s="1590" t="str">
        <f>'Revenue Build'!BZ$4</f>
        <v>2016A</v>
      </c>
      <c r="D5" s="1590" t="str">
        <f>'Revenue Build'!CE$4</f>
        <v>2017A</v>
      </c>
      <c r="E5" s="1590" t="str">
        <f>'Revenue Build'!CJ$4</f>
        <v>2018A</v>
      </c>
      <c r="F5" s="1590" t="str">
        <f>'Revenue Build'!CO$4</f>
        <v>2019A</v>
      </c>
      <c r="G5" s="1590" t="str">
        <f>'Revenue Build'!CT$4</f>
        <v>2020A</v>
      </c>
      <c r="H5" s="1590" t="str">
        <f>'Revenue Build'!CY4</f>
        <v>2021A</v>
      </c>
      <c r="I5" s="1590" t="str">
        <f>'Revenue Build'!DD4</f>
        <v>2022A</v>
      </c>
      <c r="J5" s="1590" t="str">
        <f>'Revenue Build'!DI$4</f>
        <v>2023A</v>
      </c>
      <c r="K5" s="1590" t="str">
        <f>'Revenue Build'!DN$4</f>
        <v>2024E</v>
      </c>
      <c r="L5" s="1590" t="str">
        <f>'Revenue Build'!DS$4</f>
        <v>2025E</v>
      </c>
      <c r="M5" s="1590" t="str">
        <f>'Revenue Build'!DX$4</f>
        <v>2026E</v>
      </c>
      <c r="N5" s="1590" t="str">
        <f>'Revenue Build'!EC$4</f>
        <v>2027E</v>
      </c>
    </row>
    <row r="6" spans="2:14">
      <c r="B6" s="1461" t="str">
        <f>'Revenue Build'!C95</f>
        <v>North America</v>
      </c>
      <c r="C6" s="1462">
        <f>'Revenue Build'!BZ95</f>
        <v>310.98800000000006</v>
      </c>
      <c r="D6" s="1462">
        <f>'Revenue Build'!CE95</f>
        <v>526.39300000000003</v>
      </c>
      <c r="E6" s="1462">
        <f>'Revenue Build'!CJ95</f>
        <v>826.22799999999995</v>
      </c>
      <c r="F6" s="1462">
        <f>'Revenue Build'!CO95</f>
        <v>1175.6880000000001</v>
      </c>
      <c r="G6" s="1462">
        <f>'Revenue Build'!CT95</f>
        <v>2146.826</v>
      </c>
      <c r="H6" s="1462">
        <f>'Revenue Build'!CY95</f>
        <v>3291</v>
      </c>
      <c r="I6" s="1462">
        <f>'Revenue Build'!DD95</f>
        <v>4066</v>
      </c>
      <c r="J6" s="1462">
        <f>'Revenue Build'!DI95</f>
        <v>5037</v>
      </c>
      <c r="K6" s="1462">
        <f>'Revenue Build'!DN95</f>
        <v>6190.4391937011715</v>
      </c>
      <c r="L6" s="1462">
        <f ca="1">'Revenue Build'!DS95</f>
        <v>7568.4958386723329</v>
      </c>
      <c r="M6" s="1462">
        <f ca="1">'Revenue Build'!DX95</f>
        <v>8956.1357823511116</v>
      </c>
      <c r="N6" s="1462">
        <f ca="1">'Revenue Build'!EC95</f>
        <v>10436.757996497894</v>
      </c>
    </row>
    <row r="7" spans="2:14">
      <c r="B7" s="1463" t="s">
        <v>563</v>
      </c>
      <c r="C7" s="1462"/>
      <c r="D7" s="1283">
        <f t="shared" ref="D7:K7" si="0">+D6/C6-1</f>
        <v>0.69264730471915303</v>
      </c>
      <c r="E7" s="1283">
        <f t="shared" si="0"/>
        <v>0.569602939248812</v>
      </c>
      <c r="F7" s="1283">
        <f t="shared" si="0"/>
        <v>0.42295831174929943</v>
      </c>
      <c r="G7" s="1283">
        <f t="shared" si="0"/>
        <v>0.82601676635297783</v>
      </c>
      <c r="H7" s="1283">
        <f t="shared" si="0"/>
        <v>0.53296075229198836</v>
      </c>
      <c r="I7" s="1283">
        <f t="shared" si="0"/>
        <v>0.23549073230021267</v>
      </c>
      <c r="J7" s="1283">
        <f t="shared" si="0"/>
        <v>0.23880964092474177</v>
      </c>
      <c r="K7" s="1283">
        <f t="shared" si="0"/>
        <v>0.22899328840602973</v>
      </c>
      <c r="L7" s="1283">
        <f ca="1">+L6/K6-1</f>
        <v>0.22261048075124412</v>
      </c>
      <c r="M7" s="1283">
        <f ca="1">+M6/L6-1</f>
        <v>0.18334421703562676</v>
      </c>
      <c r="N7" s="1283">
        <f ca="1">+N6/M6-1</f>
        <v>0.16531931294124469</v>
      </c>
    </row>
    <row r="8" spans="2:14">
      <c r="B8" s="1464" t="str">
        <f>'Revenue Build'!C96</f>
        <v>Canada</v>
      </c>
      <c r="C8" s="1462">
        <f>'Revenue Build'!BZ96</f>
        <v>26.893000000000001</v>
      </c>
      <c r="D8" s="1462">
        <f>'Revenue Build'!CE96</f>
        <v>48.106999999999999</v>
      </c>
      <c r="E8" s="1462">
        <f>'Revenue Build'!CJ96</f>
        <v>70.774000000000001</v>
      </c>
      <c r="F8" s="1462">
        <f>'Revenue Build'!CO96</f>
        <v>96.168000000000006</v>
      </c>
      <c r="G8" s="1462">
        <f>'Revenue Build'!CT96</f>
        <v>192.721</v>
      </c>
      <c r="H8" s="1462">
        <f>'Revenue Build'!CY96</f>
        <v>317</v>
      </c>
      <c r="I8" s="1462">
        <f>'Revenue Build'!DD96</f>
        <v>346</v>
      </c>
      <c r="J8" s="1462">
        <f>'Revenue Build'!DI96</f>
        <v>388</v>
      </c>
      <c r="K8" s="1462">
        <f>'Revenue Build'!DN96</f>
        <v>434.56000000000006</v>
      </c>
      <c r="L8" s="1462">
        <f>'Revenue Build'!DS96</f>
        <v>478.01600000000008</v>
      </c>
      <c r="M8" s="1462">
        <f>'Revenue Build'!DX96</f>
        <v>521.03744000000017</v>
      </c>
      <c r="N8" s="1462">
        <f>'Revenue Build'!EC96</f>
        <v>567.9308096000002</v>
      </c>
    </row>
    <row r="9" spans="2:14">
      <c r="B9" s="1463" t="s">
        <v>563</v>
      </c>
      <c r="C9" s="1462"/>
      <c r="D9" s="1283">
        <f t="shared" ref="D9:N9" si="1">+D8/C8-1</f>
        <v>0.78882980701297734</v>
      </c>
      <c r="E9" s="1283">
        <f t="shared" si="1"/>
        <v>0.47117883052362441</v>
      </c>
      <c r="F9" s="1283">
        <f t="shared" si="1"/>
        <v>0.3588040805945687</v>
      </c>
      <c r="G9" s="1283">
        <f t="shared" si="1"/>
        <v>1.004003410697945</v>
      </c>
      <c r="H9" s="1283">
        <f t="shared" si="1"/>
        <v>0.64486485645051661</v>
      </c>
      <c r="I9" s="1283">
        <f t="shared" si="1"/>
        <v>9.1482649842271391E-2</v>
      </c>
      <c r="J9" s="1283">
        <f t="shared" si="1"/>
        <v>0.12138728323699421</v>
      </c>
      <c r="K9" s="1283">
        <f t="shared" si="1"/>
        <v>0.12000000000000011</v>
      </c>
      <c r="L9" s="1283">
        <f t="shared" si="1"/>
        <v>0.10000000000000009</v>
      </c>
      <c r="M9" s="1283">
        <f t="shared" si="1"/>
        <v>9.000000000000008E-2</v>
      </c>
      <c r="N9" s="1283">
        <f t="shared" si="1"/>
        <v>9.000000000000008E-2</v>
      </c>
    </row>
    <row r="10" spans="2:14">
      <c r="B10" s="1464" t="str">
        <f>'Revenue Build'!C97</f>
        <v>US</v>
      </c>
      <c r="C10" s="1462">
        <f>'Revenue Build'!BZ97</f>
        <v>284.09500000000003</v>
      </c>
      <c r="D10" s="1462">
        <f>'Revenue Build'!CE97</f>
        <v>478.286</v>
      </c>
      <c r="E10" s="1462">
        <f>'Revenue Build'!CJ97</f>
        <v>755.45399999999995</v>
      </c>
      <c r="F10" s="1462">
        <f>'Revenue Build'!CO97</f>
        <v>1079.52</v>
      </c>
      <c r="G10" s="1462">
        <f>'Revenue Build'!CT97</f>
        <v>1954.105</v>
      </c>
      <c r="H10" s="1462">
        <f>'Revenue Build'!CY97</f>
        <v>2974</v>
      </c>
      <c r="I10" s="1462">
        <f>'Revenue Build'!DD97</f>
        <v>3720</v>
      </c>
      <c r="J10" s="1462">
        <f>'Revenue Build'!DI97</f>
        <v>4649</v>
      </c>
      <c r="K10" s="1462">
        <f>'Revenue Build'!DN97</f>
        <v>5755.8791937011711</v>
      </c>
      <c r="L10" s="1462">
        <f ca="1">'Revenue Build'!DS97</f>
        <v>7090.4798386723323</v>
      </c>
      <c r="M10" s="1462">
        <f ca="1">'Revenue Build'!DX97</f>
        <v>8435.0983423511116</v>
      </c>
      <c r="N10" s="1462">
        <f ca="1">'Revenue Build'!EC97</f>
        <v>9868.8271868978936</v>
      </c>
    </row>
    <row r="11" spans="2:14">
      <c r="B11" s="1463" t="s">
        <v>563</v>
      </c>
      <c r="C11" s="1462"/>
      <c r="D11" s="1283">
        <f t="shared" ref="D11:K11" si="2">+D10/C10-1</f>
        <v>0.68354247698833115</v>
      </c>
      <c r="E11" s="1283">
        <f t="shared" si="2"/>
        <v>0.57950264067942592</v>
      </c>
      <c r="F11" s="1283">
        <f t="shared" si="2"/>
        <v>0.42896854077150959</v>
      </c>
      <c r="G11" s="1283">
        <f t="shared" si="2"/>
        <v>0.81016099748036163</v>
      </c>
      <c r="H11" s="1283">
        <f t="shared" si="2"/>
        <v>0.52192435923351099</v>
      </c>
      <c r="I11" s="1283">
        <f t="shared" si="2"/>
        <v>0.25084061869535978</v>
      </c>
      <c r="J11" s="1283">
        <f t="shared" si="2"/>
        <v>0.24973118279569895</v>
      </c>
      <c r="K11" s="1283">
        <f t="shared" si="2"/>
        <v>0.23808973837409564</v>
      </c>
      <c r="L11" s="1283">
        <f ca="1">+L10/K10-1</f>
        <v>0.23186738290679454</v>
      </c>
      <c r="M11" s="1283">
        <f ca="1">+M10/L10-1</f>
        <v>0.18963716621053872</v>
      </c>
      <c r="N11" s="1283">
        <f ca="1">+N10/M10-1</f>
        <v>0.16997179954005848</v>
      </c>
    </row>
    <row r="12" spans="2:14">
      <c r="B12" s="1465" t="str">
        <f>'Revenue Build'!C98</f>
        <v>EMEA</v>
      </c>
      <c r="C12" s="1462"/>
      <c r="D12" s="1462"/>
      <c r="E12" s="1462"/>
      <c r="F12" s="1462"/>
      <c r="G12" s="1462">
        <f>'Revenue Build'!CT98</f>
        <v>454.26900000000001</v>
      </c>
      <c r="H12" s="1462">
        <f>'Revenue Build'!CY98</f>
        <v>799</v>
      </c>
      <c r="I12" s="1462">
        <f>'Revenue Build'!DD98</f>
        <v>917</v>
      </c>
      <c r="J12" s="1462">
        <f>'Revenue Build'!DI98</f>
        <v>1255</v>
      </c>
      <c r="K12" s="1462">
        <f>'Revenue Build'!DN98</f>
        <v>1631.5</v>
      </c>
      <c r="L12" s="1462">
        <f>'Revenue Build'!DS98</f>
        <v>2072.0050000000001</v>
      </c>
      <c r="M12" s="1462">
        <f>'Revenue Build'!DX98</f>
        <v>2590.0062500000004</v>
      </c>
      <c r="N12" s="1462">
        <f>'Revenue Build'!EC98</f>
        <v>3185.7076875000002</v>
      </c>
    </row>
    <row r="13" spans="2:14">
      <c r="B13" s="1463" t="s">
        <v>563</v>
      </c>
      <c r="C13" s="1462"/>
      <c r="D13" s="1283"/>
      <c r="E13" s="1283"/>
      <c r="F13" s="1283"/>
      <c r="G13" s="1283"/>
      <c r="H13" s="1283">
        <f t="shared" ref="H13:N13" si="3">+H12/G12-1</f>
        <v>0.75886974457865275</v>
      </c>
      <c r="I13" s="1283">
        <f t="shared" si="3"/>
        <v>0.14768460575719655</v>
      </c>
      <c r="J13" s="1283">
        <f t="shared" si="3"/>
        <v>0.36859323882224637</v>
      </c>
      <c r="K13" s="1283">
        <f t="shared" si="3"/>
        <v>0.30000000000000004</v>
      </c>
      <c r="L13" s="1283">
        <f t="shared" si="3"/>
        <v>0.27</v>
      </c>
      <c r="M13" s="1283">
        <f t="shared" si="3"/>
        <v>0.25</v>
      </c>
      <c r="N13" s="1283">
        <f t="shared" si="3"/>
        <v>0.22999999999999998</v>
      </c>
    </row>
    <row r="14" spans="2:14">
      <c r="B14" s="1464" t="str">
        <f>'Revenue Build'!C99</f>
        <v>United Kingdom</v>
      </c>
      <c r="C14" s="1462">
        <f>'Revenue Build'!BZ99</f>
        <v>25.957999999999998</v>
      </c>
      <c r="D14" s="1462">
        <f>'Revenue Build'!CE99</f>
        <v>44.59</v>
      </c>
      <c r="E14" s="1462">
        <f>'Revenue Build'!CJ99</f>
        <v>69.596000000000004</v>
      </c>
      <c r="F14" s="1462">
        <f>'Revenue Build'!CO99</f>
        <v>103.498</v>
      </c>
      <c r="G14" s="1462">
        <f>'Revenue Build'!CT99</f>
        <v>199.82499999999999</v>
      </c>
      <c r="H14" s="1462"/>
      <c r="I14" s="1462"/>
      <c r="J14" s="1462"/>
      <c r="K14" s="1462"/>
      <c r="L14" s="1462"/>
      <c r="M14" s="1462"/>
      <c r="N14" s="1462"/>
    </row>
    <row r="15" spans="2:14">
      <c r="B15" s="1463" t="s">
        <v>563</v>
      </c>
      <c r="C15" s="1462"/>
      <c r="D15" s="1283">
        <f>+D14/C14-1</f>
        <v>0.71777486709299665</v>
      </c>
      <c r="E15" s="1283">
        <f>+E14/D14-1</f>
        <v>0.56079838528818127</v>
      </c>
      <c r="F15" s="1283">
        <f>+F14/E14-1</f>
        <v>0.48712569687913088</v>
      </c>
      <c r="G15" s="1283">
        <f>+G14/F14-1</f>
        <v>0.93071363697849208</v>
      </c>
      <c r="H15" s="1283"/>
      <c r="I15" s="1283"/>
      <c r="J15" s="1283"/>
      <c r="K15" s="1283"/>
      <c r="L15" s="1283"/>
      <c r="M15" s="1283"/>
      <c r="N15" s="1283"/>
    </row>
    <row r="16" spans="2:14">
      <c r="B16" s="1461" t="str">
        <f>'Revenue Build'!C100</f>
        <v>APAC</v>
      </c>
      <c r="C16" s="1462"/>
      <c r="D16" s="1462"/>
      <c r="E16" s="1462"/>
      <c r="F16" s="1462"/>
      <c r="G16" s="1462">
        <f>'Revenue Build'!CT100</f>
        <v>292.24</v>
      </c>
      <c r="H16" s="1462">
        <f>'Revenue Build'!CY100</f>
        <v>467</v>
      </c>
      <c r="I16" s="1462">
        <f>'Revenue Build'!DD100</f>
        <v>553</v>
      </c>
      <c r="J16" s="1462">
        <f>'Revenue Build'!DI100</f>
        <v>699</v>
      </c>
      <c r="K16" s="1462">
        <f>'Revenue Build'!DN100</f>
        <v>873.75</v>
      </c>
      <c r="L16" s="1462">
        <f ca="1">'Revenue Build'!DS100</f>
        <v>1068.9706494626566</v>
      </c>
      <c r="M16" s="1462">
        <f ca="1">'Revenue Build'!DX100</f>
        <v>1279.5294704312892</v>
      </c>
      <c r="N16" s="1462">
        <f ca="1">'Revenue Build'!EC100</f>
        <v>1508.7675777384886</v>
      </c>
    </row>
    <row r="17" spans="2:14">
      <c r="B17" s="1463" t="s">
        <v>563</v>
      </c>
      <c r="C17" s="1462"/>
      <c r="D17" s="1283"/>
      <c r="E17" s="1283"/>
      <c r="F17" s="1283"/>
      <c r="G17" s="1283"/>
      <c r="H17" s="1283">
        <f t="shared" ref="H17:K17" si="4">+H16/G16-1</f>
        <v>0.59800164248562826</v>
      </c>
      <c r="I17" s="1283">
        <f t="shared" si="4"/>
        <v>0.18415417558886515</v>
      </c>
      <c r="J17" s="1283">
        <f t="shared" si="4"/>
        <v>0.26401446654611216</v>
      </c>
      <c r="K17" s="1283">
        <f t="shared" si="4"/>
        <v>0.25</v>
      </c>
      <c r="L17" s="1283">
        <f ca="1">+L16/K16-1</f>
        <v>0.22342849723909208</v>
      </c>
      <c r="M17" s="1283">
        <f ca="1">+M16/L16-1</f>
        <v>0.19697343521496591</v>
      </c>
      <c r="N17" s="1283">
        <f ca="1">+N16/M16-1</f>
        <v>0.17915813008193582</v>
      </c>
    </row>
    <row r="18" spans="2:14">
      <c r="B18" s="1464" t="str">
        <f>'Revenue Build'!C101</f>
        <v>Australia</v>
      </c>
      <c r="C18" s="1462">
        <f>'Revenue Build'!BZ101</f>
        <v>18.163</v>
      </c>
      <c r="D18" s="1462">
        <f>'Revenue Build'!CE101</f>
        <v>31.625</v>
      </c>
      <c r="E18" s="1462">
        <f>'Revenue Build'!CJ101</f>
        <v>47.936999999999998</v>
      </c>
      <c r="F18" s="1462">
        <f>'Revenue Build'!CO101</f>
        <v>68.570999999999998</v>
      </c>
      <c r="G18" s="1462">
        <f>'Revenue Build'!CT101</f>
        <v>122.00700000000001</v>
      </c>
      <c r="H18" s="1462"/>
      <c r="I18" s="1462"/>
      <c r="J18" s="1462"/>
      <c r="K18" s="1462"/>
      <c r="L18" s="1462"/>
      <c r="M18" s="1462"/>
      <c r="N18" s="1462"/>
    </row>
    <row r="19" spans="2:14">
      <c r="B19" s="1463" t="s">
        <v>563</v>
      </c>
      <c r="C19" s="1462"/>
      <c r="D19" s="1283">
        <f>+D18/C18-1</f>
        <v>0.74117711831745847</v>
      </c>
      <c r="E19" s="1283">
        <f>+E18/D18-1</f>
        <v>0.51579446640316196</v>
      </c>
      <c r="F19" s="1283">
        <f>+F18/E18-1</f>
        <v>0.43043995243757438</v>
      </c>
      <c r="G19" s="1283">
        <f>+G18/F18-1</f>
        <v>0.77927987049919079</v>
      </c>
      <c r="H19" s="1283"/>
      <c r="I19" s="1283"/>
      <c r="J19" s="1283"/>
      <c r="K19" s="1283"/>
      <c r="L19" s="1283"/>
      <c r="M19" s="1283"/>
      <c r="N19" s="1283"/>
    </row>
    <row r="20" spans="2:14">
      <c r="B20" s="1465" t="str">
        <f>'Revenue Build'!C102</f>
        <v>Latin America</v>
      </c>
      <c r="C20" s="1462"/>
      <c r="D20" s="1462"/>
      <c r="E20" s="1462"/>
      <c r="F20" s="1462"/>
      <c r="G20" s="1462">
        <f>'Revenue Build'!CT102</f>
        <v>36.155999999999999</v>
      </c>
      <c r="H20" s="1462">
        <f>'Revenue Build'!CY102</f>
        <v>55</v>
      </c>
      <c r="I20" s="1462">
        <f>'Revenue Build'!DD102</f>
        <v>64</v>
      </c>
      <c r="J20" s="1462">
        <f>'Revenue Build'!DI102</f>
        <v>69</v>
      </c>
      <c r="K20" s="1462">
        <f>'Revenue Build'!DN102</f>
        <v>75.900000000000006</v>
      </c>
      <c r="L20" s="1462">
        <f>'Revenue Build'!DS102</f>
        <v>87.284999999999997</v>
      </c>
      <c r="M20" s="1462">
        <f>'Revenue Build'!DX102</f>
        <v>97.759200000000007</v>
      </c>
      <c r="N20" s="1462">
        <f>'Revenue Build'!EC102</f>
        <v>107.53512000000002</v>
      </c>
    </row>
    <row r="21" spans="2:14">
      <c r="B21" s="1463" t="s">
        <v>563</v>
      </c>
      <c r="C21" s="1462"/>
      <c r="D21" s="1283"/>
      <c r="E21" s="1283"/>
      <c r="F21" s="1283"/>
      <c r="G21" s="1283"/>
      <c r="H21" s="1283">
        <f t="shared" ref="H21:N21" si="5">+H20/G20-1</f>
        <v>0.52118597189954641</v>
      </c>
      <c r="I21" s="1283">
        <f t="shared" si="5"/>
        <v>0.16363636363636358</v>
      </c>
      <c r="J21" s="1283">
        <f t="shared" si="5"/>
        <v>7.8125E-2</v>
      </c>
      <c r="K21" s="1283">
        <f t="shared" si="5"/>
        <v>0.10000000000000009</v>
      </c>
      <c r="L21" s="1283">
        <f t="shared" si="5"/>
        <v>0.14999999999999991</v>
      </c>
      <c r="M21" s="1283">
        <f t="shared" si="5"/>
        <v>0.12000000000000011</v>
      </c>
      <c r="N21" s="1283">
        <f t="shared" si="5"/>
        <v>0.10000000000000009</v>
      </c>
    </row>
    <row r="22" spans="2:14">
      <c r="B22" s="1461" t="str">
        <f>'Revenue Build'!C103</f>
        <v>ROW</v>
      </c>
      <c r="C22" s="1462">
        <f>'Revenue Build'!BZ103</f>
        <v>34.220999999999997</v>
      </c>
      <c r="D22" s="1462">
        <f>'Revenue Build'!CE103</f>
        <v>70.695999999999998</v>
      </c>
      <c r="E22" s="1462">
        <f>'Revenue Build'!CJ103</f>
        <v>129.46799999999999</v>
      </c>
      <c r="F22" s="1462">
        <f>'Revenue Build'!CO103</f>
        <v>230.416</v>
      </c>
      <c r="G22" s="1462"/>
      <c r="H22" s="1462"/>
      <c r="I22" s="1462"/>
      <c r="J22" s="1462"/>
      <c r="K22" s="1462"/>
      <c r="L22" s="1462"/>
      <c r="M22" s="1462"/>
      <c r="N22" s="1462"/>
    </row>
    <row r="23" spans="2:14">
      <c r="B23" s="1463" t="s">
        <v>563</v>
      </c>
      <c r="C23" s="1462"/>
      <c r="D23" s="1283">
        <f>+D22/C22-1</f>
        <v>1.0658659887203767</v>
      </c>
      <c r="E23" s="1283">
        <f>+E22/D22-1</f>
        <v>0.83133416317754882</v>
      </c>
      <c r="F23" s="1283">
        <f>+F22/E22-1</f>
        <v>0.77971390613896885</v>
      </c>
      <c r="G23" s="1283"/>
      <c r="H23" s="1283"/>
      <c r="I23" s="1283"/>
      <c r="J23" s="1283"/>
      <c r="K23" s="1283"/>
      <c r="L23" s="1283"/>
      <c r="M23" s="1283"/>
      <c r="N23" s="1283"/>
    </row>
    <row r="24" spans="2:14">
      <c r="B24" s="1466" t="str">
        <f>'Revenue Build'!C104</f>
        <v>Total</v>
      </c>
      <c r="C24" s="1467">
        <f>'Revenue Build'!BZ104</f>
        <v>389.33000000000004</v>
      </c>
      <c r="D24" s="1467">
        <f>'Revenue Build'!CE104</f>
        <v>673.30400000000009</v>
      </c>
      <c r="E24" s="1467">
        <f>'Revenue Build'!CJ104</f>
        <v>1073.229</v>
      </c>
      <c r="F24" s="1467">
        <f>'Revenue Build'!CO104</f>
        <v>1578.173</v>
      </c>
      <c r="G24" s="1467">
        <f>'Revenue Build'!CT104</f>
        <v>2929.491</v>
      </c>
      <c r="H24" s="1467">
        <f>'Revenue Build'!CY104</f>
        <v>4612</v>
      </c>
      <c r="I24" s="1467">
        <f>'Revenue Build'!DD104</f>
        <v>5600</v>
      </c>
      <c r="J24" s="1467">
        <f>'Revenue Build'!DI104</f>
        <v>7060</v>
      </c>
      <c r="K24" s="1467">
        <f>'Revenue Build'!DN104</f>
        <v>8771.5891937011711</v>
      </c>
      <c r="L24" s="1467">
        <f>'Revenue Build'!DS104</f>
        <v>10796.75648813499</v>
      </c>
      <c r="M24" s="1467">
        <f>'Revenue Build'!DX104</f>
        <v>12923.430702782402</v>
      </c>
      <c r="N24" s="1467">
        <f>'Revenue Build'!EC104</f>
        <v>15238.768381736383</v>
      </c>
    </row>
    <row r="25" spans="2:14">
      <c r="B25" s="1463" t="s">
        <v>563</v>
      </c>
      <c r="C25" s="1462"/>
      <c r="D25" s="1283">
        <f t="shared" ref="D25:N25" si="6">+D24/C24-1</f>
        <v>0.72939151876300312</v>
      </c>
      <c r="E25" s="1283">
        <f t="shared" si="6"/>
        <v>0.59397389589249427</v>
      </c>
      <c r="F25" s="1283">
        <f t="shared" si="6"/>
        <v>0.47049045450691329</v>
      </c>
      <c r="G25" s="1283">
        <f t="shared" si="6"/>
        <v>0.856254669164914</v>
      </c>
      <c r="H25" s="1283">
        <f t="shared" si="6"/>
        <v>0.57433492712556555</v>
      </c>
      <c r="I25" s="1283">
        <f t="shared" si="6"/>
        <v>0.21422376409366861</v>
      </c>
      <c r="J25" s="1283">
        <f t="shared" si="6"/>
        <v>0.26071428571428568</v>
      </c>
      <c r="K25" s="1283">
        <f t="shared" si="6"/>
        <v>0.24243472998600146</v>
      </c>
      <c r="L25" s="1283">
        <f t="shared" si="6"/>
        <v>0.23087803700247167</v>
      </c>
      <c r="M25" s="1283">
        <f t="shared" si="6"/>
        <v>0.19697343521496502</v>
      </c>
      <c r="N25" s="1283">
        <f t="shared" si="6"/>
        <v>0.17915813008193648</v>
      </c>
    </row>
    <row r="26" spans="2:14">
      <c r="B26" s="6"/>
      <c r="C26" s="1282"/>
      <c r="D26" s="1282"/>
      <c r="E26" s="1282"/>
      <c r="F26" s="1282"/>
      <c r="G26" s="1282"/>
      <c r="H26" s="1282"/>
      <c r="I26" s="1282"/>
      <c r="J26" s="1282"/>
      <c r="K26" s="1282"/>
      <c r="L26" s="1282"/>
      <c r="M26" s="1282"/>
      <c r="N26" s="1282"/>
    </row>
    <row r="27" spans="2:14">
      <c r="B27" s="1589" t="str">
        <f>'Revenue Build'!C118</f>
        <v>Revenue % breakdown by Geo (40-F)</v>
      </c>
      <c r="C27" s="1591" t="str">
        <f t="shared" ref="C27:N27" si="7">+C5</f>
        <v>2016A</v>
      </c>
      <c r="D27" s="1591" t="str">
        <f t="shared" si="7"/>
        <v>2017A</v>
      </c>
      <c r="E27" s="1591" t="str">
        <f t="shared" si="7"/>
        <v>2018A</v>
      </c>
      <c r="F27" s="1591" t="str">
        <f t="shared" si="7"/>
        <v>2019A</v>
      </c>
      <c r="G27" s="1591" t="str">
        <f t="shared" si="7"/>
        <v>2020A</v>
      </c>
      <c r="H27" s="1591" t="str">
        <f t="shared" si="7"/>
        <v>2021A</v>
      </c>
      <c r="I27" s="1591" t="str">
        <f t="shared" si="7"/>
        <v>2022A</v>
      </c>
      <c r="J27" s="1591" t="str">
        <f t="shared" si="7"/>
        <v>2023A</v>
      </c>
      <c r="K27" s="1591" t="str">
        <f t="shared" si="7"/>
        <v>2024E</v>
      </c>
      <c r="L27" s="1591" t="str">
        <f t="shared" si="7"/>
        <v>2025E</v>
      </c>
      <c r="M27" s="1591" t="str">
        <f t="shared" si="7"/>
        <v>2026E</v>
      </c>
      <c r="N27" s="1591" t="str">
        <f t="shared" si="7"/>
        <v>2027E</v>
      </c>
    </row>
    <row r="28" spans="2:14">
      <c r="B28" s="1461" t="str">
        <f>'Revenue Build'!C119</f>
        <v>North America</v>
      </c>
      <c r="C28" s="1458">
        <f>'Revenue Build'!BZ119</f>
        <v>0.79877738679269517</v>
      </c>
      <c r="D28" s="1458">
        <f>'Revenue Build'!CE119</f>
        <v>0.78180584104654061</v>
      </c>
      <c r="E28" s="1458">
        <f>'Revenue Build'!CJ119</f>
        <v>0.76985247323730532</v>
      </c>
      <c r="F28" s="1458">
        <f>'Revenue Build'!CO119</f>
        <v>0.74496775702030138</v>
      </c>
      <c r="G28" s="1458">
        <f>'Revenue Build'!CT119</f>
        <v>0.73283242720322406</v>
      </c>
      <c r="H28" s="1458">
        <f>'Revenue Build'!CY119</f>
        <v>0.71357328707718992</v>
      </c>
      <c r="I28" s="1458">
        <f>'Revenue Build'!DD119</f>
        <v>0.72607142857142859</v>
      </c>
      <c r="J28" s="1458">
        <f>'Revenue Build'!DI119</f>
        <v>0.71345609065155813</v>
      </c>
      <c r="K28" s="1458">
        <f>'Revenue Build'!DN119</f>
        <v>0.70573747322167013</v>
      </c>
      <c r="L28" s="1458">
        <f ca="1">'Revenue Build'!DS119</f>
        <v>0.70099717882770363</v>
      </c>
      <c r="M28" s="1458">
        <f ca="1">'Revenue Build'!DX119</f>
        <v>0.69301534463467696</v>
      </c>
      <c r="N28" s="1458">
        <f ca="1">'Revenue Build'!EC119</f>
        <v>0.68488198882308071</v>
      </c>
    </row>
    <row r="29" spans="2:14">
      <c r="B29" s="1464" t="str">
        <f>'Revenue Build'!C120</f>
        <v>Canada</v>
      </c>
      <c r="C29" s="1458">
        <f>'Revenue Build'!BZ120</f>
        <v>6.9075077697583018E-2</v>
      </c>
      <c r="D29" s="1458">
        <f>'Revenue Build'!CE120</f>
        <v>7.1449152240295605E-2</v>
      </c>
      <c r="E29" s="1458">
        <f>'Revenue Build'!CJ120</f>
        <v>6.5944919490621298E-2</v>
      </c>
      <c r="F29" s="1458">
        <f>'Revenue Build'!CO120</f>
        <v>6.0936285185464463E-2</v>
      </c>
      <c r="G29" s="1458">
        <f>'Revenue Build'!CT120</f>
        <v>6.5786513766384669E-2</v>
      </c>
      <c r="H29" s="1458">
        <f>'Revenue Build'!CY120</f>
        <v>6.8733738074588033E-2</v>
      </c>
      <c r="I29" s="1458">
        <f>'Revenue Build'!DD120</f>
        <v>6.1785714285714284E-2</v>
      </c>
      <c r="J29" s="1458">
        <f>'Revenue Build'!DI120</f>
        <v>5.4957507082152975E-2</v>
      </c>
      <c r="K29" s="1458">
        <f>'Revenue Build'!DN120</f>
        <v>4.9541763801712824E-2</v>
      </c>
      <c r="L29" s="1458">
        <f>'Revenue Build'!DS120</f>
        <v>4.4274037348652991E-2</v>
      </c>
      <c r="M29" s="1458">
        <f>'Revenue Build'!DX120</f>
        <v>4.0317269615398749E-2</v>
      </c>
      <c r="N29" s="1458">
        <f>'Revenue Build'!EC120</f>
        <v>3.7268813028267005E-2</v>
      </c>
    </row>
    <row r="30" spans="2:14">
      <c r="B30" s="1464" t="str">
        <f>'Revenue Build'!C121</f>
        <v>US</v>
      </c>
      <c r="C30" s="1458">
        <f>'Revenue Build'!BZ121</f>
        <v>0.72970230909511213</v>
      </c>
      <c r="D30" s="1458">
        <f>'Revenue Build'!CE121</f>
        <v>0.71035668880624492</v>
      </c>
      <c r="E30" s="1458">
        <f>'Revenue Build'!CJ121</f>
        <v>0.70390755374668401</v>
      </c>
      <c r="F30" s="1458">
        <f>'Revenue Build'!CO121</f>
        <v>0.68403147183483681</v>
      </c>
      <c r="G30" s="1458">
        <f>'Revenue Build'!CT121</f>
        <v>0.66704591343683939</v>
      </c>
      <c r="H30" s="1458">
        <f>'Revenue Build'!CY121</f>
        <v>0.64483954900260188</v>
      </c>
      <c r="I30" s="1458">
        <f>'Revenue Build'!DD121</f>
        <v>0.66428571428571426</v>
      </c>
      <c r="J30" s="1458">
        <f>'Revenue Build'!DI121</f>
        <v>0.65849858356940505</v>
      </c>
      <c r="K30" s="1458">
        <f>'Revenue Build'!DN121</f>
        <v>0.65619570941995731</v>
      </c>
      <c r="L30" s="1458">
        <f ca="1">'Revenue Build'!DS121</f>
        <v>0.65672314147905053</v>
      </c>
      <c r="M30" s="1458">
        <f ca="1">'Revenue Build'!DX121</f>
        <v>0.65269807501927823</v>
      </c>
      <c r="N30" s="1458">
        <f ca="1">'Revenue Build'!EC121</f>
        <v>0.6476131757948137</v>
      </c>
    </row>
    <row r="31" spans="2:14">
      <c r="B31" s="1465" t="str">
        <f>'Revenue Build'!C122</f>
        <v>EMEA</v>
      </c>
      <c r="C31" s="1458">
        <f>'Revenue Build'!BZ122</f>
        <v>0</v>
      </c>
      <c r="D31" s="1458">
        <f>'Revenue Build'!CE122</f>
        <v>0</v>
      </c>
      <c r="E31" s="1458">
        <f>'Revenue Build'!CJ122</f>
        <v>0</v>
      </c>
      <c r="F31" s="1458">
        <f>'Revenue Build'!CO122</f>
        <v>0</v>
      </c>
      <c r="G31" s="1458">
        <f>'Revenue Build'!CT122</f>
        <v>0.15506755269089409</v>
      </c>
      <c r="H31" s="1458">
        <f>'Revenue Build'!CY122</f>
        <v>0.17324371205550737</v>
      </c>
      <c r="I31" s="1458">
        <f>'Revenue Build'!DD122</f>
        <v>0.16375000000000001</v>
      </c>
      <c r="J31" s="1458">
        <f>'Revenue Build'!DI122</f>
        <v>0.17776203966005666</v>
      </c>
      <c r="K31" s="1458">
        <f>'Revenue Build'!DN122</f>
        <v>0.18599822266774316</v>
      </c>
      <c r="L31" s="1458">
        <f>'Revenue Build'!DS122</f>
        <v>0.19190995020374996</v>
      </c>
      <c r="M31" s="1458">
        <f>'Revenue Build'!DX122</f>
        <v>0.20041166386587847</v>
      </c>
      <c r="N31" s="1458">
        <f>'Revenue Build'!EC122</f>
        <v>0.20905283207257491</v>
      </c>
    </row>
    <row r="32" spans="2:14">
      <c r="B32" s="1464" t="str">
        <f>'Revenue Build'!C123</f>
        <v>United Kingdom</v>
      </c>
      <c r="C32" s="1458">
        <f>'Revenue Build'!BZ123</f>
        <v>6.6673516040377051E-2</v>
      </c>
      <c r="D32" s="1458">
        <f>'Revenue Build'!CE123</f>
        <v>6.6225657355369935E-2</v>
      </c>
      <c r="E32" s="1458">
        <f>'Revenue Build'!CJ123</f>
        <v>6.4847297268336948E-2</v>
      </c>
      <c r="F32" s="1458">
        <f>'Revenue Build'!CO123</f>
        <v>6.5580896390953339E-2</v>
      </c>
      <c r="G32" s="1458">
        <f>'Revenue Build'!CT123</f>
        <v>6.8211508415625788E-2</v>
      </c>
      <c r="H32" s="1458">
        <f>'Revenue Build'!CY123</f>
        <v>0</v>
      </c>
      <c r="I32" s="1458">
        <f>'Revenue Build'!DD123</f>
        <v>0</v>
      </c>
      <c r="J32" s="1458">
        <f>'Revenue Build'!DI123</f>
        <v>0</v>
      </c>
      <c r="K32" s="1458">
        <f>'Revenue Build'!DN123</f>
        <v>0</v>
      </c>
      <c r="L32" s="1458">
        <f>'Revenue Build'!DS123</f>
        <v>0</v>
      </c>
      <c r="M32" s="1458">
        <f>'Revenue Build'!DX123</f>
        <v>0</v>
      </c>
      <c r="N32" s="1458">
        <f>'Revenue Build'!EC123</f>
        <v>0</v>
      </c>
    </row>
    <row r="33" spans="2:14">
      <c r="B33" s="1461" t="str">
        <f>'Revenue Build'!C124</f>
        <v>APAC</v>
      </c>
      <c r="C33" s="1458">
        <f>'Revenue Build'!BZ124</f>
        <v>0</v>
      </c>
      <c r="D33" s="1458">
        <f>'Revenue Build'!CE124</f>
        <v>0</v>
      </c>
      <c r="E33" s="1458">
        <f>'Revenue Build'!CJ124</f>
        <v>0</v>
      </c>
      <c r="F33" s="1458">
        <f>'Revenue Build'!CO124</f>
        <v>0</v>
      </c>
      <c r="G33" s="1458">
        <f>'Revenue Build'!CT124</f>
        <v>9.9757944298173307E-2</v>
      </c>
      <c r="H33" s="1458">
        <f>'Revenue Build'!CY124</f>
        <v>0.10125758889852558</v>
      </c>
      <c r="I33" s="1458">
        <f>'Revenue Build'!DD124</f>
        <v>9.8750000000000004E-2</v>
      </c>
      <c r="J33" s="1458">
        <f>'Revenue Build'!DI124</f>
        <v>9.9008498583569401E-2</v>
      </c>
      <c r="K33" s="1458">
        <f>'Revenue Build'!DN124</f>
        <v>9.9611368100484571E-2</v>
      </c>
      <c r="L33" s="1458">
        <f ca="1">'Revenue Build'!DS124</f>
        <v>9.9008498583569374E-2</v>
      </c>
      <c r="M33" s="1458">
        <f ca="1">'Revenue Build'!DX124</f>
        <v>9.9008498583569429E-2</v>
      </c>
      <c r="N33" s="1458">
        <f ca="1">'Revenue Build'!EC124</f>
        <v>9.9008498583569388E-2</v>
      </c>
    </row>
    <row r="34" spans="2:14">
      <c r="B34" s="1464" t="str">
        <f>'Revenue Build'!C125</f>
        <v>Australia</v>
      </c>
      <c r="C34" s="1458">
        <f>'Revenue Build'!BZ125</f>
        <v>4.665194051318932E-2</v>
      </c>
      <c r="D34" s="1458">
        <f>'Revenue Build'!CE125</f>
        <v>4.6969867994249251E-2</v>
      </c>
      <c r="E34" s="1458">
        <f>'Revenue Build'!CJ125</f>
        <v>4.4666143013280479E-2</v>
      </c>
      <c r="F34" s="1458">
        <f>'Revenue Build'!CO125</f>
        <v>4.3449609136640914E-2</v>
      </c>
      <c r="G34" s="1458">
        <f>'Revenue Build'!CT125</f>
        <v>4.1647849404555265E-2</v>
      </c>
      <c r="H34" s="1458">
        <f>'Revenue Build'!CY125</f>
        <v>0</v>
      </c>
      <c r="I34" s="1458">
        <f>'Revenue Build'!DD125</f>
        <v>0</v>
      </c>
      <c r="J34" s="1458">
        <f>'Revenue Build'!DI125</f>
        <v>0</v>
      </c>
      <c r="K34" s="1458">
        <f>'Revenue Build'!DN125</f>
        <v>0</v>
      </c>
      <c r="L34" s="1458">
        <f>'Revenue Build'!DS125</f>
        <v>0</v>
      </c>
      <c r="M34" s="1458">
        <f>'Revenue Build'!DX125</f>
        <v>0</v>
      </c>
      <c r="N34" s="1458">
        <f>'Revenue Build'!EC125</f>
        <v>0</v>
      </c>
    </row>
    <row r="35" spans="2:14">
      <c r="B35" s="1465" t="str">
        <f>'Revenue Build'!C126</f>
        <v>Latin America</v>
      </c>
      <c r="C35" s="1458">
        <f>'Revenue Build'!BZ126</f>
        <v>0</v>
      </c>
      <c r="D35" s="1458">
        <f>'Revenue Build'!CE126</f>
        <v>0</v>
      </c>
      <c r="E35" s="1458">
        <f>'Revenue Build'!CJ126</f>
        <v>0</v>
      </c>
      <c r="F35" s="1458">
        <f>'Revenue Build'!CO126</f>
        <v>0</v>
      </c>
      <c r="G35" s="1458">
        <f>'Revenue Build'!CT126</f>
        <v>1.2342075807708575E-2</v>
      </c>
      <c r="H35" s="1458">
        <f>'Revenue Build'!CY126</f>
        <v>1.1925411968777104E-2</v>
      </c>
      <c r="I35" s="1458">
        <f>'Revenue Build'!DD126</f>
        <v>1.1428571428571429E-2</v>
      </c>
      <c r="J35" s="1458">
        <f>'Revenue Build'!DI126</f>
        <v>9.7733711048158638E-3</v>
      </c>
      <c r="K35" s="1458">
        <f>'Revenue Build'!DN126</f>
        <v>8.6529360101021795E-3</v>
      </c>
      <c r="L35" s="1458">
        <f>'Revenue Build'!DS126</f>
        <v>8.0843723849770219E-3</v>
      </c>
      <c r="M35" s="1458">
        <f>'Revenue Build'!DX126</f>
        <v>7.5644929158750814E-3</v>
      </c>
      <c r="N35" s="1458">
        <f>'Revenue Build'!EC126</f>
        <v>7.0566805207749285E-3</v>
      </c>
    </row>
    <row r="36" spans="2:14">
      <c r="B36" s="1461" t="str">
        <f>'Revenue Build'!C127</f>
        <v>ROW</v>
      </c>
      <c r="C36" s="1458">
        <f>'Revenue Build'!BZ127</f>
        <v>8.7897156653738456E-2</v>
      </c>
      <c r="D36" s="1458">
        <f>'Revenue Build'!CE127</f>
        <v>0.10499863360384015</v>
      </c>
      <c r="E36" s="1458">
        <f>'Revenue Build'!CJ127</f>
        <v>0.12063408648107718</v>
      </c>
      <c r="F36" s="1458">
        <f>'Revenue Build'!CO127</f>
        <v>0.14600173745210443</v>
      </c>
      <c r="G36" s="1458">
        <f>'Revenue Build'!CT127</f>
        <v>0</v>
      </c>
      <c r="H36" s="1458">
        <f>'Revenue Build'!CY127</f>
        <v>0</v>
      </c>
      <c r="I36" s="1458">
        <f>'Revenue Build'!DD127</f>
        <v>0</v>
      </c>
      <c r="J36" s="1458">
        <f>'Revenue Build'!DI127</f>
        <v>0</v>
      </c>
      <c r="K36" s="1458">
        <f>'Revenue Build'!DN127</f>
        <v>0</v>
      </c>
      <c r="L36" s="1458">
        <f>'Revenue Build'!DS127</f>
        <v>0</v>
      </c>
      <c r="M36" s="1458">
        <f>'Revenue Build'!DX127</f>
        <v>0</v>
      </c>
      <c r="N36" s="1458">
        <f>'Revenue Build'!EC127</f>
        <v>0</v>
      </c>
    </row>
    <row r="37" spans="2:14">
      <c r="B37" s="1466" t="s">
        <v>654</v>
      </c>
      <c r="C37" s="1468">
        <f>'Revenue Build'!BZ128</f>
        <v>1</v>
      </c>
      <c r="D37" s="1468">
        <f>'Revenue Build'!CE128</f>
        <v>0.99999999999999978</v>
      </c>
      <c r="E37" s="1468">
        <f>'Revenue Build'!CJ128</f>
        <v>0.99999999999999989</v>
      </c>
      <c r="F37" s="1468">
        <f>'Revenue Build'!CO128</f>
        <v>0.99999999999999989</v>
      </c>
      <c r="G37" s="1468">
        <f>'Revenue Build'!CT128</f>
        <v>1.1098593578201812</v>
      </c>
      <c r="H37" s="1468">
        <f>'Revenue Build'!CY128</f>
        <v>0.99999999999999989</v>
      </c>
      <c r="I37" s="1468">
        <f>'Revenue Build'!DD128</f>
        <v>1</v>
      </c>
      <c r="J37" s="1468">
        <f>'Revenue Build'!DI128</f>
        <v>1</v>
      </c>
      <c r="K37" s="1468">
        <f>'Revenue Build'!DN128</f>
        <v>1</v>
      </c>
      <c r="L37" s="1468">
        <f ca="1">'Revenue Build'!DS128</f>
        <v>0.99999999999999989</v>
      </c>
      <c r="M37" s="1468">
        <f ca="1">'Revenue Build'!DX128</f>
        <v>1</v>
      </c>
      <c r="N37" s="1468">
        <f ca="1">'Revenue Build'!EC128</f>
        <v>1</v>
      </c>
    </row>
    <row r="38" spans="2:14">
      <c r="B38" s="6"/>
      <c r="C38" s="1282"/>
      <c r="D38" s="1282"/>
      <c r="E38" s="1282"/>
      <c r="F38" s="1282"/>
      <c r="G38" s="1282"/>
      <c r="H38" s="1282"/>
      <c r="I38" s="1282"/>
      <c r="J38" s="1282"/>
      <c r="K38" s="1282"/>
      <c r="L38" s="1282"/>
      <c r="M38" s="1282"/>
      <c r="N38" s="1282"/>
    </row>
    <row r="39" spans="2:14">
      <c r="B39" s="1589" t="str">
        <f>'Revenue Build'!$C$130</f>
        <v>GMV split</v>
      </c>
      <c r="C39" s="1591" t="str">
        <f t="shared" ref="C39:N39" si="8">+C27</f>
        <v>2016A</v>
      </c>
      <c r="D39" s="1591" t="str">
        <f t="shared" si="8"/>
        <v>2017A</v>
      </c>
      <c r="E39" s="1591" t="str">
        <f t="shared" si="8"/>
        <v>2018A</v>
      </c>
      <c r="F39" s="1591" t="str">
        <f t="shared" si="8"/>
        <v>2019A</v>
      </c>
      <c r="G39" s="1591" t="str">
        <f t="shared" si="8"/>
        <v>2020A</v>
      </c>
      <c r="H39" s="1591" t="str">
        <f t="shared" si="8"/>
        <v>2021A</v>
      </c>
      <c r="I39" s="1591" t="str">
        <f t="shared" si="8"/>
        <v>2022A</v>
      </c>
      <c r="J39" s="1591" t="str">
        <f t="shared" si="8"/>
        <v>2023A</v>
      </c>
      <c r="K39" s="1591" t="str">
        <f t="shared" si="8"/>
        <v>2024E</v>
      </c>
      <c r="L39" s="1591" t="str">
        <f t="shared" si="8"/>
        <v>2025E</v>
      </c>
      <c r="M39" s="1591" t="str">
        <f t="shared" si="8"/>
        <v>2026E</v>
      </c>
      <c r="N39" s="1591" t="str">
        <f t="shared" si="8"/>
        <v>2027E</v>
      </c>
    </row>
    <row r="40" spans="2:14">
      <c r="B40" s="1461" t="str">
        <f>'Revenue Build'!C131</f>
        <v>North America</v>
      </c>
      <c r="C40" s="1469">
        <f>'Revenue Build'!BZ131</f>
        <v>11326.148092199999</v>
      </c>
      <c r="D40" s="1469">
        <f>'Revenue Build'!CE131</f>
        <v>19039.996510000001</v>
      </c>
      <c r="E40" s="1469">
        <f>'Revenue Build'!CJ131</f>
        <v>29187.409303799999</v>
      </c>
      <c r="F40" s="1469">
        <f>'Revenue Build'!CO131</f>
        <v>42796.919900000001</v>
      </c>
      <c r="G40" s="1469">
        <f>'Revenue Build'!CT131</f>
        <v>81910.345694999996</v>
      </c>
      <c r="H40" s="1469">
        <f>'Revenue Build'!CY131</f>
        <v>117492.41537999999</v>
      </c>
      <c r="I40" s="1469">
        <f>'Revenue Build'!DD131</f>
        <v>129198.86200499999</v>
      </c>
      <c r="J40" s="1469">
        <f>'Revenue Build'!DI131</f>
        <v>150992</v>
      </c>
      <c r="K40" s="1469">
        <f>'Revenue Build'!DN131</f>
        <v>180894.99843750001</v>
      </c>
      <c r="L40" s="1469">
        <f>'Revenue Build'!DS131</f>
        <v>210092.40174174303</v>
      </c>
      <c r="M40" s="1469">
        <f>'Revenue Build'!DX131</f>
        <v>239616.02716419066</v>
      </c>
      <c r="N40" s="1469">
        <f>'Revenue Build'!EC131</f>
        <v>270837.48568235035</v>
      </c>
    </row>
    <row r="41" spans="2:14">
      <c r="B41" s="1463" t="s">
        <v>563</v>
      </c>
      <c r="C41" s="1462"/>
      <c r="D41" s="1283">
        <f t="shared" ref="D41:K41" si="9">+D40/C40-1</f>
        <v>0.68106547389330996</v>
      </c>
      <c r="E41" s="1283">
        <f t="shared" si="9"/>
        <v>0.53295245030483462</v>
      </c>
      <c r="F41" s="1283">
        <f t="shared" si="9"/>
        <v>0.46628018453244957</v>
      </c>
      <c r="G41" s="1283">
        <f t="shared" si="9"/>
        <v>0.91393085965983256</v>
      </c>
      <c r="H41" s="1283">
        <f t="shared" si="9"/>
        <v>0.43440263110954014</v>
      </c>
      <c r="I41" s="1283">
        <f t="shared" si="9"/>
        <v>9.9635764463079646E-2</v>
      </c>
      <c r="J41" s="1283">
        <f t="shared" si="9"/>
        <v>0.16867902438766547</v>
      </c>
      <c r="K41" s="1283">
        <f t="shared" si="9"/>
        <v>0.19804359461097287</v>
      </c>
      <c r="L41" s="1283">
        <f>+L40/K40-1</f>
        <v>0.16140525474136225</v>
      </c>
      <c r="M41" s="1283">
        <f>+M40/L40-1</f>
        <v>0.14052685950413224</v>
      </c>
      <c r="N41" s="1283">
        <f>+N40/M40-1</f>
        <v>0.13029787234042578</v>
      </c>
    </row>
    <row r="42" spans="2:14">
      <c r="B42" s="1464" t="str">
        <f>'Revenue Build'!C133</f>
        <v>Canada</v>
      </c>
      <c r="C42" s="1469">
        <f>'Revenue Build'!BZ133</f>
        <v>979.4400447719363</v>
      </c>
      <c r="D42" s="1469">
        <f>'Revenue Build'!CE133</f>
        <v>1740.0632457243373</v>
      </c>
      <c r="E42" s="1469">
        <f>'Revenue Build'!CJ133</f>
        <v>2500.1690890010286</v>
      </c>
      <c r="F42" s="1469">
        <f>'Revenue Build'!CO133</f>
        <v>3500.6687088268372</v>
      </c>
      <c r="G42" s="1469">
        <f>'Revenue Build'!CT133</f>
        <v>7353.1081385664729</v>
      </c>
      <c r="H42" s="1469">
        <f>'Revenue Build'!CY133</f>
        <v>11317.257877684591</v>
      </c>
      <c r="I42" s="1469">
        <f>'Revenue Build'!DD133</f>
        <v>10994.295684636003</v>
      </c>
      <c r="J42" s="1469">
        <f>'Revenue Build'!DI133</f>
        <v>11630.910462576925</v>
      </c>
      <c r="K42" s="1469">
        <f>'Revenue Build'!DN133</f>
        <v>14396.557888356361</v>
      </c>
      <c r="L42" s="1469">
        <f>'Revenue Build'!DS133</f>
        <v>15374.609655177088</v>
      </c>
      <c r="M42" s="1469">
        <f>'Revenue Build'!DX133</f>
        <v>16443.683355488312</v>
      </c>
      <c r="N42" s="1469">
        <f>'Revenue Build'!EC133</f>
        <v>17708.406342002552</v>
      </c>
    </row>
    <row r="43" spans="2:14">
      <c r="B43" s="1464" t="str">
        <f>'Revenue Build'!C134</f>
        <v>US</v>
      </c>
      <c r="C43" s="1469">
        <f>'Revenue Build'!BZ134</f>
        <v>10346.708047428063</v>
      </c>
      <c r="D43" s="1469">
        <f>'Revenue Build'!CE134</f>
        <v>17299.933264275664</v>
      </c>
      <c r="E43" s="1469">
        <f>'Revenue Build'!CJ134</f>
        <v>26687.240214798971</v>
      </c>
      <c r="F43" s="1469">
        <f>'Revenue Build'!CO134</f>
        <v>39296.251191173164</v>
      </c>
      <c r="G43" s="1469">
        <f>'Revenue Build'!CT134</f>
        <v>74557.237556433523</v>
      </c>
      <c r="H43" s="1469">
        <f>'Revenue Build'!CY134</f>
        <v>106175.1575023154</v>
      </c>
      <c r="I43" s="1469">
        <f>'Revenue Build'!DD134</f>
        <v>118204.56632036399</v>
      </c>
      <c r="J43" s="1469">
        <f>'Revenue Build'!DI134</f>
        <v>139361.08953742307</v>
      </c>
      <c r="K43" s="1469">
        <f>'Revenue Build'!DN134</f>
        <v>190686.7820565741</v>
      </c>
      <c r="L43" s="1469">
        <f ca="1">'Revenue Build'!DS134</f>
        <v>228053.78854994415</v>
      </c>
      <c r="M43" s="1469">
        <f ca="1">'Revenue Build'!DX134</f>
        <v>266207.52284907963</v>
      </c>
      <c r="N43" s="1469">
        <f ca="1">'Revenue Build'!EC134</f>
        <v>307715.65653864783</v>
      </c>
    </row>
    <row r="44" spans="2:14">
      <c r="B44" s="1465" t="str">
        <f>'Revenue Build'!C135</f>
        <v>EMEA</v>
      </c>
      <c r="C44" s="1469">
        <f>'Revenue Build'!BZ135</f>
        <v>0</v>
      </c>
      <c r="D44" s="1469">
        <f>'Revenue Build'!CE135</f>
        <v>0</v>
      </c>
      <c r="E44" s="1469">
        <f>'Revenue Build'!CJ135</f>
        <v>0</v>
      </c>
      <c r="F44" s="1469">
        <f>'Revenue Build'!CO135</f>
        <v>0</v>
      </c>
      <c r="G44" s="1469">
        <f>'Revenue Build'!CT135</f>
        <v>24262.200722096008</v>
      </c>
      <c r="H44" s="1469">
        <f>'Revenue Build'!CY135</f>
        <v>38021.422273946249</v>
      </c>
      <c r="I44" s="1469">
        <f>'Revenue Build'!DD135</f>
        <v>46318.566940178585</v>
      </c>
      <c r="J44" s="1469">
        <f>'Revenue Build'!DI135</f>
        <v>59268.637393767713</v>
      </c>
      <c r="K44" s="1469">
        <f>'Revenue Build'!DN135</f>
        <v>54050.037267243657</v>
      </c>
      <c r="L44" s="1469">
        <f>'Revenue Build'!DS135</f>
        <v>66642.681580899385</v>
      </c>
      <c r="M44" s="1469">
        <f>'Revenue Build'!DX135</f>
        <v>81739.313519841657</v>
      </c>
      <c r="N44" s="1469">
        <f>'Revenue Build'!EC135</f>
        <v>99332.181426861032</v>
      </c>
    </row>
    <row r="45" spans="2:14">
      <c r="B45" s="1464" t="str">
        <f>'Revenue Build'!C136</f>
        <v>United Kingdom</v>
      </c>
      <c r="C45" s="1469">
        <f>'Revenue Build'!BZ136</f>
        <v>0</v>
      </c>
      <c r="D45" s="1469">
        <f>'Revenue Build'!CE136</f>
        <v>0</v>
      </c>
      <c r="E45" s="1469">
        <f>'Revenue Build'!CJ136</f>
        <v>0</v>
      </c>
      <c r="F45" s="1469">
        <f>'Revenue Build'!CO136</f>
        <v>0</v>
      </c>
      <c r="G45" s="1469">
        <f>'Revenue Build'!CT136</f>
        <v>0</v>
      </c>
      <c r="H45" s="1469">
        <f>'Revenue Build'!CY136</f>
        <v>0</v>
      </c>
      <c r="I45" s="1469">
        <f>'Revenue Build'!DD136</f>
        <v>0</v>
      </c>
      <c r="J45" s="1469">
        <f>'Revenue Build'!DI136</f>
        <v>0</v>
      </c>
      <c r="K45" s="1469">
        <f>'Revenue Build'!DN136</f>
        <v>0</v>
      </c>
      <c r="L45" s="1469">
        <f>'Revenue Build'!DS136</f>
        <v>0</v>
      </c>
      <c r="M45" s="1469">
        <f>'Revenue Build'!DX136</f>
        <v>0</v>
      </c>
      <c r="N45" s="1469">
        <f>'Revenue Build'!EC136</f>
        <v>0</v>
      </c>
    </row>
    <row r="46" spans="2:14">
      <c r="B46" s="1461" t="str">
        <f>'Revenue Build'!C137</f>
        <v>APAC</v>
      </c>
      <c r="C46" s="1469">
        <f>'Revenue Build'!BZ137</f>
        <v>0</v>
      </c>
      <c r="D46" s="1469">
        <f>'Revenue Build'!CE137</f>
        <v>0</v>
      </c>
      <c r="E46" s="1469">
        <f>'Revenue Build'!CJ137</f>
        <v>0</v>
      </c>
      <c r="F46" s="1469">
        <f>'Revenue Build'!CO137</f>
        <v>0</v>
      </c>
      <c r="G46" s="1469">
        <f>'Revenue Build'!CT137</f>
        <v>11928.770369760481</v>
      </c>
      <c r="H46" s="1469">
        <f>'Revenue Build'!CY137</f>
        <v>17756.71447051171</v>
      </c>
      <c r="I46" s="1469">
        <f>'Revenue Build'!DD137</f>
        <v>19478.45438625</v>
      </c>
      <c r="J46" s="1469">
        <f>'Revenue Build'!DI137</f>
        <v>23358.580028328612</v>
      </c>
      <c r="K46" s="1469">
        <f>'Revenue Build'!DN137</f>
        <v>28946.50325605525</v>
      </c>
      <c r="L46" s="1469">
        <f ca="1">'Revenue Build'!DS137</f>
        <v>34381.707868208345</v>
      </c>
      <c r="M46" s="1469">
        <f ca="1">'Revenue Build'!DX137</f>
        <v>40381.315891210725</v>
      </c>
      <c r="N46" s="1469">
        <f ca="1">'Revenue Build'!EC137</f>
        <v>47044.233013260477</v>
      </c>
    </row>
    <row r="47" spans="2:14">
      <c r="B47" s="1464" t="str">
        <f>'Revenue Build'!C138</f>
        <v>Australia</v>
      </c>
      <c r="C47" s="1469">
        <f>'Revenue Build'!BZ138</f>
        <v>0</v>
      </c>
      <c r="D47" s="1469">
        <f>'Revenue Build'!CE138</f>
        <v>0</v>
      </c>
      <c r="E47" s="1469">
        <f>'Revenue Build'!CJ138</f>
        <v>0</v>
      </c>
      <c r="F47" s="1469">
        <f>'Revenue Build'!CO138</f>
        <v>0</v>
      </c>
      <c r="G47" s="1469">
        <f>'Revenue Build'!CT138</f>
        <v>0</v>
      </c>
      <c r="H47" s="1469">
        <f>'Revenue Build'!CY138</f>
        <v>0</v>
      </c>
      <c r="I47" s="1469">
        <f>'Revenue Build'!DD138</f>
        <v>0</v>
      </c>
      <c r="J47" s="1469">
        <f>'Revenue Build'!DI138</f>
        <v>0</v>
      </c>
      <c r="K47" s="1469">
        <f>'Revenue Build'!DN138</f>
        <v>0</v>
      </c>
      <c r="L47" s="1469">
        <f>'Revenue Build'!DS138</f>
        <v>0</v>
      </c>
      <c r="M47" s="1469">
        <f>'Revenue Build'!DX138</f>
        <v>0</v>
      </c>
      <c r="N47" s="1469">
        <f>'Revenue Build'!EC138</f>
        <v>0</v>
      </c>
    </row>
    <row r="48" spans="2:14">
      <c r="B48" s="1465" t="str">
        <f>'Revenue Build'!C139</f>
        <v>Latin America</v>
      </c>
      <c r="C48" s="1469">
        <f>'Revenue Build'!BZ139</f>
        <v>0</v>
      </c>
      <c r="D48" s="1469">
        <f>'Revenue Build'!CE139</f>
        <v>0</v>
      </c>
      <c r="E48" s="1469">
        <f>'Revenue Build'!CJ139</f>
        <v>0</v>
      </c>
      <c r="F48" s="1469">
        <f>'Revenue Build'!CO139</f>
        <v>0</v>
      </c>
      <c r="G48" s="1469">
        <f>'Revenue Build'!CT139</f>
        <v>1475.8302131435119</v>
      </c>
      <c r="H48" s="1469">
        <f>'Revenue Build'!CY139</f>
        <v>2091.2618755420644</v>
      </c>
      <c r="I48" s="1469">
        <f>'Revenue Build'!DD139</f>
        <v>2254.2876685714286</v>
      </c>
      <c r="J48" s="1469">
        <f>'Revenue Build'!DI139</f>
        <v>2305.7825779036825</v>
      </c>
      <c r="K48" s="1469">
        <f>'Revenue Build'!DN139</f>
        <v>2514.4945317706365</v>
      </c>
      <c r="L48" s="1469">
        <f>'Revenue Build'!DS139</f>
        <v>2807.3805139412325</v>
      </c>
      <c r="M48" s="1469">
        <f>'Revenue Build'!DX139</f>
        <v>3085.2318978955759</v>
      </c>
      <c r="N48" s="1469">
        <f>'Revenue Build'!EC139</f>
        <v>3353.0063324742105</v>
      </c>
    </row>
    <row r="49" spans="2:18">
      <c r="B49" s="1461" t="str">
        <f>'Revenue Build'!C140</f>
        <v>ROW</v>
      </c>
      <c r="C49" s="1469">
        <f>'Revenue Build'!BZ140</f>
        <v>0</v>
      </c>
      <c r="D49" s="1469">
        <f>'Revenue Build'!CE140</f>
        <v>0</v>
      </c>
      <c r="E49" s="1469">
        <f>'Revenue Build'!CJ140</f>
        <v>0</v>
      </c>
      <c r="F49" s="1469">
        <f>'Revenue Build'!CO140</f>
        <v>0</v>
      </c>
      <c r="G49" s="1469">
        <f>'Revenue Build'!CT140</f>
        <v>0</v>
      </c>
      <c r="H49" s="1469">
        <f>'Revenue Build'!CY140</f>
        <v>0</v>
      </c>
      <c r="I49" s="1469">
        <f>'Revenue Build'!DD140</f>
        <v>0</v>
      </c>
      <c r="J49" s="1469">
        <f>'Revenue Build'!DI140</f>
        <v>0</v>
      </c>
      <c r="K49" s="1469">
        <f>'Revenue Build'!DN140</f>
        <v>0</v>
      </c>
      <c r="L49" s="1469">
        <f>'Revenue Build'!DS140</f>
        <v>0</v>
      </c>
      <c r="M49" s="1469">
        <f>'Revenue Build'!DX140</f>
        <v>0</v>
      </c>
      <c r="N49" s="1469">
        <f>'Revenue Build'!EC140</f>
        <v>0</v>
      </c>
    </row>
    <row r="50" spans="2:18">
      <c r="B50" s="1466" t="str">
        <f>'Revenue Build'!C141</f>
        <v>Total</v>
      </c>
      <c r="C50" s="1470">
        <f>'Revenue Build'!BZ141</f>
        <v>15374.165999999999</v>
      </c>
      <c r="D50" s="1470">
        <f>'Revenue Build'!CE141</f>
        <v>26320.15</v>
      </c>
      <c r="E50" s="1470">
        <f>'Revenue Build'!CJ141</f>
        <v>41103.237999999998</v>
      </c>
      <c r="F50" s="1470">
        <f>'Revenue Build'!CO141</f>
        <v>61138.457000000002</v>
      </c>
      <c r="G50" s="1470">
        <f>'Revenue Build'!CT141</f>
        <v>119577.147</v>
      </c>
      <c r="H50" s="1470">
        <f>'Revenue Build'!CY141</f>
        <v>175361.81400000001</v>
      </c>
      <c r="I50" s="1470">
        <f>'Revenue Build'!DD141</f>
        <v>197250.171</v>
      </c>
      <c r="J50" s="1470">
        <f>'Revenue Build'!DI141</f>
        <v>235925</v>
      </c>
      <c r="K50" s="1470">
        <f>'Revenue Build'!DN141</f>
        <v>290594.375</v>
      </c>
      <c r="L50" s="1470">
        <f>'Revenue Build'!DS141</f>
        <v>347260.16816817026</v>
      </c>
      <c r="M50" s="1470">
        <f>'Revenue Build'!DX141</f>
        <v>407857.06751351594</v>
      </c>
      <c r="N50" s="1470">
        <f>'Revenue Build'!EC141</f>
        <v>475153.48365324613</v>
      </c>
    </row>
    <row r="51" spans="2:18">
      <c r="B51" s="1463" t="s">
        <v>563</v>
      </c>
      <c r="C51" s="1462"/>
      <c r="D51" s="1283">
        <f t="shared" ref="D51" si="10">+D50/C50-1</f>
        <v>0.71197253886812484</v>
      </c>
      <c r="E51" s="1283">
        <f t="shared" ref="E51" si="11">+E50/D50-1</f>
        <v>0.56166427622942861</v>
      </c>
      <c r="F51" s="1283">
        <f t="shared" ref="F51" si="12">+F50/E50-1</f>
        <v>0.48743651290927503</v>
      </c>
      <c r="G51" s="1283">
        <f t="shared" ref="G51" si="13">+G50/F50-1</f>
        <v>0.9558417543969091</v>
      </c>
      <c r="H51" s="1283">
        <f t="shared" ref="H51" si="14">+H50/G50-1</f>
        <v>0.4665161228507988</v>
      </c>
      <c r="I51" s="1283">
        <f t="shared" ref="I51" si="15">+I50/H50-1</f>
        <v>0.12481826288589826</v>
      </c>
      <c r="J51" s="1283">
        <f t="shared" ref="J51" si="16">+J50/I50-1</f>
        <v>0.19606993902175129</v>
      </c>
      <c r="K51" s="1283">
        <f t="shared" ref="K51" si="17">+K50/J50-1</f>
        <v>0.23172353502172305</v>
      </c>
      <c r="L51" s="1283">
        <f>+L50/K50-1</f>
        <v>0.19499962161404616</v>
      </c>
      <c r="M51" s="1283">
        <f>+M50/L50-1</f>
        <v>0.17449999999999988</v>
      </c>
      <c r="N51" s="1283">
        <f>+N50/M50-1</f>
        <v>0.16500000000000026</v>
      </c>
    </row>
    <row r="52" spans="2:18">
      <c r="B52" s="1592"/>
      <c r="C52" s="1591" t="str">
        <f t="shared" ref="C52:N52" si="18">+C39</f>
        <v>2016A</v>
      </c>
      <c r="D52" s="1591" t="str">
        <f t="shared" si="18"/>
        <v>2017A</v>
      </c>
      <c r="E52" s="1591" t="str">
        <f t="shared" si="18"/>
        <v>2018A</v>
      </c>
      <c r="F52" s="1591" t="str">
        <f t="shared" si="18"/>
        <v>2019A</v>
      </c>
      <c r="G52" s="1591" t="str">
        <f t="shared" si="18"/>
        <v>2020A</v>
      </c>
      <c r="H52" s="1591" t="str">
        <f t="shared" si="18"/>
        <v>2021A</v>
      </c>
      <c r="I52" s="1591" t="str">
        <f t="shared" si="18"/>
        <v>2022A</v>
      </c>
      <c r="J52" s="1591" t="str">
        <f t="shared" si="18"/>
        <v>2023A</v>
      </c>
      <c r="K52" s="1591" t="str">
        <f t="shared" si="18"/>
        <v>2024E</v>
      </c>
      <c r="L52" s="1591" t="str">
        <f t="shared" si="18"/>
        <v>2025E</v>
      </c>
      <c r="M52" s="1591" t="str">
        <f t="shared" si="18"/>
        <v>2026E</v>
      </c>
      <c r="N52" s="1591" t="str">
        <f t="shared" si="18"/>
        <v>2027E</v>
      </c>
    </row>
    <row r="53" spans="2:18">
      <c r="B53" s="6" t="s">
        <v>799</v>
      </c>
      <c r="C53" s="1283">
        <f>+C40/TAM!C110/1000</f>
        <v>2.8797388348854834E-2</v>
      </c>
      <c r="D53" s="1283">
        <f>+D40/TAM!D110/1000</f>
        <v>4.1804261892531488E-2</v>
      </c>
      <c r="E53" s="1283">
        <f>+E40/TAM!E110/1000</f>
        <v>5.6076709306783629E-2</v>
      </c>
      <c r="F53" s="1283">
        <f>+F40/TAM!F110/1000</f>
        <v>7.1771896036520025E-2</v>
      </c>
      <c r="G53" s="1283">
        <f>+G40/TAM!G110/1000</f>
        <v>0.10318066487561353</v>
      </c>
      <c r="H53" s="1283">
        <f>+H40/TAM!H110/1000</f>
        <v>0.11785418028104581</v>
      </c>
      <c r="I53" s="1283">
        <f>+I40/TAM!I110/1000</f>
        <v>0.11960401867573771</v>
      </c>
      <c r="J53" s="1283">
        <f>+J40/TAM!J110/1000</f>
        <v>0.12981150356393314</v>
      </c>
      <c r="K53" s="1283">
        <f>+K40/TAM!K110/1000</f>
        <v>0.14392395544079947</v>
      </c>
      <c r="L53" s="1283">
        <f>+L40/TAM!L110/1000</f>
        <v>0.15546430727613453</v>
      </c>
      <c r="M53" s="1283">
        <f>+M40/TAM!M110/1000</f>
        <v>0.16576155978273599</v>
      </c>
      <c r="N53" s="1283">
        <f>+N40/TAM!N110/1000</f>
        <v>0.17516553824439696</v>
      </c>
    </row>
    <row r="54" spans="2:18">
      <c r="B54" s="6" t="s">
        <v>800</v>
      </c>
      <c r="C54" s="1283">
        <f>+C40/TAM!C114/1000</f>
        <v>2.1439572740881252E-3</v>
      </c>
      <c r="D54" s="1283">
        <f>+D40/TAM!D114/1000</f>
        <v>3.4580349810393071E-3</v>
      </c>
      <c r="E54" s="1283">
        <f>+E40/TAM!E114/1000</f>
        <v>5.0884486959574225E-3</v>
      </c>
      <c r="F54" s="1283">
        <f>+F40/TAM!F114/1000</f>
        <v>7.2662545096076146E-3</v>
      </c>
      <c r="G54" s="1283">
        <f>+G40/TAM!G114/1000</f>
        <v>1.3535643276637425E-2</v>
      </c>
      <c r="H54" s="1283">
        <f>+H40/TAM!H114/1000</f>
        <v>1.6541692409217192E-2</v>
      </c>
      <c r="I54" s="1283">
        <f>+I40/TAM!I114/1000</f>
        <v>1.6948727838530367E-2</v>
      </c>
      <c r="J54" s="1283">
        <f>+J40/TAM!J114/1000</f>
        <v>1.9254477941672218E-2</v>
      </c>
      <c r="K54" s="1283">
        <f>+K40/TAM!K114/1000</f>
        <v>2.2176007809751375E-2</v>
      </c>
      <c r="L54" s="1283">
        <f>+L40/TAM!L114/1000</f>
        <v>2.484741413548433E-2</v>
      </c>
      <c r="M54" s="1283">
        <f>+M40/TAM!M114/1000</f>
        <v>2.7407697464319685E-2</v>
      </c>
      <c r="N54" s="1283">
        <f>+N40/TAM!N114/1000</f>
        <v>2.9942705075130922E-2</v>
      </c>
    </row>
    <row r="55" spans="2:18">
      <c r="B55" s="6"/>
      <c r="C55" s="1282"/>
      <c r="D55" s="1282"/>
      <c r="E55" s="1282"/>
      <c r="F55" s="1282"/>
      <c r="G55" s="1282"/>
      <c r="H55" s="1282"/>
      <c r="I55" s="1282"/>
      <c r="J55" s="1282"/>
      <c r="K55" s="1282"/>
      <c r="L55" s="1282"/>
      <c r="M55" s="1282"/>
      <c r="N55" s="1282"/>
    </row>
    <row r="56" spans="2:18">
      <c r="B56" s="1592"/>
      <c r="C56" s="1591" t="str">
        <f t="shared" ref="C56:N56" si="19">+C52</f>
        <v>2016A</v>
      </c>
      <c r="D56" s="1591" t="str">
        <f t="shared" si="19"/>
        <v>2017A</v>
      </c>
      <c r="E56" s="1591" t="str">
        <f t="shared" si="19"/>
        <v>2018A</v>
      </c>
      <c r="F56" s="1591" t="str">
        <f t="shared" si="19"/>
        <v>2019A</v>
      </c>
      <c r="G56" s="1591" t="str">
        <f t="shared" si="19"/>
        <v>2020A</v>
      </c>
      <c r="H56" s="1591" t="str">
        <f t="shared" si="19"/>
        <v>2021A</v>
      </c>
      <c r="I56" s="1591" t="str">
        <f t="shared" si="19"/>
        <v>2022A</v>
      </c>
      <c r="J56" s="1591" t="str">
        <f t="shared" si="19"/>
        <v>2023A</v>
      </c>
      <c r="K56" s="1591" t="str">
        <f t="shared" si="19"/>
        <v>2024E</v>
      </c>
      <c r="L56" s="1591" t="str">
        <f t="shared" si="19"/>
        <v>2025E</v>
      </c>
      <c r="M56" s="1591" t="str">
        <f t="shared" si="19"/>
        <v>2026E</v>
      </c>
      <c r="N56" s="1591" t="str">
        <f t="shared" si="19"/>
        <v>2027E</v>
      </c>
    </row>
    <row r="57" spans="2:18">
      <c r="B57" s="6" t="s">
        <v>801</v>
      </c>
      <c r="C57" s="1471"/>
      <c r="D57" s="1471">
        <f>+TAM!D111</f>
        <v>0.15802296464433074</v>
      </c>
      <c r="E57" s="1471">
        <f>+TAM!E111</f>
        <v>0.14279076810216629</v>
      </c>
      <c r="F57" s="1471">
        <f>+TAM!F111</f>
        <v>0.14563181706227679</v>
      </c>
      <c r="G57" s="1471">
        <f>+TAM!G111</f>
        <v>0.33131965030648947</v>
      </c>
      <c r="H57" s="1471">
        <f>+TAM!H111</f>
        <v>0.25581134945125594</v>
      </c>
      <c r="I57" s="1471">
        <f>+TAM!I111</f>
        <v>8.3547802686054551E-2</v>
      </c>
      <c r="J57" s="1471">
        <f>+TAM!J111</f>
        <v>7.6782134257948664E-2</v>
      </c>
      <c r="K57" s="1471">
        <f>+TAM!K111</f>
        <v>8.0569526284037352E-2</v>
      </c>
      <c r="L57" s="1471">
        <f>+TAM!L111</f>
        <v>7.5192377342334193E-2</v>
      </c>
      <c r="M57" s="1471">
        <f>+TAM!M111</f>
        <v>6.967633735491674E-2</v>
      </c>
      <c r="N57" s="1471">
        <f>+TAM!N111</f>
        <v>6.961643378074589E-2</v>
      </c>
    </row>
    <row r="58" spans="2:18">
      <c r="B58" s="6" t="s">
        <v>802</v>
      </c>
      <c r="C58" s="1282"/>
      <c r="D58" s="1283">
        <f t="shared" ref="D58:K58" si="20">+D41</f>
        <v>0.68106547389330996</v>
      </c>
      <c r="E58" s="1283">
        <f t="shared" si="20"/>
        <v>0.53295245030483462</v>
      </c>
      <c r="F58" s="1283">
        <f t="shared" si="20"/>
        <v>0.46628018453244957</v>
      </c>
      <c r="G58" s="1283">
        <f t="shared" si="20"/>
        <v>0.91393085965983256</v>
      </c>
      <c r="H58" s="1283">
        <f t="shared" si="20"/>
        <v>0.43440263110954014</v>
      </c>
      <c r="I58" s="1283">
        <f t="shared" si="20"/>
        <v>9.9635764463079646E-2</v>
      </c>
      <c r="J58" s="1283">
        <f t="shared" si="20"/>
        <v>0.16867902438766547</v>
      </c>
      <c r="K58" s="1283">
        <f t="shared" si="20"/>
        <v>0.19804359461097287</v>
      </c>
      <c r="L58" s="1283">
        <f>+L41</f>
        <v>0.16140525474136225</v>
      </c>
      <c r="M58" s="1283">
        <f>+M41</f>
        <v>0.14052685950413224</v>
      </c>
      <c r="N58" s="1283">
        <f>+N41</f>
        <v>0.13029787234042578</v>
      </c>
    </row>
    <row r="59" spans="2:18">
      <c r="B59" s="1454" t="s">
        <v>640</v>
      </c>
    </row>
    <row r="60" spans="2:18">
      <c r="B60" s="1059"/>
      <c r="C60" s="1060" t="str">
        <f>'[2]Global eComm Annual'!S5</f>
        <v>2016A</v>
      </c>
      <c r="D60" s="1060" t="str">
        <f>'[2]Global eComm Annual'!T5</f>
        <v>2017A</v>
      </c>
      <c r="E60" s="1060" t="str">
        <f>'[2]Global eComm Annual'!U5</f>
        <v>2018A</v>
      </c>
      <c r="F60" s="1060" t="str">
        <f>'[2]Global eComm Annual'!V5</f>
        <v>2019A</v>
      </c>
      <c r="G60" s="1060" t="str">
        <f>'[2]Global eComm Annual'!W5</f>
        <v>2020A</v>
      </c>
      <c r="H60" s="1060" t="str">
        <f>'[2]Global eComm Annual'!X5</f>
        <v>2021A</v>
      </c>
      <c r="I60" s="1060" t="str">
        <f>'[2]Global eComm Annual'!Y5</f>
        <v>2022A</v>
      </c>
      <c r="J60" s="1060" t="str">
        <f>'[2]Global eComm Annual'!Z5</f>
        <v>2023A</v>
      </c>
      <c r="K60" s="1060" t="str">
        <f>'[2]Global eComm Annual'!AA5</f>
        <v>2024E</v>
      </c>
      <c r="L60" s="1060" t="str">
        <f>'[2]Global eComm Annual'!AB5</f>
        <v>2025E</v>
      </c>
      <c r="M60" s="1060" t="str">
        <f>'[2]Global eComm Annual'!AC5</f>
        <v>2026E</v>
      </c>
      <c r="N60" s="1060" t="str">
        <f>'[2]Global eComm Annual'!AD5</f>
        <v>2027E</v>
      </c>
      <c r="O60" s="1060" t="str">
        <f>'[2]Global eComm Annual'!AE5</f>
        <v>2028E</v>
      </c>
      <c r="P60" s="1060" t="str">
        <f>'[2]Global eComm Annual'!AF5</f>
        <v>2029E</v>
      </c>
      <c r="Q60" s="1060" t="str">
        <f>'[2]Global eComm Annual'!AG5</f>
        <v>2030E</v>
      </c>
      <c r="R60" s="1058">
        <f>'[2]Global eComm Annual'!R5</f>
        <v>2015</v>
      </c>
    </row>
    <row r="61" spans="2:18">
      <c r="B61" s="1059" t="str">
        <f>'[2]Global eComm Annual'!B6</f>
        <v>Global</v>
      </c>
      <c r="C61" s="1060"/>
      <c r="D61" s="1060"/>
      <c r="E61" s="1060"/>
      <c r="F61" s="1060"/>
      <c r="G61" s="1060"/>
      <c r="H61" s="1060"/>
      <c r="I61" s="1060"/>
      <c r="J61" s="1060"/>
      <c r="K61" s="1060"/>
      <c r="L61" s="1060"/>
      <c r="M61" s="1060"/>
      <c r="N61" s="1060"/>
      <c r="O61" s="1060"/>
      <c r="P61" s="1060"/>
      <c r="Q61" s="1060"/>
      <c r="R61" s="1058"/>
    </row>
    <row r="62" spans="2:18">
      <c r="B62" s="1049" t="str">
        <f>'[2]Global eComm Annual'!B7</f>
        <v>eCommerce Sales</v>
      </c>
      <c r="C62" s="1055">
        <f>'[2]Global eComm Annual'!S7</f>
        <v>2028.0441573639719</v>
      </c>
      <c r="D62" s="1055">
        <f>'[2]Global eComm Annual'!T7</f>
        <v>2442.7433728264641</v>
      </c>
      <c r="E62" s="1055">
        <f>'[2]Global eComm Annual'!U7</f>
        <v>2918.6938176961239</v>
      </c>
      <c r="F62" s="1055">
        <f>'[2]Global eComm Annual'!V7</f>
        <v>3385.753536994278</v>
      </c>
      <c r="G62" s="1055">
        <f>'[2]Global eComm Annual'!W7</f>
        <v>4156.0773225643943</v>
      </c>
      <c r="H62" s="1055">
        <f>'[2]Global eComm Annual'!X7</f>
        <v>4802.722455494878</v>
      </c>
      <c r="I62" s="1055">
        <f>'[2]Global eComm Annual'!Y7</f>
        <v>5311</v>
      </c>
      <c r="J62" s="1055">
        <f>'[2]Global eComm Annual'!Z7</f>
        <v>5784</v>
      </c>
      <c r="K62" s="1055">
        <f>'[2]Global eComm Annual'!AA7</f>
        <v>6304.56</v>
      </c>
      <c r="L62" s="1055">
        <f>'[2]Global eComm Annual'!AB7</f>
        <v>6808.9248000000007</v>
      </c>
      <c r="M62" s="1055">
        <f>'[2]Global eComm Annual'!AC7</f>
        <v>7285.5495360000014</v>
      </c>
      <c r="N62" s="1055">
        <f>'[2]Global eComm Annual'!AD7</f>
        <v>7795.5380035200023</v>
      </c>
      <c r="O62" s="1055">
        <f>'[2]Global eComm Annual'!AE7</f>
        <v>8302.2479737488029</v>
      </c>
      <c r="P62" s="1055">
        <f>'[2]Global eComm Annual'!AF7</f>
        <v>8800.3828521737323</v>
      </c>
      <c r="Q62" s="1055">
        <f>'[2]Global eComm Annual'!AG7</f>
        <v>9284.4039090432871</v>
      </c>
      <c r="R62" s="1050"/>
    </row>
    <row r="63" spans="2:18">
      <c r="B63" s="1048" t="str">
        <f>'[2]Global eComm Annual'!B8</f>
        <v>y/y growth %</v>
      </c>
      <c r="C63" s="1065"/>
      <c r="D63" s="1065">
        <f>'[2]Global eComm Annual'!T8</f>
        <v>0.20448234026694645</v>
      </c>
      <c r="E63" s="1065">
        <f>'[2]Global eComm Annual'!U8</f>
        <v>0.19484258975552726</v>
      </c>
      <c r="F63" s="1065">
        <f>'[2]Global eComm Annual'!V8</f>
        <v>0.16002354082718706</v>
      </c>
      <c r="G63" s="1065">
        <f>'[2]Global eComm Annual'!W8</f>
        <v>0.22751915553013813</v>
      </c>
      <c r="H63" s="1065">
        <f>'[2]Global eComm Annual'!X8</f>
        <v>0.15559025560465001</v>
      </c>
      <c r="I63" s="1065">
        <f>'[2]Global eComm Annual'!Y8</f>
        <v>0.10583112999244682</v>
      </c>
      <c r="J63" s="1065">
        <f>'[2]Global eComm Annual'!Z8</f>
        <v>8.9060440594991519E-2</v>
      </c>
      <c r="K63" s="1065">
        <f>'[2]Global eComm Annual'!AA8</f>
        <v>0.09</v>
      </c>
      <c r="L63" s="1065">
        <f>'[2]Global eComm Annual'!AB8</f>
        <v>0.08</v>
      </c>
      <c r="M63" s="1065">
        <f>'[2]Global eComm Annual'!AC8</f>
        <v>7.0000000000000007E-2</v>
      </c>
      <c r="N63" s="1065">
        <f>'[2]Global eComm Annual'!AD8</f>
        <v>7.0000000000000007E-2</v>
      </c>
      <c r="O63" s="1065">
        <f>'[2]Global eComm Annual'!AE8</f>
        <v>6.5000000000000002E-2</v>
      </c>
      <c r="P63" s="1065">
        <f>'[2]Global eComm Annual'!AF8</f>
        <v>6.0000000000000005E-2</v>
      </c>
      <c r="Q63" s="1065">
        <f>'[2]Global eComm Annual'!AG8</f>
        <v>5.5000000000000007E-2</v>
      </c>
      <c r="R63" s="1048"/>
    </row>
    <row r="64" spans="2:18">
      <c r="B64" s="1048" t="str">
        <f>'[2]Global eComm Annual'!B9</f>
        <v>% of Retail Sales</v>
      </c>
      <c r="C64" s="1065">
        <f>'[2]Global eComm Annual'!S9</f>
        <v>0.10155545361750075</v>
      </c>
      <c r="D64" s="1065">
        <f>'[2]Global eComm Annual'!T9</f>
        <v>0.11518532870390573</v>
      </c>
      <c r="E64" s="1065">
        <f>'[2]Global eComm Annual'!U9</f>
        <v>0.130059803763592</v>
      </c>
      <c r="F64" s="1065">
        <f>'[2]Global eComm Annual'!V9</f>
        <v>0.14419880353415315</v>
      </c>
      <c r="G64" s="1065">
        <f>'[2]Global eComm Annual'!W9</f>
        <v>0.17773604970465803</v>
      </c>
      <c r="H64" s="1066">
        <f>'[2]Global eComm Annual'!X9</f>
        <v>0.18167599530220035</v>
      </c>
      <c r="I64" s="1066">
        <f>'[2]Global eComm Annual'!Y9</f>
        <v>0.18833333333333332</v>
      </c>
      <c r="J64" s="1066">
        <f>'[2]Global eComm Annual'!Z9</f>
        <v>0.19747354045749402</v>
      </c>
      <c r="K64" s="1065">
        <f>'[2]Global eComm Annual'!AA9</f>
        <v>0.20288765129212141</v>
      </c>
      <c r="L64" s="1065">
        <f>'[2]Global eComm Annual'!AB9</f>
        <v>0.21026640865142793</v>
      </c>
      <c r="M64" s="1065">
        <f>'[2]Global eComm Annual'!AC9</f>
        <v>0.21599626290391685</v>
      </c>
      <c r="N64" s="1065">
        <f>'[2]Global eComm Annual'!AD9</f>
        <v>0.22148837244688493</v>
      </c>
      <c r="O64" s="1065">
        <f>'[2]Global eComm Annual'!AE9</f>
        <v>0.22637727126289101</v>
      </c>
      <c r="P64" s="1065">
        <f>'[2]Global eComm Annual'!AF9</f>
        <v>0.23050903702081127</v>
      </c>
      <c r="Q64" s="1065">
        <f>'[2]Global eComm Annual'!AG9</f>
        <v>0.23383368659322679</v>
      </c>
      <c r="R64" s="1048"/>
    </row>
    <row r="65" spans="2:18">
      <c r="B65" s="1050"/>
      <c r="C65" s="1056"/>
      <c r="D65" s="1056"/>
      <c r="E65" s="1056"/>
      <c r="F65" s="1056"/>
      <c r="G65" s="1056"/>
      <c r="H65" s="1056"/>
      <c r="I65" s="1056"/>
      <c r="J65" s="1056"/>
      <c r="K65" s="1056"/>
      <c r="L65" s="1056"/>
      <c r="M65" s="1056"/>
      <c r="N65" s="1056"/>
      <c r="O65" s="1056"/>
      <c r="P65" s="1056"/>
      <c r="Q65" s="1056"/>
      <c r="R65" s="1050"/>
    </row>
    <row r="66" spans="2:18">
      <c r="B66" s="1049" t="str">
        <f>'[2]Global eComm Annual'!B11</f>
        <v>Retail Sales</v>
      </c>
      <c r="C66" s="1055">
        <f>'[2]Global eComm Annual'!S11</f>
        <v>19969.820281660235</v>
      </c>
      <c r="D66" s="1055">
        <f>'[2]Global eComm Annual'!T11</f>
        <v>21207.070382251164</v>
      </c>
      <c r="E66" s="1055">
        <f>'[2]Global eComm Annual'!U11</f>
        <v>22441.167318700522</v>
      </c>
      <c r="F66" s="1055">
        <f>'[2]Global eComm Annual'!V11</f>
        <v>23479.7616485935</v>
      </c>
      <c r="G66" s="1055">
        <f>'[2]Global eComm Annual'!W11</f>
        <v>23383.423506207662</v>
      </c>
      <c r="H66" s="1055">
        <f>'[2]Global eComm Annual'!X11</f>
        <v>26435.646864111113</v>
      </c>
      <c r="I66" s="1055">
        <f>'[2]Global eComm Annual'!Y11</f>
        <v>28200</v>
      </c>
      <c r="J66" s="1055">
        <f>'[2]Global eComm Annual'!Z11</f>
        <v>29290</v>
      </c>
      <c r="K66" s="1055">
        <f>'[2]Global eComm Annual'!AA11</f>
        <v>31074.143546186446</v>
      </c>
      <c r="L66" s="1055">
        <f>'[2]Global eComm Annual'!AB11</f>
        <v>32382.370744190484</v>
      </c>
      <c r="M66" s="1055">
        <f>'[2]Global eComm Annual'!AC11</f>
        <v>33729.9795748822</v>
      </c>
      <c r="N66" s="1055">
        <f>'[2]Global eComm Annual'!AD11</f>
        <v>35196.150106658301</v>
      </c>
      <c r="O66" s="1055">
        <f>'[2]Global eComm Annual'!AE11</f>
        <v>36674.388411137952</v>
      </c>
      <c r="P66" s="1055">
        <f>'[2]Global eComm Annual'!AF11</f>
        <v>38178.038335994606</v>
      </c>
      <c r="Q66" s="1055">
        <f>'[2]Global eComm Annual'!AG11</f>
        <v>39705.159869434392</v>
      </c>
      <c r="R66" s="1050"/>
    </row>
    <row r="67" spans="2:18">
      <c r="B67" s="1048" t="str">
        <f>'[2]Global eComm Annual'!B12</f>
        <v>y/y growth %</v>
      </c>
      <c r="C67" s="1054"/>
      <c r="D67" s="1065">
        <f>'[2]Global eComm Annual'!T12</f>
        <v>6.1955995754613191E-2</v>
      </c>
      <c r="E67" s="1065">
        <f>'[2]Global eComm Annual'!U12</f>
        <v>5.8192711874159198E-2</v>
      </c>
      <c r="F67" s="1065">
        <f>'[2]Global eComm Annual'!V12</f>
        <v>4.6280762276902809E-2</v>
      </c>
      <c r="G67" s="1065">
        <f>'[2]Global eComm Annual'!W12</f>
        <v>-4.1030289756628369E-3</v>
      </c>
      <c r="H67" s="1065">
        <f>'[2]Global eComm Annual'!X12</f>
        <v>0.13052936226781209</v>
      </c>
      <c r="I67" s="1065">
        <f>'[2]Global eComm Annual'!Y12</f>
        <v>6.6741439880715125E-2</v>
      </c>
      <c r="J67" s="1065">
        <f>'[2]Global eComm Annual'!Z12</f>
        <v>3.8652482269503574E-2</v>
      </c>
      <c r="K67" s="1065">
        <f>'[2]Global eComm Annual'!AA12</f>
        <v>6.0913060641394567E-2</v>
      </c>
      <c r="L67" s="1065">
        <f>'[2]Global eComm Annual'!AB12</f>
        <v>4.2100185192862405E-2</v>
      </c>
      <c r="M67" s="1065">
        <f>'[2]Global eComm Annual'!AC12</f>
        <v>4.1615508677155244E-2</v>
      </c>
      <c r="N67" s="1065">
        <f>'[2]Global eComm Annual'!AD12</f>
        <v>4.3467874877336721E-2</v>
      </c>
      <c r="O67" s="1065">
        <f>'[2]Global eComm Annual'!AE12</f>
        <v>4.2000000000000003E-2</v>
      </c>
      <c r="P67" s="1065">
        <f>'[2]Global eComm Annual'!AF12</f>
        <v>4.1000000000000002E-2</v>
      </c>
      <c r="Q67" s="1065">
        <f>'[2]Global eComm Annual'!AG12</f>
        <v>0.04</v>
      </c>
      <c r="R67" s="1048"/>
    </row>
    <row r="68" spans="2:18">
      <c r="B68" s="1050"/>
      <c r="C68" s="1056"/>
      <c r="D68" s="1056"/>
      <c r="E68" s="1056"/>
      <c r="F68" s="1056"/>
      <c r="G68" s="1056"/>
      <c r="H68" s="1056"/>
      <c r="I68" s="1056"/>
      <c r="J68" s="1056"/>
      <c r="K68" s="1056"/>
      <c r="L68" s="1056"/>
      <c r="M68" s="1056"/>
      <c r="N68" s="1056"/>
      <c r="O68" s="1056"/>
      <c r="P68" s="1056"/>
      <c r="Q68" s="1056"/>
      <c r="R68" s="1050"/>
    </row>
    <row r="69" spans="2:18">
      <c r="B69" s="1059" t="str">
        <f>'[2]Global eComm Annual'!B14</f>
        <v>Global (ex. China)</v>
      </c>
      <c r="C69" s="1057"/>
      <c r="D69" s="1057"/>
      <c r="E69" s="1057"/>
      <c r="F69" s="1057"/>
      <c r="G69" s="1057"/>
      <c r="H69" s="1057"/>
      <c r="I69" s="1057"/>
      <c r="J69" s="1057"/>
      <c r="K69" s="1057"/>
      <c r="L69" s="1057"/>
      <c r="M69" s="1057"/>
      <c r="N69" s="1057"/>
      <c r="O69" s="1057"/>
      <c r="P69" s="1057"/>
      <c r="Q69" s="1057"/>
      <c r="R69" s="1058"/>
    </row>
    <row r="70" spans="2:18">
      <c r="B70" s="1049" t="str">
        <f>'[2]Global eComm Annual'!B15</f>
        <v>eCommerce Sales</v>
      </c>
      <c r="C70" s="1055">
        <f>'[2]Global eComm Annual'!S15</f>
        <v>1377.5888857653381</v>
      </c>
      <c r="D70" s="1055">
        <f>'[2]Global eComm Annual'!T15</f>
        <v>1622.6261052788095</v>
      </c>
      <c r="E70" s="1055">
        <f>'[2]Global eComm Annual'!U15</f>
        <v>1901.7464703867895</v>
      </c>
      <c r="F70" s="1055">
        <f>'[2]Global eComm Annual'!V15</f>
        <v>2183.3176368371851</v>
      </c>
      <c r="G70" s="1055">
        <f>'[2]Global eComm Annual'!W15</f>
        <v>2769.1852005556111</v>
      </c>
      <c r="H70" s="1055">
        <f>'[2]Global eComm Annual'!X15</f>
        <v>3276.4079632175203</v>
      </c>
      <c r="I70" s="1055">
        <f>'[2]Global eComm Annual'!Y15</f>
        <v>3632</v>
      </c>
      <c r="J70" s="1055">
        <f>'[2]Global eComm Annual'!Z15</f>
        <v>3937</v>
      </c>
      <c r="K70" s="1055">
        <f>'[2]Global eComm Annual'!AA15</f>
        <v>4341.3467600000004</v>
      </c>
      <c r="L70" s="1055">
        <f>'[2]Global eComm Annual'!AB15</f>
        <v>4730.2054833817438</v>
      </c>
      <c r="M70" s="1055">
        <f>'[2]Global eComm Annual'!AC15</f>
        <v>5093.7241726907887</v>
      </c>
      <c r="N70" s="1055">
        <f>'[2]Global eComm Annual'!AD15</f>
        <v>5484.4592373649057</v>
      </c>
      <c r="O70" s="1055">
        <f>'[2]Global eComm Annual'!AE15</f>
        <v>5866.370954221331</v>
      </c>
      <c r="P70" s="1055">
        <f>'[2]Global eComm Annual'!AF15</f>
        <v>6234.1864121015406</v>
      </c>
      <c r="Q70" s="1055">
        <f>'[2]Global eComm Annual'!AG15</f>
        <v>6582.199057647269</v>
      </c>
      <c r="R70" s="1050"/>
    </row>
    <row r="71" spans="2:18">
      <c r="B71" s="1048" t="str">
        <f>'[2]Global eComm Annual'!B16</f>
        <v>y/y growth %</v>
      </c>
      <c r="C71" s="1065"/>
      <c r="D71" s="1065">
        <f>'[2]Global eComm Annual'!T16</f>
        <v>0.17787398116045172</v>
      </c>
      <c r="E71" s="1065">
        <f>'[2]Global eComm Annual'!U16</f>
        <v>0.17201767197010542</v>
      </c>
      <c r="F71" s="1065">
        <f>'[2]Global eComm Annual'!V16</f>
        <v>0.14805925544487941</v>
      </c>
      <c r="G71" s="1065">
        <f>'[2]Global eComm Annual'!W16</f>
        <v>0.26833821787247136</v>
      </c>
      <c r="H71" s="1065">
        <f>'[2]Global eComm Annual'!X16</f>
        <v>0.18316678948021958</v>
      </c>
      <c r="I71" s="1065">
        <f>'[2]Global eComm Annual'!Y16</f>
        <v>0.10853106230192378</v>
      </c>
      <c r="J71" s="1065">
        <f>'[2]Global eComm Annual'!Z16</f>
        <v>8.3975770925110105E-2</v>
      </c>
      <c r="K71" s="1065">
        <f>'[2]Global eComm Annual'!AA16</f>
        <v>0.10270428244856489</v>
      </c>
      <c r="L71" s="1065">
        <f>'[2]Global eComm Annual'!AB16</f>
        <v>8.9570989114387878E-2</v>
      </c>
      <c r="M71" s="1065">
        <f>'[2]Global eComm Annual'!AC16</f>
        <v>7.6850506935938867E-2</v>
      </c>
      <c r="N71" s="1065">
        <f>'[2]Global eComm Annual'!AD16</f>
        <v>7.670911329847474E-2</v>
      </c>
      <c r="O71" s="1065">
        <f>'[2]Global eComm Annual'!AE16</f>
        <v>6.9635254877000508E-2</v>
      </c>
      <c r="P71" s="1065">
        <f>'[2]Global eComm Annual'!AF16</f>
        <v>6.2698977059324257E-2</v>
      </c>
      <c r="Q71" s="1065">
        <f>'[2]Global eComm Annual'!AG16</f>
        <v>5.5823265866766558E-2</v>
      </c>
      <c r="R71" s="1048"/>
    </row>
    <row r="72" spans="2:18">
      <c r="B72" s="1048" t="str">
        <f>'[2]Global eComm Annual'!B17</f>
        <v>% of Retail Sales</v>
      </c>
      <c r="C72" s="1065">
        <f>'[2]Global eComm Annual'!S17</f>
        <v>8.7374371159328779E-2</v>
      </c>
      <c r="D72" s="1065">
        <f>'[2]Global eComm Annual'!T17</f>
        <v>9.7884288683772525E-2</v>
      </c>
      <c r="E72" s="1065">
        <f>'[2]Global eComm Annual'!U17</f>
        <v>0.10931257302885246</v>
      </c>
      <c r="F72" s="1065">
        <f>'[2]Global eComm Annual'!V17</f>
        <v>0.12113394434893757</v>
      </c>
      <c r="G72" s="1065">
        <f>'[2]Global eComm Annual'!W17</f>
        <v>0.15283623669917518</v>
      </c>
      <c r="H72" s="1066">
        <f>'[2]Global eComm Annual'!X17</f>
        <v>0.15942538667703751</v>
      </c>
      <c r="I72" s="1066">
        <f>'[2]Global eComm Annual'!Y17</f>
        <v>0.16497842380195321</v>
      </c>
      <c r="J72" s="1066">
        <f>'[2]Global eComm Annual'!Z17</f>
        <v>0.17374227714033538</v>
      </c>
      <c r="K72" s="1065">
        <f>'[2]Global eComm Annual'!AA17</f>
        <v>0.18020694227280665</v>
      </c>
      <c r="L72" s="1065">
        <f>'[2]Global eComm Annual'!AB17</f>
        <v>0.18876955579967758</v>
      </c>
      <c r="M72" s="1065">
        <f>'[2]Global eComm Annual'!AC17</f>
        <v>0.195308345347292</v>
      </c>
      <c r="N72" s="1065">
        <f>'[2]Global eComm Annual'!AD17</f>
        <v>0.20158347116454678</v>
      </c>
      <c r="O72" s="1065">
        <f>'[2]Global eComm Annual'!AE17</f>
        <v>0.2070464350109158</v>
      </c>
      <c r="P72" s="1065">
        <f>'[2]Global eComm Annual'!AF17</f>
        <v>0.21151171533894836</v>
      </c>
      <c r="Q72" s="1065">
        <f>'[2]Global eComm Annual'!AG17</f>
        <v>0.21491286278919874</v>
      </c>
      <c r="R72" s="1048"/>
    </row>
    <row r="73" spans="2:18">
      <c r="B73" s="1050"/>
      <c r="C73" s="1056"/>
      <c r="D73" s="1056"/>
      <c r="E73" s="1056"/>
      <c r="F73" s="1056"/>
      <c r="G73" s="1056"/>
      <c r="H73" s="1056"/>
      <c r="I73" s="1056"/>
      <c r="J73" s="1056"/>
      <c r="K73" s="1056"/>
      <c r="L73" s="1056"/>
      <c r="M73" s="1056"/>
      <c r="N73" s="1056"/>
      <c r="O73" s="1056"/>
      <c r="P73" s="1056"/>
      <c r="Q73" s="1056"/>
      <c r="R73" s="1050"/>
    </row>
    <row r="74" spans="2:18">
      <c r="B74" s="1049" t="str">
        <f>'[2]Global eComm Annual'!B19</f>
        <v>Retail Sales</v>
      </c>
      <c r="C74" s="1055">
        <f>'[2]Global eComm Annual'!S19</f>
        <v>15766.509875685164</v>
      </c>
      <c r="D74" s="1055">
        <f>'[2]Global eComm Annual'!T19</f>
        <v>16576.982139809043</v>
      </c>
      <c r="E74" s="1055">
        <f>'[2]Global eComm Annual'!U19</f>
        <v>17397.326013768186</v>
      </c>
      <c r="F74" s="1055">
        <f>'[2]Global eComm Annual'!V19</f>
        <v>18023.99524404106</v>
      </c>
      <c r="G74" s="1055">
        <f>'[2]Global eComm Annual'!W19</f>
        <v>18118.642936793509</v>
      </c>
      <c r="H74" s="1055">
        <f>'[2]Global eComm Annual'!X19</f>
        <v>20551.356540566765</v>
      </c>
      <c r="I74" s="1055">
        <f>'[2]Global eComm Annual'!Y19</f>
        <v>22015</v>
      </c>
      <c r="J74" s="1055">
        <f>'[2]Global eComm Annual'!Z19</f>
        <v>22660</v>
      </c>
      <c r="K74" s="1055">
        <f>'[2]Global eComm Annual'!AA19</f>
        <v>24090.896306468836</v>
      </c>
      <c r="L74" s="1055">
        <f>'[2]Global eComm Annual'!AB19</f>
        <v>25058.095111488434</v>
      </c>
      <c r="M74" s="1055">
        <f>'[2]Global eComm Annual'!AC19</f>
        <v>26080.422542279321</v>
      </c>
      <c r="N74" s="1055">
        <f>'[2]Global eComm Annual'!AD19</f>
        <v>27206.889561337593</v>
      </c>
      <c r="O74" s="1055">
        <f>'[2]Global eComm Annual'!AE19</f>
        <v>28333.600401823132</v>
      </c>
      <c r="P74" s="1055">
        <f>'[2]Global eComm Annual'!AF19</f>
        <v>29474.426048274596</v>
      </c>
      <c r="Q74" s="1055">
        <f>'[2]Global eComm Annual'!AG19</f>
        <v>30627.292253342421</v>
      </c>
      <c r="R74" s="1050"/>
    </row>
    <row r="75" spans="2:18">
      <c r="B75" s="1048" t="str">
        <f>'[2]Global eComm Annual'!B20</f>
        <v>y/y growth %</v>
      </c>
      <c r="C75" s="1054"/>
      <c r="D75" s="1065">
        <f>'[2]Global eComm Annual'!T20</f>
        <v>5.1404671706943406E-2</v>
      </c>
      <c r="E75" s="1065">
        <f>'[2]Global eComm Annual'!U20</f>
        <v>4.9486925125479697E-2</v>
      </c>
      <c r="F75" s="1065">
        <f>'[2]Global eComm Annual'!V20</f>
        <v>3.6021008618044581E-2</v>
      </c>
      <c r="G75" s="1065">
        <f>'[2]Global eComm Annual'!W20</f>
        <v>5.2512049338084843E-3</v>
      </c>
      <c r="H75" s="1065">
        <f>'[2]Global eComm Annual'!X20</f>
        <v>0.13426577322924937</v>
      </c>
      <c r="I75" s="1065">
        <f>'[2]Global eComm Annual'!Y20</f>
        <v>7.1218824730334251E-2</v>
      </c>
      <c r="J75" s="1065">
        <f>'[2]Global eComm Annual'!Z20</f>
        <v>2.929820576879405E-2</v>
      </c>
      <c r="K75" s="1065">
        <f>'[2]Global eComm Annual'!AA20</f>
        <v>6.314635068264951E-2</v>
      </c>
      <c r="L75" s="1065">
        <f>'[2]Global eComm Annual'!AB20</f>
        <v>4.0147896230821711E-2</v>
      </c>
      <c r="M75" s="1065">
        <f>'[2]Global eComm Annual'!AC20</f>
        <v>4.0798289983430491E-2</v>
      </c>
      <c r="N75" s="1065">
        <f>'[2]Global eComm Annual'!AD20</f>
        <v>4.3192054010326775E-2</v>
      </c>
      <c r="O75" s="1065">
        <f>'[2]Global eComm Annual'!AE20</f>
        <v>4.1412703129675377E-2</v>
      </c>
      <c r="P75" s="1065">
        <f>'[2]Global eComm Annual'!AF20</f>
        <v>4.0264055053803149E-2</v>
      </c>
      <c r="Q75" s="1065">
        <f>'[2]Global eComm Annual'!AG20</f>
        <v>3.9114118903608386E-2</v>
      </c>
      <c r="R75" s="1048"/>
    </row>
    <row r="76" spans="2:18">
      <c r="B76" s="1050"/>
      <c r="C76" s="1056"/>
      <c r="D76" s="1056"/>
      <c r="E76" s="1056"/>
      <c r="F76" s="1056"/>
      <c r="G76" s="1056"/>
      <c r="H76" s="1056"/>
      <c r="I76" s="1056"/>
      <c r="J76" s="1056"/>
      <c r="K76" s="1056"/>
      <c r="L76" s="1056"/>
      <c r="M76" s="1056"/>
      <c r="N76" s="1056"/>
      <c r="O76" s="1056"/>
      <c r="P76" s="1056"/>
      <c r="Q76" s="1056"/>
      <c r="R76" s="1050"/>
    </row>
    <row r="77" spans="2:18">
      <c r="B77" s="1053" t="str">
        <f>'[2]Global eComm Annual'!B22</f>
        <v>China</v>
      </c>
      <c r="C77" s="1051"/>
      <c r="D77" s="1051"/>
      <c r="E77" s="1051"/>
      <c r="F77" s="1051"/>
      <c r="G77" s="1051"/>
      <c r="H77" s="1051"/>
      <c r="I77" s="1051"/>
      <c r="J77" s="1051"/>
      <c r="K77" s="1051"/>
      <c r="L77" s="1051"/>
      <c r="M77" s="1051"/>
      <c r="N77" s="1051"/>
      <c r="O77" s="1051"/>
      <c r="P77" s="1051"/>
      <c r="Q77" s="1051"/>
      <c r="R77" s="1052"/>
    </row>
    <row r="78" spans="2:18">
      <c r="B78" s="1049" t="str">
        <f>'[2]Global eComm Annual'!B23</f>
        <v>eCommerce Sales</v>
      </c>
      <c r="C78" s="1055">
        <f>'[2]Global eComm Annual'!S23</f>
        <v>650.45527159863377</v>
      </c>
      <c r="D78" s="1055">
        <f>'[2]Global eComm Annual'!T23</f>
        <v>820.11726754765471</v>
      </c>
      <c r="E78" s="1055">
        <f>'[2]Global eComm Annual'!U23</f>
        <v>1016.9473473093343</v>
      </c>
      <c r="F78" s="1055">
        <f>'[2]Global eComm Annual'!V23</f>
        <v>1202.4359001570931</v>
      </c>
      <c r="G78" s="1055">
        <f>'[2]Global eComm Annual'!W23</f>
        <v>1386.8921220087832</v>
      </c>
      <c r="H78" s="1055">
        <f>'[2]Global eComm Annual'!X23</f>
        <v>1526.3144922773577</v>
      </c>
      <c r="I78" s="1055">
        <f>'[2]Global eComm Annual'!Y23</f>
        <v>1679</v>
      </c>
      <c r="J78" s="1055">
        <f>'[2]Global eComm Annual'!Z23</f>
        <v>1847</v>
      </c>
      <c r="K78" s="1055">
        <f>'[2]Global eComm Annual'!AA23</f>
        <v>1963.2132400000003</v>
      </c>
      <c r="L78" s="1055">
        <f>'[2]Global eComm Annual'!AB23</f>
        <v>2078.7193166182569</v>
      </c>
      <c r="M78" s="1055">
        <f>'[2]Global eComm Annual'!AC23</f>
        <v>2191.8253633092122</v>
      </c>
      <c r="N78" s="1055">
        <f>'[2]Global eComm Annual'!AD23</f>
        <v>2311.0787661550967</v>
      </c>
      <c r="O78" s="1055">
        <f>'[2]Global eComm Annual'!AE23</f>
        <v>2435.8770195274719</v>
      </c>
      <c r="P78" s="1055">
        <f>'[2]Global eComm Annual'!AF23</f>
        <v>2566.1964400721918</v>
      </c>
      <c r="Q78" s="1055">
        <f>'[2]Global eComm Annual'!AG23</f>
        <v>2702.2048513960176</v>
      </c>
      <c r="R78" s="1050"/>
    </row>
    <row r="79" spans="2:18">
      <c r="B79" s="1048" t="str">
        <f>'[2]Global eComm Annual'!B24</f>
        <v>y/y growth %</v>
      </c>
      <c r="C79" s="1054"/>
      <c r="D79" s="1065">
        <f>'[2]Global eComm Annual'!T24</f>
        <v>0.2608357612846155</v>
      </c>
      <c r="E79" s="1065">
        <f>'[2]Global eComm Annual'!U24</f>
        <v>0.2400023600896104</v>
      </c>
      <c r="F79" s="1065">
        <f>'[2]Global eComm Annual'!V24</f>
        <v>0.18239740074894661</v>
      </c>
      <c r="G79" s="1065">
        <f>'[2]Global eComm Annual'!W24</f>
        <v>0.15340212466011005</v>
      </c>
      <c r="H79" s="1065">
        <f>'[2]Global eComm Annual'!X24</f>
        <v>0.10052863381085064</v>
      </c>
      <c r="I79" s="1065">
        <f>'[2]Global eComm Annual'!Y24</f>
        <v>0.10003541766469493</v>
      </c>
      <c r="J79" s="1065">
        <f>'[2]Global eComm Annual'!Z24</f>
        <v>0.10005955926146526</v>
      </c>
      <c r="K79" s="1065">
        <f>'[2]Global eComm Annual'!AA24</f>
        <v>6.2920000000000004E-2</v>
      </c>
      <c r="L79" s="1065">
        <f>'[2]Global eComm Annual'!AB24</f>
        <v>5.8835216809283823E-2</v>
      </c>
      <c r="M79" s="1065">
        <f>'[2]Global eComm Annual'!AC24</f>
        <v>5.4411408883697103E-2</v>
      </c>
      <c r="N79" s="1065">
        <f>'[2]Global eComm Annual'!AD24</f>
        <v>5.4408259363253324E-2</v>
      </c>
      <c r="O79" s="1065">
        <f>'[2]Global eComm Annual'!AE24</f>
        <v>5.3999999999999999E-2</v>
      </c>
      <c r="P79" s="1065">
        <f>'[2]Global eComm Annual'!AF24</f>
        <v>5.3499999999999999E-2</v>
      </c>
      <c r="Q79" s="1065">
        <f>'[2]Global eComm Annual'!AG24</f>
        <v>5.2999999999999999E-2</v>
      </c>
      <c r="R79" s="1048"/>
    </row>
    <row r="80" spans="2:18">
      <c r="B80" s="1048" t="str">
        <f>'[2]Global eComm Annual'!B25</f>
        <v>% of Retail Sales</v>
      </c>
      <c r="C80" s="1065">
        <f>'[2]Global eComm Annual'!S25</f>
        <v>0.15474833138042851</v>
      </c>
      <c r="D80" s="1065">
        <f>'[2]Global eComm Annual'!T25</f>
        <v>0.17712778344697094</v>
      </c>
      <c r="E80" s="1065">
        <f>'[2]Global eComm Annual'!U25</f>
        <v>0.2016215986642699</v>
      </c>
      <c r="F80" s="1065">
        <f>'[2]Global eComm Annual'!V25</f>
        <v>0.22039724779157482</v>
      </c>
      <c r="G80" s="1065">
        <f>'[2]Global eComm Annual'!W25</f>
        <v>0.26342828608393676</v>
      </c>
      <c r="H80" s="1066">
        <f>'[2]Global eComm Annual'!X25</f>
        <v>0.25938803294090285</v>
      </c>
      <c r="I80" s="1066">
        <f>'[2]Global eComm Annual'!Y25</f>
        <v>0.27146321746160063</v>
      </c>
      <c r="J80" s="1066">
        <f>'[2]Global eComm Annual'!Z25</f>
        <v>0.27858220211161389</v>
      </c>
      <c r="K80" s="1065">
        <f>'[2]Global eComm Annual'!AA25</f>
        <v>0.28113185350707842</v>
      </c>
      <c r="L80" s="1065">
        <f>'[2]Global eComm Annual'!AB25</f>
        <v>0.28381227316692093</v>
      </c>
      <c r="M80" s="1065">
        <f>'[2]Global eComm Annual'!AC25</f>
        <v>0.28652971067050265</v>
      </c>
      <c r="N80" s="1065">
        <f>'[2]Global eComm Annual'!AD25</f>
        <v>0.28927317528888086</v>
      </c>
      <c r="O80" s="1065">
        <f>'[2]Global eComm Annual'!AE25</f>
        <v>0.29204399114413832</v>
      </c>
      <c r="P80" s="1065">
        <f>'[2]Global eComm Annual'!AF25</f>
        <v>0.2948426877530903</v>
      </c>
      <c r="Q80" s="1065">
        <f>'[2]Global eComm Annual'!AG25</f>
        <v>0.29766955916011895</v>
      </c>
      <c r="R80" s="1048"/>
    </row>
    <row r="81" spans="2:18">
      <c r="B81" s="1050"/>
      <c r="C81" s="1056"/>
      <c r="D81" s="1056"/>
      <c r="E81" s="1056"/>
      <c r="F81" s="1056"/>
      <c r="G81" s="1056"/>
      <c r="H81" s="1056"/>
      <c r="I81" s="1056"/>
      <c r="J81" s="1056"/>
      <c r="K81" s="1056"/>
      <c r="L81" s="1056"/>
      <c r="M81" s="1056"/>
      <c r="N81" s="1056"/>
      <c r="O81" s="1056"/>
      <c r="P81" s="1056"/>
      <c r="Q81" s="1056"/>
      <c r="R81" s="1050"/>
    </row>
    <row r="82" spans="2:18">
      <c r="B82" s="1049" t="str">
        <f>'[2]Global eComm Annual'!B27</f>
        <v>Retail Sales</v>
      </c>
      <c r="C82" s="1055">
        <f>'[2]Global eComm Annual'!S27</f>
        <v>4203.3104059750713</v>
      </c>
      <c r="D82" s="1055">
        <f>'[2]Global eComm Annual'!T27</f>
        <v>4630.0882424421234</v>
      </c>
      <c r="E82" s="1055">
        <f>'[2]Global eComm Annual'!U27</f>
        <v>5043.8413049323335</v>
      </c>
      <c r="F82" s="1055">
        <f>'[2]Global eComm Annual'!V27</f>
        <v>5455.7664045524389</v>
      </c>
      <c r="G82" s="1055">
        <f>'[2]Global eComm Annual'!W27</f>
        <v>5264.7805694141543</v>
      </c>
      <c r="H82" s="1055">
        <f>'[2]Global eComm Annual'!X27</f>
        <v>5884.2903235443491</v>
      </c>
      <c r="I82" s="1055">
        <f>'[2]Global eComm Annual'!Y27</f>
        <v>6185</v>
      </c>
      <c r="J82" s="1055">
        <f>'[2]Global eComm Annual'!Z27</f>
        <v>6630</v>
      </c>
      <c r="K82" s="1055">
        <f>'[2]Global eComm Annual'!AA27</f>
        <v>6983.247239717608</v>
      </c>
      <c r="L82" s="1055">
        <f>'[2]Global eComm Annual'!AB27</f>
        <v>7324.2756327020497</v>
      </c>
      <c r="M82" s="1055">
        <f>'[2]Global eComm Annual'!AC27</f>
        <v>7649.5570326028801</v>
      </c>
      <c r="N82" s="1055">
        <f>'[2]Global eComm Annual'!AD27</f>
        <v>7989.260545320707</v>
      </c>
      <c r="O82" s="1055">
        <f>'[2]Global eComm Annual'!AE27</f>
        <v>8340.7880093148178</v>
      </c>
      <c r="P82" s="1055">
        <f>'[2]Global eComm Annual'!AF27</f>
        <v>8703.6122877200123</v>
      </c>
      <c r="Q82" s="1055">
        <f>'[2]Global eComm Annual'!AG27</f>
        <v>9077.8676160919731</v>
      </c>
      <c r="R82" s="1050"/>
    </row>
    <row r="83" spans="2:18">
      <c r="B83" s="1048" t="str">
        <f>'[2]Global eComm Annual'!B28</f>
        <v>y/y growth %</v>
      </c>
      <c r="C83" s="1054"/>
      <c r="D83" s="1065">
        <f>'[2]Global eComm Annual'!T28</f>
        <v>0.10153374251408631</v>
      </c>
      <c r="E83" s="1065">
        <f>'[2]Global eComm Annual'!U28</f>
        <v>8.9361809284217442E-2</v>
      </c>
      <c r="F83" s="1065">
        <f>'[2]Global eComm Annual'!V28</f>
        <v>8.1668925471007014E-2</v>
      </c>
      <c r="G83" s="1065">
        <f>'[2]Global eComm Annual'!W28</f>
        <v>-3.5006233950727994E-2</v>
      </c>
      <c r="H83" s="1065">
        <f>'[2]Global eComm Annual'!X28</f>
        <v>0.11767057448305618</v>
      </c>
      <c r="I83" s="1065">
        <f>'[2]Global eComm Annual'!Y28</f>
        <v>5.1103813700769551E-2</v>
      </c>
      <c r="J83" s="1065">
        <f>'[2]Global eComm Annual'!Z28</f>
        <v>7.1948261924009715E-2</v>
      </c>
      <c r="K83" s="1065">
        <f>'[2]Global eComm Annual'!AA28</f>
        <v>5.3280126654239535E-2</v>
      </c>
      <c r="L83" s="1065">
        <f>'[2]Global eComm Annual'!AB28</f>
        <v>4.8835216809283821E-2</v>
      </c>
      <c r="M83" s="1065">
        <f>'[2]Global eComm Annual'!AC28</f>
        <v>4.4411408883697101E-2</v>
      </c>
      <c r="N83" s="1065">
        <f>'[2]Global eComm Annual'!AD28</f>
        <v>4.4408259363253322E-2</v>
      </c>
      <c r="O83" s="1065">
        <f>'[2]Global eComm Annual'!AE28</f>
        <v>4.3999999999999997E-2</v>
      </c>
      <c r="P83" s="1065">
        <f>'[2]Global eComm Annual'!AF28</f>
        <v>4.3499999999999997E-2</v>
      </c>
      <c r="Q83" s="1065">
        <f>'[2]Global eComm Annual'!AG28</f>
        <v>4.2999999999999997E-2</v>
      </c>
      <c r="R83" s="1048"/>
    </row>
    <row r="84" spans="2:18">
      <c r="B84" s="1050"/>
      <c r="C84" s="1056"/>
      <c r="D84" s="1056"/>
      <c r="E84" s="1056"/>
      <c r="F84" s="1056"/>
      <c r="G84" s="1056"/>
      <c r="H84" s="1056"/>
      <c r="I84" s="1056"/>
      <c r="J84" s="1056"/>
      <c r="K84" s="1056"/>
      <c r="L84" s="1056"/>
      <c r="M84" s="1056"/>
      <c r="N84" s="1056"/>
      <c r="O84" s="1056"/>
      <c r="P84" s="1056"/>
      <c r="Q84" s="1056"/>
      <c r="R84" s="1050"/>
    </row>
    <row r="85" spans="2:18">
      <c r="B85" s="1053" t="str">
        <f>'[2]Global eComm Annual'!B30</f>
        <v>U.S.</v>
      </c>
      <c r="C85" s="1051"/>
      <c r="D85" s="1051"/>
      <c r="E85" s="1051"/>
      <c r="F85" s="1051"/>
      <c r="G85" s="1051"/>
      <c r="H85" s="1051"/>
      <c r="I85" s="1051"/>
      <c r="J85" s="1051"/>
      <c r="K85" s="1051"/>
      <c r="L85" s="1051"/>
      <c r="M85" s="1051"/>
      <c r="N85" s="1051"/>
      <c r="O85" s="1051"/>
      <c r="P85" s="1051"/>
      <c r="Q85" s="1051"/>
      <c r="R85" s="1052"/>
    </row>
    <row r="86" spans="2:18">
      <c r="B86" s="1049" t="str">
        <f>'[2]Global eComm Annual'!B31</f>
        <v>eCommerce Sales</v>
      </c>
      <c r="C86" s="1055">
        <f>'[2]Global eComm Annual'!S31</f>
        <v>383.5</v>
      </c>
      <c r="D86" s="1055">
        <f>'[2]Global eComm Annual'!T31</f>
        <v>443.2</v>
      </c>
      <c r="E86" s="1055">
        <f>'[2]Global eComm Annual'!U31</f>
        <v>506.1</v>
      </c>
      <c r="F86" s="1055">
        <f>'[2]Global eComm Annual'!V31</f>
        <v>578.5</v>
      </c>
      <c r="G86" s="1055">
        <f>'[2]Global eComm Annual'!W31</f>
        <v>762.7</v>
      </c>
      <c r="H86" s="1055">
        <f>'[2]Global eComm Annual'!X31</f>
        <v>960.4</v>
      </c>
      <c r="I86" s="1055">
        <f>'[2]Global eComm Annual'!Y31</f>
        <v>1040</v>
      </c>
      <c r="J86" s="1055">
        <f>'[2]Global eComm Annual'!Z31</f>
        <v>1119</v>
      </c>
      <c r="K86" s="1055">
        <f>'[2]Global eComm Annual'!AA31</f>
        <v>1208.52</v>
      </c>
      <c r="L86" s="1055">
        <f>'[2]Global eComm Annual'!AB31</f>
        <v>1299.1589999999999</v>
      </c>
      <c r="M86" s="1055">
        <f>'[2]Global eComm Annual'!AC31</f>
        <v>1390.10013</v>
      </c>
      <c r="N86" s="1055">
        <f>'[2]Global eComm Annual'!AD31</f>
        <v>1487.4071391000002</v>
      </c>
      <c r="O86" s="1055">
        <f>'[2]Global eComm Annual'!AE31</f>
        <v>1591.5256388370003</v>
      </c>
      <c r="P86" s="1055">
        <f>'[2]Global eComm Annual'!AF31</f>
        <v>1702.9324335555905</v>
      </c>
      <c r="Q86" s="1055">
        <f>'[2]Global eComm Annual'!AG31</f>
        <v>1822.1377039044819</v>
      </c>
      <c r="R86" s="1050"/>
    </row>
    <row r="87" spans="2:18">
      <c r="B87" s="1048" t="str">
        <f>'[2]Global eComm Annual'!B32</f>
        <v>y/y growth %</v>
      </c>
      <c r="C87" s="1065"/>
      <c r="D87" s="1065">
        <f>'[2]Global eComm Annual'!T32</f>
        <v>0.15567144719687098</v>
      </c>
      <c r="E87" s="1065">
        <f>'[2]Global eComm Annual'!U32</f>
        <v>0.14192238267148016</v>
      </c>
      <c r="F87" s="1065">
        <f>'[2]Global eComm Annual'!V32</f>
        <v>0.14305473226635046</v>
      </c>
      <c r="G87" s="1065">
        <f>'[2]Global eComm Annual'!W32</f>
        <v>0.31840968020743299</v>
      </c>
      <c r="H87" s="1065">
        <f>'[2]Global eComm Annual'!X32</f>
        <v>0.25921069883309289</v>
      </c>
      <c r="I87" s="1065">
        <f>'[2]Global eComm Annual'!Y32</f>
        <v>8.2882132444814793E-2</v>
      </c>
      <c r="J87" s="1065">
        <f>'[2]Global eComm Annual'!Z32</f>
        <v>7.5961538461538414E-2</v>
      </c>
      <c r="K87" s="1065">
        <f>'[2]Global eComm Annual'!AA32</f>
        <v>0.08</v>
      </c>
      <c r="L87" s="1065">
        <f>'[2]Global eComm Annual'!AB32</f>
        <v>7.4999999999999997E-2</v>
      </c>
      <c r="M87" s="1065">
        <f>'[2]Global eComm Annual'!AC32</f>
        <v>7.0000000000000007E-2</v>
      </c>
      <c r="N87" s="1065">
        <f>'[2]Global eComm Annual'!AD32</f>
        <v>7.0000000000000007E-2</v>
      </c>
      <c r="O87" s="1065">
        <f>'[2]Global eComm Annual'!AE32</f>
        <v>7.0000000000000007E-2</v>
      </c>
      <c r="P87" s="1065">
        <f>'[2]Global eComm Annual'!AF32</f>
        <v>7.0000000000000007E-2</v>
      </c>
      <c r="Q87" s="1065">
        <f>'[2]Global eComm Annual'!AG32</f>
        <v>7.0000000000000007E-2</v>
      </c>
      <c r="R87" s="1048"/>
    </row>
    <row r="88" spans="2:18">
      <c r="B88" s="1048" t="str">
        <f>'[2]Global eComm Annual'!B33</f>
        <v>% of Retail Sales</v>
      </c>
      <c r="C88" s="1065">
        <f>'[2]Global eComm Annual'!S33</f>
        <v>7.910321907817007E-2</v>
      </c>
      <c r="D88" s="1065">
        <f>'[2]Global eComm Annual'!T33</f>
        <v>8.7932774282996715E-2</v>
      </c>
      <c r="E88" s="1065">
        <f>'[2]Global eComm Annual'!U33</f>
        <v>9.6300489494189359E-2</v>
      </c>
      <c r="F88" s="1065">
        <f>'[2]Global eComm Annual'!V33</f>
        <v>0.10708457478631213</v>
      </c>
      <c r="G88" s="1065">
        <f>'[2]Global eComm Annual'!W33</f>
        <v>0.13692032142076871</v>
      </c>
      <c r="H88" s="1065">
        <f>'[2]Global eComm Annual'!X33</f>
        <v>0.14628984490443256</v>
      </c>
      <c r="I88" s="1065">
        <f>'[2]Global eComm Annual'!Y33</f>
        <v>0.14772727272727273</v>
      </c>
      <c r="J88" s="1065">
        <f>'[2]Global eComm Annual'!Z33</f>
        <v>0.15498614958448753</v>
      </c>
      <c r="K88" s="1065">
        <f>'[2]Global eComm Annual'!AA33</f>
        <v>0.16094715533773704</v>
      </c>
      <c r="L88" s="1065">
        <f>'[2]Global eComm Annual'!AB33</f>
        <v>0.1670059768224588</v>
      </c>
      <c r="M88" s="1065">
        <f>'[2]Global eComm Annual'!AC33</f>
        <v>0.17265352193239705</v>
      </c>
      <c r="N88" s="1065">
        <f>'[2]Global eComm Annual'!AD33</f>
        <v>0.17849204682866171</v>
      </c>
      <c r="O88" s="1065">
        <f>'[2]Global eComm Annual'!AE33</f>
        <v>0.18470647012250294</v>
      </c>
      <c r="P88" s="1065">
        <f>'[2]Global eComm Annual'!AF33</f>
        <v>0.19113725631632317</v>
      </c>
      <c r="Q88" s="1065">
        <f>'[2]Global eComm Annual'!AG33</f>
        <v>0.19798341167324865</v>
      </c>
      <c r="R88" s="1048"/>
    </row>
    <row r="89" spans="2:18">
      <c r="B89" s="1050"/>
      <c r="C89" s="1056"/>
      <c r="D89" s="1056"/>
      <c r="E89" s="1056"/>
      <c r="F89" s="1056"/>
      <c r="G89" s="1056"/>
      <c r="H89" s="1056"/>
      <c r="I89" s="1056"/>
      <c r="J89" s="1056"/>
      <c r="K89" s="1056"/>
      <c r="L89" s="1056"/>
      <c r="M89" s="1056"/>
      <c r="N89" s="1056"/>
      <c r="O89" s="1056"/>
      <c r="P89" s="1056"/>
      <c r="Q89" s="1056"/>
      <c r="R89" s="1050"/>
    </row>
    <row r="90" spans="2:18">
      <c r="B90" s="1049" t="str">
        <f>'[2]Global eComm Annual'!B35</f>
        <v>Retail Sales</v>
      </c>
      <c r="C90" s="1055">
        <f>'[2]Global eComm Annual'!S35</f>
        <v>4848.0959999999995</v>
      </c>
      <c r="D90" s="1055">
        <f>'[2]Global eComm Annual'!T35</f>
        <v>5040.2139999999999</v>
      </c>
      <c r="E90" s="1055">
        <f>'[2]Global eComm Annual'!U35</f>
        <v>5255.4249999999993</v>
      </c>
      <c r="F90" s="1055">
        <f>'[2]Global eComm Annual'!V35</f>
        <v>5402.2719999999999</v>
      </c>
      <c r="G90" s="1055">
        <f>'[2]Global eComm Annual'!W35</f>
        <v>5570.393</v>
      </c>
      <c r="H90" s="1055">
        <f>'[2]Global eComm Annual'!X35</f>
        <v>6565.049</v>
      </c>
      <c r="I90" s="1055">
        <f>'[2]Global eComm Annual'!Y35</f>
        <v>7040</v>
      </c>
      <c r="J90" s="1055">
        <f>'[2]Global eComm Annual'!Z35</f>
        <v>7220</v>
      </c>
      <c r="K90" s="1055">
        <f>'[2]Global eComm Annual'!AA35</f>
        <v>7508.8</v>
      </c>
      <c r="L90" s="1055">
        <f>'[2]Global eComm Annual'!AB35</f>
        <v>7779.1168000000007</v>
      </c>
      <c r="M90" s="1055">
        <f>'[2]Global eComm Annual'!AC35</f>
        <v>8051.3858879999998</v>
      </c>
      <c r="N90" s="1055">
        <f>'[2]Global eComm Annual'!AD35</f>
        <v>8333.184394079999</v>
      </c>
      <c r="O90" s="1055">
        <f>'[2]Global eComm Annual'!AE35</f>
        <v>8616.5126634787193</v>
      </c>
      <c r="P90" s="1055">
        <f>'[2]Global eComm Annual'!AF35</f>
        <v>8909.4740940369957</v>
      </c>
      <c r="Q90" s="1055">
        <f>'[2]Global eComm Annual'!AG35</f>
        <v>9203.4867391402149</v>
      </c>
      <c r="R90" s="1050"/>
    </row>
    <row r="91" spans="2:18">
      <c r="B91" s="1048" t="str">
        <f>'[2]Global eComm Annual'!B36</f>
        <v>y/y growth %</v>
      </c>
      <c r="C91" s="1054"/>
      <c r="D91" s="1065">
        <f>'[2]Global eComm Annual'!T36</f>
        <v>3.9627515626753373E-2</v>
      </c>
      <c r="E91" s="1065">
        <f>'[2]Global eComm Annual'!U36</f>
        <v>4.2698782234246169E-2</v>
      </c>
      <c r="F91" s="1065">
        <f>'[2]Global eComm Annual'!V36</f>
        <v>2.7941983759639077E-2</v>
      </c>
      <c r="G91" s="1065">
        <f>'[2]Global eComm Annual'!W36</f>
        <v>3.1120424887899123E-2</v>
      </c>
      <c r="H91" s="1065">
        <f>'[2]Global eComm Annual'!X36</f>
        <v>0.17856118948878463</v>
      </c>
      <c r="I91" s="1065">
        <f>'[2]Global eComm Annual'!Y36</f>
        <v>7.2345385388593364E-2</v>
      </c>
      <c r="J91" s="1065">
        <f>'[2]Global eComm Annual'!Z36</f>
        <v>2.5568181818181879E-2</v>
      </c>
      <c r="K91" s="1065">
        <f>'[2]Global eComm Annual'!AA36</f>
        <v>4.0000000000000036E-2</v>
      </c>
      <c r="L91" s="1065">
        <f>'[2]Global eComm Annual'!AB36</f>
        <v>3.6000000000000032E-2</v>
      </c>
      <c r="M91" s="1065">
        <f>'[2]Global eComm Annual'!AC36</f>
        <v>3.499999999999992E-2</v>
      </c>
      <c r="N91" s="1065">
        <f>'[2]Global eComm Annual'!AD36</f>
        <v>3.499999999999992E-2</v>
      </c>
      <c r="O91" s="1065">
        <f>'[2]Global eComm Annual'!AE36</f>
        <v>3.4000000000000002E-2</v>
      </c>
      <c r="P91" s="1065">
        <f>'[2]Global eComm Annual'!AF36</f>
        <v>3.4000000000000002E-2</v>
      </c>
      <c r="Q91" s="1065">
        <f>'[2]Global eComm Annual'!AG36</f>
        <v>3.3000000000000002E-2</v>
      </c>
      <c r="R91" s="1048"/>
    </row>
    <row r="92" spans="2:18">
      <c r="B92" s="1440"/>
      <c r="C92" s="1441"/>
      <c r="D92" s="1441"/>
      <c r="E92" s="1441"/>
      <c r="F92" s="1441"/>
      <c r="G92" s="1441"/>
      <c r="H92" s="1441"/>
      <c r="I92" s="1441"/>
      <c r="J92" s="1441"/>
      <c r="K92" s="1441"/>
      <c r="L92" s="1441"/>
      <c r="M92" s="1441"/>
      <c r="N92" s="1441"/>
      <c r="O92" s="1441"/>
      <c r="P92" s="1441"/>
      <c r="Q92" s="1441"/>
      <c r="R92" s="1441"/>
    </row>
    <row r="93" spans="2:18">
      <c r="B93" s="1053" t="s">
        <v>561</v>
      </c>
      <c r="C93" s="1051"/>
      <c r="D93" s="1051"/>
      <c r="E93" s="1051"/>
      <c r="F93" s="1051"/>
      <c r="G93" s="1051"/>
      <c r="H93" s="1051"/>
      <c r="I93" s="1051"/>
      <c r="J93" s="1051"/>
      <c r="K93" s="1051"/>
      <c r="L93" s="1051"/>
      <c r="M93" s="1051"/>
      <c r="N93" s="1051"/>
      <c r="O93" s="1051"/>
      <c r="P93" s="1051"/>
      <c r="Q93" s="1051"/>
      <c r="R93" s="1052"/>
    </row>
    <row r="94" spans="2:18">
      <c r="B94" s="1049" t="str">
        <f>'[2]Global eComm Annual'!B39</f>
        <v>eCommerce Sales</v>
      </c>
      <c r="C94" s="1441">
        <f t="shared" ref="C94:Q94" si="21">+C70-C86</f>
        <v>994.08888576533809</v>
      </c>
      <c r="D94" s="1441">
        <f t="shared" si="21"/>
        <v>1179.4261052788095</v>
      </c>
      <c r="E94" s="1441">
        <f t="shared" si="21"/>
        <v>1395.6464703867896</v>
      </c>
      <c r="F94" s="1441">
        <f t="shared" si="21"/>
        <v>1604.8176368371851</v>
      </c>
      <c r="G94" s="1441">
        <f t="shared" si="21"/>
        <v>2006.4852005556111</v>
      </c>
      <c r="H94" s="1441">
        <f t="shared" si="21"/>
        <v>2316.0079632175202</v>
      </c>
      <c r="I94" s="1441">
        <f t="shared" si="21"/>
        <v>2592</v>
      </c>
      <c r="J94" s="1441">
        <f t="shared" si="21"/>
        <v>2818</v>
      </c>
      <c r="K94" s="1441">
        <f t="shared" si="21"/>
        <v>3132.8267600000004</v>
      </c>
      <c r="L94" s="1441">
        <f t="shared" si="21"/>
        <v>3431.0464833817441</v>
      </c>
      <c r="M94" s="1441">
        <f t="shared" si="21"/>
        <v>3703.6240426907889</v>
      </c>
      <c r="N94" s="1441">
        <f t="shared" si="21"/>
        <v>3997.0520982649055</v>
      </c>
      <c r="O94" s="1441">
        <f t="shared" si="21"/>
        <v>4274.8453153843311</v>
      </c>
      <c r="P94" s="1441">
        <f t="shared" si="21"/>
        <v>4531.2539785459503</v>
      </c>
      <c r="Q94" s="1441">
        <f t="shared" si="21"/>
        <v>4760.0613537427871</v>
      </c>
      <c r="R94" s="1441"/>
    </row>
    <row r="95" spans="2:18">
      <c r="B95" s="1048" t="str">
        <f>'[2]Global eComm Annual'!B40</f>
        <v>y/y growth %</v>
      </c>
      <c r="C95" s="1441"/>
      <c r="D95" s="1442">
        <f t="shared" ref="D95:Q95" si="22">+D94/C94-1</f>
        <v>0.18643928341556926</v>
      </c>
      <c r="E95" s="1442">
        <f t="shared" si="22"/>
        <v>0.18332675878567817</v>
      </c>
      <c r="F95" s="1442">
        <f t="shared" si="22"/>
        <v>0.14987403392524312</v>
      </c>
      <c r="G95" s="1442">
        <f t="shared" si="22"/>
        <v>0.2502886025791955</v>
      </c>
      <c r="H95" s="1442">
        <f t="shared" si="22"/>
        <v>0.1542611740052704</v>
      </c>
      <c r="I95" s="1442">
        <f t="shared" si="22"/>
        <v>0.11916713636815701</v>
      </c>
      <c r="J95" s="1442">
        <f t="shared" si="22"/>
        <v>8.7191358024691468E-2</v>
      </c>
      <c r="K95" s="1442">
        <f t="shared" si="22"/>
        <v>0.11171992902767935</v>
      </c>
      <c r="L95" s="1442">
        <f t="shared" si="22"/>
        <v>9.5191897359094169E-2</v>
      </c>
      <c r="M95" s="1442">
        <f t="shared" si="22"/>
        <v>7.9444437908163801E-2</v>
      </c>
      <c r="N95" s="1442">
        <f t="shared" si="22"/>
        <v>7.9227279062842548E-2</v>
      </c>
      <c r="O95" s="1442">
        <f t="shared" si="22"/>
        <v>6.9499523721498147E-2</v>
      </c>
      <c r="P95" s="1442">
        <f t="shared" si="22"/>
        <v>5.9980804975294566E-2</v>
      </c>
      <c r="Q95" s="1442">
        <f t="shared" si="22"/>
        <v>5.0495376396946012E-2</v>
      </c>
      <c r="R95" s="1441"/>
    </row>
    <row r="96" spans="2:18">
      <c r="B96" s="1048" t="str">
        <f>'[2]Global eComm Annual'!B41</f>
        <v>% of Retail Sales</v>
      </c>
      <c r="C96" s="1441"/>
      <c r="D96" s="1441"/>
      <c r="E96" s="1441"/>
      <c r="F96" s="1441"/>
      <c r="G96" s="1441"/>
      <c r="H96" s="1441"/>
      <c r="I96" s="1441"/>
      <c r="J96" s="1441"/>
      <c r="K96" s="1441"/>
      <c r="L96" s="1441"/>
      <c r="M96" s="1441"/>
      <c r="N96" s="1441"/>
      <c r="O96" s="1441"/>
      <c r="P96" s="1441"/>
      <c r="Q96" s="1441"/>
      <c r="R96" s="1441"/>
    </row>
    <row r="97" spans="2:18">
      <c r="B97" s="1050"/>
      <c r="C97" s="1441"/>
      <c r="D97" s="1441"/>
      <c r="E97" s="1441"/>
      <c r="F97" s="1441"/>
      <c r="G97" s="1441"/>
      <c r="H97" s="1441"/>
      <c r="I97" s="1441"/>
      <c r="J97" s="1441"/>
      <c r="K97" s="1441"/>
      <c r="L97" s="1441"/>
      <c r="M97" s="1441"/>
      <c r="N97" s="1441"/>
      <c r="O97" s="1441"/>
      <c r="P97" s="1441"/>
      <c r="Q97" s="1441"/>
      <c r="R97" s="1441"/>
    </row>
    <row r="98" spans="2:18">
      <c r="B98" s="1049" t="str">
        <f>'[2]Global eComm Annual'!B43</f>
        <v>Retail Sales</v>
      </c>
      <c r="C98" s="1441">
        <f t="shared" ref="C98:Q98" si="23">+C74-C90</f>
        <v>10918.413875685164</v>
      </c>
      <c r="D98" s="1441">
        <f t="shared" si="23"/>
        <v>11536.768139809043</v>
      </c>
      <c r="E98" s="1441">
        <f t="shared" si="23"/>
        <v>12141.901013768187</v>
      </c>
      <c r="F98" s="1441">
        <f t="shared" si="23"/>
        <v>12621.723244041059</v>
      </c>
      <c r="G98" s="1441">
        <f t="shared" si="23"/>
        <v>12548.249936793509</v>
      </c>
      <c r="H98" s="1441">
        <f t="shared" si="23"/>
        <v>13986.307540566766</v>
      </c>
      <c r="I98" s="1441">
        <f t="shared" si="23"/>
        <v>14975</v>
      </c>
      <c r="J98" s="1441">
        <f t="shared" si="23"/>
        <v>15440</v>
      </c>
      <c r="K98" s="1441">
        <f t="shared" si="23"/>
        <v>16582.096306468837</v>
      </c>
      <c r="L98" s="1441">
        <f t="shared" si="23"/>
        <v>17278.978311488434</v>
      </c>
      <c r="M98" s="1441">
        <f t="shared" si="23"/>
        <v>18029.03665427932</v>
      </c>
      <c r="N98" s="1441">
        <f t="shared" si="23"/>
        <v>18873.705167257594</v>
      </c>
      <c r="O98" s="1441">
        <f t="shared" si="23"/>
        <v>19717.087738344413</v>
      </c>
      <c r="P98" s="1441">
        <f t="shared" si="23"/>
        <v>20564.9519542376</v>
      </c>
      <c r="Q98" s="1441">
        <f t="shared" si="23"/>
        <v>21423.805514202206</v>
      </c>
      <c r="R98" s="1441"/>
    </row>
    <row r="99" spans="2:18">
      <c r="B99" s="1048" t="str">
        <f>'[2]Global eComm Annual'!B44</f>
        <v>y/y growth %</v>
      </c>
      <c r="C99" s="1441"/>
      <c r="D99" s="1442">
        <f t="shared" ref="D99:Q99" si="24">+D98/C98-1</f>
        <v>5.6634074432819093E-2</v>
      </c>
      <c r="E99" s="1442">
        <f t="shared" si="24"/>
        <v>5.245254707607927E-2</v>
      </c>
      <c r="F99" s="1442">
        <f t="shared" si="24"/>
        <v>3.9517883544659238E-2</v>
      </c>
      <c r="G99" s="1442">
        <f t="shared" si="24"/>
        <v>-5.8211787587909569E-3</v>
      </c>
      <c r="H99" s="1442">
        <f t="shared" si="24"/>
        <v>0.11460224421866494</v>
      </c>
      <c r="I99" s="1442">
        <f t="shared" si="24"/>
        <v>7.0690027125856369E-2</v>
      </c>
      <c r="J99" s="1442">
        <f t="shared" si="24"/>
        <v>3.1051752921535947E-2</v>
      </c>
      <c r="K99" s="1442">
        <f t="shared" si="24"/>
        <v>7.3969968035546341E-2</v>
      </c>
      <c r="L99" s="1442">
        <f t="shared" si="24"/>
        <v>4.2026170403300478E-2</v>
      </c>
      <c r="M99" s="1442">
        <f t="shared" si="24"/>
        <v>4.3408720658685507E-2</v>
      </c>
      <c r="N99" s="1442">
        <f t="shared" si="24"/>
        <v>4.6850451811455196E-2</v>
      </c>
      <c r="O99" s="1442">
        <f t="shared" si="24"/>
        <v>4.4685585771994107E-2</v>
      </c>
      <c r="P99" s="1442">
        <f t="shared" si="24"/>
        <v>4.3001493280588221E-2</v>
      </c>
      <c r="Q99" s="1442">
        <f t="shared" si="24"/>
        <v>4.1762974300926237E-2</v>
      </c>
      <c r="R99" s="1441"/>
    </row>
    <row r="100" spans="2:18">
      <c r="B100" s="1048"/>
      <c r="C100" s="1441"/>
      <c r="D100" s="1442"/>
      <c r="E100" s="1442"/>
      <c r="F100" s="1442"/>
      <c r="G100" s="1442"/>
      <c r="H100" s="1442"/>
      <c r="I100" s="1442"/>
      <c r="J100" s="1442"/>
      <c r="K100" s="1442"/>
      <c r="L100" s="1442"/>
      <c r="M100" s="1442"/>
      <c r="N100" s="1442"/>
      <c r="O100" s="1442"/>
      <c r="P100" s="1442"/>
      <c r="Q100" s="1442"/>
      <c r="R100" s="1441"/>
    </row>
    <row r="101" spans="2:18">
      <c r="B101" s="1059" t="s">
        <v>187</v>
      </c>
      <c r="C101" s="1313"/>
      <c r="D101" s="1313"/>
      <c r="E101" s="1313"/>
      <c r="F101" s="1313"/>
      <c r="G101" s="1313"/>
      <c r="H101" s="1313"/>
      <c r="I101" s="1313"/>
      <c r="J101" s="1313"/>
      <c r="K101" s="1313"/>
      <c r="L101" s="1313"/>
      <c r="M101" s="1313"/>
      <c r="N101" s="1313"/>
      <c r="O101" s="1313"/>
      <c r="P101" s="1313"/>
      <c r="Q101" s="1313"/>
      <c r="R101" s="1058"/>
    </row>
    <row r="102" spans="2:18">
      <c r="B102" s="1307" t="s">
        <v>686</v>
      </c>
      <c r="C102" s="1055">
        <f>'[2]Global eComm Annual'!S63</f>
        <v>9.8046967660314728</v>
      </c>
      <c r="D102" s="1055">
        <f>'[2]Global eComm Annual'!T63</f>
        <v>12.255870957539337</v>
      </c>
      <c r="E102" s="1055">
        <f>'[2]Global eComm Annual'!U63</f>
        <v>14.390764608207483</v>
      </c>
      <c r="F102" s="1055">
        <f>'[2]Global eComm Annual'!V63</f>
        <v>17.790780422234523</v>
      </c>
      <c r="G102" s="1055">
        <f>'[2]Global eComm Annual'!W63</f>
        <v>31.153633272712895</v>
      </c>
      <c r="H102" s="1055">
        <f>'[2]Global eComm Annual'!X63</f>
        <v>36.530402466988221</v>
      </c>
      <c r="I102" s="1055">
        <f>'[2]Global eComm Annual'!Y63</f>
        <v>40.221747024029121</v>
      </c>
      <c r="J102" s="1055">
        <f>'[2]Global eComm Annual'!Z63</f>
        <v>44.16347823238398</v>
      </c>
      <c r="K102" s="1055">
        <f>'[2]Global eComm Annual'!AA63</f>
        <v>48.359008664460454</v>
      </c>
      <c r="L102" s="1055">
        <f>'[2]Global eComm Annual'!AB63</f>
        <v>52.227729357617292</v>
      </c>
      <c r="M102" s="1055">
        <f>'[2]Global eComm Annual'!AC63</f>
        <v>55.446277009296168</v>
      </c>
      <c r="N102" s="1055">
        <f>'[2]Global eComm Annual'!AD63</f>
        <v>58.773053629853941</v>
      </c>
      <c r="O102" s="1055">
        <f>'[2]Global eComm Annual'!AE63</f>
        <v>62.299436847645183</v>
      </c>
      <c r="P102" s="1055">
        <f>'[2]Global eComm Annual'!AF63</f>
        <v>66.037403058503898</v>
      </c>
      <c r="Q102" s="1055">
        <f>'[2]Global eComm Annual'!AG63</f>
        <v>69.999647242014134</v>
      </c>
      <c r="R102" s="1308"/>
    </row>
    <row r="103" spans="2:18">
      <c r="B103" s="1310" t="s">
        <v>433</v>
      </c>
      <c r="C103" s="1315">
        <f>'[2]Global eComm Annual'!S64</f>
        <v>0</v>
      </c>
      <c r="D103" s="1315">
        <f>'[2]Global eComm Annual'!T64</f>
        <v>0.24999999999999956</v>
      </c>
      <c r="E103" s="1315">
        <f>'[2]Global eComm Annual'!U64</f>
        <v>0.17419354838709711</v>
      </c>
      <c r="F103" s="1315">
        <f>'[2]Global eComm Annual'!V64</f>
        <v>0.23626373626373609</v>
      </c>
      <c r="G103" s="1315">
        <f>'[2]Global eComm Annual'!W64</f>
        <v>0.75111111111111106</v>
      </c>
      <c r="H103" s="1315">
        <f>'[2]Global eComm Annual'!X64</f>
        <v>0.17258883248730972</v>
      </c>
      <c r="I103" s="1315">
        <f>'[2]Global eComm Annual'!Y64</f>
        <v>0.10104855976817362</v>
      </c>
      <c r="J103" s="1315">
        <f>'[2]Global eComm Annual'!Z64</f>
        <v>9.8000000000000087E-2</v>
      </c>
      <c r="K103" s="1315">
        <f>'[2]Global eComm Annual'!AA64</f>
        <v>9.5000000000000001E-2</v>
      </c>
      <c r="L103" s="1315">
        <f>'[2]Global eComm Annual'!AB64</f>
        <v>0.08</v>
      </c>
      <c r="M103" s="1315">
        <f>'[2]Global eComm Annual'!AC64</f>
        <v>6.1625264802163127E-2</v>
      </c>
      <c r="N103" s="1315">
        <f>'[2]Global eComm Annual'!AD64</f>
        <v>0.06</v>
      </c>
      <c r="O103" s="1315">
        <f>'[2]Global eComm Annual'!AE64</f>
        <v>0.06</v>
      </c>
      <c r="P103" s="1315">
        <f>'[2]Global eComm Annual'!AF64</f>
        <v>0.06</v>
      </c>
      <c r="Q103" s="1315">
        <f>'[2]Global eComm Annual'!AG64</f>
        <v>0.06</v>
      </c>
      <c r="R103" s="1310"/>
    </row>
    <row r="104" spans="2:18">
      <c r="B104" s="1310" t="s">
        <v>687</v>
      </c>
      <c r="C104" s="1315">
        <f>'[2]Global eComm Annual'!S65</f>
        <v>2.2553655874863594E-2</v>
      </c>
      <c r="D104" s="1315">
        <f>'[2]Global eComm Annual'!T65</f>
        <v>2.6311322356136476E-2</v>
      </c>
      <c r="E104" s="1315">
        <f>'[2]Global eComm Annual'!U65</f>
        <v>2.9944060546232321E-2</v>
      </c>
      <c r="F104" s="1315">
        <f>'[2]Global eComm Annual'!V65</f>
        <v>3.6490431397988979E-2</v>
      </c>
      <c r="G104" s="1315">
        <f>'[2]Global eComm Annual'!W65</f>
        <v>6.4760026298487816E-2</v>
      </c>
      <c r="H104" s="1315">
        <f>'[2]Global eComm Annual'!X65</f>
        <v>6.7931186590207318E-2</v>
      </c>
      <c r="I104" s="1315">
        <f>'[2]Global eComm Annual'!Y65</f>
        <v>6.9000000000000006E-2</v>
      </c>
      <c r="J104" s="1315">
        <f>'[2]Global eComm Annual'!Z65</f>
        <v>7.101195856936407E-2</v>
      </c>
      <c r="K104" s="1315">
        <f>'[2]Global eComm Annual'!AA65</f>
        <v>7.4577561950667573E-2</v>
      </c>
      <c r="L104" s="1315">
        <f>'[2]Global eComm Annual'!AB65</f>
        <v>7.7238742003043259E-2</v>
      </c>
      <c r="M104" s="1315">
        <f>'[2]Global eComm Annual'!AC65</f>
        <v>8.020946284931417E-2</v>
      </c>
      <c r="N104" s="1315">
        <f>'[2]Global eComm Annual'!AD65</f>
        <v>8.2545660796381579E-2</v>
      </c>
      <c r="O104" s="1315">
        <f>'[2]Global eComm Annual'!AE65</f>
        <v>8.5115175529342876E-2</v>
      </c>
      <c r="P104" s="1315">
        <f>'[2]Global eComm Annual'!AF65</f>
        <v>8.7764675156715419E-2</v>
      </c>
      <c r="Q104" s="1315">
        <f>'[2]Global eComm Annual'!AG65</f>
        <v>9.058476695824573E-2</v>
      </c>
      <c r="R104" s="1310"/>
    </row>
    <row r="105" spans="2:18">
      <c r="B105" s="1308"/>
      <c r="C105" s="1312"/>
      <c r="D105" s="1312"/>
      <c r="E105" s="1312"/>
      <c r="F105" s="1312"/>
      <c r="G105" s="1312"/>
      <c r="H105" s="1312"/>
      <c r="I105" s="1312"/>
      <c r="J105" s="1312"/>
      <c r="K105" s="1312"/>
      <c r="L105" s="1312"/>
      <c r="M105" s="1312"/>
      <c r="N105" s="1312"/>
      <c r="O105" s="1312"/>
      <c r="P105" s="1312"/>
      <c r="Q105" s="1312"/>
      <c r="R105" s="1308"/>
    </row>
    <row r="106" spans="2:18">
      <c r="B106" s="1307" t="s">
        <v>688</v>
      </c>
      <c r="C106" s="1055">
        <f>'[2]Global eComm Annual'!S67</f>
        <v>434.72760338420176</v>
      </c>
      <c r="D106" s="1055">
        <f>'[2]Global eComm Annual'!T67</f>
        <v>465.80216652170481</v>
      </c>
      <c r="E106" s="1055">
        <f>'[2]Global eComm Annual'!U67</f>
        <v>480.58828180596186</v>
      </c>
      <c r="F106" s="1055">
        <f>'[2]Global eComm Annual'!V67</f>
        <v>487.54645370443581</v>
      </c>
      <c r="G106" s="1055">
        <f>'[2]Global eComm Annual'!W67</f>
        <v>481.06270261722159</v>
      </c>
      <c r="H106" s="1055">
        <f>'[2]Global eComm Annual'!X67</f>
        <v>537.75598956274223</v>
      </c>
      <c r="I106" s="1055">
        <f>'[2]Global eComm Annual'!Y67</f>
        <v>582.92386991346541</v>
      </c>
      <c r="J106" s="1055">
        <f>'[2]Global eComm Annual'!Z67</f>
        <v>621.91607050586208</v>
      </c>
      <c r="K106" s="1055">
        <f>'[2]Global eComm Annual'!AA67</f>
        <v>648.43912028727254</v>
      </c>
      <c r="L106" s="1055">
        <f>'[2]Global eComm Annual'!AB67</f>
        <v>676.18565506361415</v>
      </c>
      <c r="M106" s="1055">
        <f>'[2]Global eComm Annual'!AC67</f>
        <v>691.26852418224689</v>
      </c>
      <c r="N106" s="1055">
        <f>'[2]Global eComm Annual'!AD67</f>
        <v>712.00657990771435</v>
      </c>
      <c r="O106" s="1055">
        <f>'[2]Global eComm Annual'!AE67</f>
        <v>731.94276414513035</v>
      </c>
      <c r="P106" s="1055">
        <f>'[2]Global eComm Annual'!AF67</f>
        <v>752.43716154119397</v>
      </c>
      <c r="Q106" s="1055">
        <f>'[2]Global eComm Annual'!AG67</f>
        <v>772.75296490280618</v>
      </c>
      <c r="R106" s="1308"/>
    </row>
    <row r="107" spans="2:18">
      <c r="B107" s="1310" t="s">
        <v>433</v>
      </c>
      <c r="C107" s="1316"/>
      <c r="D107" s="1317">
        <f>'[2]Global eComm Annual'!T68</f>
        <v>7.1480538377592051E-2</v>
      </c>
      <c r="E107" s="1317">
        <f>'[2]Global eComm Annual'!U68</f>
        <v>3.1743337294177332E-2</v>
      </c>
      <c r="F107" s="1317">
        <f>'[2]Global eComm Annual'!V68</f>
        <v>1.4478446857518978E-2</v>
      </c>
      <c r="G107" s="1317">
        <f>'[2]Global eComm Annual'!W68</f>
        <v>-1.3298734998377859E-2</v>
      </c>
      <c r="H107" s="1317">
        <f>'[2]Global eComm Annual'!X68</f>
        <v>0.11785009861932938</v>
      </c>
      <c r="I107" s="1317">
        <f>'[2]Global eComm Annual'!Y68</f>
        <v>8.399326316653366E-2</v>
      </c>
      <c r="J107" s="1317">
        <f>'[2]Global eComm Annual'!Z68</f>
        <v>6.6890725538799822E-2</v>
      </c>
      <c r="K107" s="1317">
        <f>'[2]Global eComm Annual'!AA68</f>
        <v>4.2647313744178961E-2</v>
      </c>
      <c r="L107" s="1317">
        <f>'[2]Global eComm Annual'!AB68</f>
        <v>4.2789729842408697E-2</v>
      </c>
      <c r="M107" s="1317">
        <f>'[2]Global eComm Annual'!AC68</f>
        <v>2.2305810550230953E-2</v>
      </c>
      <c r="N107" s="1317">
        <f>'[2]Global eComm Annual'!AD68</f>
        <v>3.0000000000000027E-2</v>
      </c>
      <c r="O107" s="1317">
        <f>'[2]Global eComm Annual'!AE68</f>
        <v>2.8000000000000001E-2</v>
      </c>
      <c r="P107" s="1317">
        <f>'[2]Global eComm Annual'!AF68</f>
        <v>2.8000000000000001E-2</v>
      </c>
      <c r="Q107" s="1317">
        <f>'[2]Global eComm Annual'!AG68</f>
        <v>2.7E-2</v>
      </c>
      <c r="R107" s="1310"/>
    </row>
    <row r="108" spans="2:18">
      <c r="B108" s="1308"/>
      <c r="C108" s="1312"/>
      <c r="D108" s="1312"/>
      <c r="E108" s="1312"/>
      <c r="F108" s="1312"/>
      <c r="G108" s="1312"/>
      <c r="H108" s="1312"/>
      <c r="I108" s="1312"/>
      <c r="J108" s="1312"/>
      <c r="K108" s="1312"/>
      <c r="L108" s="1312"/>
      <c r="M108" s="1312"/>
      <c r="N108" s="1312"/>
      <c r="O108" s="1312"/>
      <c r="P108" s="1312"/>
      <c r="Q108" s="1312"/>
      <c r="R108" s="1308"/>
    </row>
    <row r="109" spans="2:18">
      <c r="B109" s="1059" t="s">
        <v>689</v>
      </c>
      <c r="C109" s="1313"/>
      <c r="D109" s="1313"/>
      <c r="E109" s="1313"/>
      <c r="F109" s="1313"/>
      <c r="G109" s="1313"/>
      <c r="H109" s="1313"/>
      <c r="I109" s="1313"/>
      <c r="J109" s="1313"/>
      <c r="K109" s="1313"/>
      <c r="L109" s="1313"/>
      <c r="M109" s="1313"/>
      <c r="N109" s="1313"/>
      <c r="O109" s="1313"/>
      <c r="P109" s="1313"/>
      <c r="Q109" s="1313"/>
      <c r="R109" s="1058"/>
    </row>
    <row r="110" spans="2:18">
      <c r="B110" s="1307" t="s">
        <v>686</v>
      </c>
      <c r="C110" s="1309">
        <f t="shared" ref="C110:Q110" si="25">C102+C86</f>
        <v>393.3046967660315</v>
      </c>
      <c r="D110" s="1309">
        <f t="shared" si="25"/>
        <v>455.45587095753933</v>
      </c>
      <c r="E110" s="1309">
        <f t="shared" si="25"/>
        <v>520.49076460820754</v>
      </c>
      <c r="F110" s="1309">
        <f t="shared" si="25"/>
        <v>596.29078042223455</v>
      </c>
      <c r="G110" s="1309">
        <f t="shared" si="25"/>
        <v>793.85363327271295</v>
      </c>
      <c r="H110" s="1309">
        <f t="shared" si="25"/>
        <v>996.9304024669882</v>
      </c>
      <c r="I110" s="1309">
        <f t="shared" si="25"/>
        <v>1080.2217470240291</v>
      </c>
      <c r="J110" s="1309">
        <f t="shared" si="25"/>
        <v>1163.163478232384</v>
      </c>
      <c r="K110" s="1309">
        <f t="shared" si="25"/>
        <v>1256.8790086644603</v>
      </c>
      <c r="L110" s="1309">
        <f t="shared" si="25"/>
        <v>1351.3867293576172</v>
      </c>
      <c r="M110" s="1309">
        <f t="shared" si="25"/>
        <v>1445.5464070092962</v>
      </c>
      <c r="N110" s="1309">
        <f t="shared" si="25"/>
        <v>1546.1801927298541</v>
      </c>
      <c r="O110" s="1309">
        <f t="shared" si="25"/>
        <v>1653.8250756846455</v>
      </c>
      <c r="P110" s="1309">
        <f t="shared" si="25"/>
        <v>1768.9698366140944</v>
      </c>
      <c r="Q110" s="1309">
        <f t="shared" si="25"/>
        <v>1892.137351146496</v>
      </c>
      <c r="R110" s="1314"/>
    </row>
    <row r="111" spans="2:18">
      <c r="B111" s="1310" t="s">
        <v>433</v>
      </c>
      <c r="C111" s="1311"/>
      <c r="D111" s="1311">
        <f t="shared" ref="D111:Q111" si="26">D110/C110-1</f>
        <v>0.15802296464433074</v>
      </c>
      <c r="E111" s="1311">
        <f t="shared" si="26"/>
        <v>0.14279076810216629</v>
      </c>
      <c r="F111" s="1311">
        <f t="shared" si="26"/>
        <v>0.14563181706227679</v>
      </c>
      <c r="G111" s="1311">
        <f t="shared" si="26"/>
        <v>0.33131965030648947</v>
      </c>
      <c r="H111" s="1311">
        <f t="shared" si="26"/>
        <v>0.25581134945125594</v>
      </c>
      <c r="I111" s="1311">
        <f t="shared" si="26"/>
        <v>8.3547802686054551E-2</v>
      </c>
      <c r="J111" s="1311">
        <f t="shared" si="26"/>
        <v>7.6782134257948664E-2</v>
      </c>
      <c r="K111" s="1311">
        <f t="shared" si="26"/>
        <v>8.0569526284037352E-2</v>
      </c>
      <c r="L111" s="1311">
        <f t="shared" si="26"/>
        <v>7.5192377342334193E-2</v>
      </c>
      <c r="M111" s="1311">
        <f t="shared" si="26"/>
        <v>6.967633735491674E-2</v>
      </c>
      <c r="N111" s="1311">
        <f t="shared" si="26"/>
        <v>6.961643378074589E-2</v>
      </c>
      <c r="O111" s="1311">
        <f t="shared" si="26"/>
        <v>6.9619882249777998E-2</v>
      </c>
      <c r="P111" s="1311">
        <f t="shared" si="26"/>
        <v>6.9623300929683607E-2</v>
      </c>
      <c r="Q111" s="1311">
        <f t="shared" si="26"/>
        <v>6.9626690056033391E-2</v>
      </c>
      <c r="R111" s="1314"/>
    </row>
    <row r="112" spans="2:18">
      <c r="B112" s="1310" t="s">
        <v>687</v>
      </c>
      <c r="C112" s="1311">
        <f t="shared" ref="C112:Q112" si="27">C110/C114</f>
        <v>7.4449712179312344E-2</v>
      </c>
      <c r="D112" s="1311">
        <f t="shared" si="27"/>
        <v>8.2719675566311088E-2</v>
      </c>
      <c r="E112" s="1311">
        <f t="shared" si="27"/>
        <v>9.0740857636984598E-2</v>
      </c>
      <c r="F112" s="1311">
        <f t="shared" si="27"/>
        <v>0.10124094403065921</v>
      </c>
      <c r="G112" s="1311">
        <f t="shared" si="27"/>
        <v>0.13118391215015845</v>
      </c>
      <c r="H112" s="1311">
        <f t="shared" si="27"/>
        <v>0.14035728193747871</v>
      </c>
      <c r="I112" s="1311">
        <f t="shared" si="27"/>
        <v>0.14170700973251246</v>
      </c>
      <c r="J112" s="1311">
        <f t="shared" si="27"/>
        <v>0.14832643805091775</v>
      </c>
      <c r="K112" s="1311">
        <f t="shared" si="27"/>
        <v>0.15408142266401981</v>
      </c>
      <c r="L112" s="1311">
        <f t="shared" si="27"/>
        <v>0.15982713055383541</v>
      </c>
      <c r="M112" s="1311">
        <f t="shared" si="27"/>
        <v>0.16534410933537916</v>
      </c>
      <c r="N112" s="1311">
        <f t="shared" si="27"/>
        <v>0.17093947459775927</v>
      </c>
      <c r="O112" s="1311">
        <f t="shared" si="27"/>
        <v>0.17690891169013229</v>
      </c>
      <c r="P112" s="1311">
        <f t="shared" si="27"/>
        <v>0.18308694727379127</v>
      </c>
      <c r="Q112" s="1311">
        <f t="shared" si="27"/>
        <v>0.18966438330262644</v>
      </c>
      <c r="R112" s="1314"/>
    </row>
    <row r="113" spans="2:18">
      <c r="B113" s="1308"/>
      <c r="C113" s="1318"/>
      <c r="D113" s="1318"/>
      <c r="E113" s="1318"/>
      <c r="F113" s="1318"/>
      <c r="G113" s="1318"/>
      <c r="H113" s="1318"/>
      <c r="I113" s="1318"/>
      <c r="J113" s="1318"/>
      <c r="K113" s="1318"/>
      <c r="L113" s="1318"/>
      <c r="M113" s="1318"/>
      <c r="N113" s="1318"/>
      <c r="O113" s="1318"/>
      <c r="P113" s="1318"/>
      <c r="Q113" s="1318"/>
      <c r="R113" s="1441"/>
    </row>
    <row r="114" spans="2:18">
      <c r="B114" s="1307" t="s">
        <v>688</v>
      </c>
      <c r="C114" s="1309">
        <f t="shared" ref="C114:Q114" si="28">C90+C106</f>
        <v>5282.8236033842013</v>
      </c>
      <c r="D114" s="1309">
        <f t="shared" si="28"/>
        <v>5506.0161665217047</v>
      </c>
      <c r="E114" s="1309">
        <f t="shared" si="28"/>
        <v>5736.013281805961</v>
      </c>
      <c r="F114" s="1309">
        <f t="shared" si="28"/>
        <v>5889.8184537044353</v>
      </c>
      <c r="G114" s="1309">
        <f t="shared" si="28"/>
        <v>6051.4557026172215</v>
      </c>
      <c r="H114" s="1309">
        <f t="shared" si="28"/>
        <v>7102.8049895627419</v>
      </c>
      <c r="I114" s="1309">
        <f t="shared" si="28"/>
        <v>7622.9238699134658</v>
      </c>
      <c r="J114" s="1309">
        <f t="shared" si="28"/>
        <v>7841.9160705058621</v>
      </c>
      <c r="K114" s="1309">
        <f t="shared" si="28"/>
        <v>8157.2391202872732</v>
      </c>
      <c r="L114" s="1309">
        <f t="shared" si="28"/>
        <v>8455.3024550636146</v>
      </c>
      <c r="M114" s="1309">
        <f t="shared" si="28"/>
        <v>8742.6544121822462</v>
      </c>
      <c r="N114" s="1309">
        <f t="shared" si="28"/>
        <v>9045.1909739877137</v>
      </c>
      <c r="O114" s="1309">
        <f t="shared" si="28"/>
        <v>9348.4554276238505</v>
      </c>
      <c r="P114" s="1309">
        <f t="shared" si="28"/>
        <v>9661.9112555781903</v>
      </c>
      <c r="Q114" s="1309">
        <f t="shared" si="28"/>
        <v>9976.2397040430205</v>
      </c>
      <c r="R114" s="1441"/>
    </row>
    <row r="115" spans="2:18">
      <c r="B115" s="1310" t="s">
        <v>433</v>
      </c>
      <c r="C115" s="1319"/>
      <c r="D115" s="1311">
        <f t="shared" ref="D115:Q115" si="29">D114/C114-1</f>
        <v>4.2248725282919786E-2</v>
      </c>
      <c r="E115" s="1311">
        <f t="shared" si="29"/>
        <v>4.1771965124750343E-2</v>
      </c>
      <c r="F115" s="1311">
        <f t="shared" si="29"/>
        <v>2.6813949749092902E-2</v>
      </c>
      <c r="G115" s="1311">
        <f t="shared" si="29"/>
        <v>2.7443502746867132E-2</v>
      </c>
      <c r="H115" s="1311">
        <f t="shared" si="29"/>
        <v>0.17373493893226666</v>
      </c>
      <c r="I115" s="1311">
        <f t="shared" si="29"/>
        <v>7.3227250517931441E-2</v>
      </c>
      <c r="J115" s="1311">
        <f t="shared" si="29"/>
        <v>2.872811067374359E-2</v>
      </c>
      <c r="K115" s="1311">
        <f t="shared" si="29"/>
        <v>4.0209949576911264E-2</v>
      </c>
      <c r="L115" s="1311">
        <f t="shared" si="29"/>
        <v>3.653973242430153E-2</v>
      </c>
      <c r="M115" s="1311">
        <f t="shared" si="29"/>
        <v>3.3984822973014417E-2</v>
      </c>
      <c r="N115" s="1311">
        <f t="shared" si="29"/>
        <v>3.4604657526426497E-2</v>
      </c>
      <c r="O115" s="1311">
        <f t="shared" si="29"/>
        <v>3.352770046627751E-2</v>
      </c>
      <c r="P115" s="1311">
        <f t="shared" si="29"/>
        <v>3.3530226504381311E-2</v>
      </c>
      <c r="Q115" s="1311">
        <f t="shared" si="29"/>
        <v>3.253274017429586E-2</v>
      </c>
      <c r="R115" s="1441"/>
    </row>
    <row r="116" spans="2:18">
      <c r="B116" s="1440"/>
      <c r="C116" s="1441"/>
      <c r="D116" s="1441"/>
      <c r="E116" s="1441"/>
      <c r="F116" s="1441"/>
      <c r="G116" s="1441"/>
      <c r="H116" s="1441"/>
      <c r="I116" s="1441"/>
      <c r="J116" s="1441"/>
      <c r="K116" s="1441"/>
      <c r="L116" s="1441"/>
      <c r="M116" s="1441"/>
      <c r="N116" s="1441"/>
      <c r="O116" s="1441"/>
      <c r="P116" s="1441"/>
      <c r="Q116" s="1441"/>
      <c r="R116" s="1441"/>
    </row>
    <row r="117" spans="2:18">
      <c r="B117" s="1440" t="s">
        <v>318</v>
      </c>
      <c r="C117" s="1292">
        <f>'Revenue Build'!BZ41</f>
        <v>15374.165999999999</v>
      </c>
      <c r="D117" s="1292">
        <f>'Revenue Build'!CE41</f>
        <v>26320.15</v>
      </c>
      <c r="E117" s="1292">
        <f>'Revenue Build'!CJ41</f>
        <v>41103.237999999998</v>
      </c>
      <c r="F117" s="1292">
        <f>'Revenue Build'!$CO$41</f>
        <v>61138.457000000002</v>
      </c>
      <c r="G117" s="1292">
        <f>'Revenue Build'!$CT$41</f>
        <v>119577.147</v>
      </c>
      <c r="H117" s="1292">
        <f>'Revenue Build'!$CY$41</f>
        <v>175361.81400000001</v>
      </c>
      <c r="I117" s="1292">
        <f>'Revenue Build'!$DD$41</f>
        <v>197250.171</v>
      </c>
      <c r="J117" s="1292">
        <f>'Revenue Build'!$DI$41</f>
        <v>235925</v>
      </c>
      <c r="K117" s="1292">
        <f>'Revenue Build'!$DN$41</f>
        <v>290594.375</v>
      </c>
      <c r="L117" s="1292">
        <f>'Revenue Build'!$DS$41</f>
        <v>347260.16816817026</v>
      </c>
      <c r="M117" s="1292">
        <f>'Revenue Build'!$DX$41</f>
        <v>407857.06751351594</v>
      </c>
      <c r="N117" s="1292">
        <f>'Revenue Build'!$EC$41</f>
        <v>475153.48365324613</v>
      </c>
      <c r="O117" s="1441"/>
      <c r="P117" s="1441"/>
      <c r="Q117" s="1441"/>
      <c r="R117" s="1441"/>
    </row>
    <row r="118" spans="2:18">
      <c r="B118" s="1440" t="s">
        <v>560</v>
      </c>
      <c r="C118" s="1292"/>
      <c r="D118" s="1292">
        <f>'Revenue Build'!CE51</f>
        <v>10088.015940336567</v>
      </c>
      <c r="E118" s="1292">
        <f>'Revenue Build'!CJ51</f>
        <v>16711.604062604951</v>
      </c>
      <c r="F118" s="1292">
        <f>'Revenue Build'!$CO$51</f>
        <v>25702.891747650821</v>
      </c>
      <c r="G118" s="1292">
        <f>'Revenue Build'!$CT$51</f>
        <v>53800</v>
      </c>
      <c r="H118" s="1292">
        <f>'Revenue Build'!$CY$51</f>
        <v>85800</v>
      </c>
      <c r="I118" s="1292">
        <f>'Revenue Build'!$DD$51</f>
        <v>106100</v>
      </c>
      <c r="J118" s="1292">
        <f>'Revenue Build'!$DI$51</f>
        <v>137074</v>
      </c>
      <c r="K118" s="1292">
        <f>'Revenue Build'!$DN$51</f>
        <v>178987.77124999999</v>
      </c>
      <c r="L118" s="1292">
        <f>'Revenue Build'!$DS$51</f>
        <v>222867.38995094484</v>
      </c>
      <c r="M118" s="1292">
        <f>'Revenue Build'!$DX$51</f>
        <v>270730.6049826821</v>
      </c>
      <c r="N118" s="1292">
        <f>'Revenue Build'!$EC$51</f>
        <v>323953.91751058312</v>
      </c>
      <c r="O118" s="1441"/>
      <c r="P118" s="1441"/>
      <c r="Q118" s="1441"/>
      <c r="R118" s="1441"/>
    </row>
    <row r="119" spans="2:18">
      <c r="B119" s="1440"/>
      <c r="C119" s="1441"/>
      <c r="D119" s="1441"/>
      <c r="E119" s="1441"/>
      <c r="F119" s="1441"/>
      <c r="G119" s="1441"/>
      <c r="H119" s="1441"/>
      <c r="I119" s="1441"/>
      <c r="J119" s="1441"/>
      <c r="K119" s="1441"/>
      <c r="L119" s="1441"/>
      <c r="M119" s="1441"/>
      <c r="N119" s="1441"/>
      <c r="O119" s="1441"/>
      <c r="P119" s="1441"/>
      <c r="Q119" s="1441"/>
      <c r="R119" s="1441"/>
    </row>
    <row r="120" spans="2:18">
      <c r="B120" s="1440"/>
      <c r="C120" s="1441"/>
      <c r="D120" s="1441"/>
      <c r="E120" s="1441" t="str">
        <f t="shared" ref="E120:N120" si="30">+E60</f>
        <v>2018A</v>
      </c>
      <c r="F120" s="1441" t="str">
        <f t="shared" si="30"/>
        <v>2019A</v>
      </c>
      <c r="G120" s="1441" t="str">
        <f t="shared" si="30"/>
        <v>2020A</v>
      </c>
      <c r="H120" s="1441" t="str">
        <f t="shared" si="30"/>
        <v>2021A</v>
      </c>
      <c r="I120" s="1441" t="str">
        <f t="shared" si="30"/>
        <v>2022A</v>
      </c>
      <c r="J120" s="1441" t="str">
        <f t="shared" si="30"/>
        <v>2023A</v>
      </c>
      <c r="K120" s="1441" t="str">
        <f t="shared" si="30"/>
        <v>2024E</v>
      </c>
      <c r="L120" s="1441" t="str">
        <f t="shared" si="30"/>
        <v>2025E</v>
      </c>
      <c r="M120" s="1441" t="str">
        <f t="shared" si="30"/>
        <v>2026E</v>
      </c>
      <c r="N120" s="1441" t="str">
        <f t="shared" si="30"/>
        <v>2027E</v>
      </c>
      <c r="O120" s="1441"/>
      <c r="P120" s="1441"/>
      <c r="Q120" s="1441"/>
      <c r="R120" s="1441"/>
    </row>
    <row r="121" spans="2:18">
      <c r="B121" s="1440" t="s">
        <v>559</v>
      </c>
      <c r="C121" s="1441"/>
      <c r="D121" s="1441"/>
      <c r="E121" s="1442">
        <f t="shared" ref="E121:N121" si="31">+E117/E70/1000</f>
        <v>2.1613416215064754E-2</v>
      </c>
      <c r="F121" s="1442">
        <f t="shared" si="31"/>
        <v>2.8002548034452228E-2</v>
      </c>
      <c r="G121" s="1442">
        <f t="shared" si="31"/>
        <v>4.3181346981057085E-2</v>
      </c>
      <c r="H121" s="1442">
        <f t="shared" si="31"/>
        <v>5.3522582037613536E-2</v>
      </c>
      <c r="I121" s="1442">
        <f t="shared" si="31"/>
        <v>5.4308967786343615E-2</v>
      </c>
      <c r="J121" s="1442">
        <f t="shared" si="31"/>
        <v>5.9925069850139699E-2</v>
      </c>
      <c r="K121" s="1442">
        <f t="shared" si="31"/>
        <v>6.6936457985217468E-2</v>
      </c>
      <c r="L121" s="1442">
        <f t="shared" si="31"/>
        <v>7.3413336775362478E-2</v>
      </c>
      <c r="M121" s="1442">
        <f t="shared" si="31"/>
        <v>8.0070505132605788E-2</v>
      </c>
      <c r="N121" s="1442">
        <f t="shared" si="31"/>
        <v>8.6636341540490894E-2</v>
      </c>
      <c r="O121" s="1441"/>
      <c r="P121" s="1441"/>
      <c r="Q121" s="1441"/>
      <c r="R121" s="1441"/>
    </row>
    <row r="122" spans="2:18">
      <c r="B122" s="1440" t="s">
        <v>692</v>
      </c>
      <c r="C122" s="1441"/>
      <c r="D122" s="1441"/>
      <c r="E122" s="1442">
        <f t="shared" ref="E122:N122" si="32">+E117/E98/1000</f>
        <v>3.3852390950470925E-3</v>
      </c>
      <c r="F122" s="1442">
        <f t="shared" si="32"/>
        <v>4.8439072714468335E-3</v>
      </c>
      <c r="G122" s="1442">
        <f t="shared" si="32"/>
        <v>9.5293883690808837E-3</v>
      </c>
      <c r="H122" s="1442">
        <f t="shared" si="32"/>
        <v>1.2538106536794616E-2</v>
      </c>
      <c r="I122" s="1442">
        <f t="shared" si="32"/>
        <v>1.3171964674457429E-2</v>
      </c>
      <c r="J122" s="1442">
        <f t="shared" si="32"/>
        <v>1.5280116580310881E-2</v>
      </c>
      <c r="K122" s="1442">
        <f t="shared" si="32"/>
        <v>1.7524586133698686E-2</v>
      </c>
      <c r="L122" s="1442">
        <f t="shared" si="32"/>
        <v>2.0097262807331855E-2</v>
      </c>
      <c r="M122" s="1442">
        <f t="shared" si="32"/>
        <v>2.2622232975310311E-2</v>
      </c>
      <c r="N122" s="1442">
        <f t="shared" si="32"/>
        <v>2.5175421542429834E-2</v>
      </c>
      <c r="O122" s="1441"/>
      <c r="P122" s="1441"/>
      <c r="Q122" s="1441"/>
      <c r="R122" s="1441"/>
    </row>
    <row r="123" spans="2:18">
      <c r="B123" s="1440"/>
      <c r="C123" s="1441"/>
      <c r="D123" s="1441"/>
      <c r="E123" s="1441"/>
      <c r="F123" s="1441"/>
      <c r="G123" s="1441"/>
      <c r="H123" s="1441"/>
      <c r="I123" s="1441"/>
      <c r="J123" s="1441"/>
      <c r="K123" s="1441"/>
      <c r="L123" s="1441"/>
      <c r="M123" s="1441"/>
      <c r="N123" s="1441"/>
      <c r="O123" s="1441"/>
      <c r="P123" s="1441"/>
      <c r="Q123" s="1441"/>
      <c r="R123" s="1441"/>
    </row>
    <row r="124" spans="2:18">
      <c r="B124" s="1440" t="s">
        <v>558</v>
      </c>
      <c r="C124" s="1441"/>
      <c r="D124" s="1441"/>
      <c r="E124" s="1441"/>
      <c r="F124" s="1441"/>
      <c r="G124" s="1441"/>
      <c r="H124" s="1441"/>
      <c r="I124" s="1441"/>
      <c r="J124" s="1443" t="e" cm="1">
        <f t="array" ref="J124">_xll.FDS("SHOP-US","FE_ESTIMATE(GMV,MEAN,ANN_ROLL,"&amp;#REF!&amp;",NOW,,,'')")</f>
        <v>#VALUE!</v>
      </c>
      <c r="K124" s="1443" t="e" cm="1">
        <f t="array" ref="K124">_xll.FDS("SHOP-US","FE_ESTIMATE(GMV,MEAN,ANN_ROLL,"&amp;#REF!&amp;",NOW,,,'')")</f>
        <v>#VALUE!</v>
      </c>
      <c r="L124" s="1443" t="e" cm="1">
        <f t="array" ref="L124">_xll.FDS("SHOP-US","FE_ESTIMATE(GMV,MEAN,ANN_ROLL,"&amp;#REF!&amp;",NOW,,,'')")</f>
        <v>#VALUE!</v>
      </c>
      <c r="M124" s="1443" t="e" cm="1">
        <f t="array" ref="M124">_xll.FDS("SHOP-US","FE_ESTIMATE(GMV,MEAN,ANN_ROLL,"&amp;#REF!&amp;",NOW,,,'')")</f>
        <v>#VALUE!</v>
      </c>
      <c r="N124" s="1443" t="e" cm="1">
        <f t="array" ref="N124">_xll.FDS("SHOP-US","FE_ESTIMATE(GMV,MEAN,ANN_ROLL,"&amp;#REF!&amp;",NOW,,,'')")</f>
        <v>#VALUE!</v>
      </c>
      <c r="O124" s="1441"/>
      <c r="P124" s="1441"/>
      <c r="Q124" s="1441"/>
      <c r="R124" s="1441"/>
    </row>
    <row r="126" spans="2:18">
      <c r="E126" s="824" t="str">
        <f>+E60</f>
        <v>2018A</v>
      </c>
      <c r="F126" s="824" t="str">
        <f t="shared" ref="F126:N126" si="33">+F60</f>
        <v>2019A</v>
      </c>
      <c r="G126" s="824" t="str">
        <f t="shared" si="33"/>
        <v>2020A</v>
      </c>
      <c r="H126" s="824" t="str">
        <f t="shared" si="33"/>
        <v>2021A</v>
      </c>
      <c r="I126" s="824" t="str">
        <f t="shared" si="33"/>
        <v>2022A</v>
      </c>
      <c r="J126" s="824" t="str">
        <f t="shared" si="33"/>
        <v>2023A</v>
      </c>
      <c r="K126" s="824" t="str">
        <f t="shared" si="33"/>
        <v>2024E</v>
      </c>
      <c r="L126" s="824" t="str">
        <f t="shared" si="33"/>
        <v>2025E</v>
      </c>
      <c r="M126" s="824" t="str">
        <f t="shared" si="33"/>
        <v>2026E</v>
      </c>
      <c r="N126" s="824" t="str">
        <f t="shared" si="33"/>
        <v>2027E</v>
      </c>
    </row>
    <row r="127" spans="2:18">
      <c r="B127" s="825" t="s">
        <v>798</v>
      </c>
      <c r="C127" s="1593"/>
      <c r="D127" s="1593"/>
      <c r="E127" s="1593">
        <f>+E95</f>
        <v>0.18332675878567817</v>
      </c>
      <c r="F127" s="1593">
        <f t="shared" ref="F127:N127" si="34">+F95</f>
        <v>0.14987403392524312</v>
      </c>
      <c r="G127" s="1593">
        <f t="shared" si="34"/>
        <v>0.2502886025791955</v>
      </c>
      <c r="H127" s="1593">
        <f t="shared" si="34"/>
        <v>0.1542611740052704</v>
      </c>
      <c r="I127" s="1593">
        <f t="shared" si="34"/>
        <v>0.11916713636815701</v>
      </c>
      <c r="J127" s="1593">
        <f t="shared" si="34"/>
        <v>8.7191358024691468E-2</v>
      </c>
      <c r="K127" s="1593">
        <f t="shared" si="34"/>
        <v>0.11171992902767935</v>
      </c>
      <c r="L127" s="1593">
        <f t="shared" si="34"/>
        <v>9.5191897359094169E-2</v>
      </c>
      <c r="M127" s="1593">
        <f t="shared" si="34"/>
        <v>7.9444437908163801E-2</v>
      </c>
      <c r="N127" s="1593">
        <f t="shared" si="34"/>
        <v>7.9227279062842548E-2</v>
      </c>
    </row>
    <row r="128" spans="2:18">
      <c r="B128" s="825" t="s">
        <v>797</v>
      </c>
      <c r="E128" s="964">
        <f>+E51</f>
        <v>0.56166427622942861</v>
      </c>
      <c r="F128" s="964">
        <f t="shared" ref="F128:N128" si="35">+F51</f>
        <v>0.48743651290927503</v>
      </c>
      <c r="G128" s="964">
        <f t="shared" si="35"/>
        <v>0.9558417543969091</v>
      </c>
      <c r="H128" s="964">
        <f t="shared" si="35"/>
        <v>0.4665161228507988</v>
      </c>
      <c r="I128" s="964">
        <f t="shared" si="35"/>
        <v>0.12481826288589826</v>
      </c>
      <c r="J128" s="964">
        <f t="shared" si="35"/>
        <v>0.19606993902175129</v>
      </c>
      <c r="K128" s="964">
        <f t="shared" si="35"/>
        <v>0.23172353502172305</v>
      </c>
      <c r="L128" s="964">
        <f t="shared" si="35"/>
        <v>0.19499962161404616</v>
      </c>
      <c r="M128" s="964">
        <f t="shared" si="35"/>
        <v>0.17449999999999988</v>
      </c>
      <c r="N128" s="964">
        <f t="shared" si="35"/>
        <v>0.16500000000000026</v>
      </c>
    </row>
    <row r="129" spans="3:14">
      <c r="C129" s="1593"/>
      <c r="D129" s="1593"/>
      <c r="E129" s="1593"/>
      <c r="F129" s="1593"/>
      <c r="G129" s="1593"/>
      <c r="H129" s="1593"/>
      <c r="I129" s="1593"/>
      <c r="J129" s="1593"/>
      <c r="K129" s="1593"/>
      <c r="L129" s="1593"/>
      <c r="M129" s="1593"/>
      <c r="N129" s="1593"/>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07022-D418-402B-A47E-565CD0510457}">
  <sheetPr codeName="Sheet10">
    <tabColor theme="6" tint="-0.249977111117893"/>
  </sheetPr>
  <dimension ref="A1:CH39"/>
  <sheetViews>
    <sheetView showGridLines="0" zoomScaleNormal="100" workbookViewId="0">
      <pane xSplit="16" ySplit="7" topLeftCell="W8" activePane="bottomRight" state="frozen"/>
      <selection pane="topRight" activeCell="Q1" sqref="Q1"/>
      <selection pane="bottomLeft" activeCell="A8" sqref="A8"/>
      <selection pane="bottomRight" activeCell="P7" sqref="P7:CF39"/>
    </sheetView>
  </sheetViews>
  <sheetFormatPr defaultColWidth="9.140625" defaultRowHeight="12.75" outlineLevelCol="2"/>
  <cols>
    <col min="1" max="1" width="1.7109375" customWidth="1"/>
    <col min="2" max="2" width="13.28515625" style="824" hidden="1" customWidth="1" outlineLevel="2"/>
    <col min="3" max="3" width="13.5703125" style="824" hidden="1" customWidth="1" outlineLevel="2"/>
    <col min="4" max="4" width="18.5703125" style="824" hidden="1" customWidth="1" outlineLevel="2"/>
    <col min="5" max="5" width="8.28515625" style="824" hidden="1" customWidth="1" outlineLevel="2"/>
    <col min="6" max="6" width="35" style="825" hidden="1" customWidth="1" outlineLevel="2"/>
    <col min="7" max="7" width="8.140625" style="824" hidden="1" customWidth="1" outlineLevel="1"/>
    <col min="8" max="15" width="9.140625" style="824" hidden="1" customWidth="1" outlineLevel="1"/>
    <col min="16" max="16" width="23.28515625" style="824" customWidth="1" collapsed="1"/>
    <col min="17" max="17" width="9.140625" style="824" hidden="1" customWidth="1" outlineLevel="1"/>
    <col min="18" max="18" width="9.140625" style="824" hidden="1" customWidth="1" outlineLevel="2"/>
    <col min="19" max="19" width="9.140625" style="824" hidden="1" customWidth="1" outlineLevel="1"/>
    <col min="20" max="20" width="9.140625" style="824" hidden="1" customWidth="1" outlineLevel="2"/>
    <col min="21" max="22" width="9.140625" style="824" hidden="1" customWidth="1" outlineLevel="1"/>
    <col min="23" max="24" width="9.140625" style="824" hidden="1" customWidth="1" outlineLevel="2"/>
    <col min="25" max="25" width="9.140625" style="824" hidden="1" customWidth="1" outlineLevel="2" collapsed="1"/>
    <col min="26" max="26" width="9.140625" style="824" hidden="1" customWidth="1" outlineLevel="1"/>
    <col min="27" max="27" width="9.140625" style="824" hidden="1" customWidth="1" outlineLevel="2"/>
    <col min="28" max="30" width="9.140625" style="824" hidden="1" customWidth="1" outlineLevel="1"/>
    <col min="31" max="31" width="0" style="824" hidden="1" customWidth="1" collapsed="1"/>
    <col min="32" max="32" width="9.140625" style="824"/>
    <col min="33" max="33" width="0" style="824" hidden="1" customWidth="1"/>
    <col min="34" max="35" width="9.140625" style="824"/>
    <col min="36" max="36" width="9.140625" style="824" hidden="1" customWidth="1" outlineLevel="1"/>
    <col min="37" max="37" width="20.7109375" style="824" bestFit="1" customWidth="1" collapsed="1"/>
    <col min="38" max="38" width="0" style="824" hidden="1" customWidth="1"/>
    <col min="39" max="39" width="9.140625" style="824"/>
    <col min="40" max="40" width="0" style="824" hidden="1" customWidth="1"/>
    <col min="41" max="42" width="9.140625" style="824"/>
    <col min="43" max="65" width="9.140625" style="824" hidden="1" customWidth="1" outlineLevel="1"/>
    <col min="66" max="66" width="11.5703125" style="824" hidden="1" customWidth="1" outlineLevel="1"/>
    <col min="67" max="67" width="9.140625" style="824" hidden="1" customWidth="1" outlineLevel="1"/>
    <col min="68" max="68" width="0" style="824" hidden="1" customWidth="1" collapsed="1"/>
    <col min="69" max="69" width="9.140625" style="824"/>
    <col min="70" max="70" width="0" style="824" hidden="1" customWidth="1"/>
    <col min="71" max="72" width="9.140625" style="824"/>
    <col min="73" max="73" width="9.140625" style="824" hidden="1" customWidth="1" outlineLevel="1"/>
    <col min="74" max="74" width="0" style="824" hidden="1" customWidth="1" collapsed="1"/>
    <col min="75" max="75" width="9.140625" style="824"/>
    <col min="76" max="76" width="0" style="824" hidden="1" customWidth="1"/>
    <col min="77" max="78" width="9.140625" style="824"/>
    <col min="79" max="79" width="9.140625" style="824" hidden="1" customWidth="1" outlineLevel="1"/>
    <col min="80" max="80" width="0" style="824" hidden="1" customWidth="1" collapsed="1"/>
    <col min="81" max="81" width="9.140625" style="824"/>
    <col min="82" max="82" width="0" style="824" hidden="1" customWidth="1"/>
    <col min="83" max="84" width="9.140625" style="824"/>
    <col min="85" max="85" width="9.140625" style="824" hidden="1" customWidth="1" outlineLevel="1"/>
    <col min="86" max="86" width="9.140625" style="824" collapsed="1"/>
    <col min="87" max="16384" width="9.140625" style="824"/>
  </cols>
  <sheetData>
    <row r="1" spans="1:85">
      <c r="B1" s="937"/>
    </row>
    <row r="2" spans="1:85">
      <c r="P2" s="1133" t="s">
        <v>455</v>
      </c>
      <c r="BQ2" s="964"/>
      <c r="BW2" s="964"/>
      <c r="CC2" s="964"/>
    </row>
    <row r="3" spans="1:85">
      <c r="P3" s="826" t="s">
        <v>453</v>
      </c>
      <c r="Q3" s="824" t="str">
        <f>+INDEX(Income!1:999997,4,MATCH(Q6,Income!5:5,0))</f>
        <v>3Q23A</v>
      </c>
      <c r="BN3" s="824" t="s">
        <v>709</v>
      </c>
    </row>
    <row r="4" spans="1:85" ht="15.75">
      <c r="B4" s="971"/>
      <c r="C4" s="971"/>
      <c r="P4" s="825" t="s">
        <v>454</v>
      </c>
      <c r="Q4" s="824" t="str">
        <f>+INDEX(Income!1:999997,2,3)</f>
        <v>Shopify</v>
      </c>
      <c r="BN4" s="824" t="s">
        <v>708</v>
      </c>
      <c r="BQ4" s="1411"/>
      <c r="BW4" s="1411"/>
      <c r="CC4" s="1411"/>
    </row>
    <row r="5" spans="1:85">
      <c r="G5" s="825"/>
      <c r="P5" s="951">
        <v>45565</v>
      </c>
      <c r="CF5" s="1410" t="s">
        <v>707</v>
      </c>
    </row>
    <row r="6" spans="1:85">
      <c r="G6" s="928">
        <f>EOMONTH(H6,-3)</f>
        <v>44834</v>
      </c>
      <c r="H6" s="928">
        <f>EOMONTH(J6,-3)</f>
        <v>44926</v>
      </c>
      <c r="I6" s="927">
        <f>YEAR(H6)</f>
        <v>2022</v>
      </c>
      <c r="J6" s="928">
        <f>EOMONTH(K6,-3)</f>
        <v>45016</v>
      </c>
      <c r="K6" s="928">
        <f>EOMONTH(S6,-12)</f>
        <v>45107</v>
      </c>
      <c r="L6" s="928">
        <f>EOMONTH(K6,3)</f>
        <v>45199</v>
      </c>
      <c r="M6" s="928">
        <f>EOMONTH(L6,3)</f>
        <v>45291</v>
      </c>
      <c r="N6" s="927">
        <f>YEAR(L6)</f>
        <v>2023</v>
      </c>
      <c r="O6" s="928">
        <f>EOMONTH(M6,3)</f>
        <v>45382</v>
      </c>
      <c r="Q6" s="1522">
        <v>45199</v>
      </c>
      <c r="S6" s="952">
        <f>EOMONTH(Z6,-3)</f>
        <v>45473</v>
      </c>
      <c r="U6" s="952"/>
      <c r="W6" s="931" t="s">
        <v>423</v>
      </c>
      <c r="X6" s="931" t="s">
        <v>423</v>
      </c>
      <c r="Z6" s="952">
        <f>P5</f>
        <v>45565</v>
      </c>
      <c r="AD6" s="931" t="s">
        <v>423</v>
      </c>
      <c r="AE6" s="932"/>
      <c r="AF6" s="930">
        <f>EOMONTH(Z6,3)</f>
        <v>45657</v>
      </c>
      <c r="AG6" s="930"/>
      <c r="AH6" s="930" t="s">
        <v>422</v>
      </c>
      <c r="AI6" s="88"/>
      <c r="AJ6" s="931" t="s">
        <v>423</v>
      </c>
      <c r="AK6" s="931"/>
      <c r="AL6" s="950"/>
      <c r="AM6" s="927">
        <v>2024</v>
      </c>
      <c r="AN6" s="926"/>
      <c r="AO6" s="927" t="s">
        <v>422</v>
      </c>
      <c r="AP6" s="88"/>
      <c r="AQ6" s="931" t="s">
        <v>423</v>
      </c>
      <c r="AR6" s="932"/>
      <c r="AS6" s="930">
        <f>EOMONTH(AF6,3)</f>
        <v>45747</v>
      </c>
      <c r="AT6" s="930"/>
      <c r="AU6" s="928" t="s">
        <v>422</v>
      </c>
      <c r="AV6" s="88"/>
      <c r="AW6" s="931" t="s">
        <v>423</v>
      </c>
      <c r="AX6" s="932"/>
      <c r="AY6" s="930">
        <f>EOMONTH(AS6,3)</f>
        <v>45838</v>
      </c>
      <c r="AZ6" s="930"/>
      <c r="BA6" s="88" t="s">
        <v>422</v>
      </c>
      <c r="BB6" s="88"/>
      <c r="BC6" s="931" t="s">
        <v>423</v>
      </c>
      <c r="BD6" s="932"/>
      <c r="BE6" s="930">
        <f>EOMONTH(AY6,3)</f>
        <v>45930</v>
      </c>
      <c r="BF6" s="930"/>
      <c r="BG6" s="88" t="s">
        <v>422</v>
      </c>
      <c r="BH6" s="88"/>
      <c r="BI6" s="931" t="s">
        <v>423</v>
      </c>
      <c r="BJ6" s="932"/>
      <c r="BK6" s="930">
        <f>EOMONTH(BE6,3)</f>
        <v>46022</v>
      </c>
      <c r="BL6" s="930"/>
      <c r="BM6" s="88" t="s">
        <v>422</v>
      </c>
      <c r="BN6" s="88"/>
      <c r="BO6" s="931" t="s">
        <v>423</v>
      </c>
      <c r="BP6" s="950"/>
      <c r="BQ6" s="927">
        <f>AM6+1</f>
        <v>2025</v>
      </c>
      <c r="BR6" s="927"/>
      <c r="BS6" s="88" t="s">
        <v>422</v>
      </c>
      <c r="BT6" s="88"/>
      <c r="BU6" s="931" t="s">
        <v>423</v>
      </c>
      <c r="BV6" s="1510"/>
      <c r="BW6" s="927">
        <f>BQ6+1</f>
        <v>2026</v>
      </c>
      <c r="BX6" s="926"/>
      <c r="BY6" s="88" t="s">
        <v>422</v>
      </c>
      <c r="BZ6" s="88"/>
      <c r="CA6" s="931" t="s">
        <v>423</v>
      </c>
      <c r="CB6" s="950"/>
      <c r="CC6" s="927">
        <f>BW6+1</f>
        <v>2027</v>
      </c>
      <c r="CD6" s="927"/>
      <c r="CE6" s="88" t="s">
        <v>422</v>
      </c>
      <c r="CF6" s="88"/>
      <c r="CG6" s="931" t="s">
        <v>423</v>
      </c>
    </row>
    <row r="7" spans="1:85">
      <c r="A7" s="1512"/>
      <c r="F7" s="824"/>
      <c r="P7" s="1513"/>
      <c r="Q7" s="1511" t="str">
        <f>+INDEX(Income!1:999997,4,MATCH(Q6,Income!5:5,0))</f>
        <v>3Q23A</v>
      </c>
      <c r="R7" s="1514"/>
      <c r="S7" s="1514" t="str">
        <f>+INDEX(Income!1:999997,4,MATCH(S6,Income!5:5,0))</f>
        <v>2Q24A</v>
      </c>
      <c r="T7" s="1515"/>
      <c r="U7" s="1514"/>
      <c r="V7" s="1517"/>
      <c r="W7" s="1516"/>
      <c r="X7" s="1517"/>
      <c r="Y7" s="1514"/>
      <c r="Z7" s="1514" t="str">
        <f>+INDEX(Income!1:999997,4,MATCH(Z6,Income!5:5,0))</f>
        <v>3Q24A</v>
      </c>
      <c r="AA7" s="1514"/>
      <c r="AB7" s="1518"/>
      <c r="AC7" s="1517"/>
      <c r="AD7" s="1519"/>
      <c r="AE7" s="1514"/>
      <c r="AF7" s="953" t="str">
        <f>+INDEX(Income!1:999997,4,MATCH(AF6,Income!5:5,0))</f>
        <v>4Q24E</v>
      </c>
      <c r="AG7" s="953"/>
      <c r="AH7" s="953"/>
      <c r="AI7" s="955"/>
      <c r="AJ7" s="954"/>
      <c r="AK7" s="935"/>
      <c r="AL7" s="1520"/>
      <c r="AM7" s="960" t="str">
        <f>+INDEX(Income!1:999997,4,MATCH(AM6,Income!5:5,0))</f>
        <v>2024E</v>
      </c>
      <c r="AN7" s="959"/>
      <c r="AO7" s="960"/>
      <c r="AP7" s="1204"/>
      <c r="AQ7" s="1521"/>
      <c r="AR7" s="1514"/>
      <c r="AS7" s="953" t="str">
        <f>+INDEX(Income!1:999997,4,MATCH(AS6,Income!5:5,0))</f>
        <v>1Q25E</v>
      </c>
      <c r="AT7" s="953"/>
      <c r="AU7" s="953"/>
      <c r="AV7" s="934"/>
      <c r="AW7" s="1519"/>
      <c r="AX7" s="1514"/>
      <c r="AY7" s="953" t="str">
        <f>+INDEX(Income!1:999997,4,MATCH(AY6,Income!5:5,0))</f>
        <v>2Q25E</v>
      </c>
      <c r="AZ7" s="953"/>
      <c r="BA7" s="953"/>
      <c r="BB7" s="934"/>
      <c r="BC7" s="1519"/>
      <c r="BD7" s="1514"/>
      <c r="BE7" s="953" t="str">
        <f>+INDEX(Income!1:999997,4,MATCH(BE6,Income!5:5,0))</f>
        <v>3Q25E</v>
      </c>
      <c r="BF7" s="953"/>
      <c r="BG7" s="953"/>
      <c r="BH7" s="934"/>
      <c r="BI7" s="1519"/>
      <c r="BJ7" s="1514"/>
      <c r="BK7" s="953" t="str">
        <f>+INDEX(Income!1:999997,4,MATCH(BK6,Income!5:5,0))</f>
        <v>4Q25E</v>
      </c>
      <c r="BL7" s="953"/>
      <c r="BM7" s="953"/>
      <c r="BN7" s="934"/>
      <c r="BO7" s="1519"/>
      <c r="BP7" s="1520"/>
      <c r="BQ7" s="960" t="str">
        <f>+INDEX(Income!1:999997,4,MATCH(BQ6,Income!5:5,0))</f>
        <v>2025E</v>
      </c>
      <c r="BR7" s="959"/>
      <c r="BS7" s="960"/>
      <c r="BT7" s="1204"/>
      <c r="BU7" s="1521"/>
      <c r="BV7" s="1520"/>
      <c r="BW7" s="960" t="str">
        <f>+INDEX(Income!1:999997,4,MATCH(BW6,Income!5:5,0))</f>
        <v>2026E</v>
      </c>
      <c r="BX7" s="959"/>
      <c r="BY7" s="960"/>
      <c r="BZ7" s="1204"/>
      <c r="CA7" s="1521"/>
      <c r="CB7" s="1520"/>
      <c r="CC7" s="960" t="str">
        <f>+INDEX(Income!1:999997,4,MATCH(CC6,Income!5:5,0))</f>
        <v>2027E</v>
      </c>
      <c r="CD7" s="959"/>
      <c r="CE7" s="960"/>
      <c r="CF7" s="1204"/>
      <c r="CG7" s="1521"/>
    </row>
    <row r="8" spans="1:85">
      <c r="F8" s="825" t="str">
        <f ca="1">B13</f>
        <v>'Income'!$5:$5</v>
      </c>
      <c r="P8" s="958" t="s">
        <v>424</v>
      </c>
      <c r="Q8" s="966" t="s">
        <v>167</v>
      </c>
      <c r="R8" s="956" t="s">
        <v>425</v>
      </c>
      <c r="S8" s="956" t="s">
        <v>167</v>
      </c>
      <c r="T8" s="956" t="s">
        <v>426</v>
      </c>
      <c r="U8" s="956" t="s">
        <v>81</v>
      </c>
      <c r="V8" s="957" t="s">
        <v>427</v>
      </c>
      <c r="W8" s="956" t="s">
        <v>81</v>
      </c>
      <c r="X8" s="957" t="s">
        <v>427</v>
      </c>
      <c r="Y8" s="956" t="s">
        <v>425</v>
      </c>
      <c r="Z8" s="956" t="s">
        <v>167</v>
      </c>
      <c r="AA8" s="956" t="s">
        <v>426</v>
      </c>
      <c r="AB8" s="956" t="s">
        <v>81</v>
      </c>
      <c r="AC8" s="957" t="s">
        <v>427</v>
      </c>
      <c r="AD8" s="957" t="s">
        <v>81</v>
      </c>
      <c r="AE8" s="936" t="s">
        <v>425</v>
      </c>
      <c r="AF8" s="1523" t="s">
        <v>782</v>
      </c>
      <c r="AG8" s="956" t="s">
        <v>426</v>
      </c>
      <c r="AH8" s="1523" t="s">
        <v>81</v>
      </c>
      <c r="AI8" s="956" t="s">
        <v>427</v>
      </c>
      <c r="AJ8" s="936" t="s">
        <v>81</v>
      </c>
      <c r="AK8" s="970" t="s">
        <v>625</v>
      </c>
      <c r="AL8" s="961" t="s">
        <v>425</v>
      </c>
      <c r="AM8" s="961" t="s">
        <v>428</v>
      </c>
      <c r="AN8" s="961" t="s">
        <v>426</v>
      </c>
      <c r="AO8" s="961" t="s">
        <v>81</v>
      </c>
      <c r="AP8" s="962" t="s">
        <v>427</v>
      </c>
      <c r="AQ8" s="962" t="s">
        <v>81</v>
      </c>
      <c r="AR8" s="936" t="s">
        <v>429</v>
      </c>
      <c r="AS8" s="956" t="s">
        <v>79</v>
      </c>
      <c r="AT8" s="956" t="s">
        <v>426</v>
      </c>
      <c r="AU8" s="956" t="s">
        <v>81</v>
      </c>
      <c r="AV8" s="957" t="s">
        <v>427</v>
      </c>
      <c r="AW8" s="970" t="s">
        <v>430</v>
      </c>
      <c r="AX8" s="936" t="s">
        <v>429</v>
      </c>
      <c r="AY8" s="956" t="s">
        <v>79</v>
      </c>
      <c r="AZ8" s="956" t="s">
        <v>426</v>
      </c>
      <c r="BA8" s="956" t="s">
        <v>81</v>
      </c>
      <c r="BB8" s="957" t="s">
        <v>427</v>
      </c>
      <c r="BC8" s="957" t="s">
        <v>430</v>
      </c>
      <c r="BD8" s="936" t="s">
        <v>429</v>
      </c>
      <c r="BE8" s="956" t="s">
        <v>79</v>
      </c>
      <c r="BF8" s="956" t="s">
        <v>426</v>
      </c>
      <c r="BG8" s="956" t="s">
        <v>81</v>
      </c>
      <c r="BH8" s="957" t="s">
        <v>427</v>
      </c>
      <c r="BI8" s="957" t="s">
        <v>430</v>
      </c>
      <c r="BJ8" s="936" t="s">
        <v>429</v>
      </c>
      <c r="BK8" s="956" t="s">
        <v>79</v>
      </c>
      <c r="BL8" s="956" t="s">
        <v>426</v>
      </c>
      <c r="BM8" s="956" t="s">
        <v>81</v>
      </c>
      <c r="BN8" s="957" t="s">
        <v>427</v>
      </c>
      <c r="BO8" s="957" t="s">
        <v>430</v>
      </c>
      <c r="BP8" s="961" t="s">
        <v>429</v>
      </c>
      <c r="BQ8" s="961" t="s">
        <v>79</v>
      </c>
      <c r="BR8" s="961" t="s">
        <v>426</v>
      </c>
      <c r="BS8" s="961" t="s">
        <v>81</v>
      </c>
      <c r="BT8" s="962" t="s">
        <v>427</v>
      </c>
      <c r="BU8" s="962" t="s">
        <v>81</v>
      </c>
      <c r="BV8" s="961" t="s">
        <v>429</v>
      </c>
      <c r="BW8" s="961" t="s">
        <v>79</v>
      </c>
      <c r="BX8" s="961" t="s">
        <v>426</v>
      </c>
      <c r="BY8" s="961" t="s">
        <v>81</v>
      </c>
      <c r="BZ8" s="962" t="s">
        <v>427</v>
      </c>
      <c r="CA8" s="962" t="s">
        <v>81</v>
      </c>
      <c r="CB8" s="961" t="s">
        <v>429</v>
      </c>
      <c r="CC8" s="961" t="s">
        <v>79</v>
      </c>
      <c r="CD8" s="961" t="s">
        <v>426</v>
      </c>
      <c r="CE8" s="961" t="s">
        <v>81</v>
      </c>
      <c r="CF8" s="962" t="s">
        <v>427</v>
      </c>
      <c r="CG8" s="962" t="s">
        <v>81</v>
      </c>
    </row>
    <row r="9" spans="1:85">
      <c r="B9" s="824" t="str">
        <f ca="1">"'"&amp;E9&amp;"'"&amp;"!$5:$5"</f>
        <v>'Revenue Build'!$5:$5</v>
      </c>
      <c r="C9" s="824" t="str">
        <f ca="1">"'"&amp;E9&amp;"'"&amp;"!$A:$A"</f>
        <v>'Revenue Build'!$A:$A</v>
      </c>
      <c r="D9" s="824" t="str">
        <f ca="1">"'"&amp;$E9&amp;"'"&amp;"!$1:$1048576"</f>
        <v>'Revenue Build'!$1:$1048576</v>
      </c>
      <c r="E9" s="972" t="str" cm="1">
        <f t="array" aca="1" ref="E9" ca="1">IFERROR(INDEX(SheetNames,MATCH(1,COUNTIF(INDIRECT("'"&amp;SheetNames&amp;"'!A:A"),$F9),0)),"Not Found")</f>
        <v>Revenue Build</v>
      </c>
      <c r="F9" s="940" t="s">
        <v>368</v>
      </c>
      <c r="G9" s="965">
        <f ca="1">INDEX(INDIRECT($D9),MATCH('Estimate Changes'!$F9,INDIRECT($C9),0),MATCH('Estimate Changes'!G$6,INDIRECT($B9),0))</f>
        <v>46200</v>
      </c>
      <c r="H9" s="965">
        <f ca="1">INDEX(INDIRECT($D9),MATCH('Estimate Changes'!$F9,INDIRECT($C9),0),MATCH('Estimate Changes'!H$6,INDIRECT($B9),0))</f>
        <v>61000</v>
      </c>
      <c r="I9" s="965">
        <f ca="1">INDEX(INDIRECT($D9),MATCH('Estimate Changes'!$F9,INDIRECT($C9),0),MATCH('Estimate Changes'!I$6,INDIRECT($B9),0))</f>
        <v>197250.171</v>
      </c>
      <c r="J9" s="965">
        <f ca="1">INDEX(INDIRECT($D9),MATCH('Estimate Changes'!$F9,INDIRECT($C9),0),MATCH('Estimate Changes'!J$6,INDIRECT($B9),0))</f>
        <v>49600</v>
      </c>
      <c r="K9" s="965">
        <f ca="1">INDEX(INDIRECT($D9),MATCH('Estimate Changes'!$F9,INDIRECT($C9),0),MATCH('Estimate Changes'!K$6,INDIRECT($B9),0))</f>
        <v>55000</v>
      </c>
      <c r="L9" s="965">
        <f ca="1">INDEX(INDIRECT($D9),MATCH('Estimate Changes'!$F9,INDIRECT($C9),0),MATCH('Estimate Changes'!L$6,INDIRECT($B9),0))</f>
        <v>56200</v>
      </c>
      <c r="M9" s="965">
        <f ca="1">INDEX(INDIRECT($D9),MATCH('Estimate Changes'!$F9,INDIRECT($C9),0),MATCH('Estimate Changes'!M$6,INDIRECT($B9),0))</f>
        <v>75125</v>
      </c>
      <c r="N9" s="965">
        <f ca="1">INDEX(INDIRECT($D9),MATCH('Estimate Changes'!$F9,INDIRECT($C9),0),MATCH('Estimate Changes'!N$6,INDIRECT($B9),0))</f>
        <v>235925</v>
      </c>
      <c r="O9" s="965">
        <f ca="1">INDEX(INDIRECT($D9),MATCH('Estimate Changes'!$F9,INDIRECT($C9),0),MATCH('Estimate Changes'!O$6,INDIRECT($B9),0))</f>
        <v>60855</v>
      </c>
      <c r="P9" s="963" t="s">
        <v>368</v>
      </c>
      <c r="Q9" s="967">
        <f ca="1">INDEX(INDIRECT($D9),MATCH('Estimate Changes'!$F9,INDIRECT($C9),0),MATCH('Estimate Changes'!Q$6,INDIRECT($B9),0))</f>
        <v>56200</v>
      </c>
      <c r="R9" s="938"/>
      <c r="S9" s="938">
        <f ca="1">INDEX(INDIRECT($D9),MATCH('Estimate Changes'!$F9,INDIRECT($C9),0),MATCH('Estimate Changes'!S$6,INDIRECT($B9),0))</f>
        <v>67245</v>
      </c>
      <c r="T9" s="973" t="e">
        <f ca="1">S9/R9-1</f>
        <v>#DIV/0!</v>
      </c>
      <c r="U9" s="938">
        <f>INDEX(Consensus!$A$1:$AU$180,MATCH('Estimate Changes'!$F9,Consensus!$A:$A,0),MATCH('Estimate Changes'!S$6,Consensus!$4:$4,0))</f>
        <v>67245</v>
      </c>
      <c r="V9" s="995">
        <f ca="1">+S9/U9-1</f>
        <v>0</v>
      </c>
      <c r="W9" s="994"/>
      <c r="X9" s="995" t="e">
        <f ca="1">+S9/W9-1</f>
        <v>#DIV/0!</v>
      </c>
      <c r="Y9" s="938"/>
      <c r="Z9" s="938">
        <f ca="1">INDEX(INDIRECT($D9),MATCH('Estimate Changes'!$F9,INDIRECT($C9),0),MATCH('Estimate Changes'!Z$6,INDIRECT($B9),0))</f>
        <v>69715</v>
      </c>
      <c r="AA9" s="973" t="e">
        <f ca="1">Z9/Y9-1</f>
        <v>#DIV/0!</v>
      </c>
      <c r="AB9" s="938">
        <f>INDEX(Consensus!$A$1:$AU$180,MATCH('Estimate Changes'!$F9,Consensus!$A:$A,0),MATCH('Estimate Changes'!Z$6,Consensus!$4:$4,0))</f>
        <v>69715</v>
      </c>
      <c r="AC9" s="995">
        <f ca="1">+Z9/AB9-1</f>
        <v>0</v>
      </c>
      <c r="AD9" s="996"/>
      <c r="AE9" s="938"/>
      <c r="AF9" s="938">
        <f ca="1">INDEX(INDIRECT($D9),MATCH('Estimate Changes'!$F9,INDIRECT($C9),0),MATCH('Estimate Changes'!AF$6,INDIRECT($B9),0))</f>
        <v>92779.374999999985</v>
      </c>
      <c r="AG9" s="973" t="e">
        <f ca="1">AF9/AE9-1</f>
        <v>#DIV/0!</v>
      </c>
      <c r="AH9" s="938">
        <f>INDEX(Consensus!$A$1:$AU$180,MATCH('Estimate Changes'!$F9,Consensus!$A:$A,0),MATCH('Estimate Changes'!AF$6,Consensus!$4:$4,0))</f>
        <v>92277.09</v>
      </c>
      <c r="AI9" s="973">
        <f ca="1">+AF9/AH9-1</f>
        <v>5.4432253986334E-3</v>
      </c>
      <c r="AJ9" s="994"/>
      <c r="AK9" s="1210"/>
      <c r="AL9" s="939"/>
      <c r="AM9" s="939">
        <f ca="1">INDEX(INDIRECT($D9),MATCH('Estimate Changes'!$F9,INDIRECT($C9),0),MATCH('Estimate Changes'!AM$6,INDIRECT($B9),0))</f>
        <v>290594.375</v>
      </c>
      <c r="AN9" s="974" t="e">
        <f ca="1">AM9/AL9-1</f>
        <v>#DIV/0!</v>
      </c>
      <c r="AO9" s="939">
        <f>INDEX(Consensus!$A$1:$AU$180,MATCH('Estimate Changes'!$F9,Consensus!$A:$A,0),MATCH('Estimate Changes'!AM$6,Consensus!$4:$4,0))</f>
        <v>289784.2</v>
      </c>
      <c r="AP9" s="1201">
        <f ca="1">+AM9/AO9-1</f>
        <v>2.7957873479644846E-3</v>
      </c>
      <c r="AQ9" s="997"/>
      <c r="AR9" s="938"/>
      <c r="AS9" s="938">
        <f ca="1">INDEX(INDIRECT($D9),MATCH('Estimate Changes'!$F9,INDIRECT($C9),0),MATCH('Estimate Changes'!AS$6,INDIRECT($B9),0))</f>
        <v>74851.649999999994</v>
      </c>
      <c r="AT9" s="973" t="e">
        <f ca="1">AS9/AR9-1</f>
        <v>#DIV/0!</v>
      </c>
      <c r="AU9" s="938">
        <f>INDEX(Consensus!$A$1:$AU$180,MATCH('Estimate Changes'!$F9,Consensus!$A:$A,0),MATCH('Estimate Changes'!AS$6,Consensus!$4:$4,0))</f>
        <v>74473.41</v>
      </c>
      <c r="AV9" s="995">
        <f ca="1">+AS9/AU9-1</f>
        <v>5.078859689652937E-3</v>
      </c>
      <c r="AW9" s="996"/>
      <c r="AX9" s="938"/>
      <c r="AY9" s="938">
        <f ca="1">INDEX(INDIRECT($D9),MATCH('Estimate Changes'!$F9,INDIRECT($C9),0),MATCH('Estimate Changes'!AY$6,INDIRECT($B9),0))</f>
        <v>79998.931997927313</v>
      </c>
      <c r="AZ9" s="973" t="e">
        <f ca="1">AY9/AX9-1</f>
        <v>#DIV/0!</v>
      </c>
      <c r="BA9" s="938">
        <f>INDEX(Consensus!$A$1:$AU$180,MATCH('Estimate Changes'!$F9,Consensus!$A:$A,0),MATCH('Estimate Changes'!AY$6,Consensus!$4:$4,0))</f>
        <v>81665.945000000007</v>
      </c>
      <c r="BB9" s="995">
        <f ca="1">+AY9/BA9-1</f>
        <v>-2.0412584487606078E-2</v>
      </c>
      <c r="BC9" s="996"/>
      <c r="BD9" s="938"/>
      <c r="BE9" s="938">
        <f ca="1">INDEX(INDIRECT($D9),MATCH('Estimate Changes'!$F9,INDIRECT($C9),0),MATCH('Estimate Changes'!BE$6,INDIRECT($B9),0))</f>
        <v>82170.125986001265</v>
      </c>
      <c r="BF9" s="973" t="e">
        <f ca="1">BE9/BD9-1</f>
        <v>#DIV/0!</v>
      </c>
      <c r="BG9" s="938">
        <f>INDEX(Consensus!$A$1:$AU$180,MATCH('Estimate Changes'!$F9,Consensus!$A:$A,0),MATCH('Estimate Changes'!BE$6,Consensus!$4:$4,0))</f>
        <v>83821.759999999995</v>
      </c>
      <c r="BH9" s="995">
        <f ca="1">+BE9/BG9-1</f>
        <v>-1.9704119956425736E-2</v>
      </c>
      <c r="BI9" s="996"/>
      <c r="BJ9" s="938"/>
      <c r="BK9" s="938">
        <f ca="1">INDEX(INDIRECT($D9),MATCH('Estimate Changes'!$F9,INDIRECT($C9),0),MATCH('Estimate Changes'!BK$6,INDIRECT($B9),0))</f>
        <v>110239.46018424167</v>
      </c>
      <c r="BL9" s="973" t="e">
        <f ca="1">BK9/BJ9-1</f>
        <v>#DIV/0!</v>
      </c>
      <c r="BM9" s="938">
        <f>INDEX(Consensus!$A$1:$AU$180,MATCH('Estimate Changes'!$F9,Consensus!$A:$A,0),MATCH('Estimate Changes'!BK$6,Consensus!$4:$4,0))</f>
        <v>107817.516</v>
      </c>
      <c r="BN9" s="995">
        <f ca="1">+BK9/BM9-1</f>
        <v>2.2463364711923672E-2</v>
      </c>
      <c r="BO9" s="996"/>
      <c r="BP9" s="939"/>
      <c r="BQ9" s="939">
        <f ca="1">INDEX(INDIRECT($D9),MATCH('Estimate Changes'!$F9,INDIRECT($C9),0),MATCH('Estimate Changes'!BQ$6,INDIRECT($B9),0))</f>
        <v>347260.16816817026</v>
      </c>
      <c r="BR9" s="974" t="e">
        <f ca="1">BQ9/BP9-1</f>
        <v>#DIV/0!</v>
      </c>
      <c r="BS9" s="939">
        <f>INDEX(Consensus!$A$1:$AU$180,MATCH('Estimate Changes'!$F9,Consensus!$A:$A,0),MATCH('Estimate Changes'!BQ$6,Consensus!$4:$4,0))</f>
        <v>348713.47</v>
      </c>
      <c r="BT9" s="1201">
        <f ca="1">+BQ9/BS9-1</f>
        <v>-4.1676102498412471E-3</v>
      </c>
      <c r="BU9" s="997"/>
      <c r="BV9" s="939"/>
      <c r="BW9" s="939">
        <f ca="1">INDEX(INDIRECT($D9),MATCH('Estimate Changes'!$F9,INDIRECT($C9),0),MATCH('Estimate Changes'!BW$6,INDIRECT($B9),0))</f>
        <v>407857.06751351594</v>
      </c>
      <c r="BX9" s="974" t="e">
        <f ca="1">BW9/BV9-1</f>
        <v>#DIV/0!</v>
      </c>
      <c r="BY9" s="939">
        <f>INDEX(Consensus!$A$1:$AU$180,MATCH('Estimate Changes'!$F9,Consensus!$A:$A,0),MATCH('Estimate Changes'!BW$6,Consensus!$4:$4,0))</f>
        <v>415727.38</v>
      </c>
      <c r="BZ9" s="1201">
        <f ca="1">+BW9/BY9-1</f>
        <v>-1.8931426855945954E-2</v>
      </c>
      <c r="CA9" s="997"/>
      <c r="CB9" s="939"/>
      <c r="CC9" s="939">
        <f ca="1">INDEX(INDIRECT($D9),MATCH('Estimate Changes'!$F9,INDIRECT($C9),0),MATCH('Estimate Changes'!CC$6,INDIRECT($B9),0))</f>
        <v>475153.48365324613</v>
      </c>
      <c r="CD9" s="974" t="e">
        <f ca="1">CC9/CB9-1</f>
        <v>#DIV/0!</v>
      </c>
      <c r="CE9" s="939">
        <f>INDEX(Consensus!$A$1:$AU$180,MATCH('Estimate Changes'!$F9,Consensus!$A:$A,0),MATCH('Estimate Changes'!CC$6,Consensus!$4:$4,0))</f>
        <v>504811.16</v>
      </c>
      <c r="CF9" s="1201">
        <f ca="1">+CC9/CE9-1</f>
        <v>-5.8750040999002162E-2</v>
      </c>
      <c r="CG9" s="997"/>
    </row>
    <row r="10" spans="1:85" s="1574" customFormat="1">
      <c r="A10" s="1573"/>
      <c r="B10" s="1574" t="str">
        <f ca="1">"'"&amp;E10&amp;"'"&amp;"!$5:$5"</f>
        <v>'Revenue Build'!$5:$5</v>
      </c>
      <c r="C10" s="1574" t="str">
        <f ca="1">"'"&amp;E10&amp;"'"&amp;"!$A:$A"</f>
        <v>'Revenue Build'!$A:$A</v>
      </c>
      <c r="D10" s="1574" t="str">
        <f ca="1">"'"&amp;$E10&amp;"'"&amp;"!$1:$1048576"</f>
        <v>'Revenue Build'!$1:$1048576</v>
      </c>
      <c r="E10" s="1575" t="str" cm="1">
        <f t="array" aca="1" ref="E10" ca="1">IFERROR(INDEX(SheetNames,MATCH(1,COUNTIF(INDIRECT("'"&amp;SheetNames&amp;"'!A:A"),$F10),0)),"Not Found")</f>
        <v>Revenue Build</v>
      </c>
      <c r="F10" s="940" t="s">
        <v>620</v>
      </c>
      <c r="L10" s="1576">
        <f ca="1">L9/G9-1</f>
        <v>0.21645021645021645</v>
      </c>
      <c r="M10" s="1576">
        <f t="shared" ref="M10" ca="1" si="0">M9/H9-1</f>
        <v>0.23155737704918034</v>
      </c>
      <c r="N10" s="1576">
        <f t="shared" ref="N10" ca="1" si="1">N9/I9-1</f>
        <v>0.19606993902175129</v>
      </c>
      <c r="O10" s="1576">
        <f t="shared" ref="O10" ca="1" si="2">O9/J9-1</f>
        <v>0.22691532258064506</v>
      </c>
      <c r="P10" s="941" t="s">
        <v>433</v>
      </c>
      <c r="Q10" s="1581">
        <f ca="1">Q9/G9-1</f>
        <v>0.21645021645021645</v>
      </c>
      <c r="R10" s="1576"/>
      <c r="S10" s="1576">
        <f ca="1">S9/K9-1</f>
        <v>0.22263636363636374</v>
      </c>
      <c r="U10" s="1576">
        <f ca="1">+U9/K9-1</f>
        <v>0.22263636363636374</v>
      </c>
      <c r="V10" s="1582"/>
      <c r="W10" s="1576"/>
      <c r="X10" s="1582"/>
      <c r="Y10" s="1576"/>
      <c r="Z10" s="1576">
        <f ca="1">Z9/L9-1</f>
        <v>0.24048042704626327</v>
      </c>
      <c r="AB10" s="1576">
        <f ca="1">+AB9/L9-1</f>
        <v>0.24048042704626327</v>
      </c>
      <c r="AC10" s="1582"/>
      <c r="AD10" s="1582"/>
      <c r="AE10" s="1576"/>
      <c r="AF10" s="1576">
        <f ca="1">AF9/M9-1</f>
        <v>0.23499999999999988</v>
      </c>
      <c r="AH10" s="1576">
        <f ca="1">+AH9/M9-1</f>
        <v>0.22831400998336093</v>
      </c>
      <c r="AK10" s="1583"/>
      <c r="AL10" s="1576"/>
      <c r="AM10" s="1576">
        <f ca="1">AM9/N9-1</f>
        <v>0.23172353502172305</v>
      </c>
      <c r="AO10" s="1576">
        <f ca="1">+AO9/N9-1</f>
        <v>0.22828949878139237</v>
      </c>
      <c r="AP10" s="1582"/>
      <c r="AQ10" s="1582"/>
      <c r="AR10" s="1576"/>
      <c r="AS10" s="1576">
        <f ca="1">AS9/O9-1</f>
        <v>0.22999999999999998</v>
      </c>
      <c r="AU10" s="1576">
        <f ca="1">+AU9/O9-1</f>
        <v>0.22378456987922113</v>
      </c>
      <c r="AV10" s="1582"/>
      <c r="AW10" s="1582"/>
      <c r="AX10" s="1576"/>
      <c r="AY10" s="1576">
        <f ca="1">AY9/S9-1</f>
        <v>0.18966364782403611</v>
      </c>
      <c r="BA10" s="1576">
        <f>+BA9/U9-1</f>
        <v>0.2144537883857538</v>
      </c>
      <c r="BB10" s="1582"/>
      <c r="BC10" s="1582"/>
      <c r="BD10" s="1576"/>
      <c r="BE10" s="1576">
        <f ca="1">BE9/Z9-1</f>
        <v>0.17865776355162111</v>
      </c>
      <c r="BG10" s="1576">
        <f>+BG9/AB9-1</f>
        <v>0.20234899232589831</v>
      </c>
      <c r="BH10" s="1582"/>
      <c r="BI10" s="1582"/>
      <c r="BJ10" s="1576"/>
      <c r="BK10" s="1576">
        <f ca="1">BK9/AF9-1</f>
        <v>0.1881892951342008</v>
      </c>
      <c r="BM10" s="1576">
        <f>+BM9/AH9-1</f>
        <v>0.16841044727353238</v>
      </c>
      <c r="BN10" s="1582"/>
      <c r="BO10" s="1582"/>
      <c r="BP10" s="1576"/>
      <c r="BQ10" s="1576">
        <f ca="1">BQ9/AM9-1</f>
        <v>0.19499962161404616</v>
      </c>
      <c r="BS10" s="1576">
        <f>+BS9/AO9-1</f>
        <v>0.2033557040031857</v>
      </c>
      <c r="BT10" s="1582"/>
      <c r="BU10" s="1582"/>
      <c r="BV10" s="1576"/>
      <c r="BW10" s="1576">
        <f ca="1">BW9/BQ9-1</f>
        <v>0.17449999999999988</v>
      </c>
      <c r="BY10" s="1576">
        <f>+BY9/BS9-1</f>
        <v>0.19217471008504505</v>
      </c>
      <c r="BZ10" s="1582"/>
      <c r="CA10" s="1582"/>
      <c r="CB10" s="1576"/>
      <c r="CC10" s="1576">
        <f ca="1">CC9/BW9-1</f>
        <v>0.16500000000000026</v>
      </c>
      <c r="CE10" s="1576">
        <f>+CE9/BY9-1</f>
        <v>0.21428413014317216</v>
      </c>
      <c r="CF10" s="1582"/>
      <c r="CG10" s="1582"/>
    </row>
    <row r="11" spans="1:85">
      <c r="B11" s="824" t="str">
        <f ca="1">"'"&amp;E11&amp;"'"&amp;"!$5:$5"</f>
        <v>'Revenue Build'!$5:$5</v>
      </c>
      <c r="C11" s="824" t="str">
        <f ca="1">"'"&amp;E11&amp;"'"&amp;"!$A:$A"</f>
        <v>'Revenue Build'!$A:$A</v>
      </c>
      <c r="D11" s="824" t="str">
        <f ca="1">"'"&amp;$E11&amp;"'"&amp;"!$1:$1048576"</f>
        <v>'Revenue Build'!$1:$1048576</v>
      </c>
      <c r="E11" s="972" t="str" cm="1">
        <f t="array" aca="1" ref="E11" ca="1">IFERROR(INDEX(SheetNames,MATCH(1,COUNTIF(INDIRECT("'"&amp;SheetNames&amp;"'!A:A"),$F11),0)),"Not Found")</f>
        <v>Revenue Build</v>
      </c>
      <c r="F11" s="940" t="s">
        <v>622</v>
      </c>
      <c r="G11" s="965">
        <f ca="1">INDEX(INDIRECT($D11),MATCH('Estimate Changes'!$F11,INDIRECT($C11),0),MATCH('Estimate Changes'!G$6,INDIRECT($B11),0))</f>
        <v>25000</v>
      </c>
      <c r="H11" s="965">
        <f ca="1">INDEX(INDIRECT($D11),MATCH('Estimate Changes'!$F11,INDIRECT($C11),0),MATCH('Estimate Changes'!H$6,INDIRECT($B11),0))</f>
        <v>34200</v>
      </c>
      <c r="I11" s="965">
        <f ca="1">INDEX(INDIRECT($D11),MATCH('Estimate Changes'!$F11,INDIRECT($C11),0),MATCH('Estimate Changes'!I$6,INDIRECT($B11),0))</f>
        <v>106100</v>
      </c>
      <c r="J11" s="965">
        <f ca="1">INDEX(INDIRECT($D11),MATCH('Estimate Changes'!$F11,INDIRECT($C11),0),MATCH('Estimate Changes'!J$6,INDIRECT($B11),0))</f>
        <v>27500</v>
      </c>
      <c r="K11" s="965">
        <f ca="1">INDEX(INDIRECT($D11),MATCH('Estimate Changes'!$F11,INDIRECT($C11),0),MATCH('Estimate Changes'!K$6,INDIRECT($B11),0))</f>
        <v>31700</v>
      </c>
      <c r="L11" s="965">
        <f ca="1">INDEX(INDIRECT($D11),MATCH('Estimate Changes'!$F11,INDIRECT($C11),0),MATCH('Estimate Changes'!L$6,INDIRECT($B11),0))</f>
        <v>32800</v>
      </c>
      <c r="M11" s="965">
        <f ca="1">INDEX(INDIRECT($D11),MATCH('Estimate Changes'!$F11,INDIRECT($C11),0),MATCH('Estimate Changes'!M$6,INDIRECT($B11),0))</f>
        <v>45074</v>
      </c>
      <c r="N11" s="965">
        <f ca="1">INDEX(INDIRECT($D11),MATCH('Estimate Changes'!$F11,INDIRECT($C11),0),MATCH('Estimate Changes'!N$6,INDIRECT($B11),0))</f>
        <v>137074</v>
      </c>
      <c r="O11" s="965">
        <f ca="1">INDEX(INDIRECT($D11),MATCH('Estimate Changes'!$F11,INDIRECT($C11),0),MATCH('Estimate Changes'!O$6,INDIRECT($B11),0))</f>
        <v>36238</v>
      </c>
      <c r="P11" s="1226" t="s">
        <v>622</v>
      </c>
      <c r="Q11" s="967">
        <f ca="1">INDEX(INDIRECT($D11),MATCH('Estimate Changes'!$F11,INDIRECT($C11),0),MATCH('Estimate Changes'!Q$6,INDIRECT($B11),0))</f>
        <v>32800</v>
      </c>
      <c r="R11" s="938"/>
      <c r="S11" s="938">
        <f ca="1">INDEX(INDIRECT($D11),MATCH('Estimate Changes'!$F11,INDIRECT($C11),0),MATCH('Estimate Changes'!S$6,INDIRECT($B11),0))</f>
        <v>41400</v>
      </c>
      <c r="T11" s="973" t="e">
        <f ca="1">S11/R11-1</f>
        <v>#DIV/0!</v>
      </c>
      <c r="U11" s="938" t="e">
        <f>INDEX(Consensus!$A$1:$AU$180,MATCH('Estimate Changes'!$F11,Consensus!$A:$A,0),MATCH('Estimate Changes'!S$6,Consensus!$4:$4,0))</f>
        <v>#N/A</v>
      </c>
      <c r="V11" s="995" t="e">
        <f ca="1">+S11/U11-1</f>
        <v>#N/A</v>
      </c>
      <c r="W11" s="994"/>
      <c r="X11" s="995"/>
      <c r="Y11" s="938"/>
      <c r="Z11" s="938">
        <f ca="1">INDEX(INDIRECT($D11),MATCH('Estimate Changes'!$F11,INDIRECT($C11),0),MATCH('Estimate Changes'!Z$6,INDIRECT($B11),0))</f>
        <v>42900</v>
      </c>
      <c r="AA11" s="973" t="e">
        <f ca="1">Z11/Y11-1</f>
        <v>#DIV/0!</v>
      </c>
      <c r="AB11" s="938" t="e">
        <f>INDEX(Consensus!$A$1:$AU$180,MATCH('Estimate Changes'!$F11,Consensus!$A:$A,0),MATCH('Estimate Changes'!Z$6,Consensus!$4:$4,0))</f>
        <v>#N/A</v>
      </c>
      <c r="AC11" s="995" t="e">
        <f ca="1">+Z11/AB11-1</f>
        <v>#N/A</v>
      </c>
      <c r="AD11" s="996"/>
      <c r="AE11" s="938"/>
      <c r="AF11" s="938">
        <f ca="1">INDEX(INDIRECT($D11),MATCH('Estimate Changes'!$F11,INDIRECT($C11),0),MATCH('Estimate Changes'!AF$6,INDIRECT($B11),0))</f>
        <v>58449.771249999998</v>
      </c>
      <c r="AG11" s="973" t="e">
        <f ca="1">AF11/AE11-1</f>
        <v>#DIV/0!</v>
      </c>
      <c r="AH11" s="938"/>
      <c r="AI11" s="973"/>
      <c r="AJ11" s="994"/>
      <c r="AK11" s="1210"/>
      <c r="AL11" s="939"/>
      <c r="AM11" s="939">
        <f ca="1">INDEX(INDIRECT($D11),MATCH('Estimate Changes'!$F11,INDIRECT($C11),0),MATCH('Estimate Changes'!AM$6,INDIRECT($B11),0))</f>
        <v>178987.77124999999</v>
      </c>
      <c r="AN11" s="974" t="e">
        <f ca="1">AM11/AL11-1</f>
        <v>#DIV/0!</v>
      </c>
      <c r="AO11" s="939"/>
      <c r="AP11" s="1201"/>
      <c r="AQ11" s="997"/>
      <c r="AR11" s="938"/>
      <c r="AS11" s="938">
        <f ca="1">INDEX(INDIRECT($D11),MATCH('Estimate Changes'!$F11,INDIRECT($C11),0),MATCH('Estimate Changes'!AS$6,INDIRECT($B11),0))</f>
        <v>46518.882899999997</v>
      </c>
      <c r="AT11" s="973" t="e">
        <f ca="1">AS11/AR11-1</f>
        <v>#DIV/0!</v>
      </c>
      <c r="AU11" s="938" t="e">
        <f>INDEX(Consensus!$A$1:$AU$180,MATCH('Estimate Changes'!$F11,Consensus!$A:$A,0),MATCH('Estimate Changes'!AS$6,Consensus!$4:$4,0))</f>
        <v>#N/A</v>
      </c>
      <c r="AV11" s="995" t="e">
        <f ca="1">+AS11/AU11-1</f>
        <v>#N/A</v>
      </c>
      <c r="AW11" s="996"/>
      <c r="AX11" s="938"/>
      <c r="AY11" s="938">
        <f ca="1">INDEX(INDIRECT($D11),MATCH('Estimate Changes'!$F11,INDIRECT($C11),0),MATCH('Estimate Changes'!AY$6,INDIRECT($B11),0))</f>
        <v>51332.047251861208</v>
      </c>
      <c r="AZ11" s="973" t="e">
        <f ca="1">AY11/AX11-1</f>
        <v>#DIV/0!</v>
      </c>
      <c r="BA11" s="938" t="e">
        <f>INDEX(Consensus!$A$1:$AU$180,MATCH('Estimate Changes'!$F11,Consensus!$A:$A,0),MATCH('Estimate Changes'!AY$6,Consensus!$4:$4,0))</f>
        <v>#N/A</v>
      </c>
      <c r="BB11" s="995" t="e">
        <f ca="1">+AY11/BA11-1</f>
        <v>#N/A</v>
      </c>
      <c r="BC11" s="996"/>
      <c r="BD11" s="938"/>
      <c r="BE11" s="938">
        <f ca="1">INDEX(INDIRECT($D11),MATCH('Estimate Changes'!$F11,INDIRECT($C11),0),MATCH('Estimate Changes'!BE$6,INDIRECT($B11),0))</f>
        <v>52700.841332000586</v>
      </c>
      <c r="BF11" s="973" t="e">
        <f ca="1">BE11/BD11-1</f>
        <v>#DIV/0!</v>
      </c>
      <c r="BG11" s="938" t="e">
        <f>INDEX(Consensus!$A$1:$AU$180,MATCH('Estimate Changes'!$F11,Consensus!$A:$A,0),MATCH('Estimate Changes'!BE$6,Consensus!$4:$4,0))</f>
        <v>#N/A</v>
      </c>
      <c r="BH11" s="995" t="e">
        <f ca="1">+BE11/BG11-1</f>
        <v>#N/A</v>
      </c>
      <c r="BI11" s="996"/>
      <c r="BJ11" s="938"/>
      <c r="BK11" s="938">
        <f ca="1">INDEX(INDIRECT($D11),MATCH('Estimate Changes'!$F11,INDIRECT($C11),0),MATCH('Estimate Changes'!BK$6,INDIRECT($B11),0))</f>
        <v>72315.618467083055</v>
      </c>
      <c r="BL11" s="973" t="e">
        <f ca="1">BK11/BJ11-1</f>
        <v>#DIV/0!</v>
      </c>
      <c r="BM11" s="938"/>
      <c r="BN11" s="995"/>
      <c r="BO11" s="996"/>
      <c r="BP11" s="939"/>
      <c r="BQ11" s="939">
        <f ca="1">INDEX(INDIRECT($D11),MATCH('Estimate Changes'!$F11,INDIRECT($C11),0),MATCH('Estimate Changes'!BQ$6,INDIRECT($B11),0))</f>
        <v>222867.38995094484</v>
      </c>
      <c r="BR11" s="974" t="e">
        <f ca="1">BQ11/BP11-1</f>
        <v>#DIV/0!</v>
      </c>
      <c r="BS11" s="939"/>
      <c r="BT11" s="1201"/>
      <c r="BU11" s="997"/>
      <c r="BV11" s="939"/>
      <c r="BW11" s="939">
        <f ca="1">INDEX(INDIRECT($D11),MATCH('Estimate Changes'!$F11,INDIRECT($C11),0),MATCH('Estimate Changes'!BW$6,INDIRECT($B11),0))</f>
        <v>270730.6049826821</v>
      </c>
      <c r="BX11" s="974" t="e">
        <f ca="1">BW11/BV11-1</f>
        <v>#DIV/0!</v>
      </c>
      <c r="BY11" s="939"/>
      <c r="BZ11" s="1201"/>
      <c r="CA11" s="997"/>
      <c r="CB11" s="939"/>
      <c r="CC11" s="939">
        <f ca="1">INDEX(INDIRECT($D11),MATCH('Estimate Changes'!$F11,INDIRECT($C11),0),MATCH('Estimate Changes'!CC$6,INDIRECT($B11),0))</f>
        <v>323953.91751058312</v>
      </c>
      <c r="CD11" s="974" t="e">
        <f ca="1">CC11/CB11-1</f>
        <v>#DIV/0!</v>
      </c>
      <c r="CE11" s="939"/>
      <c r="CF11" s="1201"/>
      <c r="CG11" s="997"/>
    </row>
    <row r="12" spans="1:85" s="1574" customFormat="1">
      <c r="A12" s="1573"/>
      <c r="B12" s="1574" t="str">
        <f ca="1">"'"&amp;E12&amp;"'"&amp;"!$5:$5"</f>
        <v>'Revenue Build'!$5:$5</v>
      </c>
      <c r="C12" s="1574" t="str">
        <f ca="1">"'"&amp;E12&amp;"'"&amp;"!$A:$A"</f>
        <v>'Revenue Build'!$A:$A</v>
      </c>
      <c r="D12" s="1574" t="str">
        <f ca="1">"'"&amp;$E12&amp;"'"&amp;"!$1:$1048576"</f>
        <v>'Revenue Build'!$1:$1048576</v>
      </c>
      <c r="E12" s="1575" t="str" cm="1">
        <f t="array" aca="1" ref="E12" ca="1">IFERROR(INDEX(SheetNames,MATCH(1,COUNTIF(INDIRECT("'"&amp;SheetNames&amp;"'!A:A"),$F12),0)),"Not Found")</f>
        <v>Revenue Build</v>
      </c>
      <c r="F12" s="940" t="s">
        <v>644</v>
      </c>
      <c r="L12" s="1576">
        <f ca="1">L11/G11-1</f>
        <v>0.31200000000000006</v>
      </c>
      <c r="M12" s="1576">
        <f ca="1">M11/H11-1</f>
        <v>0.3179532163742691</v>
      </c>
      <c r="N12" s="1576">
        <f ca="1">N11/I11-1</f>
        <v>0.29193213949104613</v>
      </c>
      <c r="O12" s="1576">
        <f ca="1">O11/J11-1</f>
        <v>0.31774545454545455</v>
      </c>
      <c r="P12" s="941" t="s">
        <v>433</v>
      </c>
      <c r="Q12" s="1581">
        <f ca="1">Q11/G11-1</f>
        <v>0.31200000000000006</v>
      </c>
      <c r="R12" s="1576"/>
      <c r="S12" s="1576">
        <f ca="1">S11/K11-1</f>
        <v>0.30599369085173511</v>
      </c>
      <c r="U12" s="1576" t="e">
        <f ca="1">+U11/K11-1</f>
        <v>#N/A</v>
      </c>
      <c r="V12" s="1582"/>
      <c r="W12" s="1576"/>
      <c r="X12" s="1582"/>
      <c r="Y12" s="1576"/>
      <c r="Z12" s="1576">
        <f ca="1">Z11/L11-1</f>
        <v>0.30792682926829262</v>
      </c>
      <c r="AB12" s="1576" t="e">
        <f ca="1">+AB11/L11-1</f>
        <v>#N/A</v>
      </c>
      <c r="AC12" s="1582"/>
      <c r="AD12" s="1582"/>
      <c r="AE12" s="1576"/>
      <c r="AF12" s="1576">
        <f ca="1">AF11/M11-1</f>
        <v>0.29675136996938356</v>
      </c>
      <c r="AH12" s="1576"/>
      <c r="AK12" s="1583"/>
      <c r="AL12" s="1576"/>
      <c r="AM12" s="1576">
        <f ca="1">AM11/N11-1</f>
        <v>0.30577477311525159</v>
      </c>
      <c r="AO12" s="1576"/>
      <c r="AP12" s="1582"/>
      <c r="AQ12" s="1582"/>
      <c r="AR12" s="1576"/>
      <c r="AS12" s="1576">
        <f ca="1">AS11/O11-1</f>
        <v>0.28370447872399129</v>
      </c>
      <c r="AU12" s="1576" t="e">
        <f ca="1">+AU11/O11-1</f>
        <v>#N/A</v>
      </c>
      <c r="AV12" s="1582"/>
      <c r="AW12" s="1582"/>
      <c r="AX12" s="1576"/>
      <c r="AY12" s="1576">
        <f ca="1">AY11/S11-1</f>
        <v>0.23990452299181664</v>
      </c>
      <c r="BA12" s="1576" t="e">
        <f>+BA11/U11-1</f>
        <v>#N/A</v>
      </c>
      <c r="BB12" s="1582"/>
      <c r="BC12" s="1582"/>
      <c r="BD12" s="1576"/>
      <c r="BE12" s="1576">
        <f ca="1">BE11/Z11-1</f>
        <v>0.2284578399067736</v>
      </c>
      <c r="BG12" s="1576" t="e">
        <f>+BG11/AB11-1</f>
        <v>#N/A</v>
      </c>
      <c r="BH12" s="1582"/>
      <c r="BI12" s="1582"/>
      <c r="BJ12" s="1576"/>
      <c r="BK12" s="1576">
        <f ca="1">BK11/AF11-1</f>
        <v>0.23722671484506552</v>
      </c>
      <c r="BM12" s="1576"/>
      <c r="BN12" s="1582"/>
      <c r="BO12" s="1582"/>
      <c r="BP12" s="1576"/>
      <c r="BQ12" s="1576">
        <f ca="1">BQ11/AM11-1</f>
        <v>0.2451542828568789</v>
      </c>
      <c r="BS12" s="1576"/>
      <c r="BT12" s="1582"/>
      <c r="BU12" s="1582"/>
      <c r="BV12" s="1576"/>
      <c r="BW12" s="1576">
        <f ca="1">BW11/BQ11-1</f>
        <v>0.21476096185391857</v>
      </c>
      <c r="BY12" s="1576"/>
      <c r="BZ12" s="1582"/>
      <c r="CA12" s="1582"/>
      <c r="CB12" s="1576"/>
      <c r="CC12" s="1576">
        <f ca="1">CC11/BW11-1</f>
        <v>0.19659141430022498</v>
      </c>
      <c r="CE12" s="1576"/>
      <c r="CF12" s="1582"/>
      <c r="CG12" s="1582"/>
    </row>
    <row r="13" spans="1:85">
      <c r="B13" s="824" t="str">
        <f ca="1">"'"&amp;E13&amp;"'"&amp;"!$5:$5"</f>
        <v>'Income'!$5:$5</v>
      </c>
      <c r="C13" s="824" t="str">
        <f ca="1">"'"&amp;E13&amp;"'"&amp;"!$A:$A"</f>
        <v>'Income'!$A:$A</v>
      </c>
      <c r="D13" s="824" t="str">
        <f ca="1">"'"&amp;$E13&amp;"'"&amp;"!$1:$1048576"</f>
        <v>'Income'!$1:$1048576</v>
      </c>
      <c r="E13" s="972" t="str" cm="1">
        <f t="array" aca="1" ref="E13" ca="1">IFERROR(INDEX(SheetNames,MATCH(1,COUNTIF(INDIRECT("'"&amp;SheetNames&amp;"'!A:A"),$F13),0)),"Not Found")</f>
        <v>Income</v>
      </c>
      <c r="F13" s="940" t="s">
        <v>431</v>
      </c>
      <c r="G13" s="965">
        <f ca="1">INDEX(INDIRECT($D13),MATCH('Estimate Changes'!$F13,INDIRECT($C13),0),MATCH('Estimate Changes'!G$6,INDIRECT($B13),0))</f>
        <v>1366.2</v>
      </c>
      <c r="H13" s="965">
        <f ca="1">INDEX(INDIRECT($D13),MATCH('Estimate Changes'!$F13,INDIRECT($C13),0),MATCH('Estimate Changes'!H$6,INDIRECT($B13),0))</f>
        <v>1734.9780000000001</v>
      </c>
      <c r="I13" s="965">
        <f ca="1">INDEX(INDIRECT($D13),MATCH('Estimate Changes'!$F13,INDIRECT($C13),0),MATCH('Estimate Changes'!I$6,INDIRECT($B13),0))</f>
        <v>5599.8640000000005</v>
      </c>
      <c r="J13" s="965">
        <f ca="1">INDEX(INDIRECT($D13),MATCH('Estimate Changes'!$F13,INDIRECT($C13),0),MATCH('Estimate Changes'!J$6,INDIRECT($B13),0))</f>
        <v>1508</v>
      </c>
      <c r="K13" s="965">
        <f ca="1">INDEX(INDIRECT($D13),MATCH('Estimate Changes'!$F13,INDIRECT($C13),0),MATCH('Estimate Changes'!K$6,INDIRECT($B13),0))</f>
        <v>1694</v>
      </c>
      <c r="L13" s="965">
        <f ca="1">INDEX(INDIRECT($D13),MATCH('Estimate Changes'!$F13,INDIRECT($C13),0),MATCH('Estimate Changes'!L$6,INDIRECT($B13),0))</f>
        <v>1714</v>
      </c>
      <c r="M13" s="965">
        <f ca="1">INDEX(INDIRECT($D13),MATCH('Estimate Changes'!$F13,INDIRECT($C13),0),MATCH('Estimate Changes'!M$6,INDIRECT($B13),0))</f>
        <v>2144</v>
      </c>
      <c r="N13" s="965">
        <f ca="1">INDEX(INDIRECT($D13),MATCH('Estimate Changes'!$F13,INDIRECT($C13),0),MATCH('Estimate Changes'!N$6,INDIRECT($B13),0))</f>
        <v>7060</v>
      </c>
      <c r="O13" s="965">
        <f ca="1">INDEX(INDIRECT($D13),MATCH('Estimate Changes'!$F13,INDIRECT($C13),0),MATCH('Estimate Changes'!O$6,INDIRECT($B13),0))</f>
        <v>1861</v>
      </c>
      <c r="P13" s="963" t="s">
        <v>197</v>
      </c>
      <c r="Q13" s="967">
        <f ca="1">INDEX(INDIRECT($D13),MATCH('Estimate Changes'!$F13,INDIRECT($C13),0),MATCH('Estimate Changes'!Q$6,INDIRECT($B13),0))</f>
        <v>1714</v>
      </c>
      <c r="R13" s="938"/>
      <c r="S13" s="938">
        <f ca="1">INDEX(INDIRECT($D13),MATCH('Estimate Changes'!$F13,INDIRECT($C13),0),MATCH('Estimate Changes'!S$6,INDIRECT($B13),0))</f>
        <v>2045</v>
      </c>
      <c r="T13" s="973" t="e">
        <f ca="1">S13/R13-1</f>
        <v>#DIV/0!</v>
      </c>
      <c r="U13" s="938">
        <f>INDEX(Consensus!$A$1:$AU$180,MATCH('Estimate Changes'!$F13,Consensus!$A:$A,0),MATCH('Estimate Changes'!S$6,Consensus!$4:$4,0))</f>
        <v>2045</v>
      </c>
      <c r="V13" s="995">
        <f ca="1">+S13/U13-1</f>
        <v>0</v>
      </c>
      <c r="W13" s="994"/>
      <c r="X13" s="995" t="e">
        <f ca="1">+S13/W13-1</f>
        <v>#DIV/0!</v>
      </c>
      <c r="Y13" s="938"/>
      <c r="Z13" s="938">
        <f ca="1">INDEX(INDIRECT($D13),MATCH('Estimate Changes'!$F13,INDIRECT($C13),0),MATCH('Estimate Changes'!Z$6,INDIRECT($B13),0))</f>
        <v>2162</v>
      </c>
      <c r="AA13" s="973" t="e">
        <f ca="1">Z13/Y13-1</f>
        <v>#DIV/0!</v>
      </c>
      <c r="AB13" s="938">
        <f>INDEX(Consensus!$A$1:$AU$180,MATCH('Estimate Changes'!$F13,Consensus!$A:$A,0),MATCH('Estimate Changes'!Z$6,Consensus!$4:$4,0))</f>
        <v>2162</v>
      </c>
      <c r="AC13" s="995">
        <f ca="1">+Z13/AB13-1</f>
        <v>0</v>
      </c>
      <c r="AD13" s="996"/>
      <c r="AE13" s="938"/>
      <c r="AF13" s="938">
        <f ca="1">INDEX(INDIRECT($D13),MATCH('Estimate Changes'!$F13,INDIRECT($C13),0),MATCH('Estimate Changes'!AF$6,INDIRECT($B13),0))</f>
        <v>2703.5891937011711</v>
      </c>
      <c r="AG13" s="973" t="e">
        <f ca="1">AF13/AE13-1</f>
        <v>#DIV/0!</v>
      </c>
      <c r="AH13" s="938">
        <f>INDEX(Consensus!$A$1:$AU$180,MATCH('Estimate Changes'!$F13,Consensus!$A:$A,0),MATCH('Estimate Changes'!AF$6,Consensus!$4:$4,0))</f>
        <v>2725.7952</v>
      </c>
      <c r="AI13" s="973">
        <f ca="1">+AF13/AH13-1</f>
        <v>-8.1466158201572991E-3</v>
      </c>
      <c r="AJ13" s="994"/>
      <c r="AK13" s="1210"/>
      <c r="AL13" s="939"/>
      <c r="AM13" s="939">
        <f ca="1">INDEX(INDIRECT($D13),MATCH('Estimate Changes'!$F13,INDIRECT($C13),0),MATCH('Estimate Changes'!AM$6,INDIRECT($B13),0))</f>
        <v>8771.5891937011711</v>
      </c>
      <c r="AN13" s="974" t="e">
        <f ca="1">AM13/AL13-1</f>
        <v>#DIV/0!</v>
      </c>
      <c r="AO13" s="939">
        <f>INDEX(Consensus!$A$1:$AU$180,MATCH('Estimate Changes'!$F13,Consensus!$A:$A,0),MATCH('Estimate Changes'!AM$6,Consensus!$4:$4,0))</f>
        <v>8799.232</v>
      </c>
      <c r="AP13" s="1201">
        <f ca="1">+AM13/AO13-1</f>
        <v>-3.1415021559642042E-3</v>
      </c>
      <c r="AQ13" s="997"/>
      <c r="AR13" s="938"/>
      <c r="AS13" s="938">
        <f ca="1">INDEX(INDIRECT($D13),MATCH('Estimate Changes'!$F13,INDIRECT($C13),0),MATCH('Estimate Changes'!AS$6,INDIRECT($B13),0))</f>
        <v>2338.8834242070311</v>
      </c>
      <c r="AT13" s="973" t="e">
        <f ca="1">AS13/AR13-1</f>
        <v>#DIV/0!</v>
      </c>
      <c r="AU13" s="938">
        <f>INDEX(Consensus!$A$1:$AU$180,MATCH('Estimate Changes'!$F13,Consensus!$A:$A,0),MATCH('Estimate Changes'!AS$6,Consensus!$4:$4,0))</f>
        <v>2319.768</v>
      </c>
      <c r="AV13" s="995">
        <f ca="1">+AS13/AU13-1</f>
        <v>8.2402310088900421E-3</v>
      </c>
      <c r="AW13" s="996"/>
      <c r="AX13" s="938"/>
      <c r="AY13" s="938">
        <f ca="1">INDEX(INDIRECT($D13),MATCH('Estimate Changes'!$F13,INDIRECT($C13),0),MATCH('Estimate Changes'!AY$6,INDIRECT($B13),0))</f>
        <v>2508.0283815145549</v>
      </c>
      <c r="AZ13" s="973" t="e">
        <f ca="1">AY13/AX13-1</f>
        <v>#DIV/0!</v>
      </c>
      <c r="BA13" s="938">
        <f>INDEX(Consensus!$A$1:$AU$180,MATCH('Estimate Changes'!$F13,Consensus!$A:$A,0),MATCH('Estimate Changes'!AY$6,Consensus!$4:$4,0))</f>
        <v>2527.6889999999999</v>
      </c>
      <c r="BB13" s="995">
        <f ca="1">+AY13/BA13-1</f>
        <v>-7.77810026686232E-3</v>
      </c>
      <c r="BC13" s="996"/>
      <c r="BD13" s="938"/>
      <c r="BE13" s="938">
        <f ca="1">INDEX(INDIRECT($D13),MATCH('Estimate Changes'!$F13,INDIRECT($C13),0),MATCH('Estimate Changes'!BE$6,INDIRECT($B13),0))</f>
        <v>2631.9056487290545</v>
      </c>
      <c r="BF13" s="973" t="e">
        <f ca="1">BE13/BD13-1</f>
        <v>#DIV/0!</v>
      </c>
      <c r="BG13" s="938">
        <f>INDEX(Consensus!$A$1:$AU$180,MATCH('Estimate Changes'!$F13,Consensus!$A:$A,0),MATCH('Estimate Changes'!BE$6,Consensus!$4:$4,0))</f>
        <v>2637.6206000000002</v>
      </c>
      <c r="BH13" s="995">
        <f ca="1">+BE13/BG13-1</f>
        <v>-2.1667070961401969E-3</v>
      </c>
      <c r="BI13" s="996"/>
      <c r="BJ13" s="938"/>
      <c r="BK13" s="938">
        <f ca="1">INDEX(INDIRECT($D13),MATCH('Estimate Changes'!$F13,INDIRECT($C13),0),MATCH('Estimate Changes'!BK$6,INDIRECT($B13),0))</f>
        <v>3317.9390336843499</v>
      </c>
      <c r="BL13" s="973" t="e">
        <f ca="1">BK13/BJ13-1</f>
        <v>#DIV/0!</v>
      </c>
      <c r="BM13" s="938">
        <f>INDEX(Consensus!$A$1:$AU$180,MATCH('Estimate Changes'!$F13,Consensus!$A:$A,0),MATCH('Estimate Changes'!BK$6,Consensus!$4:$4,0))</f>
        <v>3309.5315000000001</v>
      </c>
      <c r="BN13" s="995">
        <f ca="1">+BK13/BM13-1</f>
        <v>2.5403999582267467E-3</v>
      </c>
      <c r="BO13" s="996"/>
      <c r="BP13" s="939"/>
      <c r="BQ13" s="939">
        <f ca="1">INDEX(INDIRECT($D13),MATCH('Estimate Changes'!$F13,INDIRECT($C13),0),MATCH('Estimate Changes'!BQ$6,INDIRECT($B13),0))</f>
        <v>10796.75648813499</v>
      </c>
      <c r="BR13" s="974" t="e">
        <f ca="1">BQ13/BP13-1</f>
        <v>#DIV/0!</v>
      </c>
      <c r="BS13" s="939">
        <f>INDEX(Consensus!$A$1:$AU$180,MATCH('Estimate Changes'!$F13,Consensus!$A:$A,0),MATCH('Estimate Changes'!BQ$6,Consensus!$4:$4,0))</f>
        <v>10858.165000000001</v>
      </c>
      <c r="BT13" s="1201">
        <f ca="1">+BQ13/BS13-1</f>
        <v>-5.6555147085175506E-3</v>
      </c>
      <c r="BU13" s="997"/>
      <c r="BV13" s="939"/>
      <c r="BW13" s="939">
        <f ca="1">INDEX(INDIRECT($D13),MATCH('Estimate Changes'!$F13,INDIRECT($C13),0),MATCH('Estimate Changes'!BW$6,INDIRECT($B13),0))</f>
        <v>12923.430702782402</v>
      </c>
      <c r="BX13" s="974" t="e">
        <f ca="1">BW13/BV13-1</f>
        <v>#DIV/0!</v>
      </c>
      <c r="BY13" s="939">
        <f>INDEX(Consensus!$A$1:$AU$180,MATCH('Estimate Changes'!$F13,Consensus!$A:$A,0),MATCH('Estimate Changes'!BW$6,Consensus!$4:$4,0))</f>
        <v>13154.029</v>
      </c>
      <c r="BZ13" s="1201">
        <f ca="1">+BW13/BY13-1</f>
        <v>-1.7530621014869241E-2</v>
      </c>
      <c r="CA13" s="997"/>
      <c r="CB13" s="939"/>
      <c r="CC13" s="939">
        <f ca="1">INDEX(INDIRECT($D13),MATCH('Estimate Changes'!$F13,INDIRECT($C13),0),MATCH('Estimate Changes'!CC$6,INDIRECT($B13),0))</f>
        <v>15238.768381736383</v>
      </c>
      <c r="CD13" s="974" t="e">
        <f ca="1">CC13/CB13-1</f>
        <v>#DIV/0!</v>
      </c>
      <c r="CE13" s="939">
        <f>INDEX(Consensus!$A$1:$AU$180,MATCH('Estimate Changes'!$F13,Consensus!$A:$A,0),MATCH('Estimate Changes'!CC$6,Consensus!$4:$4,0))</f>
        <v>17304.153999999999</v>
      </c>
      <c r="CF13" s="1201">
        <f ca="1">+CC13/CE13-1</f>
        <v>-0.11935779225402265</v>
      </c>
      <c r="CG13" s="997"/>
    </row>
    <row r="14" spans="1:85" s="1574" customFormat="1">
      <c r="A14" s="1573"/>
      <c r="B14" s="1574" t="str">
        <f t="shared" ref="B14:B39" ca="1" si="3">"'"&amp;E14&amp;"'"&amp;"!$5:$5"</f>
        <v>'Income'!$5:$5</v>
      </c>
      <c r="C14" s="1574" t="str">
        <f t="shared" ref="C14:C39" ca="1" si="4">"'"&amp;E14&amp;"'"&amp;"!$A:$A"</f>
        <v>'Income'!$A:$A</v>
      </c>
      <c r="D14" s="1574" t="str">
        <f t="shared" ref="D14:D39" ca="1" si="5">"'"&amp;$E14&amp;"'"&amp;"!$1:$1048576"</f>
        <v>'Income'!$1:$1048576</v>
      </c>
      <c r="E14" s="1575" t="str" cm="1">
        <f t="array" aca="1" ref="E14" ca="1">IFERROR(INDEX(SheetNames,MATCH(1,COUNTIF(INDIRECT("'"&amp;SheetNames&amp;"'!A:A"),$F14),0)),"Not Found")</f>
        <v>Income</v>
      </c>
      <c r="F14" s="940" t="s">
        <v>432</v>
      </c>
      <c r="L14" s="1576">
        <f ca="1">L13/G13-1</f>
        <v>0.25457473283560228</v>
      </c>
      <c r="M14" s="1576">
        <f t="shared" ref="M14:O14" ca="1" si="6">M13/H13-1</f>
        <v>0.2357505397762969</v>
      </c>
      <c r="N14" s="1576">
        <f t="shared" ca="1" si="6"/>
        <v>0.26074490380480664</v>
      </c>
      <c r="O14" s="1576">
        <f t="shared" ca="1" si="6"/>
        <v>0.23408488063660471</v>
      </c>
      <c r="P14" s="941" t="s">
        <v>433</v>
      </c>
      <c r="Q14" s="1581">
        <f ca="1">Q13/G13-1</f>
        <v>0.25457473283560228</v>
      </c>
      <c r="R14" s="1576"/>
      <c r="S14" s="1576">
        <f ca="1">S13/K13-1</f>
        <v>0.20720188902007086</v>
      </c>
      <c r="U14" s="1576">
        <f ca="1">+U13/K13-1</f>
        <v>0.20720188902007086</v>
      </c>
      <c r="V14" s="1582"/>
      <c r="W14" s="1576"/>
      <c r="X14" s="1582"/>
      <c r="Y14" s="1576"/>
      <c r="Z14" s="1576">
        <f ca="1">Z13/L13-1</f>
        <v>0.26137689614935833</v>
      </c>
      <c r="AB14" s="1576">
        <f ca="1">+AB13/L13-1</f>
        <v>0.26137689614935833</v>
      </c>
      <c r="AC14" s="1582"/>
      <c r="AD14" s="1582"/>
      <c r="AE14" s="1576"/>
      <c r="AF14" s="1576">
        <f ca="1">AF13/M13-1</f>
        <v>0.26100242243524763</v>
      </c>
      <c r="AH14" s="1576">
        <f ca="1">+AH13/M13-1</f>
        <v>0.2713597014925373</v>
      </c>
      <c r="AK14" s="1583" t="s">
        <v>626</v>
      </c>
      <c r="AL14" s="1576"/>
      <c r="AM14" s="1576">
        <f ca="1">AM13/N13-1</f>
        <v>0.24243472998600146</v>
      </c>
      <c r="AO14" s="1576">
        <f ca="1">+AO13/N13-1</f>
        <v>0.24635014164305957</v>
      </c>
      <c r="AP14" s="1582"/>
      <c r="AQ14" s="1582"/>
      <c r="AR14" s="1576"/>
      <c r="AS14" s="1576">
        <f ca="1">AS13/O13-1</f>
        <v>0.25678851381355772</v>
      </c>
      <c r="AU14" s="1576" t="e">
        <f>+AU13/W13-1</f>
        <v>#DIV/0!</v>
      </c>
      <c r="AV14" s="1582"/>
      <c r="AW14" s="1582"/>
      <c r="AX14" s="1576"/>
      <c r="AY14" s="1576">
        <f ca="1">AY13/S13-1</f>
        <v>0.22641974646188512</v>
      </c>
      <c r="BA14" s="1576" t="e">
        <f>+BA13/W13-1</f>
        <v>#DIV/0!</v>
      </c>
      <c r="BB14" s="1582"/>
      <c r="BC14" s="1582"/>
      <c r="BD14" s="1576"/>
      <c r="BE14" s="1576">
        <f ca="1">BE13/Z13-1</f>
        <v>0.21734766361195867</v>
      </c>
      <c r="BG14" s="1576">
        <f>+BG13/AB13-1</f>
        <v>0.21999102682701221</v>
      </c>
      <c r="BH14" s="1582"/>
      <c r="BI14" s="1582"/>
      <c r="BJ14" s="1576"/>
      <c r="BK14" s="1576">
        <f ca="1">BK13/AF13-1</f>
        <v>0.227234907364807</v>
      </c>
      <c r="BM14" s="1576">
        <f>+BM13/AH13-1</f>
        <v>0.21415266267986688</v>
      </c>
      <c r="BN14" s="1582"/>
      <c r="BO14" s="1582"/>
      <c r="BP14" s="1576"/>
      <c r="BQ14" s="1576">
        <f ca="1">BQ13/AM13-1</f>
        <v>0.23087803700247167</v>
      </c>
      <c r="BS14" s="1576">
        <f>+BS13/AO13-1</f>
        <v>0.23399008004334942</v>
      </c>
      <c r="BT14" s="1582"/>
      <c r="BU14" s="1582"/>
      <c r="BV14" s="1576"/>
      <c r="BW14" s="1576">
        <f ca="1">BW13/BQ13-1</f>
        <v>0.19697343521496502</v>
      </c>
      <c r="BY14" s="1576">
        <f>+BY13/BS13-1</f>
        <v>0.21144125181372719</v>
      </c>
      <c r="BZ14" s="1582"/>
      <c r="CA14" s="1582"/>
      <c r="CB14" s="1576"/>
      <c r="CC14" s="1576">
        <f ca="1">CC13/BW13-1</f>
        <v>0.17915813008193648</v>
      </c>
      <c r="CE14" s="1576">
        <f>+CE13/BY13-1</f>
        <v>0.31550219328237739</v>
      </c>
      <c r="CF14" s="1582"/>
      <c r="CG14" s="1582"/>
    </row>
    <row r="15" spans="1:85">
      <c r="B15" s="824" t="str">
        <f t="shared" ca="1" si="3"/>
        <v>'Income'!$5:$5</v>
      </c>
      <c r="C15" s="824" t="str">
        <f t="shared" ca="1" si="4"/>
        <v>'Income'!$A:$A</v>
      </c>
      <c r="D15" s="824" t="str">
        <f t="shared" ca="1" si="5"/>
        <v>'Income'!$1:$1048576</v>
      </c>
      <c r="E15" s="972" t="str" cm="1">
        <f t="array" aca="1" ref="E15" ca="1">IFERROR(INDEX(SheetNames,MATCH(1,COUNTIF(INDIRECT("'"&amp;SheetNames&amp;"'!A:A"),$F15),0)),"Not Found")</f>
        <v>Income</v>
      </c>
      <c r="F15" s="943" t="s">
        <v>534</v>
      </c>
      <c r="G15" s="965">
        <f ca="1">INDEX(INDIRECT($D15),MATCH('Estimate Changes'!$F15,INDIRECT($C15),0),MATCH('Estimate Changes'!G$6,INDIRECT($B15),0))</f>
        <v>376.30099999999999</v>
      </c>
      <c r="H15" s="965">
        <f ca="1">INDEX(INDIRECT($D15),MATCH('Estimate Changes'!$F15,INDIRECT($C15),0),MATCH('Estimate Changes'!H$6,INDIRECT($B15),0))</f>
        <v>400.25400000000002</v>
      </c>
      <c r="I15" s="965">
        <f ca="1">INDEX(INDIRECT($D15),MATCH('Estimate Changes'!$F15,INDIRECT($C15),0),MATCH('Estimate Changes'!I$6,INDIRECT($B15),0))</f>
        <v>1487.759</v>
      </c>
      <c r="J15" s="965">
        <f ca="1">INDEX(INDIRECT($D15),MATCH('Estimate Changes'!$F15,INDIRECT($C15),0),MATCH('Estimate Changes'!J$6,INDIRECT($B15),0))</f>
        <v>382</v>
      </c>
      <c r="K15" s="965">
        <f ca="1">INDEX(INDIRECT($D15),MATCH('Estimate Changes'!$F15,INDIRECT($C15),0),MATCH('Estimate Changes'!K$6,INDIRECT($B15),0))</f>
        <v>444</v>
      </c>
      <c r="L15" s="965">
        <f ca="1">INDEX(INDIRECT($D15),MATCH('Estimate Changes'!$F15,INDIRECT($C15),0),MATCH('Estimate Changes'!L$6,INDIRECT($B15),0))</f>
        <v>486</v>
      </c>
      <c r="M15" s="965">
        <f ca="1">INDEX(INDIRECT($D15),MATCH('Estimate Changes'!$F15,INDIRECT($C15),0),MATCH('Estimate Changes'!M$6,INDIRECT($B15),0))</f>
        <v>525</v>
      </c>
      <c r="N15" s="965">
        <f ca="1">INDEX(INDIRECT($D15),MATCH('Estimate Changes'!$F15,INDIRECT($C15),0),MATCH('Estimate Changes'!N$6,INDIRECT($B15),0))</f>
        <v>1837</v>
      </c>
      <c r="O15" s="965">
        <f ca="1">INDEX(INDIRECT($D15),MATCH('Estimate Changes'!$F15,INDIRECT($C15),0),MATCH('Estimate Changes'!O$6,INDIRECT($B15),0))</f>
        <v>511</v>
      </c>
      <c r="P15" s="944" t="s">
        <v>295</v>
      </c>
      <c r="Q15" s="998">
        <f ca="1">INDEX(INDIRECT($D15),MATCH('Estimate Changes'!$F15,INDIRECT($C15),0),MATCH('Estimate Changes'!Q$6,INDIRECT($B15),0))</f>
        <v>486</v>
      </c>
      <c r="R15" s="945"/>
      <c r="S15" s="945">
        <f ca="1">INDEX(INDIRECT($D15),MATCH('Estimate Changes'!$F15,INDIRECT($C15),0),MATCH('Estimate Changes'!S$6,INDIRECT($B15),0))</f>
        <v>563</v>
      </c>
      <c r="T15" s="999" t="e">
        <f ca="1">S15/R15-1</f>
        <v>#DIV/0!</v>
      </c>
      <c r="U15" s="945">
        <f>INDEX(Consensus!$A$1:$AU$180,MATCH('Estimate Changes'!$F15,Consensus!$A:$A,0),MATCH('Estimate Changes'!S$6,Consensus!$4:$4,0))</f>
        <v>563</v>
      </c>
      <c r="V15" s="1001">
        <f ca="1">+S15/U15-1</f>
        <v>0</v>
      </c>
      <c r="W15" s="1000"/>
      <c r="X15" s="1001" t="e">
        <f ca="1">+S15/W15-1</f>
        <v>#DIV/0!</v>
      </c>
      <c r="Y15" s="945"/>
      <c r="Z15" s="945">
        <f ca="1">INDEX(INDIRECT($D15),MATCH('Estimate Changes'!$F15,INDIRECT($C15),0),MATCH('Estimate Changes'!Z$6,INDIRECT($B15),0))</f>
        <v>610</v>
      </c>
      <c r="AA15" s="999" t="e">
        <f ca="1">Z15/Y15-1</f>
        <v>#DIV/0!</v>
      </c>
      <c r="AB15" s="945">
        <f>INDEX(Consensus!$A$1:$AU$180,MATCH('Estimate Changes'!$F15,Consensus!$A:$A,0),MATCH('Estimate Changes'!Z$6,Consensus!$4:$4,0))</f>
        <v>610</v>
      </c>
      <c r="AC15" s="1001">
        <f ca="1">+Z15/AB15-1</f>
        <v>0</v>
      </c>
      <c r="AD15" s="1002"/>
      <c r="AE15" s="945"/>
      <c r="AF15" s="945">
        <f ca="1">INDEX(INDIRECT($D15),MATCH('Estimate Changes'!$F15,INDIRECT($C15),0),MATCH('Estimate Changes'!AF$6,INDIRECT($B15),0))</f>
        <v>657.73450620117183</v>
      </c>
      <c r="AG15" s="999" t="e">
        <f ca="1">AF15/AE15-1</f>
        <v>#DIV/0!</v>
      </c>
      <c r="AH15" s="945">
        <f>INDEX(Consensus!$A$1:$AU$180,MATCH('Estimate Changes'!$F15,Consensus!$A:$A,0),MATCH('Estimate Changes'!AF$6,Consensus!$4:$4,0))</f>
        <v>648.89260000000002</v>
      </c>
      <c r="AI15" s="999">
        <f ca="1">+AF15/AH15-1</f>
        <v>1.3626147379661502E-2</v>
      </c>
      <c r="AJ15" s="1000"/>
      <c r="AK15" s="1210"/>
      <c r="AL15" s="946"/>
      <c r="AM15" s="946">
        <f ca="1">INDEX(INDIRECT($D15),MATCH('Estimate Changes'!$F15,INDIRECT($C15),0),MATCH('Estimate Changes'!AM$6,INDIRECT($B15),0))</f>
        <v>2341.7345062011718</v>
      </c>
      <c r="AN15" s="1003" t="e">
        <f ca="1">AM15/AL15-1</f>
        <v>#DIV/0!</v>
      </c>
      <c r="AO15" s="946">
        <f>INDEX(Consensus!$A$1:$AU$180,MATCH('Estimate Changes'!$F15,Consensus!$A:$A,0),MATCH('Estimate Changes'!AM$6,Consensus!$4:$4,0))</f>
        <v>2330.2125999999998</v>
      </c>
      <c r="AP15" s="1202">
        <f ca="1">+AM15/AO15-1</f>
        <v>4.9445729549191242E-3</v>
      </c>
      <c r="AQ15" s="1004"/>
      <c r="AR15" s="945"/>
      <c r="AS15" s="945">
        <f ca="1">INDEX(INDIRECT($D15),MATCH('Estimate Changes'!$F15,INDIRECT($C15),0),MATCH('Estimate Changes'!AS$6,INDIRECT($B15),0))</f>
        <v>603.53177420703116</v>
      </c>
      <c r="AT15" s="999" t="e">
        <f ca="1">AS15/AR15-1</f>
        <v>#DIV/0!</v>
      </c>
      <c r="AU15" s="945">
        <f>INDEX(Consensus!$A$1:$AU$180,MATCH('Estimate Changes'!$F15,Consensus!$A:$A,0),MATCH('Estimate Changes'!AS$6,Consensus!$4:$4,0))</f>
        <v>633.16089999999997</v>
      </c>
      <c r="AV15" s="1001">
        <f ca="1">+AS15/AU15-1</f>
        <v>-4.6795570909335726E-2</v>
      </c>
      <c r="AW15" s="1002"/>
      <c r="AX15" s="945"/>
      <c r="AY15" s="945">
        <f ca="1">INDEX(INDIRECT($D15),MATCH('Estimate Changes'!$F15,INDIRECT($C15),0),MATCH('Estimate Changes'!AY$6,INDIRECT($B15),0))</f>
        <v>664.94792344140615</v>
      </c>
      <c r="AZ15" s="999" t="e">
        <f ca="1">AY15/AX15-1</f>
        <v>#DIV/0!</v>
      </c>
      <c r="BA15" s="945">
        <f>INDEX(Consensus!$A$1:$AU$180,MATCH('Estimate Changes'!$F15,Consensus!$A:$A,0),MATCH('Estimate Changes'!AY$6,Consensus!$4:$4,0))</f>
        <v>673.83167000000003</v>
      </c>
      <c r="BB15" s="1001">
        <f ca="1">+AY15/BA15-1</f>
        <v>-1.3183925532312624E-2</v>
      </c>
      <c r="BC15" s="1002"/>
      <c r="BD15" s="945"/>
      <c r="BE15" s="945">
        <f ca="1">INDEX(INDIRECT($D15),MATCH('Estimate Changes'!$F15,INDIRECT($C15),0),MATCH('Estimate Changes'!BE$6,INDIRECT($B15),0))</f>
        <v>720.45867371093732</v>
      </c>
      <c r="BF15" s="999" t="e">
        <f ca="1">BE15/BD15-1</f>
        <v>#DIV/0!</v>
      </c>
      <c r="BG15" s="945">
        <f>INDEX(Consensus!$A$1:$AU$180,MATCH('Estimate Changes'!$F15,Consensus!$A:$A,0),MATCH('Estimate Changes'!BE$6,Consensus!$4:$4,0))</f>
        <v>711.47400000000005</v>
      </c>
      <c r="BH15" s="1001">
        <f ca="1">+BE15/BG15-1</f>
        <v>1.2628253050620541E-2</v>
      </c>
      <c r="BI15" s="1002"/>
      <c r="BJ15" s="945"/>
      <c r="BK15" s="945">
        <f ca="1">INDEX(INDIRECT($D15),MATCH('Estimate Changes'!$F15,INDIRECT($C15),0),MATCH('Estimate Changes'!BK$6,INDIRECT($B15),0))</f>
        <v>776.83693441248283</v>
      </c>
      <c r="BL15" s="999" t="e">
        <f ca="1">BK15/BJ15-1</f>
        <v>#DIV/0!</v>
      </c>
      <c r="BM15" s="945">
        <f>INDEX(Consensus!$A$1:$AU$180,MATCH('Estimate Changes'!$F15,Consensus!$A:$A,0),MATCH('Estimate Changes'!BK$6,Consensus!$4:$4,0))</f>
        <v>759.76520000000005</v>
      </c>
      <c r="BN15" s="1001">
        <f ca="1">+BK15/BM15-1</f>
        <v>2.2469750407734912E-2</v>
      </c>
      <c r="BO15" s="1002"/>
      <c r="BP15" s="946"/>
      <c r="BQ15" s="946">
        <f ca="1">INDEX(INDIRECT($D15),MATCH('Estimate Changes'!$F15,INDIRECT($C15),0),MATCH('Estimate Changes'!BQ$6,INDIRECT($B15),0))</f>
        <v>2765.7753057718573</v>
      </c>
      <c r="BR15" s="1003" t="e">
        <f ca="1">BQ15/BP15-1</f>
        <v>#DIV/0!</v>
      </c>
      <c r="BS15" s="946">
        <f>INDEX(Consensus!$A$1:$AU$180,MATCH('Estimate Changes'!$F15,Consensus!$A:$A,0),MATCH('Estimate Changes'!BQ$6,Consensus!$4:$4,0))</f>
        <v>2769.6774999999998</v>
      </c>
      <c r="BT15" s="1202">
        <f ca="1">+BQ15/BS15-1</f>
        <v>-1.4088984107869518E-3</v>
      </c>
      <c r="BU15" s="1004"/>
      <c r="BV15" s="946"/>
      <c r="BW15" s="946">
        <f ca="1">INDEX(INDIRECT($D15),MATCH('Estimate Changes'!$F15,INDIRECT($C15),0),MATCH('Estimate Changes'!BW$6,INDIRECT($B15),0))</f>
        <v>3205.5433568374401</v>
      </c>
      <c r="BX15" s="1003" t="e">
        <f ca="1">BW15/BV15-1</f>
        <v>#DIV/0!</v>
      </c>
      <c r="BY15" s="946">
        <f>INDEX(Consensus!$A$1:$AU$180,MATCH('Estimate Changes'!$F15,Consensus!$A:$A,0),MATCH('Estimate Changes'!BW$6,Consensus!$4:$4,0))</f>
        <v>3247.7937000000002</v>
      </c>
      <c r="BZ15" s="1202">
        <f ca="1">+BW15/BY15-1</f>
        <v>-1.3008936855367415E-2</v>
      </c>
      <c r="CA15" s="1004"/>
      <c r="CB15" s="946"/>
      <c r="CC15" s="946">
        <f ca="1">INDEX(INDIRECT($D15),MATCH('Estimate Changes'!$F15,INDIRECT($C15),0),MATCH('Estimate Changes'!CC$6,INDIRECT($B15),0))</f>
        <v>3679.8528818838795</v>
      </c>
      <c r="CD15" s="1003" t="e">
        <f ca="1">CC15/CB15-1</f>
        <v>#DIV/0!</v>
      </c>
      <c r="CE15" s="946">
        <f>INDEX(Consensus!$A$1:$AU$180,MATCH('Estimate Changes'!$F15,Consensus!$A:$A,0),MATCH('Estimate Changes'!CC$6,Consensus!$4:$4,0))</f>
        <v>3739.4333000000001</v>
      </c>
      <c r="CF15" s="1202">
        <f ca="1">+CC15/CE15-1</f>
        <v>-1.5933007313199243E-2</v>
      </c>
      <c r="CG15" s="1004"/>
    </row>
    <row r="16" spans="1:85" s="1574" customFormat="1">
      <c r="A16" s="1573"/>
      <c r="B16" s="1574" t="str">
        <f t="shared" ca="1" si="3"/>
        <v>'Income'!$5:$5</v>
      </c>
      <c r="C16" s="1574" t="str">
        <f t="shared" ca="1" si="4"/>
        <v>'Income'!$A:$A</v>
      </c>
      <c r="D16" s="1574" t="str">
        <f t="shared" ca="1" si="5"/>
        <v>'Income'!$1:$1048576</v>
      </c>
      <c r="E16" s="1575" t="str" cm="1">
        <f t="array" aca="1" ref="E16" ca="1">IFERROR(INDEX(SheetNames,MATCH(1,COUNTIF(INDIRECT("'"&amp;SheetNames&amp;"'!A:A"),$F16),0)),"Not Found")</f>
        <v>Income</v>
      </c>
      <c r="F16" s="940" t="s">
        <v>535</v>
      </c>
      <c r="L16" s="1576">
        <f ca="1">L15/G15-1</f>
        <v>0.29151928907975266</v>
      </c>
      <c r="M16" s="1576">
        <f t="shared" ref="M16" ca="1" si="7">M15/H15-1</f>
        <v>0.3116670913969628</v>
      </c>
      <c r="N16" s="1576">
        <f t="shared" ref="N16" ca="1" si="8">N15/I15-1</f>
        <v>0.23474299264867504</v>
      </c>
      <c r="O16" s="1576">
        <f t="shared" ref="O16" ca="1" si="9">O15/J15-1</f>
        <v>0.33769633507853403</v>
      </c>
      <c r="P16" s="941" t="s">
        <v>433</v>
      </c>
      <c r="Q16" s="1581">
        <f ca="1">Q15/G15-1</f>
        <v>0.29151928907975266</v>
      </c>
      <c r="R16" s="1576"/>
      <c r="S16" s="1576">
        <f ca="1">S15/K15-1</f>
        <v>0.26801801801801806</v>
      </c>
      <c r="U16" s="1576">
        <f ca="1">+U15/K15-1</f>
        <v>0.26801801801801806</v>
      </c>
      <c r="V16" s="1582"/>
      <c r="W16" s="1576"/>
      <c r="X16" s="1582"/>
      <c r="Y16" s="1576"/>
      <c r="Z16" s="1576">
        <f ca="1">Z15/L15-1</f>
        <v>0.25514403292181065</v>
      </c>
      <c r="AB16" s="1576">
        <f ca="1">+AB15/L15-1</f>
        <v>0.25514403292181065</v>
      </c>
      <c r="AC16" s="1582"/>
      <c r="AD16" s="1582"/>
      <c r="AE16" s="1576"/>
      <c r="AF16" s="1576">
        <f ca="1">AF15/M15-1</f>
        <v>0.25282763085937487</v>
      </c>
      <c r="AH16" s="1576">
        <f ca="1">+AH15/M15-1</f>
        <v>0.23598590476190484</v>
      </c>
      <c r="AK16" s="1583"/>
      <c r="AL16" s="1576"/>
      <c r="AM16" s="1576">
        <f ca="1">AM15/N15-1</f>
        <v>0.27476021023471531</v>
      </c>
      <c r="AO16" s="1576">
        <f ca="1">+AO15/N15-1</f>
        <v>0.26848807838867716</v>
      </c>
      <c r="AP16" s="1582"/>
      <c r="AQ16" s="1582"/>
      <c r="AR16" s="1576"/>
      <c r="AS16" s="1576">
        <f ca="1">AS15/O15-1</f>
        <v>0.18107979296874976</v>
      </c>
      <c r="AU16" s="1576" t="e">
        <f>+AU15/W15-1</f>
        <v>#DIV/0!</v>
      </c>
      <c r="AV16" s="1582"/>
      <c r="AW16" s="1582"/>
      <c r="AX16" s="1576"/>
      <c r="AY16" s="1576">
        <f ca="1">AY15/S15-1</f>
        <v>0.18107979296874976</v>
      </c>
      <c r="BA16" s="1576" t="e">
        <f>+BA15/W15-1</f>
        <v>#DIV/0!</v>
      </c>
      <c r="BB16" s="1582"/>
      <c r="BC16" s="1582"/>
      <c r="BD16" s="1576"/>
      <c r="BE16" s="1576">
        <f ca="1">BE15/Z15-1</f>
        <v>0.18107979296874976</v>
      </c>
      <c r="BG16" s="1576">
        <f>+BG15/AB15-1</f>
        <v>0.16635081967213128</v>
      </c>
      <c r="BH16" s="1582"/>
      <c r="BI16" s="1582"/>
      <c r="BJ16" s="1576"/>
      <c r="BK16" s="1576">
        <f ca="1">BK15/AF15-1</f>
        <v>0.18107979296874976</v>
      </c>
      <c r="BM16" s="1576">
        <f>+BM15/AH15-1</f>
        <v>0.17086433101564125</v>
      </c>
      <c r="BN16" s="1582"/>
      <c r="BO16" s="1582"/>
      <c r="BP16" s="1576"/>
      <c r="BQ16" s="1576">
        <f ca="1">BQ15/AM15-1</f>
        <v>0.18107979296874976</v>
      </c>
      <c r="BS16" s="1576">
        <f>+BS15/AO15-1</f>
        <v>0.18859433684291305</v>
      </c>
      <c r="BT16" s="1582"/>
      <c r="BU16" s="1582"/>
      <c r="BV16" s="1576"/>
      <c r="BW16" s="1576">
        <f ca="1">BW15/BQ15-1</f>
        <v>0.15900353515624976</v>
      </c>
      <c r="BY16" s="1576">
        <f>+BY15/BS15-1</f>
        <v>0.17262522441692241</v>
      </c>
      <c r="BZ16" s="1582"/>
      <c r="CA16" s="1582"/>
      <c r="CB16" s="1576"/>
      <c r="CC16" s="1576">
        <f ca="1">CC15/BW15-1</f>
        <v>0.14796540624999954</v>
      </c>
      <c r="CE16" s="1576">
        <f>+CE15/BY15-1</f>
        <v>0.15137648675160609</v>
      </c>
      <c r="CF16" s="1582"/>
      <c r="CG16" s="1582"/>
    </row>
    <row r="17" spans="1:85">
      <c r="B17" s="824" t="str">
        <f t="shared" ca="1" si="3"/>
        <v>'Income'!$5:$5</v>
      </c>
      <c r="C17" s="824" t="str">
        <f t="shared" ca="1" si="4"/>
        <v>'Income'!$A:$A</v>
      </c>
      <c r="D17" s="824" t="str">
        <f t="shared" ca="1" si="5"/>
        <v>'Income'!$1:$1048576</v>
      </c>
      <c r="E17" s="972" t="str" cm="1">
        <f t="array" aca="1" ref="E17" ca="1">IFERROR(INDEX(SheetNames,MATCH(1,COUNTIF(INDIRECT("'"&amp;SheetNames&amp;"'!A:A"),$F17),0)),"Not Found")</f>
        <v>Income</v>
      </c>
      <c r="F17" s="943" t="s">
        <v>537</v>
      </c>
      <c r="G17" s="965">
        <f ca="1">INDEX(INDIRECT($D17),MATCH('Estimate Changes'!$F17,INDIRECT($C17),0),MATCH('Estimate Changes'!G$6,INDIRECT($B17),0))</f>
        <v>989.899</v>
      </c>
      <c r="H17" s="965">
        <f ca="1">INDEX(INDIRECT($D17),MATCH('Estimate Changes'!$F17,INDIRECT($C17),0),MATCH('Estimate Changes'!H$6,INDIRECT($B17),0))</f>
        <v>1334.7239999999999</v>
      </c>
      <c r="I17" s="965">
        <f ca="1">INDEX(INDIRECT($D17),MATCH('Estimate Changes'!$F17,INDIRECT($C17),0),MATCH('Estimate Changes'!I$6,INDIRECT($B17),0))</f>
        <v>4112.1049999999996</v>
      </c>
      <c r="J17" s="965">
        <f ca="1">INDEX(INDIRECT($D17),MATCH('Estimate Changes'!$F17,INDIRECT($C17),0),MATCH('Estimate Changes'!J$6,INDIRECT($B17),0))</f>
        <v>1126</v>
      </c>
      <c r="K17" s="965">
        <f ca="1">INDEX(INDIRECT($D17),MATCH('Estimate Changes'!$F17,INDIRECT($C17),0),MATCH('Estimate Changes'!K$6,INDIRECT($B17),0))</f>
        <v>1250</v>
      </c>
      <c r="L17" s="965">
        <f ca="1">INDEX(INDIRECT($D17),MATCH('Estimate Changes'!$F17,INDIRECT($C17),0),MATCH('Estimate Changes'!L$6,INDIRECT($B17),0))</f>
        <v>1228</v>
      </c>
      <c r="M17" s="965">
        <f ca="1">INDEX(INDIRECT($D17),MATCH('Estimate Changes'!$F17,INDIRECT($C17),0),MATCH('Estimate Changes'!M$6,INDIRECT($B17),0))</f>
        <v>1619</v>
      </c>
      <c r="N17" s="965">
        <f ca="1">INDEX(INDIRECT($D17),MATCH('Estimate Changes'!$F17,INDIRECT($C17),0),MATCH('Estimate Changes'!N$6,INDIRECT($B17),0))</f>
        <v>5223</v>
      </c>
      <c r="O17" s="965">
        <f ca="1">INDEX(INDIRECT($D17),MATCH('Estimate Changes'!$F17,INDIRECT($C17),0),MATCH('Estimate Changes'!O$6,INDIRECT($B17),0))</f>
        <v>1350</v>
      </c>
      <c r="P17" s="944" t="s">
        <v>363</v>
      </c>
      <c r="Q17" s="998">
        <f ca="1">INDEX(INDIRECT($D17),MATCH('Estimate Changes'!$F17,INDIRECT($C17),0),MATCH('Estimate Changes'!Q$6,INDIRECT($B17),0))</f>
        <v>1228</v>
      </c>
      <c r="R17" s="945"/>
      <c r="S17" s="945">
        <f ca="1">INDEX(INDIRECT($D17),MATCH('Estimate Changes'!$F17,INDIRECT($C17),0),MATCH('Estimate Changes'!S$6,INDIRECT($B17),0))</f>
        <v>1482</v>
      </c>
      <c r="T17" s="999" t="e">
        <f ca="1">S17/R17-1</f>
        <v>#DIV/0!</v>
      </c>
      <c r="U17" s="945">
        <f>INDEX(Consensus!$A$1:$AU$180,MATCH('Estimate Changes'!$F17,Consensus!$A:$A,0),MATCH('Estimate Changes'!S$6,Consensus!$4:$4,0))</f>
        <v>1482</v>
      </c>
      <c r="V17" s="1001">
        <f ca="1">+S17/U17-1</f>
        <v>0</v>
      </c>
      <c r="W17" s="1000"/>
      <c r="X17" s="1001" t="e">
        <f ca="1">+S17/W17-1</f>
        <v>#DIV/0!</v>
      </c>
      <c r="Y17" s="945"/>
      <c r="Z17" s="945">
        <f ca="1">INDEX(INDIRECT($D17),MATCH('Estimate Changes'!$F17,INDIRECT($C17),0),MATCH('Estimate Changes'!Z$6,INDIRECT($B17),0))</f>
        <v>1552</v>
      </c>
      <c r="AA17" s="999" t="e">
        <f ca="1">Z17/Y17-1</f>
        <v>#DIV/0!</v>
      </c>
      <c r="AB17" s="945">
        <f>INDEX(Consensus!$A$1:$AU$180,MATCH('Estimate Changes'!$F17,Consensus!$A:$A,0),MATCH('Estimate Changes'!Z$6,Consensus!$4:$4,0))</f>
        <v>1552</v>
      </c>
      <c r="AC17" s="1001">
        <f ca="1">+Z17/AB17-1</f>
        <v>0</v>
      </c>
      <c r="AD17" s="1002"/>
      <c r="AE17" s="945"/>
      <c r="AF17" s="945">
        <f ca="1">INDEX(INDIRECT($D17),MATCH('Estimate Changes'!$F17,INDIRECT($C17),0),MATCH('Estimate Changes'!AF$6,INDIRECT($B17),0))</f>
        <v>2045.8546874999995</v>
      </c>
      <c r="AG17" s="999" t="e">
        <f ca="1">AF17/AE17-1</f>
        <v>#DIV/0!</v>
      </c>
      <c r="AH17" s="945">
        <f>INDEX(Consensus!$A$1:$AU$180,MATCH('Estimate Changes'!$F17,Consensus!$A:$A,0),MATCH('Estimate Changes'!AF$6,Consensus!$4:$4,0))</f>
        <v>2069.3555000000001</v>
      </c>
      <c r="AI17" s="999">
        <f ca="1">+AF17/AH17-1</f>
        <v>-1.1356585419953547E-2</v>
      </c>
      <c r="AJ17" s="1000"/>
      <c r="AK17" s="1210"/>
      <c r="AL17" s="946"/>
      <c r="AM17" s="946">
        <f ca="1">INDEX(INDIRECT($D17),MATCH('Estimate Changes'!$F17,INDIRECT($C17),0),MATCH('Estimate Changes'!AM$6,INDIRECT($B17),0))</f>
        <v>6429.8546874999993</v>
      </c>
      <c r="AN17" s="1003" t="e">
        <f ca="1">AM17/AL17-1</f>
        <v>#DIV/0!</v>
      </c>
      <c r="AO17" s="946">
        <f>INDEX(Consensus!$A$1:$AU$180,MATCH('Estimate Changes'!$F17,Consensus!$A:$A,0),MATCH('Estimate Changes'!AM$6,Consensus!$4:$4,0))</f>
        <v>6460.0054</v>
      </c>
      <c r="AP17" s="1202">
        <f ca="1">+AM17/AO17-1</f>
        <v>-4.6672890552074131E-3</v>
      </c>
      <c r="AQ17" s="1004"/>
      <c r="AR17" s="945"/>
      <c r="AS17" s="945">
        <f ca="1">INDEX(INDIRECT($D17),MATCH('Estimate Changes'!$F17,INDIRECT($C17),0),MATCH('Estimate Changes'!AS$6,INDIRECT($B17),0))</f>
        <v>1735.3516499999998</v>
      </c>
      <c r="AT17" s="999" t="e">
        <f ca="1">AS17/AR17-1</f>
        <v>#DIV/0!</v>
      </c>
      <c r="AU17" s="945">
        <f>INDEX(Consensus!$A$1:$AU$180,MATCH('Estimate Changes'!$F17,Consensus!$A:$A,0),MATCH('Estimate Changes'!AS$6,Consensus!$4:$4,0))</f>
        <v>1688.2764</v>
      </c>
      <c r="AV17" s="1001">
        <f ca="1">+AS17/AU17-1</f>
        <v>2.7883615502769521E-2</v>
      </c>
      <c r="AW17" s="1002"/>
      <c r="AX17" s="945"/>
      <c r="AY17" s="945">
        <f ca="1">INDEX(INDIRECT($D17),MATCH('Estimate Changes'!$F17,INDIRECT($C17),0),MATCH('Estimate Changes'!AY$6,INDIRECT($B17),0))</f>
        <v>1843.080458073149</v>
      </c>
      <c r="AZ17" s="999" t="e">
        <f ca="1">AY17/AX17-1</f>
        <v>#DIV/0!</v>
      </c>
      <c r="BA17" s="945">
        <f>INDEX(Consensus!$A$1:$AU$180,MATCH('Estimate Changes'!$F17,Consensus!$A:$A,0),MATCH('Estimate Changes'!AY$6,Consensus!$4:$4,0))</f>
        <v>1848.4647</v>
      </c>
      <c r="BB17" s="1001">
        <f ca="1">+AY17/BA17-1</f>
        <v>-2.9128183658855278E-3</v>
      </c>
      <c r="BC17" s="1002"/>
      <c r="BD17" s="945"/>
      <c r="BE17" s="945">
        <f ca="1">INDEX(INDIRECT($D17),MATCH('Estimate Changes'!$F17,INDIRECT($C17),0),MATCH('Estimate Changes'!BE$6,INDIRECT($B17),0))</f>
        <v>1911.4469750181172</v>
      </c>
      <c r="BF17" s="999" t="e">
        <f ca="1">BE17/BD17-1</f>
        <v>#DIV/0!</v>
      </c>
      <c r="BG17" s="945">
        <f>INDEX(Consensus!$A$1:$AU$180,MATCH('Estimate Changes'!$F17,Consensus!$A:$A,0),MATCH('Estimate Changes'!BE$6,Consensus!$4:$4,0))</f>
        <v>1913.0763999999999</v>
      </c>
      <c r="BH17" s="1001">
        <f ca="1">+BE17/BG17-1</f>
        <v>-8.5173021939044524E-4</v>
      </c>
      <c r="BI17" s="1002"/>
      <c r="BJ17" s="945"/>
      <c r="BK17" s="945">
        <f ca="1">INDEX(INDIRECT($D17),MATCH('Estimate Changes'!$F17,INDIRECT($C17),0),MATCH('Estimate Changes'!BK$6,INDIRECT($B17),0))</f>
        <v>2541.1020992718668</v>
      </c>
      <c r="BL17" s="999" t="e">
        <f ca="1">BK17/BJ17-1</f>
        <v>#DIV/0!</v>
      </c>
      <c r="BM17" s="945">
        <f>INDEX(Consensus!$A$1:$AU$180,MATCH('Estimate Changes'!$F17,Consensus!$A:$A,0),MATCH('Estimate Changes'!BK$6,Consensus!$4:$4,0))</f>
        <v>2531.8539999999998</v>
      </c>
      <c r="BN17" s="1001">
        <f ca="1">+BK17/BM17-1</f>
        <v>3.6526984857210287E-3</v>
      </c>
      <c r="BO17" s="1002"/>
      <c r="BP17" s="946"/>
      <c r="BQ17" s="946">
        <f ca="1">INDEX(INDIRECT($D17),MATCH('Estimate Changes'!$F17,INDIRECT($C17),0),MATCH('Estimate Changes'!BQ$6,INDIRECT($B17),0))</f>
        <v>8030.9811823631326</v>
      </c>
      <c r="BR17" s="1003" t="e">
        <f ca="1">BQ17/BP17-1</f>
        <v>#DIV/0!</v>
      </c>
      <c r="BS17" s="946">
        <f>INDEX(Consensus!$A$1:$AU$180,MATCH('Estimate Changes'!$F17,Consensus!$A:$A,0),MATCH('Estimate Changes'!BQ$6,Consensus!$4:$4,0))</f>
        <v>8000.8755000000001</v>
      </c>
      <c r="BT17" s="1202">
        <f ca="1">+BQ17/BS17-1</f>
        <v>3.7627985041301937E-3</v>
      </c>
      <c r="BU17" s="1004"/>
      <c r="BV17" s="946"/>
      <c r="BW17" s="946">
        <f ca="1">INDEX(INDIRECT($D17),MATCH('Estimate Changes'!$F17,INDIRECT($C17),0),MATCH('Estimate Changes'!BW$6,INDIRECT($B17),0))</f>
        <v>9717.8873459449605</v>
      </c>
      <c r="BX17" s="1003" t="e">
        <f ca="1">BW17/BV17-1</f>
        <v>#DIV/0!</v>
      </c>
      <c r="BY17" s="946">
        <f>INDEX(Consensus!$A$1:$AU$180,MATCH('Estimate Changes'!$F17,Consensus!$A:$A,0),MATCH('Estimate Changes'!BW$6,Consensus!$4:$4,0))</f>
        <v>9683.0169999999998</v>
      </c>
      <c r="BZ17" s="1202">
        <f ca="1">+BW17/BY17-1</f>
        <v>3.6011860709281862E-3</v>
      </c>
      <c r="CA17" s="1004"/>
      <c r="CB17" s="946"/>
      <c r="CC17" s="946">
        <f ca="1">INDEX(INDIRECT($D17),MATCH('Estimate Changes'!$F17,INDIRECT($C17),0),MATCH('Estimate Changes'!CC$6,INDIRECT($B17),0))</f>
        <v>11558.915499852503</v>
      </c>
      <c r="CD17" s="1003" t="e">
        <f ca="1">CC17/CB17-1</f>
        <v>#DIV/0!</v>
      </c>
      <c r="CE17" s="946">
        <f>INDEX(Consensus!$A$1:$AU$180,MATCH('Estimate Changes'!$F17,Consensus!$A:$A,0),MATCH('Estimate Changes'!CC$6,Consensus!$4:$4,0))</f>
        <v>12144.833000000001</v>
      </c>
      <c r="CF17" s="1202">
        <f ca="1">+CC17/CE17-1</f>
        <v>-4.8244179244580576E-2</v>
      </c>
      <c r="CG17" s="1004"/>
    </row>
    <row r="18" spans="1:85" s="1574" customFormat="1">
      <c r="A18" s="1573"/>
      <c r="B18" s="1574" t="str">
        <f t="shared" ca="1" si="3"/>
        <v>'Income'!$5:$5</v>
      </c>
      <c r="C18" s="1574" t="str">
        <f t="shared" ca="1" si="4"/>
        <v>'Income'!$A:$A</v>
      </c>
      <c r="D18" s="1574" t="str">
        <f t="shared" ca="1" si="5"/>
        <v>'Income'!$1:$1048576</v>
      </c>
      <c r="E18" s="1575" t="str" cm="1">
        <f t="array" aca="1" ref="E18" ca="1">IFERROR(INDEX(SheetNames,MATCH(1,COUNTIF(INDIRECT("'"&amp;SheetNames&amp;"'!A:A"),$F18),0)),"Not Found")</f>
        <v>Income</v>
      </c>
      <c r="F18" s="940" t="s">
        <v>538</v>
      </c>
      <c r="L18" s="1576">
        <f ca="1">L17/G17-1</f>
        <v>0.24053059958642242</v>
      </c>
      <c r="M18" s="1576">
        <f t="shared" ref="M18" ca="1" si="10">M17/H17-1</f>
        <v>0.21298485679436352</v>
      </c>
      <c r="N18" s="1576">
        <f t="shared" ref="N18" ca="1" si="11">N17/I17-1</f>
        <v>0.27015239153669479</v>
      </c>
      <c r="O18" s="1576">
        <f t="shared" ref="O18" ca="1" si="12">O17/J17-1</f>
        <v>0.19893428063943164</v>
      </c>
      <c r="P18" s="941" t="s">
        <v>433</v>
      </c>
      <c r="Q18" s="1581">
        <f ca="1">Q17/G17-1</f>
        <v>0.24053059958642242</v>
      </c>
      <c r="R18" s="1576"/>
      <c r="S18" s="1576">
        <f ca="1">S17/K17-1</f>
        <v>0.18559999999999999</v>
      </c>
      <c r="U18" s="1576">
        <f ca="1">+U17/K17-1</f>
        <v>0.18559999999999999</v>
      </c>
      <c r="V18" s="1582"/>
      <c r="W18" s="1576"/>
      <c r="X18" s="1582"/>
      <c r="Y18" s="1576"/>
      <c r="Z18" s="1576">
        <f ca="1">Z17/L17-1</f>
        <v>0.26384364820846895</v>
      </c>
      <c r="AB18" s="1576">
        <f ca="1">+AB17/L17-1</f>
        <v>0.26384364820846895</v>
      </c>
      <c r="AC18" s="1582"/>
      <c r="AD18" s="1582"/>
      <c r="AE18" s="1576"/>
      <c r="AF18" s="1576">
        <f ca="1">AF17/M17-1</f>
        <v>0.26365329678814042</v>
      </c>
      <c r="AH18" s="1576">
        <f ca="1">+AH17/M17-1</f>
        <v>0.27816893143915999</v>
      </c>
      <c r="AK18" s="1583"/>
      <c r="AL18" s="1576"/>
      <c r="AM18" s="1576">
        <f ca="1">AM17/N17-1</f>
        <v>0.23106541977790518</v>
      </c>
      <c r="AO18" s="1576">
        <f ca="1">+AO17/N17-1</f>
        <v>0.23683810070840505</v>
      </c>
      <c r="AP18" s="1582"/>
      <c r="AQ18" s="1582"/>
      <c r="AR18" s="1576"/>
      <c r="AS18" s="1576">
        <f ca="1">AS17/O17-1</f>
        <v>0.28544566666666649</v>
      </c>
      <c r="AU18" s="1576" t="e">
        <f>+AU17/W17-1</f>
        <v>#DIV/0!</v>
      </c>
      <c r="AV18" s="1582"/>
      <c r="AW18" s="1582"/>
      <c r="AX18" s="1576"/>
      <c r="AY18" s="1576">
        <f ca="1">AY17/S17-1</f>
        <v>0.24364403378754984</v>
      </c>
      <c r="BA18" s="1576" t="e">
        <f>+BA17/W17-1</f>
        <v>#DIV/0!</v>
      </c>
      <c r="BB18" s="1582"/>
      <c r="BC18" s="1582"/>
      <c r="BD18" s="1576"/>
      <c r="BE18" s="1576">
        <f ca="1">BE17/Z17-1</f>
        <v>0.23160243235703426</v>
      </c>
      <c r="BG18" s="1576">
        <f>+BG17/AB17-1</f>
        <v>0.23265231958762889</v>
      </c>
      <c r="BH18" s="1582"/>
      <c r="BI18" s="1582"/>
      <c r="BJ18" s="1576"/>
      <c r="BK18" s="1576">
        <f ca="1">BK17/AF17-1</f>
        <v>0.24207360121800803</v>
      </c>
      <c r="BM18" s="1576">
        <f>+BM17/AH17-1</f>
        <v>0.22349881400271721</v>
      </c>
      <c r="BN18" s="1582"/>
      <c r="BO18" s="1582"/>
      <c r="BP18" s="1576"/>
      <c r="BQ18" s="1576">
        <f ca="1">BQ17/AM17-1</f>
        <v>0.24901441365009602</v>
      </c>
      <c r="BS18" s="1576">
        <f>+BS17/AO17-1</f>
        <v>0.23852458389585873</v>
      </c>
      <c r="BT18" s="1582"/>
      <c r="BU18" s="1582"/>
      <c r="BV18" s="1576"/>
      <c r="BW18" s="1576">
        <f ca="1">BW17/BQ17-1</f>
        <v>0.21004982146969153</v>
      </c>
      <c r="BY18" s="1576">
        <f>+BY17/BS17-1</f>
        <v>0.21024467884795861</v>
      </c>
      <c r="BZ18" s="1582"/>
      <c r="CA18" s="1582"/>
      <c r="CB18" s="1576"/>
      <c r="CC18" s="1576">
        <f ca="1">CC17/BW17-1</f>
        <v>0.18944736529342032</v>
      </c>
      <c r="CE18" s="1576">
        <f>+CE17/BY17-1</f>
        <v>0.25424059464111237</v>
      </c>
      <c r="CF18" s="1582"/>
      <c r="CG18" s="1582"/>
    </row>
    <row r="19" spans="1:85">
      <c r="B19" s="824" t="str">
        <f ca="1">"'"&amp;E19&amp;"'"&amp;"!$5:$5"</f>
        <v>'Income'!$5:$5</v>
      </c>
      <c r="C19" s="824" t="str">
        <f t="shared" ca="1" si="4"/>
        <v>'Income'!$A:$A</v>
      </c>
      <c r="D19" s="824" t="str">
        <f t="shared" ca="1" si="5"/>
        <v>'Income'!$1:$1048576</v>
      </c>
      <c r="E19" s="972" t="str" cm="1">
        <f t="array" aca="1" ref="E19" ca="1">IFERROR(INDEX(SheetNames,MATCH(1,COUNTIF(INDIRECT("'"&amp;SheetNames&amp;"'!A:A"),$F19),0)),"Not Found")</f>
        <v>Income</v>
      </c>
      <c r="F19" s="943" t="s">
        <v>434</v>
      </c>
      <c r="G19" s="965">
        <f ca="1">INDEX(INDIRECT($D19),MATCH('Estimate Changes'!$F19,INDIRECT($C19),0),MATCH('Estimate Changes'!G$6,INDIRECT($B19),0))</f>
        <v>662.33200000000011</v>
      </c>
      <c r="H19" s="965">
        <f ca="1">INDEX(INDIRECT($D19),MATCH('Estimate Changes'!$F19,INDIRECT($C19),0),MATCH('Estimate Changes'!H$6,INDIRECT($B19),0))</f>
        <v>798.50800000000015</v>
      </c>
      <c r="I19" s="965">
        <f ca="1">INDEX(INDIRECT($D19),MATCH('Estimate Changes'!$F19,INDIRECT($C19),0),MATCH('Estimate Changes'!I$6,INDIRECT($B19),0))</f>
        <v>2754.1190000000001</v>
      </c>
      <c r="J19" s="965">
        <f ca="1">INDEX(INDIRECT($D19),MATCH('Estimate Changes'!$F19,INDIRECT($C19),0),MATCH('Estimate Changes'!J$6,INDIRECT($B19),0))</f>
        <v>717</v>
      </c>
      <c r="K19" s="965">
        <f ca="1">INDEX(INDIRECT($D19),MATCH('Estimate Changes'!$F19,INDIRECT($C19),0),MATCH('Estimate Changes'!K$6,INDIRECT($B19),0))</f>
        <v>835</v>
      </c>
      <c r="L19" s="965">
        <f ca="1">INDEX(INDIRECT($D19),MATCH('Estimate Changes'!$F19,INDIRECT($C19),0),MATCH('Estimate Changes'!L$6,INDIRECT($B19),0))</f>
        <v>901</v>
      </c>
      <c r="M19" s="965">
        <f ca="1">INDEX(INDIRECT($D19),MATCH('Estimate Changes'!$F19,INDIRECT($C19),0),MATCH('Estimate Changes'!M$6,INDIRECT($B19),0))</f>
        <v>1062</v>
      </c>
      <c r="N19" s="965">
        <f ca="1">INDEX(INDIRECT($D19),MATCH('Estimate Changes'!$F19,INDIRECT($C19),0),MATCH('Estimate Changes'!N$6,INDIRECT($B19),0))</f>
        <v>3515</v>
      </c>
      <c r="O19" s="965">
        <f ca="1">INDEX(INDIRECT($D19),MATCH('Estimate Changes'!$F19,INDIRECT($C19),0),MATCH('Estimate Changes'!O$6,INDIRECT($B19),0))</f>
        <v>957</v>
      </c>
      <c r="P19" s="963" t="s">
        <v>360</v>
      </c>
      <c r="Q19" s="967">
        <f ca="1">INDEX(INDIRECT($D19),MATCH('Estimate Changes'!$F19,INDIRECT($C19),0),MATCH('Estimate Changes'!Q$6,INDIRECT($B19),0))</f>
        <v>901</v>
      </c>
      <c r="R19" s="938"/>
      <c r="S19" s="938">
        <f ca="1">INDEX(INDIRECT($D19),MATCH('Estimate Changes'!$F19,INDIRECT($C19),0),MATCH('Estimate Changes'!S$6,INDIRECT($B19),0))</f>
        <v>1045</v>
      </c>
      <c r="T19" s="973" t="e">
        <f ca="1">S19/R19-1</f>
        <v>#DIV/0!</v>
      </c>
      <c r="U19" s="938">
        <f>INDEX(Consensus!$A$1:$AU$180,MATCH('Estimate Changes'!$F19,Consensus!$A:$A,0),MATCH('Estimate Changes'!S$6,Consensus!$4:$4,0))</f>
        <v>1050.3667</v>
      </c>
      <c r="V19" s="995">
        <f ca="1">+S19/U19-1</f>
        <v>-5.1093584745213194E-3</v>
      </c>
      <c r="W19" s="994"/>
      <c r="X19" s="995" t="e">
        <f ca="1">+S19/W19-1</f>
        <v>#DIV/0!</v>
      </c>
      <c r="Y19" s="938"/>
      <c r="Z19" s="938">
        <f ca="1">INDEX(INDIRECT($D19),MATCH('Estimate Changes'!$F19,INDIRECT($C19),0),MATCH('Estimate Changes'!Z$6,INDIRECT($B19),0))</f>
        <v>1118</v>
      </c>
      <c r="AA19" s="973" t="e">
        <f ca="1">Z19/Y19-1</f>
        <v>#DIV/0!</v>
      </c>
      <c r="AB19" s="938">
        <f>INDEX(Consensus!$A$1:$AU$180,MATCH('Estimate Changes'!$F19,Consensus!$A:$A,0),MATCH('Estimate Changes'!Z$6,Consensus!$4:$4,0))</f>
        <v>1120.2692999999999</v>
      </c>
      <c r="AC19" s="995">
        <f ca="1">+Z19/AB19-1</f>
        <v>-2.0256736482914262E-3</v>
      </c>
      <c r="AD19" s="996"/>
      <c r="AE19" s="938"/>
      <c r="AF19" s="938">
        <f ca="1">INDEX(INDIRECT($D19),MATCH('Estimate Changes'!$F19,INDIRECT($C19),0),MATCH('Estimate Changes'!AF$6,INDIRECT($B19),0))</f>
        <v>1315.8871726611505</v>
      </c>
      <c r="AG19" s="973" t="e">
        <f ca="1">AF19/AE19-1</f>
        <v>#DIV/0!</v>
      </c>
      <c r="AH19" s="938">
        <f>INDEX(Consensus!$A$1:$AU$180,MATCH('Estimate Changes'!$F19,Consensus!$A:$A,0),MATCH('Estimate Changes'!AF$6,Consensus!$4:$4,0))</f>
        <v>1321.9025999999999</v>
      </c>
      <c r="AI19" s="973">
        <f ca="1">+AF19/AH19-1</f>
        <v>-4.5505828786851499E-3</v>
      </c>
      <c r="AJ19" s="994"/>
      <c r="AK19" s="1210"/>
      <c r="AL19" s="939"/>
      <c r="AM19" s="939">
        <f ca="1">INDEX(INDIRECT($D19),MATCH('Estimate Changes'!$F19,INDIRECT($C19),0),MATCH('Estimate Changes'!AM$6,INDIRECT($B19),0))</f>
        <v>4435.8871726611505</v>
      </c>
      <c r="AN19" s="974" t="e">
        <f ca="1">AM19/AL19-1</f>
        <v>#DIV/0!</v>
      </c>
      <c r="AO19" s="939">
        <f>INDEX(Consensus!$A$1:$AU$180,MATCH('Estimate Changes'!$F19,Consensus!$A:$A,0),MATCH('Estimate Changes'!AM$6,Consensus!$4:$4,0))</f>
        <v>4454.6469999999999</v>
      </c>
      <c r="AP19" s="1201">
        <f ca="1">+AM19/AO19-1</f>
        <v>-4.2112938104521547E-3</v>
      </c>
      <c r="AQ19" s="997"/>
      <c r="AR19" s="938"/>
      <c r="AS19" s="938">
        <f ca="1">INDEX(INDIRECT($D19),MATCH('Estimate Changes'!$F19,INDIRECT($C19),0),MATCH('Estimate Changes'!AS$6,INDIRECT($B19),0))</f>
        <v>1186.3022551127017</v>
      </c>
      <c r="AT19" s="973" t="e">
        <f ca="1">AS19/AR19-1</f>
        <v>#DIV/0!</v>
      </c>
      <c r="AU19" s="938">
        <f>INDEX(Consensus!$A$1:$AU$180,MATCH('Estimate Changes'!$F19,Consensus!$A:$A,0),MATCH('Estimate Changes'!AS$6,Consensus!$4:$4,0))</f>
        <v>1182.4972</v>
      </c>
      <c r="AV19" s="995">
        <f ca="1">+AS19/AU19-1</f>
        <v>3.2178132114830671E-3</v>
      </c>
      <c r="AW19" s="996"/>
      <c r="AX19" s="938"/>
      <c r="AY19" s="938">
        <f ca="1">INDEX(INDIRECT($D19),MATCH('Estimate Changes'!$F19,INDIRECT($C19),0),MATCH('Estimate Changes'!AY$6,INDIRECT($B19),0))</f>
        <v>1271.9347382455624</v>
      </c>
      <c r="AZ19" s="973" t="e">
        <f ca="1">AY19/AX19-1</f>
        <v>#DIV/0!</v>
      </c>
      <c r="BA19" s="938">
        <f>INDEX(Consensus!$A$1:$AU$180,MATCH('Estimate Changes'!$F19,Consensus!$A:$A,0),MATCH('Estimate Changes'!AY$6,Consensus!$4:$4,0))</f>
        <v>1281.7762</v>
      </c>
      <c r="BB19" s="995">
        <f ca="1">+AY19/BA19-1</f>
        <v>-7.6779875881902715E-3</v>
      </c>
      <c r="BC19" s="996"/>
      <c r="BD19" s="938"/>
      <c r="BE19" s="938">
        <f ca="1">INDEX(INDIRECT($D19),MATCH('Estimate Changes'!$F19,INDIRECT($C19),0),MATCH('Estimate Changes'!BE$6,INDIRECT($B19),0))</f>
        <v>1362.8172356708728</v>
      </c>
      <c r="BF19" s="973" t="e">
        <f ca="1">BE19/BD19-1</f>
        <v>#DIV/0!</v>
      </c>
      <c r="BG19" s="938">
        <f>INDEX(Consensus!$A$1:$AU$180,MATCH('Estimate Changes'!$F19,Consensus!$A:$A,0),MATCH('Estimate Changes'!BE$6,Consensus!$4:$4,0))</f>
        <v>1339.9728</v>
      </c>
      <c r="BH19" s="995">
        <f ca="1">+BE19/BG19-1</f>
        <v>1.7048432379278777E-2</v>
      </c>
      <c r="BI19" s="996"/>
      <c r="BJ19" s="938"/>
      <c r="BK19" s="938">
        <f ca="1">INDEX(INDIRECT($D19),MATCH('Estimate Changes'!$F19,INDIRECT($C19),0),MATCH('Estimate Changes'!BK$6,INDIRECT($B19),0))</f>
        <v>1618.1639647206937</v>
      </c>
      <c r="BL19" s="973" t="e">
        <f ca="1">BK19/BJ19-1</f>
        <v>#DIV/0!</v>
      </c>
      <c r="BM19" s="938">
        <f>INDEX(Consensus!$A$1:$AU$180,MATCH('Estimate Changes'!$F19,Consensus!$A:$A,0),MATCH('Estimate Changes'!BK$6,Consensus!$4:$4,0))</f>
        <v>1605.9170999999999</v>
      </c>
      <c r="BN19" s="995">
        <f ca="1">+BK19/BM19-1</f>
        <v>7.6260877480498479E-3</v>
      </c>
      <c r="BO19" s="996"/>
      <c r="BP19" s="939"/>
      <c r="BQ19" s="939">
        <f ca="1">INDEX(INDIRECT($D19),MATCH('Estimate Changes'!$F19,INDIRECT($C19),0),MATCH('Estimate Changes'!BQ$6,INDIRECT($B19),0))</f>
        <v>5439.2181937498299</v>
      </c>
      <c r="BR19" s="974" t="e">
        <f ca="1">BQ19/BP19-1</f>
        <v>#DIV/0!</v>
      </c>
      <c r="BS19" s="939">
        <f>INDEX(Consensus!$A$1:$AU$180,MATCH('Estimate Changes'!$F19,Consensus!$A:$A,0),MATCH('Estimate Changes'!BQ$6,Consensus!$4:$4,0))</f>
        <v>5417.8647000000001</v>
      </c>
      <c r="BT19" s="1201">
        <f ca="1">+BQ19/BS19-1</f>
        <v>3.9413117403670483E-3</v>
      </c>
      <c r="BU19" s="997"/>
      <c r="BV19" s="939"/>
      <c r="BW19" s="939">
        <f ca="1">INDEX(INDIRECT($D19),MATCH('Estimate Changes'!$F19,INDIRECT($C19),0),MATCH('Estimate Changes'!BW$6,INDIRECT($B19),0))</f>
        <v>6476.3656883251451</v>
      </c>
      <c r="BX19" s="974" t="e">
        <f ca="1">BW19/BV19-1</f>
        <v>#DIV/0!</v>
      </c>
      <c r="BY19" s="939">
        <f>INDEX(Consensus!$A$1:$AU$180,MATCH('Estimate Changes'!$F19,Consensus!$A:$A,0),MATCH('Estimate Changes'!BW$6,Consensus!$4:$4,0))</f>
        <v>6453.41</v>
      </c>
      <c r="BZ19" s="1201">
        <f ca="1">+BW19/BY19-1</f>
        <v>3.5571408488139777E-3</v>
      </c>
      <c r="CA19" s="997"/>
      <c r="CB19" s="939"/>
      <c r="CC19" s="939">
        <f ca="1">INDEX(INDIRECT($D19),MATCH('Estimate Changes'!$F19,INDIRECT($C19),0),MATCH('Estimate Changes'!CC$6,INDIRECT($B19),0))</f>
        <v>7606.3234189862951</v>
      </c>
      <c r="CD19" s="974" t="e">
        <f ca="1">CC19/CB19-1</f>
        <v>#DIV/0!</v>
      </c>
      <c r="CE19" s="939">
        <f>INDEX(Consensus!$A$1:$AU$180,MATCH('Estimate Changes'!$F19,Consensus!$A:$A,0),MATCH('Estimate Changes'!CC$6,Consensus!$4:$4,0))</f>
        <v>7926.875</v>
      </c>
      <c r="CF19" s="1201">
        <f ca="1">+CC19/CE19-1</f>
        <v>-4.0438581536066165E-2</v>
      </c>
      <c r="CG19" s="997"/>
    </row>
    <row r="20" spans="1:85" s="1574" customFormat="1">
      <c r="A20" s="1573"/>
      <c r="B20" s="1574" t="str">
        <f t="shared" ref="B20" ca="1" si="13">"'"&amp;E20&amp;"'"&amp;"!$5:$5"</f>
        <v>'Income'!$5:$5</v>
      </c>
      <c r="C20" s="1574" t="str">
        <f t="shared" ref="C20" ca="1" si="14">"'"&amp;E20&amp;"'"&amp;"!$A:$A"</f>
        <v>'Income'!$A:$A</v>
      </c>
      <c r="D20" s="1574" t="str">
        <f t="shared" ca="1" si="5"/>
        <v>'Income'!$1:$1048576</v>
      </c>
      <c r="E20" s="1575" t="str" cm="1">
        <f t="array" aca="1" ref="E20" ca="1">IFERROR(INDEX(SheetNames,MATCH(1,COUNTIF(INDIRECT("'"&amp;SheetNames&amp;"'!A:A"),$F20),0)),"Not Found")</f>
        <v>Income</v>
      </c>
      <c r="F20" s="940" t="s">
        <v>538</v>
      </c>
      <c r="L20" s="1576">
        <f ca="1">L19/G19-1</f>
        <v>0.3603449629490949</v>
      </c>
      <c r="M20" s="1576">
        <f t="shared" ref="M20" ca="1" si="15">M19/H19-1</f>
        <v>0.3299804134711235</v>
      </c>
      <c r="N20" s="1576">
        <f t="shared" ref="N20" ca="1" si="16">N19/I19-1</f>
        <v>0.27627019747512715</v>
      </c>
      <c r="O20" s="1576">
        <f t="shared" ref="O20" ca="1" si="17">O19/J19-1</f>
        <v>0.33472803347280333</v>
      </c>
      <c r="P20" s="941" t="s">
        <v>433</v>
      </c>
      <c r="Q20" s="1581">
        <f ca="1">Q19/G19-1</f>
        <v>0.3603449629490949</v>
      </c>
      <c r="R20" s="1576"/>
      <c r="S20" s="1576">
        <f ca="1">S19/K19-1</f>
        <v>0.25149700598802394</v>
      </c>
      <c r="U20" s="1576">
        <f ca="1">+U19/K19-1</f>
        <v>0.2579241916167665</v>
      </c>
      <c r="V20" s="1582"/>
      <c r="W20" s="1576"/>
      <c r="X20" s="1582"/>
      <c r="Y20" s="1576"/>
      <c r="Z20" s="1576">
        <f ca="1">Z19/L19-1</f>
        <v>0.24084350721420633</v>
      </c>
      <c r="AB20" s="1576">
        <f ca="1">+AB19/L19-1</f>
        <v>0.24336215316315202</v>
      </c>
      <c r="AC20" s="1582"/>
      <c r="AD20" s="1582"/>
      <c r="AE20" s="1576"/>
      <c r="AF20" s="1576">
        <f ca="1">AF19/M19-1</f>
        <v>0.2390651343325334</v>
      </c>
      <c r="AH20" s="1576">
        <f ca="1">+AH19/M19-1</f>
        <v>0.24472937853107335</v>
      </c>
      <c r="AK20" s="1585" t="s">
        <v>627</v>
      </c>
      <c r="AL20" s="1576"/>
      <c r="AM20" s="1576">
        <f ca="1">AM19/N19-1</f>
        <v>0.26198781583532016</v>
      </c>
      <c r="AO20" s="1576">
        <f ca="1">+AO19/N19-1</f>
        <v>0.26732489331436704</v>
      </c>
      <c r="AP20" s="1582"/>
      <c r="AQ20" s="1582"/>
      <c r="AR20" s="1576"/>
      <c r="AS20" s="1576">
        <f ca="1">AS19/O19-1</f>
        <v>0.23960528224942701</v>
      </c>
      <c r="AU20" s="1576" t="e">
        <f>+AU19/W19-1</f>
        <v>#DIV/0!</v>
      </c>
      <c r="AV20" s="1582"/>
      <c r="AW20" s="1582"/>
      <c r="AX20" s="1576"/>
      <c r="AY20" s="1576">
        <f ca="1">AY19/S19-1</f>
        <v>0.21716242894312177</v>
      </c>
      <c r="BA20" s="1576" t="e">
        <f>+BA19/W19-1</f>
        <v>#DIV/0!</v>
      </c>
      <c r="BB20" s="1582"/>
      <c r="BC20" s="1582"/>
      <c r="BD20" s="1576"/>
      <c r="BE20" s="1576">
        <f ca="1">BE19/Z19-1</f>
        <v>0.2189778494372745</v>
      </c>
      <c r="BG20" s="1576">
        <f>+BG19/AB19-1</f>
        <v>0.19611668372952828</v>
      </c>
      <c r="BH20" s="1582"/>
      <c r="BI20" s="1582"/>
      <c r="BJ20" s="1576"/>
      <c r="BK20" s="1576">
        <f ca="1">BK19/AF19-1</f>
        <v>0.22971330547150282</v>
      </c>
      <c r="BM20" s="1576">
        <f>+BM19/AH19-1</f>
        <v>0.21485281895958153</v>
      </c>
      <c r="BN20" s="1582"/>
      <c r="BO20" s="1582"/>
      <c r="BP20" s="1576"/>
      <c r="BQ20" s="1576">
        <f ca="1">BQ19/AM19-1</f>
        <v>0.22618497315989372</v>
      </c>
      <c r="BS20" s="1576">
        <f>+BS19/AO19-1</f>
        <v>0.2162276157908809</v>
      </c>
      <c r="BT20" s="1582"/>
      <c r="BU20" s="1582"/>
      <c r="BV20" s="1576"/>
      <c r="BW20" s="1576">
        <f ca="1">BW19/BQ19-1</f>
        <v>0.19067951636268154</v>
      </c>
      <c r="BY20" s="1576">
        <f>+BY19/BS19-1</f>
        <v>0.19113531941836781</v>
      </c>
      <c r="BZ20" s="1582"/>
      <c r="CA20" s="1582"/>
      <c r="CB20" s="1576"/>
      <c r="CC20" s="1576">
        <f ca="1">CC19/BW19-1</f>
        <v>0.17447404687139723</v>
      </c>
      <c r="CE20" s="1576">
        <f>+CE19/BY19-1</f>
        <v>0.22832347549590071</v>
      </c>
      <c r="CF20" s="1582"/>
      <c r="CG20" s="1582"/>
    </row>
    <row r="21" spans="1:85" s="1574" customFormat="1">
      <c r="A21" s="1573"/>
      <c r="B21" s="1574" t="str">
        <f t="shared" ca="1" si="3"/>
        <v>'Income'!$5:$5</v>
      </c>
      <c r="C21" s="1574" t="str">
        <f t="shared" ca="1" si="4"/>
        <v>'Income'!$A:$A</v>
      </c>
      <c r="D21" s="1574" t="str">
        <f t="shared" ca="1" si="5"/>
        <v>'Income'!$1:$1048576</v>
      </c>
      <c r="E21" s="1575" t="str" cm="1">
        <f t="array" aca="1" ref="E21" ca="1">IFERROR(INDEX(SheetNames,MATCH(1,COUNTIF(INDIRECT("'"&amp;SheetNames&amp;"'!A:A"),$F21),0)),"Not Found")</f>
        <v>Income</v>
      </c>
      <c r="F21" s="940" t="s">
        <v>435</v>
      </c>
      <c r="G21" s="1576">
        <f ca="1">+G19/G$13</f>
        <v>0.48479871175523354</v>
      </c>
      <c r="H21" s="1576">
        <f t="shared" ref="H21:O21" ca="1" si="18">+H19/H$13</f>
        <v>0.46024099441030381</v>
      </c>
      <c r="I21" s="1576">
        <f t="shared" ca="1" si="18"/>
        <v>0.4918189084592054</v>
      </c>
      <c r="J21" s="1576">
        <f t="shared" ca="1" si="18"/>
        <v>0.47546419098143233</v>
      </c>
      <c r="K21" s="1576">
        <f t="shared" ca="1" si="18"/>
        <v>0.49291617473435656</v>
      </c>
      <c r="L21" s="1576">
        <f t="shared" ca="1" si="18"/>
        <v>0.52567094515752621</v>
      </c>
      <c r="M21" s="1576">
        <f t="shared" ca="1" si="18"/>
        <v>0.49533582089552236</v>
      </c>
      <c r="N21" s="1576">
        <f t="shared" ca="1" si="18"/>
        <v>0.49787535410764872</v>
      </c>
      <c r="O21" s="1576">
        <f t="shared" ca="1" si="18"/>
        <v>0.51423965609887157</v>
      </c>
      <c r="P21" s="1006" t="s">
        <v>436</v>
      </c>
      <c r="Q21" s="1581">
        <f ca="1">+Q19/Q$13</f>
        <v>0.52567094515752621</v>
      </c>
      <c r="R21" s="1576"/>
      <c r="S21" s="1576">
        <f t="shared" ref="S21" ca="1" si="19">+S19/S$13</f>
        <v>0.51100244498777503</v>
      </c>
      <c r="T21" s="1576"/>
      <c r="U21" s="1576">
        <f t="shared" ref="U21" si="20">+U19/U$13</f>
        <v>0.51362674816625919</v>
      </c>
      <c r="V21" s="1584"/>
      <c r="W21" s="1576"/>
      <c r="X21" s="1584"/>
      <c r="Y21" s="1576"/>
      <c r="Z21" s="1576">
        <f ca="1">+Z19/Z$13</f>
        <v>0.51711378353376503</v>
      </c>
      <c r="AA21" s="1576"/>
      <c r="AB21" s="1576">
        <f>+AB19/AB$13</f>
        <v>0.51816341350601292</v>
      </c>
      <c r="AC21" s="1584"/>
      <c r="AD21" s="1584"/>
      <c r="AE21" s="1576"/>
      <c r="AF21" s="1576">
        <f ca="1">+AF19/AF$13</f>
        <v>0.48671860936820865</v>
      </c>
      <c r="AG21" s="1576"/>
      <c r="AH21" s="1576">
        <f>+AH19/AH$13</f>
        <v>0.4849603521203647</v>
      </c>
      <c r="AI21" s="1576"/>
      <c r="AJ21" s="1576"/>
      <c r="AK21" s="1583"/>
      <c r="AL21" s="1576"/>
      <c r="AM21" s="1576">
        <f ca="1">+AM19/AM$13</f>
        <v>0.50571077540276699</v>
      </c>
      <c r="AN21" s="1576"/>
      <c r="AO21" s="1576">
        <f>+AO19/AO$13</f>
        <v>0.50625406853689048</v>
      </c>
      <c r="AP21" s="1584"/>
      <c r="AQ21" s="1584"/>
      <c r="AR21" s="1576"/>
      <c r="AS21" s="1576">
        <f ca="1">+AS19/AS$13</f>
        <v>0.50720880007728575</v>
      </c>
      <c r="AT21" s="1576"/>
      <c r="AU21" s="1576">
        <f>+AU19/AU$13</f>
        <v>0.50974804376989424</v>
      </c>
      <c r="AV21" s="1584"/>
      <c r="AW21" s="1584"/>
      <c r="AX21" s="1576"/>
      <c r="AY21" s="1576">
        <f ca="1">+AY19/AY$13</f>
        <v>0.50714527300423251</v>
      </c>
      <c r="AZ21" s="1576"/>
      <c r="BA21" s="1576">
        <f>+BA19/BA$13</f>
        <v>0.50709410849198622</v>
      </c>
      <c r="BB21" s="1584"/>
      <c r="BC21" s="1584"/>
      <c r="BD21" s="1576"/>
      <c r="BE21" s="1576">
        <f ca="1">+BE19/BE$13</f>
        <v>0.51780626571054189</v>
      </c>
      <c r="BF21" s="1576"/>
      <c r="BG21" s="1576">
        <f>+BG19/BG$13</f>
        <v>0.50802332981475806</v>
      </c>
      <c r="BH21" s="1584"/>
      <c r="BI21" s="1584"/>
      <c r="BJ21" s="1576"/>
      <c r="BK21" s="1576">
        <f ca="1">+BK19/BK$13</f>
        <v>0.48770153649382481</v>
      </c>
      <c r="BL21" s="1576"/>
      <c r="BM21" s="1576">
        <f>+BM19/BM$13</f>
        <v>0.48524001055738553</v>
      </c>
      <c r="BN21" s="1584"/>
      <c r="BO21" s="1584"/>
      <c r="BP21" s="1576"/>
      <c r="BQ21" s="1576">
        <f ca="1">+BQ19/BQ$13</f>
        <v>0.50378261283629167</v>
      </c>
      <c r="BR21" s="1576"/>
      <c r="BS21" s="1576">
        <f>+BS19/BS$13</f>
        <v>0.49896687884186691</v>
      </c>
      <c r="BT21" s="1584"/>
      <c r="BU21" s="1584"/>
      <c r="BV21" s="1576"/>
      <c r="BW21" s="1576">
        <f ca="1">+BW19/BW$13</f>
        <v>0.50113362599072009</v>
      </c>
      <c r="BX21" s="1576"/>
      <c r="BY21" s="1576">
        <f>+BY19/BY$13</f>
        <v>0.49060329728632951</v>
      </c>
      <c r="BZ21" s="1584"/>
      <c r="CA21" s="1584"/>
      <c r="CB21" s="1576"/>
      <c r="CC21" s="1576">
        <f ca="1">+CC19/CC$13</f>
        <v>0.49914292470659571</v>
      </c>
      <c r="CD21" s="1576"/>
      <c r="CE21" s="1576">
        <f>+CE19/CE$13</f>
        <v>0.4580908722841926</v>
      </c>
      <c r="CF21" s="1584"/>
      <c r="CG21" s="1584"/>
    </row>
    <row r="22" spans="1:85">
      <c r="B22" s="824" t="str">
        <f t="shared" ca="1" si="3"/>
        <v>'Income'!$5:$5</v>
      </c>
      <c r="C22" s="824" t="str">
        <f t="shared" ca="1" si="4"/>
        <v>'Income'!$A:$A</v>
      </c>
      <c r="D22" s="824" t="str">
        <f t="shared" ca="1" si="5"/>
        <v>'Income'!$1:$1048576</v>
      </c>
      <c r="E22" s="972" t="str" cm="1">
        <f t="array" aca="1" ref="E22" ca="1">IFERROR(INDEX(SheetNames,MATCH(1,COUNTIF(INDIRECT("'"&amp;SheetNames&amp;"'!A:A"),$F22),0)),"Not Found")</f>
        <v>Income</v>
      </c>
      <c r="F22" s="940" t="s">
        <v>633</v>
      </c>
      <c r="G22" s="964"/>
      <c r="H22" s="964"/>
      <c r="I22" s="964"/>
      <c r="J22" s="964"/>
      <c r="K22" s="964"/>
      <c r="L22" s="964"/>
      <c r="M22" s="964"/>
      <c r="N22" s="964"/>
      <c r="O22" s="964"/>
      <c r="P22" s="944" t="s">
        <v>632</v>
      </c>
      <c r="Q22" s="998">
        <f ca="1">-INDEX(INDIRECT($D22),MATCH('Estimate Changes'!$F22,INDIRECT($C22),0),MATCH('Estimate Changes'!Q$6,INDIRECT($B22),0))</f>
        <v>779</v>
      </c>
      <c r="R22" s="945"/>
      <c r="S22" s="1213">
        <f ca="1">-INDEX(INDIRECT($D22),MATCH('Estimate Changes'!$F22,INDIRECT($C22),0),MATCH('Estimate Changes'!S$6,INDIRECT($B22),0))</f>
        <v>804</v>
      </c>
      <c r="T22" s="999" t="e">
        <f ca="1">S22/R22-1</f>
        <v>#DIV/0!</v>
      </c>
      <c r="U22" s="1213" t="e">
        <f>-INDEX(Consensus!$A$1:$AU$180,MATCH('Estimate Changes'!$F22,Consensus!$A:$A,0),MATCH('Estimate Changes'!S$6,Consensus!$4:$4,0))</f>
        <v>#N/A</v>
      </c>
      <c r="V22" s="1001" t="e">
        <f ca="1">+S22/U22-1</f>
        <v>#N/A</v>
      </c>
      <c r="W22" s="1000"/>
      <c r="X22" s="1001" t="e">
        <f ca="1">+S22/W22-1</f>
        <v>#DIV/0!</v>
      </c>
      <c r="Y22" s="945"/>
      <c r="Z22" s="1213">
        <f ca="1">-INDEX(INDIRECT($D22),MATCH('Estimate Changes'!$F22,INDIRECT($C22),0),MATCH('Estimate Changes'!Z$6,INDIRECT($B22),0))</f>
        <v>835</v>
      </c>
      <c r="AA22" s="999" t="e">
        <f ca="1">Z22/Y22-1</f>
        <v>#DIV/0!</v>
      </c>
      <c r="AB22" s="1213" t="e">
        <f>-INDEX(Consensus!$A$1:$AU$180,MATCH('Estimate Changes'!$F22,Consensus!$A:$A,0),MATCH('Estimate Changes'!Z$6,Consensus!$4:$4,0))</f>
        <v>#N/A</v>
      </c>
      <c r="AC22" s="1001" t="e">
        <f ca="1">+Z22/AB22-1</f>
        <v>#N/A</v>
      </c>
      <c r="AD22" s="1002"/>
      <c r="AE22" s="945"/>
      <c r="AF22" s="1213">
        <f ca="1">-INDEX(INDIRECT($D22),MATCH('Estimate Changes'!$F22,INDIRECT($C22),0),MATCH('Estimate Changes'!AF$6,INDIRECT($B22),0))</f>
        <v>893.05845208144569</v>
      </c>
      <c r="AG22" s="999" t="e">
        <f ca="1">AF22/AE22-1</f>
        <v>#DIV/0!</v>
      </c>
      <c r="AH22" s="1213"/>
      <c r="AI22" s="999"/>
      <c r="AJ22" s="1000"/>
      <c r="AK22" s="1210"/>
      <c r="AL22" s="946"/>
      <c r="AM22" s="1214">
        <f ca="1">-INDEX(INDIRECT($D22),MATCH('Estimate Changes'!$F22,INDIRECT($C22),0),MATCH('Estimate Changes'!AM$6,INDIRECT($B22),0))</f>
        <v>3403.0584520814455</v>
      </c>
      <c r="AN22" s="1003" t="e">
        <f ca="1">AM22/AL22-1</f>
        <v>#DIV/0!</v>
      </c>
      <c r="AO22" s="1214"/>
      <c r="AP22" s="1202"/>
      <c r="AQ22" s="1004"/>
      <c r="AR22" s="945"/>
      <c r="AS22" s="1213">
        <f ca="1">-INDEX(INDIRECT($D22),MATCH('Estimate Changes'!$F22,INDIRECT($C22),0),MATCH('Estimate Changes'!AS$6,INDIRECT($B22),0))</f>
        <v>1039.5175163187405</v>
      </c>
      <c r="AT22" s="999" t="e">
        <f ca="1">AS22/AR22-1</f>
        <v>#DIV/0!</v>
      </c>
      <c r="AU22" s="1213" t="e">
        <f>-INDEX(Consensus!$A$1:$AU$180,MATCH('Estimate Changes'!$F22,Consensus!$A:$A,0),MATCH('Estimate Changes'!AS$6,Consensus!$4:$4,0))</f>
        <v>#N/A</v>
      </c>
      <c r="AV22" s="1001" t="e">
        <f ca="1">+AS22/AU22-1</f>
        <v>#N/A</v>
      </c>
      <c r="AW22" s="1002"/>
      <c r="AX22" s="945"/>
      <c r="AY22" s="1213">
        <f ca="1">-INDEX(INDIRECT($D22),MATCH('Estimate Changes'!$F22,INDIRECT($C22),0),MATCH('Estimate Changes'!AY$6,INDIRECT($B22),0))</f>
        <v>944.1301015813159</v>
      </c>
      <c r="AZ22" s="999" t="e">
        <f ca="1">AY22/AX22-1</f>
        <v>#DIV/0!</v>
      </c>
      <c r="BA22" s="1213" t="e">
        <f>-INDEX(Consensus!$A$1:$AU$180,MATCH('Estimate Changes'!$F22,Consensus!$A:$A,0),MATCH('Estimate Changes'!AY$6,Consensus!$4:$4,0))</f>
        <v>#N/A</v>
      </c>
      <c r="BB22" s="1001" t="e">
        <f ca="1">+AY22/BA22-1</f>
        <v>#N/A</v>
      </c>
      <c r="BC22" s="1002"/>
      <c r="BD22" s="945"/>
      <c r="BE22" s="1213">
        <f ca="1">-INDEX(INDIRECT($D22),MATCH('Estimate Changes'!$F22,INDIRECT($C22),0),MATCH('Estimate Changes'!BE$6,INDIRECT($B22),0))</f>
        <v>955.95146919521721</v>
      </c>
      <c r="BF22" s="999" t="e">
        <f ca="1">BE22/BD22-1</f>
        <v>#DIV/0!</v>
      </c>
      <c r="BG22" s="1213" t="e">
        <f>-INDEX(Consensus!$A$1:$AU$180,MATCH('Estimate Changes'!$F22,Consensus!$A:$A,0),MATCH('Estimate Changes'!BE$6,Consensus!$4:$4,0))</f>
        <v>#N/A</v>
      </c>
      <c r="BH22" s="1001" t="e">
        <f ca="1">+BE22/BG22-1</f>
        <v>#N/A</v>
      </c>
      <c r="BI22" s="1002"/>
      <c r="BJ22" s="945"/>
      <c r="BK22" s="1213">
        <f ca="1">-INDEX(INDIRECT($D22),MATCH('Estimate Changes'!$F22,INDIRECT($C22),0),MATCH('Estimate Changes'!BK$6,INDIRECT($B22),0))</f>
        <v>1019.6799089367909</v>
      </c>
      <c r="BL22" s="999" t="e">
        <f ca="1">BK22/BJ22-1</f>
        <v>#DIV/0!</v>
      </c>
      <c r="BM22" s="1213" t="e">
        <f>-INDEX(Consensus!$A$1:$AU$180,MATCH('Estimate Changes'!$F22,Consensus!$A:$A,0),MATCH('Estimate Changes'!BK$6,Consensus!$4:$4,0))</f>
        <v>#N/A</v>
      </c>
      <c r="BN22" s="1001" t="e">
        <f ca="1">+BK22/BM22-1</f>
        <v>#N/A</v>
      </c>
      <c r="BO22" s="1002"/>
      <c r="BP22" s="946"/>
      <c r="BQ22" s="1214">
        <f ca="1">-INDEX(INDIRECT($D22),MATCH('Estimate Changes'!$F22,INDIRECT($C22),0),MATCH('Estimate Changes'!BQ$6,INDIRECT($B22),0))</f>
        <v>3959.2789960320647</v>
      </c>
      <c r="BR22" s="1003" t="e">
        <f ca="1">BQ22/BP22-1</f>
        <v>#DIV/0!</v>
      </c>
      <c r="BS22" s="1214"/>
      <c r="BT22" s="1202"/>
      <c r="BU22" s="1004"/>
      <c r="BV22" s="946"/>
      <c r="BW22" s="1214">
        <f ca="1">-INDEX(INDIRECT($D22),MATCH('Estimate Changes'!$F22,INDIRECT($C22),0),MATCH('Estimate Changes'!BW$6,INDIRECT($B22),0))</f>
        <v>4493.3389500363392</v>
      </c>
      <c r="BX22" s="1003" t="e">
        <f ca="1">BW22/BV22-1</f>
        <v>#DIV/0!</v>
      </c>
      <c r="BY22" s="1214"/>
      <c r="BZ22" s="1202"/>
      <c r="CA22" s="1004"/>
      <c r="CB22" s="946"/>
      <c r="CC22" s="1214">
        <f ca="1">-INDEX(INDIRECT($D22),MATCH('Estimate Changes'!$F22,INDIRECT($C22),0),MATCH('Estimate Changes'!CC$6,INDIRECT($B22),0))</f>
        <v>4993.3303963863773</v>
      </c>
      <c r="CD22" s="1003" t="e">
        <f ca="1">CC22/CB22-1</f>
        <v>#DIV/0!</v>
      </c>
      <c r="CE22" s="1214"/>
      <c r="CF22" s="1202"/>
      <c r="CG22" s="1007"/>
    </row>
    <row r="23" spans="1:85" hidden="1">
      <c r="B23" s="824" t="str">
        <f t="shared" ref="B23" ca="1" si="21">"'"&amp;E23&amp;"'"&amp;"!$5:$5"</f>
        <v>'Income'!$5:$5</v>
      </c>
      <c r="C23" s="824" t="str">
        <f t="shared" ref="C23" ca="1" si="22">"'"&amp;E23&amp;"'"&amp;"!$A:$A"</f>
        <v>'Income'!$A:$A</v>
      </c>
      <c r="D23" s="824" t="str">
        <f t="shared" ca="1" si="5"/>
        <v>'Income'!$1:$1048576</v>
      </c>
      <c r="E23" s="972" t="str" cm="1">
        <f t="array" aca="1" ref="E23" ca="1">IFERROR(INDEX(SheetNames,MATCH(1,COUNTIF(INDIRECT("'"&amp;SheetNames&amp;"'!A:A"),$F23),0)),"Not Found")</f>
        <v>Income</v>
      </c>
      <c r="F23" s="940" t="s">
        <v>444</v>
      </c>
      <c r="L23" s="964" t="e">
        <f>L22/G22-1</f>
        <v>#DIV/0!</v>
      </c>
      <c r="M23" s="964" t="e">
        <f t="shared" ref="M23" si="23">M22/H22-1</f>
        <v>#DIV/0!</v>
      </c>
      <c r="N23" s="964" t="e">
        <f t="shared" ref="N23" si="24">N22/I22-1</f>
        <v>#DIV/0!</v>
      </c>
      <c r="O23" s="964" t="e">
        <f t="shared" ref="O23" si="25">O22/J22-1</f>
        <v>#DIV/0!</v>
      </c>
      <c r="P23" s="941" t="s">
        <v>433</v>
      </c>
      <c r="Q23" s="968" t="e">
        <f ca="1">Q22/G22-1</f>
        <v>#DIV/0!</v>
      </c>
      <c r="R23" s="964"/>
      <c r="S23" s="964" t="e">
        <f ca="1">S22/K22-1</f>
        <v>#DIV/0!</v>
      </c>
      <c r="U23" s="964" t="e">
        <f>+U22/K22-1</f>
        <v>#N/A</v>
      </c>
      <c r="V23" s="969"/>
      <c r="W23" s="964"/>
      <c r="X23" s="969"/>
      <c r="Y23" s="964"/>
      <c r="Z23" s="964" t="e">
        <f ca="1">Z22/L22-1</f>
        <v>#DIV/0!</v>
      </c>
      <c r="AB23" s="964" t="e">
        <f>+AB22/L22-1</f>
        <v>#N/A</v>
      </c>
      <c r="AC23" s="969"/>
      <c r="AD23" s="969"/>
      <c r="AE23" s="964"/>
      <c r="AF23" s="964" t="e">
        <f ca="1">AF22/M22-1</f>
        <v>#DIV/0!</v>
      </c>
      <c r="AH23" s="964"/>
      <c r="AK23" s="1210"/>
      <c r="AL23" s="964"/>
      <c r="AM23" s="964" t="e">
        <f ca="1">AM22/N22-1</f>
        <v>#DIV/0!</v>
      </c>
      <c r="AO23" s="964" t="e">
        <f>+AO22/N22-1</f>
        <v>#DIV/0!</v>
      </c>
      <c r="AP23" s="969"/>
      <c r="AQ23" s="969"/>
      <c r="AR23" s="964"/>
      <c r="AS23" s="964" t="e">
        <f ca="1">AS22/O22-1</f>
        <v>#DIV/0!</v>
      </c>
      <c r="AU23" s="964" t="e">
        <f>+AU22/W22-1</f>
        <v>#N/A</v>
      </c>
      <c r="AV23" s="969"/>
      <c r="AW23" s="969"/>
      <c r="AX23" s="964"/>
      <c r="AY23" s="964">
        <f ca="1">AY22/S22-1</f>
        <v>0.17429117112103976</v>
      </c>
      <c r="BA23" s="964" t="e">
        <f>+BA22/W22-1</f>
        <v>#N/A</v>
      </c>
      <c r="BB23" s="969"/>
      <c r="BC23" s="969"/>
      <c r="BD23" s="964"/>
      <c r="BE23" s="964">
        <f ca="1">BE22/Z22-1</f>
        <v>0.14485205891642772</v>
      </c>
      <c r="BG23" s="964" t="e">
        <f>+BG22/AB22-1</f>
        <v>#N/A</v>
      </c>
      <c r="BH23" s="969"/>
      <c r="BI23" s="969"/>
      <c r="BJ23" s="964"/>
      <c r="BK23" s="964">
        <f ca="1">BK22/AF22-1</f>
        <v>0.14178406414521838</v>
      </c>
      <c r="BM23" s="964" t="e">
        <f>+BM22/AH22-1</f>
        <v>#N/A</v>
      </c>
      <c r="BN23" s="969"/>
      <c r="BO23" s="969"/>
      <c r="BP23" s="964"/>
      <c r="BQ23" s="964">
        <f ca="1">BQ22/AM22-1</f>
        <v>0.16344724952062251</v>
      </c>
      <c r="BS23" s="964" t="e">
        <f>+BS22/AO22-1</f>
        <v>#DIV/0!</v>
      </c>
      <c r="BT23" s="969"/>
      <c r="BU23" s="969"/>
      <c r="BV23" s="964"/>
      <c r="BW23" s="964">
        <f ca="1">BW22/BQ22-1</f>
        <v>0.13488818407076186</v>
      </c>
      <c r="BY23" s="964"/>
      <c r="BZ23" s="969"/>
      <c r="CA23" s="969"/>
      <c r="CB23" s="964"/>
      <c r="CC23" s="964">
        <f ca="1">CC22/BW22-1</f>
        <v>0.11127392166709216</v>
      </c>
      <c r="CE23" s="964"/>
      <c r="CF23" s="969"/>
      <c r="CG23" s="969"/>
    </row>
    <row r="24" spans="1:85" s="1574" customFormat="1">
      <c r="A24" s="1573"/>
      <c r="B24" s="1574" t="str">
        <f t="shared" ref="B24" ca="1" si="26">"'"&amp;E24&amp;"'"&amp;"!$5:$5"</f>
        <v>'Income'!$5:$5</v>
      </c>
      <c r="C24" s="1574" t="str">
        <f t="shared" ref="C24" ca="1" si="27">"'"&amp;E24&amp;"'"&amp;"!$A:$A"</f>
        <v>'Income'!$A:$A</v>
      </c>
      <c r="D24" s="1574" t="str">
        <f t="shared" ca="1" si="5"/>
        <v>'Income'!$1:$1048576</v>
      </c>
      <c r="E24" s="1575" t="str" cm="1">
        <f t="array" aca="1" ref="E24" ca="1">IFERROR(INDEX(SheetNames,MATCH(1,COUNTIF(INDIRECT("'"&amp;SheetNames&amp;"'!A:A"),$F24),0)),"Not Found")</f>
        <v>Income</v>
      </c>
      <c r="F24" s="940" t="s">
        <v>635</v>
      </c>
      <c r="G24" s="1576">
        <f ca="1">+G22/G$13</f>
        <v>0</v>
      </c>
      <c r="H24" s="1576">
        <f t="shared" ref="H24:O24" ca="1" si="28">+H22/H$13</f>
        <v>0</v>
      </c>
      <c r="I24" s="1576">
        <f t="shared" ca="1" si="28"/>
        <v>0</v>
      </c>
      <c r="J24" s="1576">
        <f t="shared" ca="1" si="28"/>
        <v>0</v>
      </c>
      <c r="K24" s="1576">
        <f t="shared" ca="1" si="28"/>
        <v>0</v>
      </c>
      <c r="L24" s="1576">
        <f t="shared" ca="1" si="28"/>
        <v>0</v>
      </c>
      <c r="M24" s="1576">
        <f t="shared" ca="1" si="28"/>
        <v>0</v>
      </c>
      <c r="N24" s="1576">
        <f t="shared" ca="1" si="28"/>
        <v>0</v>
      </c>
      <c r="O24" s="1576">
        <f t="shared" ca="1" si="28"/>
        <v>0</v>
      </c>
      <c r="P24" s="941" t="s">
        <v>450</v>
      </c>
      <c r="Q24" s="1581">
        <f ca="1">+Q22/Q$13</f>
        <v>0.45449241540256707</v>
      </c>
      <c r="R24" s="1576"/>
      <c r="S24" s="1576">
        <f ca="1">+S22/S$13</f>
        <v>0.39315403422982886</v>
      </c>
      <c r="T24" s="1576"/>
      <c r="U24" s="1576" t="e">
        <f>+U22/U$13</f>
        <v>#N/A</v>
      </c>
      <c r="V24" s="1584"/>
      <c r="W24" s="1576"/>
      <c r="X24" s="1584"/>
      <c r="Y24" s="1576"/>
      <c r="Z24" s="1576">
        <f ca="1">+Z22/Z$13</f>
        <v>0.38621646623496764</v>
      </c>
      <c r="AA24" s="1576"/>
      <c r="AB24" s="1576" t="e">
        <f>+AB22/AB$13</f>
        <v>#N/A</v>
      </c>
      <c r="AC24" s="1584"/>
      <c r="AD24" s="1584"/>
      <c r="AE24" s="1576"/>
      <c r="AF24" s="1576">
        <f ca="1">+AF22/AF$13</f>
        <v>0.33032328068261835</v>
      </c>
      <c r="AG24" s="1576"/>
      <c r="AH24" s="1576"/>
      <c r="AI24" s="1576"/>
      <c r="AJ24" s="1576"/>
      <c r="AK24" s="1585" t="s">
        <v>636</v>
      </c>
      <c r="AL24" s="1576"/>
      <c r="AM24" s="1576">
        <f ca="1">+AM22/AM$13</f>
        <v>0.38796372891301872</v>
      </c>
      <c r="AN24" s="1576"/>
      <c r="AO24" s="1576"/>
      <c r="AP24" s="1584"/>
      <c r="AQ24" s="1584"/>
      <c r="AR24" s="1576"/>
      <c r="AS24" s="1576">
        <f ca="1">+AS22/AS$13</f>
        <v>0.4444503328211733</v>
      </c>
      <c r="AT24" s="1576"/>
      <c r="AU24" s="1576" t="e">
        <f>+AU22/AU$13</f>
        <v>#N/A</v>
      </c>
      <c r="AV24" s="1584"/>
      <c r="AW24" s="1584"/>
      <c r="AX24" s="1576"/>
      <c r="AY24" s="1576">
        <f ca="1">+AY22/AY$13</f>
        <v>0.3764431489452173</v>
      </c>
      <c r="AZ24" s="1576"/>
      <c r="BA24" s="1576" t="e">
        <f>+BA22/BA$13</f>
        <v>#N/A</v>
      </c>
      <c r="BB24" s="1584"/>
      <c r="BC24" s="1584"/>
      <c r="BD24" s="1576"/>
      <c r="BE24" s="1576">
        <f ca="1">+BE22/BE$13</f>
        <v>0.36321646623496762</v>
      </c>
      <c r="BF24" s="1576"/>
      <c r="BG24" s="1576" t="e">
        <f>+BG22/BG$13</f>
        <v>#N/A</v>
      </c>
      <c r="BH24" s="1584"/>
      <c r="BI24" s="1584"/>
      <c r="BJ24" s="1576"/>
      <c r="BK24" s="1576">
        <f ca="1">+BK22/BK$13</f>
        <v>0.30732328068261833</v>
      </c>
      <c r="BL24" s="1576"/>
      <c r="BM24" s="1576" t="e">
        <f>+BM22/BM$13</f>
        <v>#N/A</v>
      </c>
      <c r="BN24" s="1584"/>
      <c r="BO24" s="1584"/>
      <c r="BP24" s="1576"/>
      <c r="BQ24" s="1576">
        <f ca="1">+BQ22/BQ$13</f>
        <v>0.36671003929588325</v>
      </c>
      <c r="BR24" s="1576"/>
      <c r="BS24" s="1576"/>
      <c r="BT24" s="1584"/>
      <c r="BU24" s="1584"/>
      <c r="BV24" s="1576"/>
      <c r="BW24" s="1576">
        <f ca="1">+BW22/BW$13</f>
        <v>0.3476893290470407</v>
      </c>
      <c r="BX24" s="1576"/>
      <c r="BY24" s="1576"/>
      <c r="BZ24" s="1584"/>
      <c r="CA24" s="1584"/>
      <c r="CB24" s="1576"/>
      <c r="CC24" s="1576">
        <f ca="1">+CC22/CC$13</f>
        <v>0.32767283229863042</v>
      </c>
      <c r="CD24" s="1576"/>
      <c r="CE24" s="1576"/>
      <c r="CF24" s="1584"/>
      <c r="CG24" s="1584"/>
    </row>
    <row r="25" spans="1:85">
      <c r="B25" s="824" t="str">
        <f t="shared" ca="1" si="3"/>
        <v>'Income'!$5:$5</v>
      </c>
      <c r="C25" s="824" t="str">
        <f t="shared" ca="1" si="4"/>
        <v>'Income'!$A:$A</v>
      </c>
      <c r="D25" s="824" t="str">
        <f t="shared" ca="1" si="5"/>
        <v>'Income'!$1:$1048576</v>
      </c>
      <c r="E25" s="972" t="str" cm="1">
        <f t="array" aca="1" ref="E25" ca="1">IFERROR(INDEX(SheetNames,MATCH(1,COUNTIF(INDIRECT("'"&amp;SheetNames&amp;"'!A:A"),$F25),0)),"Not Found")</f>
        <v>Income</v>
      </c>
      <c r="F25" s="943" t="s">
        <v>137</v>
      </c>
      <c r="G25" s="1005">
        <f ca="1">INDEX(INDIRECT($D25),MATCH('Estimate Changes'!$F25,INDIRECT($C25),0),MATCH('Estimate Changes'!G$6,INDIRECT($B25),0))</f>
        <v>-345.36599999999999</v>
      </c>
      <c r="H25" s="1005">
        <f ca="1">INDEX(INDIRECT($D25),MATCH('Estimate Changes'!$F25,INDIRECT($C25),0),MATCH('Estimate Changes'!H$6,INDIRECT($B25),0))</f>
        <v>-188.74899999999991</v>
      </c>
      <c r="I25" s="1005">
        <f ca="1">INDEX(INDIRECT($D25),MATCH('Estimate Changes'!$F25,INDIRECT($C25),0),MATCH('Estimate Changes'!I$6,INDIRECT($B25),0))</f>
        <v>-822.29899999999975</v>
      </c>
      <c r="J25" s="1005">
        <f ca="1">INDEX(INDIRECT($D25),MATCH('Estimate Changes'!$F25,INDIRECT($C25),0),MATCH('Estimate Changes'!J$6,INDIRECT($B25),0))</f>
        <v>-193</v>
      </c>
      <c r="K25" s="1005">
        <f ca="1">INDEX(INDIRECT($D25),MATCH('Estimate Changes'!$F25,INDIRECT($C25),0),MATCH('Estimate Changes'!K$6,INDIRECT($B25),0))</f>
        <v>-1636</v>
      </c>
      <c r="L25" s="1005">
        <f ca="1">INDEX(INDIRECT($D25),MATCH('Estimate Changes'!$F25,INDIRECT($C25),0),MATCH('Estimate Changes'!L$6,INDIRECT($B25),0))</f>
        <v>122</v>
      </c>
      <c r="M25" s="1005">
        <f ca="1">INDEX(INDIRECT($D25),MATCH('Estimate Changes'!$F25,INDIRECT($C25),0),MATCH('Estimate Changes'!M$6,INDIRECT($B25),0))</f>
        <v>289</v>
      </c>
      <c r="N25" s="1005">
        <f ca="1">INDEX(INDIRECT($D25),MATCH('Estimate Changes'!$F25,INDIRECT($C25),0),MATCH('Estimate Changes'!N$6,INDIRECT($B25),0))</f>
        <v>-1418</v>
      </c>
      <c r="O25" s="1005">
        <f ca="1">INDEX(INDIRECT($D25),MATCH('Estimate Changes'!$F25,INDIRECT($C25),0),MATCH('Estimate Changes'!O$6,INDIRECT($B25),0))</f>
        <v>86</v>
      </c>
      <c r="P25" s="963" t="s">
        <v>137</v>
      </c>
      <c r="Q25" s="967">
        <f ca="1">INDEX(INDIRECT($D25),MATCH('Estimate Changes'!$F25,INDIRECT($C25),0),MATCH('Estimate Changes'!Q$6,INDIRECT($B25),0))</f>
        <v>122</v>
      </c>
      <c r="R25" s="938"/>
      <c r="S25" s="938">
        <f ca="1">INDEX(INDIRECT($D25),MATCH('Estimate Changes'!$F25,INDIRECT($C25),0),MATCH('Estimate Changes'!S$6,INDIRECT($B25),0))</f>
        <v>241</v>
      </c>
      <c r="T25" s="973" t="e">
        <f ca="1">S25/R25-1</f>
        <v>#DIV/0!</v>
      </c>
      <c r="U25" s="938">
        <f>INDEX(Consensus!$A$1:$AU$180,MATCH('Estimate Changes'!$F25,Consensus!$A:$A,0),MATCH('Estimate Changes'!S$6,Consensus!$4:$4,0))</f>
        <v>241</v>
      </c>
      <c r="V25" s="995">
        <f ca="1">+S25/U25-1</f>
        <v>0</v>
      </c>
      <c r="W25" s="994"/>
      <c r="X25" s="995" t="e">
        <f ca="1">+S25/W25-1</f>
        <v>#DIV/0!</v>
      </c>
      <c r="Y25" s="938"/>
      <c r="Z25" s="938">
        <f ca="1">INDEX(INDIRECT($D25),MATCH('Estimate Changes'!$F25,INDIRECT($C25),0),MATCH('Estimate Changes'!Z$6,INDIRECT($B25),0))</f>
        <v>283</v>
      </c>
      <c r="AA25" s="973" t="e">
        <f ca="1">Z25/Y25-1</f>
        <v>#DIV/0!</v>
      </c>
      <c r="AB25" s="938">
        <f>INDEX(Consensus!$A$1:$AU$180,MATCH('Estimate Changes'!$F25,Consensus!$A:$A,0),MATCH('Estimate Changes'!Z$6,Consensus!$4:$4,0))</f>
        <v>283</v>
      </c>
      <c r="AC25" s="995">
        <f ca="1">+Z25/AB25-1</f>
        <v>0</v>
      </c>
      <c r="AD25" s="996"/>
      <c r="AE25" s="938"/>
      <c r="AF25" s="938">
        <f ca="1">INDEX(INDIRECT($D25),MATCH('Estimate Changes'!$F25,INDIRECT($C25),0),MATCH('Estimate Changes'!AF$6,INDIRECT($B25),0))</f>
        <v>422.82872057970485</v>
      </c>
      <c r="AG25" s="973" t="e">
        <f ca="1">AF25/AE25-1</f>
        <v>#DIV/0!</v>
      </c>
      <c r="AH25" s="938">
        <f>INDEX(Consensus!$A$1:$AU$180,MATCH('Estimate Changes'!$F25,Consensus!$A:$A,0),MATCH('Estimate Changes'!AF$6,Consensus!$4:$4,0))</f>
        <v>424.81213000000002</v>
      </c>
      <c r="AI25" s="973">
        <f ca="1">+AF25/AH25-1</f>
        <v>-4.6689095725566121E-3</v>
      </c>
      <c r="AJ25" s="994"/>
      <c r="AK25" s="1210"/>
      <c r="AL25" s="939"/>
      <c r="AM25" s="939">
        <f ca="1">INDEX(INDIRECT($D25),MATCH('Estimate Changes'!$F25,INDIRECT($C25),0),MATCH('Estimate Changes'!AM$6,INDIRECT($B25),0))</f>
        <v>1032.8287205797049</v>
      </c>
      <c r="AN25" s="974" t="e">
        <f ca="1">AM25/AL25-1</f>
        <v>#DIV/0!</v>
      </c>
      <c r="AO25" s="939">
        <f>INDEX(Consensus!$A$1:$AU$180,MATCH('Estimate Changes'!$F25,Consensus!$A:$A,0),MATCH('Estimate Changes'!AM$6,Consensus!$4:$4,0))</f>
        <v>1027.8622</v>
      </c>
      <c r="AP25" s="1201">
        <f ca="1">+AM25/AO25-1</f>
        <v>4.8318933994311308E-3</v>
      </c>
      <c r="AQ25" s="997"/>
      <c r="AR25" s="938"/>
      <c r="AS25" s="938">
        <f ca="1">INDEX(INDIRECT($D25),MATCH('Estimate Changes'!$F25,INDIRECT($C25),0),MATCH('Estimate Changes'!AS$6,INDIRECT($B25),0))</f>
        <v>146.7847387939612</v>
      </c>
      <c r="AT25" s="973" t="e">
        <f ca="1">AS25/AR25-1</f>
        <v>#DIV/0!</v>
      </c>
      <c r="AU25" s="938">
        <f>INDEX(Consensus!$A$1:$AU$180,MATCH('Estimate Changes'!$F25,Consensus!$A:$A,0),MATCH('Estimate Changes'!AS$6,Consensus!$4:$4,0))</f>
        <v>228.42035999999999</v>
      </c>
      <c r="AV25" s="995">
        <f ca="1">+AS25/AU25-1</f>
        <v>-0.35739205211846614</v>
      </c>
      <c r="AW25" s="996"/>
      <c r="AX25" s="938"/>
      <c r="AY25" s="938">
        <f ca="1">INDEX(INDIRECT($D25),MATCH('Estimate Changes'!$F25,INDIRECT($C25),0),MATCH('Estimate Changes'!AY$6,INDIRECT($B25),0))</f>
        <v>327.80463666424646</v>
      </c>
      <c r="AZ25" s="973" t="e">
        <f ca="1">AY25/AX25-1</f>
        <v>#DIV/0!</v>
      </c>
      <c r="BA25" s="938">
        <f>INDEX(Consensus!$A$1:$AU$180,MATCH('Estimate Changes'!$F25,Consensus!$A:$A,0),MATCH('Estimate Changes'!AY$6,Consensus!$4:$4,0))</f>
        <v>311.51846</v>
      </c>
      <c r="BB25" s="995">
        <f ca="1">+AY25/BA25-1</f>
        <v>5.2279972956486898E-2</v>
      </c>
      <c r="BC25" s="996"/>
      <c r="BD25" s="938"/>
      <c r="BE25" s="938">
        <f ca="1">INDEX(INDIRECT($D25),MATCH('Estimate Changes'!$F25,INDIRECT($C25),0),MATCH('Estimate Changes'!BE$6,INDIRECT($B25),0))</f>
        <v>406.86576647565562</v>
      </c>
      <c r="BF25" s="973" t="e">
        <f ca="1">BE25/BD25-1</f>
        <v>#DIV/0!</v>
      </c>
      <c r="BG25" s="938">
        <f>INDEX(Consensus!$A$1:$AU$180,MATCH('Estimate Changes'!$F25,Consensus!$A:$A,0),MATCH('Estimate Changes'!BE$6,Consensus!$4:$4,0))</f>
        <v>358.04565000000002</v>
      </c>
      <c r="BH25" s="995">
        <f ca="1">+BE25/BG25-1</f>
        <v>0.13635165369459346</v>
      </c>
      <c r="BI25" s="996"/>
      <c r="BJ25" s="938"/>
      <c r="BK25" s="938">
        <f ca="1">INDEX(INDIRECT($D25),MATCH('Estimate Changes'!$F25,INDIRECT($C25),0),MATCH('Estimate Changes'!BK$6,INDIRECT($B25),0))</f>
        <v>598.48405578390282</v>
      </c>
      <c r="BL25" s="973" t="e">
        <f ca="1">BK25/BJ25-1</f>
        <v>#DIV/0!</v>
      </c>
      <c r="BM25" s="938">
        <f>INDEX(Consensus!$A$1:$AU$180,MATCH('Estimate Changes'!$F25,Consensus!$A:$A,0),MATCH('Estimate Changes'!BK$6,Consensus!$4:$4,0))</f>
        <v>563.38400000000001</v>
      </c>
      <c r="BN25" s="995">
        <f ca="1">+BK25/BM25-1</f>
        <v>6.230218782198782E-2</v>
      </c>
      <c r="BO25" s="996"/>
      <c r="BP25" s="939"/>
      <c r="BQ25" s="939">
        <f ca="1">INDEX(INDIRECT($D25),MATCH('Estimate Changes'!$F25,INDIRECT($C25),0),MATCH('Estimate Changes'!BQ$6,INDIRECT($B25),0))</f>
        <v>1479.9391977177661</v>
      </c>
      <c r="BR25" s="974" t="e">
        <f ca="1">BQ25/BP25-1</f>
        <v>#DIV/0!</v>
      </c>
      <c r="BS25" s="939">
        <f>INDEX(Consensus!$A$1:$AU$180,MATCH('Estimate Changes'!$F25,Consensus!$A:$A,0),MATCH('Estimate Changes'!BQ$6,Consensus!$4:$4,0))</f>
        <v>1496.0663</v>
      </c>
      <c r="BT25" s="1201">
        <f ca="1">+BQ25/BS25-1</f>
        <v>-1.0779670848968248E-2</v>
      </c>
      <c r="BU25" s="997"/>
      <c r="BV25" s="939"/>
      <c r="BW25" s="939">
        <f ca="1">INDEX(INDIRECT($D25),MATCH('Estimate Changes'!$F25,INDIRECT($C25),0),MATCH('Estimate Changes'!BW$6,INDIRECT($B25),0))</f>
        <v>1983.0267382888062</v>
      </c>
      <c r="BX25" s="974" t="e">
        <f ca="1">BW25/BV25-1</f>
        <v>#DIV/0!</v>
      </c>
      <c r="BY25" s="939">
        <f>INDEX(Consensus!$A$1:$AU$180,MATCH('Estimate Changes'!$F25,Consensus!$A:$A,0),MATCH('Estimate Changes'!BW$6,Consensus!$4:$4,0))</f>
        <v>2009.6965</v>
      </c>
      <c r="BZ25" s="1201">
        <f ca="1">+BW25/BY25-1</f>
        <v>-1.3270541950584969E-2</v>
      </c>
      <c r="CA25" s="997"/>
      <c r="CB25" s="939"/>
      <c r="CC25" s="939">
        <f ca="1">INDEX(INDIRECT($D25),MATCH('Estimate Changes'!$F25,INDIRECT($C25),0),MATCH('Estimate Changes'!CC$6,INDIRECT($B25),0))</f>
        <v>2612.9930225999187</v>
      </c>
      <c r="CD25" s="974" t="e">
        <f ca="1">CC25/CB25-1</f>
        <v>#DIV/0!</v>
      </c>
      <c r="CE25" s="939">
        <f>INDEX(Consensus!$A$1:$AU$180,MATCH('Estimate Changes'!$F25,Consensus!$A:$A,0),MATCH('Estimate Changes'!CC$6,Consensus!$4:$4,0))</f>
        <v>3042</v>
      </c>
      <c r="CF25" s="1201">
        <f ca="1">+CC25/CE25-1</f>
        <v>-0.14102793471403063</v>
      </c>
      <c r="CG25" s="997"/>
    </row>
    <row r="26" spans="1:85" s="1574" customFormat="1">
      <c r="A26" s="1573"/>
      <c r="B26" s="1574" t="str">
        <f t="shared" ca="1" si="3"/>
        <v>'Income'!$5:$5</v>
      </c>
      <c r="C26" s="1574" t="str">
        <f t="shared" ca="1" si="4"/>
        <v>'Income'!$A:$A</v>
      </c>
      <c r="D26" s="1574" t="str">
        <f t="shared" ca="1" si="5"/>
        <v>'Income'!$1:$1048576</v>
      </c>
      <c r="E26" s="1575" t="str" cm="1">
        <f t="array" aca="1" ref="E26" ca="1">IFERROR(INDEX(SheetNames,MATCH(1,COUNTIF(INDIRECT("'"&amp;SheetNames&amp;"'!A:A"),$F26),0)),"Not Found")</f>
        <v>Income</v>
      </c>
      <c r="F26" s="940" t="s">
        <v>438</v>
      </c>
      <c r="G26" s="1576">
        <f ca="1">+G25/G$13</f>
        <v>-0.2527931488801054</v>
      </c>
      <c r="H26" s="1576">
        <f t="shared" ref="H26" ca="1" si="29">+H25/H$13</f>
        <v>-0.10879042846652805</v>
      </c>
      <c r="I26" s="1576">
        <f t="shared" ref="I26" ca="1" si="30">+I25/I$13</f>
        <v>-0.14684267332206632</v>
      </c>
      <c r="J26" s="1576">
        <f t="shared" ref="J26" ca="1" si="31">+J25/J$13</f>
        <v>-0.12798408488063662</v>
      </c>
      <c r="K26" s="1576">
        <f t="shared" ref="K26" ca="1" si="32">+K25/K$13</f>
        <v>-0.96576151121605669</v>
      </c>
      <c r="L26" s="1576">
        <f t="shared" ref="L26" ca="1" si="33">+L25/L$13</f>
        <v>7.1178529754959155E-2</v>
      </c>
      <c r="M26" s="1576">
        <f t="shared" ref="M26" ca="1" si="34">+M25/M$13</f>
        <v>0.13479477611940299</v>
      </c>
      <c r="N26" s="1576">
        <f t="shared" ref="N26" ca="1" si="35">+N25/N$13</f>
        <v>-0.2008498583569405</v>
      </c>
      <c r="O26" s="1576">
        <f t="shared" ref="O26" ca="1" si="36">+O25/O$13</f>
        <v>4.6211714132186998E-2</v>
      </c>
      <c r="P26" s="1006" t="s">
        <v>628</v>
      </c>
      <c r="Q26" s="1581">
        <f ca="1">+Q25/Q$13</f>
        <v>7.1178529754959155E-2</v>
      </c>
      <c r="R26" s="1576"/>
      <c r="S26" s="1576">
        <f t="shared" ref="S26" ca="1" si="37">+S25/S$13</f>
        <v>0.11784841075794621</v>
      </c>
      <c r="T26" s="1576"/>
      <c r="U26" s="1576">
        <f t="shared" ref="U26" si="38">+U25/U$13</f>
        <v>0.11784841075794621</v>
      </c>
      <c r="V26" s="1584"/>
      <c r="W26" s="1576"/>
      <c r="X26" s="1584"/>
      <c r="Y26" s="1576"/>
      <c r="Z26" s="1576">
        <f t="shared" ref="Z26" ca="1" si="39">+Z25/Z$13</f>
        <v>0.13089731729879742</v>
      </c>
      <c r="AA26" s="1576"/>
      <c r="AB26" s="1576">
        <f t="shared" ref="AB26" si="40">+AB25/AB$13</f>
        <v>0.13089731729879742</v>
      </c>
      <c r="AC26" s="1584"/>
      <c r="AD26" s="1584"/>
      <c r="AE26" s="1576"/>
      <c r="AF26" s="1576">
        <f t="shared" ref="AF26" ca="1" si="41">+AF25/AF$13</f>
        <v>0.15639532868559036</v>
      </c>
      <c r="AG26" s="1576"/>
      <c r="AH26" s="1576">
        <f t="shared" ref="AH26" si="42">+AH25/AH$13</f>
        <v>0.15584888035608838</v>
      </c>
      <c r="AI26" s="1576"/>
      <c r="AJ26" s="1576"/>
      <c r="AK26" s="1585"/>
      <c r="AL26" s="1576"/>
      <c r="AM26" s="1576">
        <f t="shared" ref="AM26" ca="1" si="43">+AM25/AM$13</f>
        <v>0.11774704648974821</v>
      </c>
      <c r="AN26" s="1576"/>
      <c r="AO26" s="1576">
        <f t="shared" ref="AO26" si="44">+AO25/AO$13</f>
        <v>0.11681271729169092</v>
      </c>
      <c r="AP26" s="1584"/>
      <c r="AQ26" s="1584"/>
      <c r="AR26" s="1576"/>
      <c r="AS26" s="1576">
        <f t="shared" ref="AS26" ca="1" si="45">+AS25/AS$13</f>
        <v>6.2758467256112477E-2</v>
      </c>
      <c r="AT26" s="1576"/>
      <c r="AU26" s="1576">
        <f t="shared" ref="AU26" si="46">+AU25/AU$13</f>
        <v>9.846689841397932E-2</v>
      </c>
      <c r="AV26" s="1584"/>
      <c r="AW26" s="1584"/>
      <c r="AX26" s="1576"/>
      <c r="AY26" s="1576">
        <f t="shared" ref="AY26" ca="1" si="47">+AY25/AY$13</f>
        <v>0.13070212405901521</v>
      </c>
      <c r="AZ26" s="1576"/>
      <c r="BA26" s="1576">
        <f t="shared" ref="BA26" si="48">+BA25/BA$13</f>
        <v>0.12324240046936155</v>
      </c>
      <c r="BB26" s="1584"/>
      <c r="BC26" s="1584"/>
      <c r="BD26" s="1576"/>
      <c r="BE26" s="1576">
        <f t="shared" ref="BE26" ca="1" si="49">+BE25/BE$13</f>
        <v>0.15458979947557422</v>
      </c>
      <c r="BF26" s="1576"/>
      <c r="BG26" s="1576">
        <f t="shared" ref="BG26" si="50">+BG25/BG$13</f>
        <v>0.13574569822513519</v>
      </c>
      <c r="BH26" s="1584"/>
      <c r="BI26" s="1584"/>
      <c r="BJ26" s="1576"/>
      <c r="BK26" s="1576">
        <f t="shared" ref="BK26" ca="1" si="51">+BK25/BK$13</f>
        <v>0.18037825581120645</v>
      </c>
      <c r="BL26" s="1576"/>
      <c r="BM26" s="1576">
        <f t="shared" ref="BM26" si="52">+BM25/BM$13</f>
        <v>0.17023074111849365</v>
      </c>
      <c r="BN26" s="1584"/>
      <c r="BO26" s="1584"/>
      <c r="BP26" s="1576"/>
      <c r="BQ26" s="1576">
        <f t="shared" ref="BQ26" ca="1" si="53">+BQ25/BQ$13</f>
        <v>0.1370725735404085</v>
      </c>
      <c r="BR26" s="1576"/>
      <c r="BS26" s="1576">
        <f t="shared" ref="BS26" si="54">+BS25/BS$13</f>
        <v>0.13778260875571516</v>
      </c>
      <c r="BT26" s="1584"/>
      <c r="BU26" s="1584"/>
      <c r="BV26" s="1576"/>
      <c r="BW26" s="1576">
        <f t="shared" ref="BW26" ca="1" si="55">+BW25/BW$13</f>
        <v>0.15344429694367939</v>
      </c>
      <c r="BX26" s="1576"/>
      <c r="BY26" s="1576">
        <f t="shared" ref="BY26" si="56">+BY25/BY$13</f>
        <v>0.15278182068779078</v>
      </c>
      <c r="BZ26" s="1584"/>
      <c r="CA26" s="1584"/>
      <c r="CB26" s="1576"/>
      <c r="CC26" s="1576">
        <f t="shared" ref="CC26" ca="1" si="57">+CC25/CC$13</f>
        <v>0.17147009240796537</v>
      </c>
      <c r="CD26" s="1576"/>
      <c r="CE26" s="1576">
        <f t="shared" ref="CE26" si="58">+CE25/CE$13</f>
        <v>0.17579593894044171</v>
      </c>
      <c r="CF26" s="1584"/>
      <c r="CG26" s="1584"/>
    </row>
    <row r="27" spans="1:85">
      <c r="B27" s="824" t="str">
        <f t="shared" ca="1" si="3"/>
        <v>'Income'!$5:$5</v>
      </c>
      <c r="C27" s="824" t="str">
        <f t="shared" ca="1" si="4"/>
        <v>'Income'!$A:$A</v>
      </c>
      <c r="D27" s="824" t="str">
        <f t="shared" ca="1" si="5"/>
        <v>'Income'!$1:$1048576</v>
      </c>
      <c r="E27" s="972" t="str" cm="1">
        <f t="array" aca="1" ref="E27" ca="1">IFERROR(INDEX(SheetNames,MATCH(1,COUNTIF(INDIRECT("'"&amp;SheetNames&amp;"'!A:A"),$F27),0)),"Not Found")</f>
        <v>Income</v>
      </c>
      <c r="F27" s="943" t="s">
        <v>441</v>
      </c>
      <c r="G27" s="1005">
        <f ca="1">INDEX(INDIRECT($D27),MATCH('Estimate Changes'!$F27,INDIRECT($C27),0),MATCH('Estimate Changes'!G$6,INDIRECT($B27),0))</f>
        <v>-40.27000000000001</v>
      </c>
      <c r="H27" s="1005">
        <f ca="1">INDEX(INDIRECT($D27),MATCH('Estimate Changes'!$F27,INDIRECT($C27),0),MATCH('Estimate Changes'!H$6,INDIRECT($B27),0))</f>
        <v>67.131000000000085</v>
      </c>
      <c r="I27" s="1005">
        <f ca="1">INDEX(INDIRECT($D27),MATCH('Estimate Changes'!$F27,INDIRECT($C27),0),MATCH('Estimate Changes'!I$6,INDIRECT($B27),0))</f>
        <v>29.158000000000214</v>
      </c>
      <c r="J27" s="1005">
        <f ca="1">INDEX(INDIRECT($D27),MATCH('Estimate Changes'!$F27,INDIRECT($C27),0),MATCH('Estimate Changes'!J$6,INDIRECT($B27),0))</f>
        <v>-29</v>
      </c>
      <c r="K27" s="1005">
        <f ca="1">INDEX(INDIRECT($D27),MATCH('Estimate Changes'!$F27,INDIRECT($C27),0),MATCH('Estimate Changes'!K$6,INDIRECT($B27),0))</f>
        <v>148</v>
      </c>
      <c r="L27" s="1005">
        <f ca="1">INDEX(INDIRECT($D27),MATCH('Estimate Changes'!$F27,INDIRECT($C27),0),MATCH('Estimate Changes'!L$6,INDIRECT($B27),0))</f>
        <v>280</v>
      </c>
      <c r="M27" s="1005">
        <f ca="1">INDEX(INDIRECT($D27),MATCH('Estimate Changes'!$F27,INDIRECT($C27),0),MATCH('Estimate Changes'!M$6,INDIRECT($B27),0))</f>
        <v>402</v>
      </c>
      <c r="N27" s="1005">
        <f ca="1">INDEX(INDIRECT($D27),MATCH('Estimate Changes'!$F27,INDIRECT($C27),0),MATCH('Estimate Changes'!N$6,INDIRECT($B27),0))</f>
        <v>801</v>
      </c>
      <c r="O27" s="1005">
        <f ca="1">INDEX(INDIRECT($D27),MATCH('Estimate Changes'!$F27,INDIRECT($C27),0),MATCH('Estimate Changes'!O$6,INDIRECT($B27),0))</f>
        <v>207</v>
      </c>
      <c r="P27" s="963" t="s">
        <v>97</v>
      </c>
      <c r="Q27" s="967">
        <f ca="1">INDEX(INDIRECT($D27),MATCH('Estimate Changes'!$F27,INDIRECT($C27),0),MATCH('Estimate Changes'!Q$6,INDIRECT($B27),0))</f>
        <v>280</v>
      </c>
      <c r="R27" s="938"/>
      <c r="S27" s="938">
        <f ca="1">INDEX(INDIRECT($D27),MATCH('Estimate Changes'!$F27,INDIRECT($C27),0),MATCH('Estimate Changes'!S$6,INDIRECT($B27),0))</f>
        <v>305</v>
      </c>
      <c r="T27" s="973" t="e">
        <f ca="1">S27/R27-1</f>
        <v>#DIV/0!</v>
      </c>
      <c r="U27" s="938">
        <f>INDEX(Consensus!$A$1:$AU$180,MATCH('Estimate Changes'!$F27,Consensus!$A:$A,0),MATCH('Estimate Changes'!S$6,Consensus!$4:$4,0))</f>
        <v>307.92856</v>
      </c>
      <c r="V27" s="995">
        <f ca="1">+S27/U27-1</f>
        <v>-9.5105176343499576E-3</v>
      </c>
      <c r="W27" s="994"/>
      <c r="X27" s="995" t="e">
        <f ca="1">+S27/W27-1</f>
        <v>#DIV/0!</v>
      </c>
      <c r="Y27" s="938"/>
      <c r="Z27" s="938">
        <f ca="1">INDEX(INDIRECT($D27),MATCH('Estimate Changes'!$F27,INDIRECT($C27),0),MATCH('Estimate Changes'!Z$6,INDIRECT($B27),0))</f>
        <v>401</v>
      </c>
      <c r="AA27" s="973" t="e">
        <f ca="1">Z27/Y27-1</f>
        <v>#DIV/0!</v>
      </c>
      <c r="AB27" s="938">
        <f>INDEX(Consensus!$A$1:$AU$180,MATCH('Estimate Changes'!$F27,Consensus!$A:$A,0),MATCH('Estimate Changes'!Z$6,Consensus!$4:$4,0))</f>
        <v>405.69232</v>
      </c>
      <c r="AC27" s="995">
        <f ca="1">+Z27/AB27-1</f>
        <v>-1.1566203668829655E-2</v>
      </c>
      <c r="AD27" s="996"/>
      <c r="AE27" s="938"/>
      <c r="AF27" s="938">
        <f ca="1">INDEX(INDIRECT($D27),MATCH('Estimate Changes'!$F27,INDIRECT($C27),0),MATCH('Estimate Changes'!AF$6,INDIRECT($B27),0))</f>
        <v>549.27709980785721</v>
      </c>
      <c r="AG27" s="973" t="e">
        <f ca="1">AF27/AE27-1</f>
        <v>#DIV/0!</v>
      </c>
      <c r="AH27" s="938">
        <f>INDEX(Consensus!$A$1:$AU$180,MATCH('Estimate Changes'!$F27,Consensus!$A:$A,0),MATCH('Estimate Changes'!AF$6,Consensus!$4:$4,0))</f>
        <v>565.91003000000001</v>
      </c>
      <c r="AI27" s="973">
        <f ca="1">+AF27/AH27-1</f>
        <v>-2.9391474457773459E-2</v>
      </c>
      <c r="AJ27" s="994"/>
      <c r="AK27" s="1210"/>
      <c r="AL27" s="939"/>
      <c r="AM27" s="939">
        <f ca="1">INDEX(INDIRECT($D27),MATCH('Estimate Changes'!$F27,INDIRECT($C27),0),MATCH('Estimate Changes'!AM$6,INDIRECT($B27),0))</f>
        <v>1462.2770998078572</v>
      </c>
      <c r="AN27" s="974" t="e">
        <f ca="1">AM27/AL27-1</f>
        <v>#DIV/0!</v>
      </c>
      <c r="AO27" s="939">
        <f>INDEX(Consensus!$A$1:$AU$180,MATCH('Estimate Changes'!$F27,Consensus!$A:$A,0),MATCH('Estimate Changes'!AM$6,Consensus!$4:$4,0))</f>
        <v>1485.8966</v>
      </c>
      <c r="AP27" s="1201">
        <f ca="1">+AM27/AO27-1</f>
        <v>-1.5895789917106495E-2</v>
      </c>
      <c r="AQ27" s="997"/>
      <c r="AR27" s="938"/>
      <c r="AS27" s="938">
        <f ca="1">INDEX(INDIRECT($D27),MATCH('Estimate Changes'!$F27,INDIRECT($C27),0),MATCH('Estimate Changes'!AS$6,INDIRECT($B27),0))</f>
        <v>282.68689269859328</v>
      </c>
      <c r="AT27" s="973" t="e">
        <f ca="1">AS27/AR27-1</f>
        <v>#DIV/0!</v>
      </c>
      <c r="AU27" s="938">
        <f>INDEX(Consensus!$A$1:$AU$180,MATCH('Estimate Changes'!$F27,Consensus!$A:$A,0),MATCH('Estimate Changes'!AS$6,Consensus!$4:$4,0))</f>
        <v>345.72888</v>
      </c>
      <c r="AV27" s="995">
        <f ca="1">+AS27/AU27-1</f>
        <v>-0.1823451581522687</v>
      </c>
      <c r="AW27" s="996"/>
      <c r="AX27" s="938"/>
      <c r="AY27" s="938">
        <f ca="1">INDEX(INDIRECT($D27),MATCH('Estimate Changes'!$F27,INDIRECT($C27),0),MATCH('Estimate Changes'!AY$6,INDIRECT($B27),0))</f>
        <v>457.3332967886696</v>
      </c>
      <c r="AZ27" s="973" t="e">
        <f ca="1">AY27/AX27-1</f>
        <v>#DIV/0!</v>
      </c>
      <c r="BA27" s="938">
        <f>INDEX(Consensus!$A$1:$AU$180,MATCH('Estimate Changes'!$F27,Consensus!$A:$A,0),MATCH('Estimate Changes'!AY$6,Consensus!$4:$4,0))</f>
        <v>438.14517000000001</v>
      </c>
      <c r="BB27" s="995">
        <f ca="1">+AY27/BA27-1</f>
        <v>4.3793993640668383E-2</v>
      </c>
      <c r="BC27" s="996"/>
      <c r="BD27" s="938"/>
      <c r="BE27" s="938">
        <f ca="1">INDEX(INDIRECT($D27),MATCH('Estimate Changes'!$F27,INDIRECT($C27),0),MATCH('Estimate Changes'!BE$6,INDIRECT($B27),0))</f>
        <v>536.22031611460159</v>
      </c>
      <c r="BF27" s="973" t="e">
        <f ca="1">BE27/BD27-1</f>
        <v>#DIV/0!</v>
      </c>
      <c r="BG27" s="938">
        <f>INDEX(Consensus!$A$1:$AU$180,MATCH('Estimate Changes'!$F27,Consensus!$A:$A,0),MATCH('Estimate Changes'!BE$6,Consensus!$4:$4,0))</f>
        <v>504.27816999999999</v>
      </c>
      <c r="BH27" s="995">
        <f ca="1">+BE27/BG27-1</f>
        <v>6.3342313855469179E-2</v>
      </c>
      <c r="BI27" s="996"/>
      <c r="BJ27" s="938"/>
      <c r="BK27" s="938">
        <f ca="1">INDEX(INDIRECT($D27),MATCH('Estimate Changes'!$F27,INDIRECT($C27),0),MATCH('Estimate Changes'!BK$6,INDIRECT($B27),0))</f>
        <v>738.65574022977648</v>
      </c>
      <c r="BL27" s="973" t="e">
        <f ca="1">BK27/BJ27-1</f>
        <v>#DIV/0!</v>
      </c>
      <c r="BM27" s="938">
        <f>INDEX(Consensus!$A$1:$AU$180,MATCH('Estimate Changes'!$F27,Consensus!$A:$A,0),MATCH('Estimate Changes'!BK$6,Consensus!$4:$4,0))</f>
        <v>716.18853999999999</v>
      </c>
      <c r="BN27" s="995">
        <f ca="1">+BK27/BM27-1</f>
        <v>3.1370510661587137E-2</v>
      </c>
      <c r="BO27" s="996"/>
      <c r="BP27" s="939"/>
      <c r="BQ27" s="939">
        <f ca="1">INDEX(INDIRECT($D27),MATCH('Estimate Changes'!$F27,INDIRECT($C27),0),MATCH('Estimate Changes'!BQ$6,INDIRECT($B27),0))</f>
        <v>2014.896245831641</v>
      </c>
      <c r="BR27" s="974" t="e">
        <f ca="1">BQ27/BP27-1</f>
        <v>#DIV/0!</v>
      </c>
      <c r="BS27" s="939">
        <f>INDEX(Consensus!$A$1:$AU$180,MATCH('Estimate Changes'!$F27,Consensus!$A:$A,0),MATCH('Estimate Changes'!BQ$6,Consensus!$4:$4,0))</f>
        <v>1996.2725</v>
      </c>
      <c r="BT27" s="1201">
        <f ca="1">+BQ27/BS27-1</f>
        <v>9.3292603247507877E-3</v>
      </c>
      <c r="BU27" s="997"/>
      <c r="BV27" s="939"/>
      <c r="BW27" s="939">
        <f ca="1">INDEX(INDIRECT($D27),MATCH('Estimate Changes'!$F27,INDIRECT($C27),0),MATCH('Estimate Changes'!BW$6,INDIRECT($B27),0))</f>
        <v>2571.7096574417092</v>
      </c>
      <c r="BX27" s="974" t="e">
        <f ca="1">BW27/BV27-1</f>
        <v>#DIV/0!</v>
      </c>
      <c r="BY27" s="939">
        <f>INDEX(Consensus!$A$1:$AU$180,MATCH('Estimate Changes'!$F27,Consensus!$A:$A,0),MATCH('Estimate Changes'!BW$6,Consensus!$4:$4,0))</f>
        <v>2602.1291999999999</v>
      </c>
      <c r="BZ27" s="1201">
        <f ca="1">+BW27/BY27-1</f>
        <v>-1.1690250644852962E-2</v>
      </c>
      <c r="CA27" s="997"/>
      <c r="CB27" s="939"/>
      <c r="CC27" s="939">
        <f ca="1">INDEX(INDIRECT($D27),MATCH('Estimate Changes'!$F27,INDIRECT($C27),0),MATCH('Estimate Changes'!CC$6,INDIRECT($B27),0))</f>
        <v>3247.1012381626606</v>
      </c>
      <c r="CD27" s="974" t="e">
        <f ca="1">CC27/CB27-1</f>
        <v>#DIV/0!</v>
      </c>
      <c r="CE27" s="939">
        <f>INDEX(Consensus!$A$1:$AU$180,MATCH('Estimate Changes'!$F27,Consensus!$A:$A,0),MATCH('Estimate Changes'!CC$6,Consensus!$4:$4,0))</f>
        <v>3219.5</v>
      </c>
      <c r="CF27" s="1201">
        <f ca="1">+CC27/CE27-1</f>
        <v>8.5731443275851582E-3</v>
      </c>
      <c r="CG27" s="997"/>
    </row>
    <row r="28" spans="1:85" s="1574" customFormat="1">
      <c r="A28" s="1573"/>
      <c r="B28" s="1574" t="str">
        <f t="shared" ca="1" si="3"/>
        <v>'Income'!$5:$5</v>
      </c>
      <c r="C28" s="1574" t="str">
        <f t="shared" ca="1" si="4"/>
        <v>'Income'!$A:$A</v>
      </c>
      <c r="D28" s="1574" t="str">
        <f t="shared" ca="1" si="5"/>
        <v>'Income'!$1:$1048576</v>
      </c>
      <c r="E28" s="1575" t="str" cm="1">
        <f t="array" aca="1" ref="E28" ca="1">IFERROR(INDEX(SheetNames,MATCH(1,COUNTIF(INDIRECT("'"&amp;SheetNames&amp;"'!A:A"),$F28),0)),"Not Found")</f>
        <v>Income</v>
      </c>
      <c r="F28" s="940" t="s">
        <v>442</v>
      </c>
      <c r="G28" s="1576">
        <f ca="1">+G27/G$13</f>
        <v>-2.9475918606353395E-2</v>
      </c>
      <c r="H28" s="1576">
        <f t="shared" ref="H28" ca="1" si="59">+H27/H$13</f>
        <v>3.8692709648191555E-2</v>
      </c>
      <c r="I28" s="1576">
        <f t="shared" ref="I28" ca="1" si="60">+I27/I$13</f>
        <v>5.2069121678669714E-3</v>
      </c>
      <c r="J28" s="1576">
        <f t="shared" ref="J28" ca="1" si="61">+J27/J$13</f>
        <v>-1.9230769230769232E-2</v>
      </c>
      <c r="K28" s="1576">
        <f t="shared" ref="K28" ca="1" si="62">+K27/K$13</f>
        <v>8.7367178276269192E-2</v>
      </c>
      <c r="L28" s="1576">
        <f t="shared" ref="L28" ca="1" si="63">+L27/L$13</f>
        <v>0.1633605600933489</v>
      </c>
      <c r="M28" s="1576">
        <f t="shared" ref="M28" ca="1" si="64">+M27/M$13</f>
        <v>0.1875</v>
      </c>
      <c r="N28" s="1576">
        <f t="shared" ref="N28" ca="1" si="65">+N27/N$13</f>
        <v>0.11345609065155807</v>
      </c>
      <c r="O28" s="1576">
        <f t="shared" ref="O28" ca="1" si="66">+O27/O$13</f>
        <v>0.11123052122514777</v>
      </c>
      <c r="P28" s="1006" t="s">
        <v>628</v>
      </c>
      <c r="Q28" s="1581">
        <f ca="1">+Q27/Q$13</f>
        <v>0.1633605600933489</v>
      </c>
      <c r="R28" s="1576"/>
      <c r="S28" s="1576">
        <f t="shared" ref="S28" ca="1" si="67">+S27/S$13</f>
        <v>0.1491442542787286</v>
      </c>
      <c r="T28" s="1576"/>
      <c r="U28" s="1576">
        <f t="shared" ref="U28" si="68">+U27/U$13</f>
        <v>0.15057631295843521</v>
      </c>
      <c r="V28" s="1584"/>
      <c r="W28" s="1576"/>
      <c r="X28" s="1584"/>
      <c r="Y28" s="1576"/>
      <c r="Z28" s="1576">
        <f t="shared" ref="Z28" ca="1" si="69">+Z27/Z$13</f>
        <v>0.18547641073080481</v>
      </c>
      <c r="AA28" s="1576"/>
      <c r="AB28" s="1576">
        <f t="shared" ref="AB28" si="70">+AB27/AB$13</f>
        <v>0.18764677150786307</v>
      </c>
      <c r="AC28" s="1584"/>
      <c r="AD28" s="1584"/>
      <c r="AE28" s="1576"/>
      <c r="AF28" s="1576">
        <f t="shared" ref="AF28" ca="1" si="71">+AF27/AF$13</f>
        <v>0.20316588817841275</v>
      </c>
      <c r="AG28" s="1576"/>
      <c r="AH28" s="1576">
        <f t="shared" ref="AH28" si="72">+AH27/AH$13</f>
        <v>0.20761282065505141</v>
      </c>
      <c r="AI28" s="1576"/>
      <c r="AJ28" s="1576"/>
      <c r="AK28" s="1585"/>
      <c r="AL28" s="1576"/>
      <c r="AM28" s="1576">
        <f t="shared" ref="AM28" ca="1" si="73">+AM27/AM$13</f>
        <v>0.16670606289427123</v>
      </c>
      <c r="AN28" s="1576"/>
      <c r="AO28" s="1576">
        <f t="shared" ref="AO28" si="74">+AO27/AO$13</f>
        <v>0.16886662381444198</v>
      </c>
      <c r="AP28" s="1584"/>
      <c r="AQ28" s="1584"/>
      <c r="AR28" s="1576"/>
      <c r="AS28" s="1576">
        <f t="shared" ref="AS28" ca="1" si="75">+AS27/AS$13</f>
        <v>0.12086403698997299</v>
      </c>
      <c r="AT28" s="1576"/>
      <c r="AU28" s="1576">
        <f t="shared" ref="AU28" si="76">+AU27/AU$13</f>
        <v>0.14903597256277351</v>
      </c>
      <c r="AV28" s="1584"/>
      <c r="AW28" s="1584"/>
      <c r="AX28" s="1576"/>
      <c r="AY28" s="1576">
        <f t="shared" ref="AY28" ca="1" si="77">+AY27/AY$13</f>
        <v>0.18234773583881611</v>
      </c>
      <c r="AZ28" s="1576"/>
      <c r="BA28" s="1576">
        <f t="shared" ref="BA28" si="78">+BA27/BA$13</f>
        <v>0.17333824295631306</v>
      </c>
      <c r="BB28" s="1584"/>
      <c r="BC28" s="1584"/>
      <c r="BD28" s="1576"/>
      <c r="BE28" s="1576">
        <f t="shared" ref="BE28" ca="1" si="79">+BE27/BE$13</f>
        <v>0.20373842670748551</v>
      </c>
      <c r="BF28" s="1576"/>
      <c r="BG28" s="1576">
        <f t="shared" ref="BG28" si="80">+BG27/BG$13</f>
        <v>0.19118677265411105</v>
      </c>
      <c r="BH28" s="1584"/>
      <c r="BI28" s="1584"/>
      <c r="BJ28" s="1576"/>
      <c r="BK28" s="1576">
        <f t="shared" ref="BK28" ca="1" si="81">+BK27/BK$13</f>
        <v>0.22262486824827177</v>
      </c>
      <c r="BL28" s="1576"/>
      <c r="BM28" s="1576">
        <f t="shared" ref="BM28" si="82">+BM27/BM$13</f>
        <v>0.21640178980015751</v>
      </c>
      <c r="BN28" s="1584"/>
      <c r="BO28" s="1584"/>
      <c r="BP28" s="1576"/>
      <c r="BQ28" s="1576">
        <f t="shared" ref="BQ28" ca="1" si="83">+BQ27/BQ$13</f>
        <v>0.18662051404474067</v>
      </c>
      <c r="BR28" s="1576"/>
      <c r="BS28" s="1576">
        <f t="shared" ref="BS28" si="84">+BS27/BS$13</f>
        <v>0.18384989544734306</v>
      </c>
      <c r="BT28" s="1584"/>
      <c r="BU28" s="1584"/>
      <c r="BV28" s="1576"/>
      <c r="BW28" s="1576">
        <f t="shared" ref="BW28" ca="1" si="85">+BW27/BW$13</f>
        <v>0.19899589486621558</v>
      </c>
      <c r="BX28" s="1576"/>
      <c r="BY28" s="1576">
        <f t="shared" ref="BY28" si="86">+BY27/BY$13</f>
        <v>0.19781993790647714</v>
      </c>
      <c r="BZ28" s="1584"/>
      <c r="CA28" s="1584"/>
      <c r="CB28" s="1576"/>
      <c r="CC28" s="1576">
        <f ca="1">+CC27/CC$13</f>
        <v>0.21308160586352251</v>
      </c>
      <c r="CD28" s="1576"/>
      <c r="CE28" s="1576">
        <f>+CE27/CE$13</f>
        <v>0.18605359152490206</v>
      </c>
      <c r="CF28" s="1584"/>
      <c r="CG28" s="1584"/>
    </row>
    <row r="29" spans="1:85" ht="11.25" customHeight="1">
      <c r="B29" s="824" t="str">
        <f t="shared" ca="1" si="3"/>
        <v>'Income'!$5:$5</v>
      </c>
      <c r="C29" s="824" t="str">
        <f t="shared" ca="1" si="4"/>
        <v>'Income'!$A:$A</v>
      </c>
      <c r="D29" s="824" t="str">
        <f t="shared" ca="1" si="5"/>
        <v>'Income'!$1:$1048576</v>
      </c>
      <c r="E29" s="972" t="str" cm="1">
        <f t="array" aca="1" ref="E29" ca="1">IFERROR(INDEX(SheetNames,MATCH(1,COUNTIF(INDIRECT("'"&amp;SheetNames&amp;"'!A:A"),$F29),0)),"Not Found")</f>
        <v>Income</v>
      </c>
      <c r="F29" s="943" t="s">
        <v>443</v>
      </c>
      <c r="G29" s="1019">
        <f ca="1">INDEX(INDIRECT($D29),MATCH('Estimate Changes'!$F29,INDIRECT($C29),0),MATCH('Estimate Changes'!G$6,INDIRECT($B29),0))</f>
        <v>-158.40899999999996</v>
      </c>
      <c r="H29" s="1019">
        <f ca="1">INDEX(INDIRECT($D29),MATCH('Estimate Changes'!$F29,INDIRECT($C29),0),MATCH('Estimate Changes'!H$6,INDIRECT($B29),0))</f>
        <v>-623.69400000000019</v>
      </c>
      <c r="I29" s="1019">
        <f ca="1">INDEX(INDIRECT($D29),MATCH('Estimate Changes'!$F29,INDIRECT($C29),0),MATCH('Estimate Changes'!I$6,INDIRECT($B29),0))</f>
        <v>-3460.4179999999997</v>
      </c>
      <c r="J29" s="1019">
        <f ca="1">INDEX(INDIRECT($D29),MATCH('Estimate Changes'!$F29,INDIRECT($C29),0),MATCH('Estimate Changes'!J$6,INDIRECT($B29),0))</f>
        <v>68</v>
      </c>
      <c r="K29" s="1019">
        <f ca="1">INDEX(INDIRECT($D29),MATCH('Estimate Changes'!$F29,INDIRECT($C29),0),MATCH('Estimate Changes'!K$6,INDIRECT($B29),0))</f>
        <v>-1311</v>
      </c>
      <c r="L29" s="1019">
        <f ca="1">INDEX(INDIRECT($D29),MATCH('Estimate Changes'!$F29,INDIRECT($C29),0),MATCH('Estimate Changes'!L$6,INDIRECT($B29),0))</f>
        <v>718</v>
      </c>
      <c r="M29" s="1019">
        <f ca="1">INDEX(INDIRECT($D29),MATCH('Estimate Changes'!$F29,INDIRECT($C29),0),MATCH('Estimate Changes'!M$6,INDIRECT($B29),0))</f>
        <v>657</v>
      </c>
      <c r="N29" s="1019">
        <f ca="1">INDEX(INDIRECT($D29),MATCH('Estimate Changes'!$F29,INDIRECT($C29),0),MATCH('Estimate Changes'!N$6,INDIRECT($B29),0))</f>
        <v>132</v>
      </c>
      <c r="O29" s="1019">
        <f ca="1">INDEX(INDIRECT($D29),MATCH('Estimate Changes'!$F29,INDIRECT($C29),0),MATCH('Estimate Changes'!O$6,INDIRECT($B29),0))</f>
        <v>-273</v>
      </c>
      <c r="P29" s="1008" t="s">
        <v>519</v>
      </c>
      <c r="Q29" s="1009">
        <f ca="1">INDEX(INDIRECT($D29),MATCH('Estimate Changes'!$F29,INDIRECT($C29),0),MATCH('Estimate Changes'!Q$6,INDIRECT($B29),0))</f>
        <v>718</v>
      </c>
      <c r="R29" s="1010"/>
      <c r="S29" s="1010">
        <f ca="1">INDEX(INDIRECT($D29),MATCH('Estimate Changes'!$F29,INDIRECT($C29),0),MATCH('Estimate Changes'!S$6,INDIRECT($B29),0))</f>
        <v>171</v>
      </c>
      <c r="T29" s="1011" t="e">
        <f ca="1">S29/R29-1</f>
        <v>#DIV/0!</v>
      </c>
      <c r="U29" s="1010">
        <f>INDEX(Consensus!$A$1:$AU$180,MATCH('Estimate Changes'!$F29,Consensus!$A:$A,0),MATCH('Estimate Changes'!S$6,Consensus!$4:$4,0))</f>
        <v>345</v>
      </c>
      <c r="V29" s="1013">
        <f ca="1">+S29/U29-1</f>
        <v>-0.5043478260869565</v>
      </c>
      <c r="W29" s="1012"/>
      <c r="X29" s="1013" t="e">
        <f ca="1">+S29/W29-1</f>
        <v>#DIV/0!</v>
      </c>
      <c r="Y29" s="1010"/>
      <c r="Z29" s="1010">
        <f ca="1">INDEX(INDIRECT($D29),MATCH('Estimate Changes'!$F29,INDIRECT($C29),0),MATCH('Estimate Changes'!Z$6,INDIRECT($B29),0))</f>
        <v>828</v>
      </c>
      <c r="AA29" s="1011" t="e">
        <f ca="1">Z29/Y29-1</f>
        <v>#DIV/0!</v>
      </c>
      <c r="AB29" s="1010">
        <f>INDEX(Consensus!$A$1:$AU$180,MATCH('Estimate Changes'!$F29,Consensus!$A:$A,0),MATCH('Estimate Changes'!Z$6,Consensus!$4:$4,0))</f>
        <v>344</v>
      </c>
      <c r="AC29" s="1013">
        <f ca="1">+Z29/AB29-1</f>
        <v>1.4069767441860463</v>
      </c>
      <c r="AD29" s="1014"/>
      <c r="AE29" s="1010"/>
      <c r="AF29" s="1010">
        <f ca="1">INDEX(INDIRECT($D29),MATCH('Estimate Changes'!$F29,INDIRECT($C29),0),MATCH('Estimate Changes'!AF$6,INDIRECT($B29),0))</f>
        <v>394.8646892579668</v>
      </c>
      <c r="AG29" s="1011" t="e">
        <f ca="1">AF29/AE29-1</f>
        <v>#DIV/0!</v>
      </c>
      <c r="AH29" s="1010">
        <f>INDEX(Consensus!$A$1:$AU$180,MATCH('Estimate Changes'!$F29,Consensus!$A:$A,0),MATCH('Estimate Changes'!AF$6,Consensus!$4:$4,0))</f>
        <v>552.62980000000005</v>
      </c>
      <c r="AI29" s="1011">
        <f ca="1">+AF29/AH29-1</f>
        <v>-0.28548064317565436</v>
      </c>
      <c r="AJ29" s="1012"/>
      <c r="AK29" s="1210"/>
      <c r="AL29" s="1015"/>
      <c r="AM29" s="1015">
        <f ca="1">INDEX(INDIRECT($D29),MATCH('Estimate Changes'!$F29,INDIRECT($C29),0),MATCH('Estimate Changes'!AM$6,INDIRECT($B29),0))</f>
        <v>1120.8646892579668</v>
      </c>
      <c r="AN29" s="1016" t="e">
        <f ca="1">AM29/AL29-1</f>
        <v>#DIV/0!</v>
      </c>
      <c r="AO29" s="1015">
        <f>INDEX(Consensus!$A$1:$AU$180,MATCH('Estimate Changes'!$F29,Consensus!$A:$A,0),MATCH('Estimate Changes'!AM$6,Consensus!$4:$4,0))</f>
        <v>1625.3815999999999</v>
      </c>
      <c r="AP29" s="1203">
        <f ca="1">+AM29/AO29-1</f>
        <v>-0.31039905382344257</v>
      </c>
      <c r="AQ29" s="1017"/>
      <c r="AR29" s="1010"/>
      <c r="AS29" s="1010">
        <f ca="1">INDEX(INDIRECT($D29),MATCH('Estimate Changes'!$F29,INDIRECT($C29),0),MATCH('Estimate Changes'!AS$6,INDIRECT($B29),0))</f>
        <v>176.78994364722934</v>
      </c>
      <c r="AT29" s="1011" t="e">
        <f ca="1">AS29/AR29-1</f>
        <v>#DIV/0!</v>
      </c>
      <c r="AU29" s="1010">
        <f>INDEX(Consensus!$A$1:$AU$180,MATCH('Estimate Changes'!$F29,Consensus!$A:$A,0),MATCH('Estimate Changes'!AS$6,Consensus!$4:$4,0))</f>
        <v>335.86826000000002</v>
      </c>
      <c r="AV29" s="1013">
        <f ca="1">+AS29/AU29-1</f>
        <v>-0.47363307373185748</v>
      </c>
      <c r="AW29" s="1014"/>
      <c r="AX29" s="1010"/>
      <c r="AY29" s="1010">
        <f ca="1">INDEX(INDIRECT($D29),MATCH('Estimate Changes'!$F29,INDIRECT($C29),0),MATCH('Estimate Changes'!AY$6,INDIRECT($B29),0))</f>
        <v>319.79566296475468</v>
      </c>
      <c r="AZ29" s="1011" t="e">
        <f ca="1">AY29/AX29-1</f>
        <v>#DIV/0!</v>
      </c>
      <c r="BA29" s="1010">
        <f>INDEX(Consensus!$A$1:$AU$180,MATCH('Estimate Changes'!$F29,Consensus!$A:$A,0),MATCH('Estimate Changes'!AY$6,Consensus!$4:$4,0))</f>
        <v>422.08337</v>
      </c>
      <c r="BB29" s="1013">
        <f ca="1">+AY29/BA29-1</f>
        <v>-0.24234005484567023</v>
      </c>
      <c r="BC29" s="1014"/>
      <c r="BD29" s="1010"/>
      <c r="BE29" s="1010">
        <f ca="1">INDEX(INDIRECT($D29),MATCH('Estimate Changes'!$F29,INDIRECT($C29),0),MATCH('Estimate Changes'!BE$6,INDIRECT($B29),0))</f>
        <v>382.25395551576793</v>
      </c>
      <c r="BF29" s="1011" t="e">
        <f ca="1">BE29/BD29-1</f>
        <v>#DIV/0!</v>
      </c>
      <c r="BG29" s="1010">
        <f>INDEX(Consensus!$A$1:$AU$180,MATCH('Estimate Changes'!$F29,Consensus!$A:$A,0),MATCH('Estimate Changes'!BE$6,Consensus!$4:$4,0))</f>
        <v>480.82443000000001</v>
      </c>
      <c r="BH29" s="1013">
        <f ca="1">+BE29/BG29-1</f>
        <v>-0.20500304962506188</v>
      </c>
      <c r="BI29" s="1014"/>
      <c r="BJ29" s="1010"/>
      <c r="BK29" s="1010">
        <f ca="1">INDEX(INDIRECT($D29),MATCH('Estimate Changes'!$F29,INDIRECT($C29),0),MATCH('Estimate Changes'!BK$6,INDIRECT($B29),0))</f>
        <v>533.63240406928321</v>
      </c>
      <c r="BL29" s="1011" t="e">
        <f ca="1">BK29/BJ29-1</f>
        <v>#DIV/0!</v>
      </c>
      <c r="BM29" s="1010">
        <f>INDEX(Consensus!$A$1:$AU$180,MATCH('Estimate Changes'!$F29,Consensus!$A:$A,0),MATCH('Estimate Changes'!BK$6,Consensus!$4:$4,0))</f>
        <v>676.00379999999996</v>
      </c>
      <c r="BN29" s="1013">
        <f ca="1">+BK29/BM29-1</f>
        <v>-0.21060738997431194</v>
      </c>
      <c r="BO29" s="1014"/>
      <c r="BP29" s="1015"/>
      <c r="BQ29" s="1015">
        <f ca="1">INDEX(INDIRECT($D29),MATCH('Estimate Changes'!$F29,INDIRECT($C29),0),MATCH('Estimate Changes'!BQ$6,INDIRECT($B29),0))</f>
        <v>1412.4719661970353</v>
      </c>
      <c r="BR29" s="1016" t="e">
        <f ca="1">BQ29/BP29-1</f>
        <v>#DIV/0!</v>
      </c>
      <c r="BS29" s="1015">
        <f>INDEX(Consensus!$A$1:$AU$180,MATCH('Estimate Changes'!$F29,Consensus!$A:$A,0),MATCH('Estimate Changes'!BQ$6,Consensus!$4:$4,0))</f>
        <v>2013.152</v>
      </c>
      <c r="BT29" s="1203">
        <f ca="1">+BQ29/BS29-1</f>
        <v>-0.29837788393671449</v>
      </c>
      <c r="BU29" s="1017"/>
      <c r="BV29" s="1015"/>
      <c r="BW29" s="1015">
        <f ca="1">INDEX(INDIRECT($D29),MATCH('Estimate Changes'!$F29,INDIRECT($C29),0),MATCH('Estimate Changes'!BW$6,INDIRECT($B29),0))</f>
        <v>1809.9111232481569</v>
      </c>
      <c r="BX29" s="1016" t="e">
        <f ca="1">BW29/BV29-1</f>
        <v>#DIV/0!</v>
      </c>
      <c r="BY29" s="1015">
        <f>INDEX(Consensus!$A$1:$AU$180,MATCH('Estimate Changes'!$F29,Consensus!$A:$A,0),MATCH('Estimate Changes'!BW$6,Consensus!$4:$4,0))</f>
        <v>2556.6604000000002</v>
      </c>
      <c r="BZ29" s="1203">
        <f ca="1">+BW29/BY29-1</f>
        <v>-0.29207996367129685</v>
      </c>
      <c r="CA29" s="1017"/>
      <c r="CB29" s="1015"/>
      <c r="CC29" s="1015">
        <f ca="1">INDEX(INDIRECT($D29),MATCH('Estimate Changes'!$F29,INDIRECT($C29),0),MATCH('Estimate Changes'!CC$6,INDIRECT($B29),0))</f>
        <v>2307.5844878539356</v>
      </c>
      <c r="CD29" s="1016" t="e">
        <f ca="1">CC29/CB29-1</f>
        <v>#DIV/0!</v>
      </c>
      <c r="CE29" s="1015">
        <f>INDEX(Consensus!$A$1:$AU$180,MATCH('Estimate Changes'!$F29,Consensus!$A:$A,0),MATCH('Estimate Changes'!CC$6,Consensus!$4:$4,0))</f>
        <v>3250.2156</v>
      </c>
      <c r="CF29" s="1203">
        <f ca="1">+CC29/CE29-1</f>
        <v>-0.2900211026450259</v>
      </c>
      <c r="CG29" s="1017"/>
    </row>
    <row r="30" spans="1:85" s="1574" customFormat="1">
      <c r="A30" s="1573"/>
      <c r="B30" s="1574" t="str">
        <f t="shared" ca="1" si="3"/>
        <v>'Income'!$5:$5</v>
      </c>
      <c r="C30" s="1574" t="str">
        <f t="shared" ca="1" si="4"/>
        <v>'Income'!$A:$A</v>
      </c>
      <c r="D30" s="1574" t="str">
        <f t="shared" ca="1" si="5"/>
        <v>'Income'!$1:$1048576</v>
      </c>
      <c r="E30" s="1575" t="str" cm="1">
        <f t="array" aca="1" ref="E30" ca="1">IFERROR(INDEX(SheetNames,MATCH(1,COUNTIF(INDIRECT("'"&amp;SheetNames&amp;"'!A:A"),$F30),0)),"Not Found")</f>
        <v>Income</v>
      </c>
      <c r="F30" s="940" t="s">
        <v>444</v>
      </c>
      <c r="L30" s="1576">
        <f ca="1">L29/G29-1</f>
        <v>-5.5325707503992838</v>
      </c>
      <c r="M30" s="1576">
        <f t="shared" ref="M30" ca="1" si="87">M29/H29-1</f>
        <v>-2.053401187120607</v>
      </c>
      <c r="N30" s="1576">
        <f t="shared" ref="N30" ca="1" si="88">N29/I29-1</f>
        <v>-1.0381456806663241</v>
      </c>
      <c r="O30" s="1576">
        <f t="shared" ref="O30" ca="1" si="89">O29/J29-1</f>
        <v>-5.0147058823529411</v>
      </c>
      <c r="P30" s="941" t="s">
        <v>433</v>
      </c>
      <c r="Q30" s="1581">
        <f ca="1">Q29/G29-1</f>
        <v>-5.5325707503992838</v>
      </c>
      <c r="R30" s="1576"/>
      <c r="S30" s="1576">
        <f ca="1">S29/K29-1</f>
        <v>-1.1304347826086956</v>
      </c>
      <c r="U30" s="1576">
        <f ca="1">+U29/K29-1</f>
        <v>-1.263157894736842</v>
      </c>
      <c r="V30" s="1582"/>
      <c r="W30" s="1576"/>
      <c r="X30" s="1582"/>
      <c r="Y30" s="1576"/>
      <c r="Z30" s="1576">
        <f ca="1">Z29/L29-1</f>
        <v>0.15320334261838431</v>
      </c>
      <c r="AB30" s="1576">
        <f ca="1">+AB29/L29-1</f>
        <v>-0.52089136490250698</v>
      </c>
      <c r="AC30" s="1582"/>
      <c r="AD30" s="1582"/>
      <c r="AE30" s="1576"/>
      <c r="AF30" s="1576">
        <f ca="1">AF29/M29-1</f>
        <v>-0.39898829641100941</v>
      </c>
      <c r="AH30" s="1576">
        <f ca="1">+AH29/M29-1</f>
        <v>-0.15885875190258747</v>
      </c>
      <c r="AK30" s="1583"/>
      <c r="AL30" s="1576"/>
      <c r="AM30" s="1576">
        <f ca="1">AM29/N29-1</f>
        <v>7.4913991610452033</v>
      </c>
      <c r="AO30" s="1576">
        <f ca="1">+AO29/N29-1</f>
        <v>11.313496969696969</v>
      </c>
      <c r="AP30" s="1582"/>
      <c r="AQ30" s="1582"/>
      <c r="AR30" s="1576"/>
      <c r="AS30" s="1576">
        <f ca="1">AS29/O29-1</f>
        <v>-1.6475822111620122</v>
      </c>
      <c r="AU30" s="1576" t="e">
        <f>+AU29/W29-1</f>
        <v>#DIV/0!</v>
      </c>
      <c r="AV30" s="1582"/>
      <c r="AW30" s="1582"/>
      <c r="AX30" s="1576"/>
      <c r="AY30" s="1576">
        <f ca="1">AY29/S29-1</f>
        <v>0.87015007581727888</v>
      </c>
      <c r="BA30" s="1576" t="e">
        <f>+BA29/W29-1</f>
        <v>#DIV/0!</v>
      </c>
      <c r="BB30" s="1582"/>
      <c r="BC30" s="1582"/>
      <c r="BD30" s="1576"/>
      <c r="BE30" s="1576">
        <f ca="1">BE29/Z29-1</f>
        <v>-0.53834063343506289</v>
      </c>
      <c r="BG30" s="1576">
        <f>+BG29/AB29-1</f>
        <v>0.39774543604651158</v>
      </c>
      <c r="BH30" s="1582"/>
      <c r="BI30" s="1582"/>
      <c r="BJ30" s="1576"/>
      <c r="BK30" s="1576">
        <f ca="1">BK29/AF29-1</f>
        <v>0.35143105622356341</v>
      </c>
      <c r="BM30" s="1576">
        <f>+BM29/AH29-1</f>
        <v>0.22324890912505957</v>
      </c>
      <c r="BN30" s="1582"/>
      <c r="BO30" s="1582"/>
      <c r="BP30" s="1576"/>
      <c r="BQ30" s="1576">
        <f ca="1">BQ29/AM29-1</f>
        <v>0.26016278301363727</v>
      </c>
      <c r="BS30" s="1576">
        <f>+BS29/AO29-1</f>
        <v>0.23857191443535486</v>
      </c>
      <c r="BT30" s="1582"/>
      <c r="BU30" s="1582"/>
      <c r="BV30" s="1576"/>
      <c r="BW30" s="1576">
        <f ca="1">BW29/BQ29-1</f>
        <v>0.28137843905050652</v>
      </c>
      <c r="BY30" s="1576">
        <f>+BY29/BS29-1</f>
        <v>0.26997881928438594</v>
      </c>
      <c r="BZ30" s="1582"/>
      <c r="CA30" s="1582"/>
      <c r="CB30" s="1576"/>
      <c r="CC30" s="1576">
        <f ca="1">CC29/BW29-1</f>
        <v>0.2749711619610522</v>
      </c>
      <c r="CE30" s="1576">
        <f>+CE29/BY29-1</f>
        <v>0.27127388526063134</v>
      </c>
      <c r="CF30" s="1582"/>
      <c r="CG30" s="1582"/>
    </row>
    <row r="31" spans="1:85">
      <c r="B31" s="824" t="str">
        <f t="shared" ca="1" si="3"/>
        <v>'Income'!$5:$5</v>
      </c>
      <c r="C31" s="824" t="str">
        <f t="shared" ca="1" si="4"/>
        <v>'Income'!$A:$A</v>
      </c>
      <c r="D31" s="824" t="str">
        <f t="shared" ca="1" si="5"/>
        <v>'Income'!$1:$1048576</v>
      </c>
      <c r="E31" s="972" t="str" cm="1">
        <f t="array" aca="1" ref="E31" ca="1">IFERROR(INDEX(SheetNames,MATCH(1,COUNTIF(INDIRECT("'"&amp;SheetNames&amp;"'!A:A"),$F31),0)),"Not Found")</f>
        <v>Income</v>
      </c>
      <c r="F31" s="943" t="s">
        <v>88</v>
      </c>
      <c r="G31" s="1018">
        <f ca="1">INDEX(INDIRECT($D31),MATCH('Estimate Changes'!$F31,INDIRECT($C31),0),MATCH('Estimate Changes'!G$6,INDIRECT($B31),0))</f>
        <v>-0.12478797234804594</v>
      </c>
      <c r="H31" s="1018">
        <f ca="1">INDEX(INDIRECT($D31),MATCH('Estimate Changes'!$F31,INDIRECT($C31),0),MATCH('Estimate Changes'!H$6,INDIRECT($B31),0))</f>
        <v>-0.48980993749720064</v>
      </c>
      <c r="I31" s="1018">
        <f ca="1">INDEX(INDIRECT($D31),MATCH('Estimate Changes'!$F31,INDIRECT($C31),0),MATCH('Estimate Changes'!I$6,INDIRECT($B31),0))</f>
        <v>-2.732768715959693</v>
      </c>
      <c r="J31" s="1018">
        <f ca="1">INDEX(INDIRECT($D31),MATCH('Estimate Changes'!$F31,INDIRECT($C31),0),MATCH('Estimate Changes'!J$6,INDIRECT($B31),0))</f>
        <v>5.2644534270144469E-2</v>
      </c>
      <c r="K31" s="1018">
        <f ca="1">INDEX(INDIRECT($D31),MATCH('Estimate Changes'!$F31,INDIRECT($C31),0),MATCH('Estimate Changes'!K$6,INDIRECT($B31),0))</f>
        <v>-1.0238926705812337</v>
      </c>
      <c r="L31" s="1018">
        <f ca="1">INDEX(INDIRECT($D31),MATCH('Estimate Changes'!$F31,INDIRECT($C31),0),MATCH('Estimate Changes'!L$6,INDIRECT($B31),0))</f>
        <v>0.5540849461982128</v>
      </c>
      <c r="M31" s="1018">
        <f ca="1">INDEX(INDIRECT($D31),MATCH('Estimate Changes'!$F31,INDIRECT($C31),0),MATCH('Estimate Changes'!M$6,INDIRECT($B31),0))</f>
        <v>0.50643817195904783</v>
      </c>
      <c r="N31" s="1018">
        <f ca="1">INDEX(INDIRECT($D31),MATCH('Estimate Changes'!$F31,INDIRECT($C31),0),MATCH('Estimate Changes'!N$6,INDIRECT($B31),0))</f>
        <v>0.10189026629048112</v>
      </c>
      <c r="O31" s="1018">
        <f ca="1">INDEX(INDIRECT($D31),MATCH('Estimate Changes'!$F31,INDIRECT($C31),0),MATCH('Estimate Changes'!O$6,INDIRECT($B31),0))</f>
        <v>-0.21205914008764981</v>
      </c>
      <c r="P31" s="947" t="s">
        <v>88</v>
      </c>
      <c r="Q31" s="1020">
        <f ca="1">INDEX(INDIRECT($D31),MATCH('Estimate Changes'!$F31,INDIRECT($C31),0),MATCH('Estimate Changes'!Q$6,INDIRECT($B31),0))</f>
        <v>0.5540849461982128</v>
      </c>
      <c r="R31" s="938"/>
      <c r="S31" s="1021">
        <f ca="1">INDEX(INDIRECT($D31),MATCH('Estimate Changes'!$F31,INDIRECT($C31),0),MATCH('Estimate Changes'!S$6,INDIRECT($B31),0))</f>
        <v>0.13154725709164128</v>
      </c>
      <c r="T31" s="973" t="e">
        <f ca="1">S31/R31-1</f>
        <v>#DIV/0!</v>
      </c>
      <c r="U31" s="1021">
        <f>INDEX(Consensus!$A$1:$AU$180,MATCH('Estimate Changes'!$F31,Consensus!$A:$A,0),MATCH('Estimate Changes'!S$6,Consensus!$4:$4,0))</f>
        <v>0.13</v>
      </c>
      <c r="V31" s="995">
        <f ca="1">+S31/U31-1</f>
        <v>1.1901977628009819E-2</v>
      </c>
      <c r="W31" s="1022"/>
      <c r="X31" s="995" t="e">
        <f ca="1">+S31/W31-1</f>
        <v>#DIV/0!</v>
      </c>
      <c r="Y31" s="1021"/>
      <c r="Z31" s="1021">
        <f ca="1">INDEX(INDIRECT($D31),MATCH('Estimate Changes'!$F31,INDIRECT($C31),0),MATCH('Estimate Changes'!Z$6,INDIRECT($B31),0))</f>
        <v>0.63613981460685431</v>
      </c>
      <c r="AA31" s="973" t="e">
        <f ca="1">Z31/Y31-1</f>
        <v>#DIV/0!</v>
      </c>
      <c r="AB31" s="1021">
        <f>INDEX(Consensus!$A$1:$AU$180,MATCH('Estimate Changes'!$F31,Consensus!$A:$A,0),MATCH('Estimate Changes'!Z$6,Consensus!$4:$4,0))</f>
        <v>0.63807959999999997</v>
      </c>
      <c r="AC31" s="995">
        <f ca="1">+Z31/AB31-1</f>
        <v>-3.0400366868735818E-3</v>
      </c>
      <c r="AD31" s="1023"/>
      <c r="AE31" s="1021"/>
      <c r="AF31" s="1021">
        <f ca="1">INDEX(INDIRECT($D31),MATCH('Estimate Changes'!$F31,INDIRECT($C31),0),MATCH('Estimate Changes'!AF$6,INDIRECT($B31),0))</f>
        <v>0.302786972340858</v>
      </c>
      <c r="AG31" s="973" t="e">
        <f ca="1">AF31/AE31-1</f>
        <v>#DIV/0!</v>
      </c>
      <c r="AH31" s="1021">
        <f>INDEX(Consensus!$A$1:$AU$180,MATCH('Estimate Changes'!$F31,Consensus!$A:$A,0),MATCH('Estimate Changes'!AF$6,Consensus!$4:$4,0))</f>
        <v>0.34055999999999997</v>
      </c>
      <c r="AI31" s="973">
        <f ca="1">+AF31/AH31-1</f>
        <v>-0.11091445753800211</v>
      </c>
      <c r="AJ31" s="1022"/>
      <c r="AK31" s="1211"/>
      <c r="AL31" s="1024"/>
      <c r="AM31" s="1024">
        <f ca="1">INDEX(INDIRECT($D31),MATCH('Estimate Changes'!$F31,INDIRECT($C31),0),MATCH('Estimate Changes'!AM$6,INDIRECT($B31),0))</f>
        <v>0.86336730837035214</v>
      </c>
      <c r="AN31" s="974" t="e">
        <f ca="1">AM31/AL31-1</f>
        <v>#DIV/0!</v>
      </c>
      <c r="AO31" s="1024">
        <f>INDEX(Consensus!$A$1:$AU$180,MATCH('Estimate Changes'!$F31,Consensus!$A:$A,0),MATCH('Estimate Changes'!AM$6,Consensus!$4:$4,0))</f>
        <v>0.90200495999999997</v>
      </c>
      <c r="AP31" s="1201">
        <f ca="1">+AM31/AO31-1</f>
        <v>-4.2835298410829004E-2</v>
      </c>
      <c r="AQ31" s="1025"/>
      <c r="AR31" s="1021"/>
      <c r="AS31" s="1021">
        <f ca="1">INDEX(INDIRECT($D31),MATCH('Estimate Changes'!$F31,INDIRECT($C31),0),MATCH('Estimate Changes'!AS$6,INDIRECT($B31),0))</f>
        <v>0.13530526166154727</v>
      </c>
      <c r="AT31" s="973" t="e">
        <f ca="1">AS31/AR31-1</f>
        <v>#DIV/0!</v>
      </c>
      <c r="AU31" s="1021">
        <f>INDEX(Consensus!$A$1:$AU$180,MATCH('Estimate Changes'!$F31,Consensus!$A:$A,0),MATCH('Estimate Changes'!AS$6,Consensus!$4:$4,0))</f>
        <v>0.19200249999999999</v>
      </c>
      <c r="AV31" s="995">
        <f ca="1">+AS31/AU31-1</f>
        <v>-0.29529427136861619</v>
      </c>
      <c r="AW31" s="1023"/>
      <c r="AX31" s="1021"/>
      <c r="AY31" s="1021">
        <f ca="1">INDEX(INDIRECT($D31),MATCH('Estimate Changes'!$F31,INDIRECT($C31),0),MATCH('Estimate Changes'!AY$6,INDIRECT($B31),0))</f>
        <v>0.24428653480466567</v>
      </c>
      <c r="AZ31" s="973" t="e">
        <f ca="1">AY31/AX31-1</f>
        <v>#DIV/0!</v>
      </c>
      <c r="BA31" s="1021">
        <f>INDEX(Consensus!$A$1:$AU$180,MATCH('Estimate Changes'!$F31,Consensus!$A:$A,0),MATCH('Estimate Changes'!AY$6,Consensus!$4:$4,0))</f>
        <v>0.25275700000000001</v>
      </c>
      <c r="BB31" s="995">
        <f ca="1">+AY31/BA31-1</f>
        <v>-3.3512287277243868E-2</v>
      </c>
      <c r="BC31" s="1023"/>
      <c r="BD31" s="1021"/>
      <c r="BE31" s="1021">
        <f ca="1">INDEX(INDIRECT($D31),MATCH('Estimate Changes'!$F31,INDIRECT($C31),0),MATCH('Estimate Changes'!BE$6,INDIRECT($B31),0))</f>
        <v>0.29144080842528025</v>
      </c>
      <c r="BF31" s="973" t="e">
        <f ca="1">BE31/BD31-1</f>
        <v>#DIV/0!</v>
      </c>
      <c r="BG31" s="1021">
        <f>INDEX(Consensus!$A$1:$AU$180,MATCH('Estimate Changes'!$F31,Consensus!$A:$A,0),MATCH('Estimate Changes'!BE$6,Consensus!$4:$4,0))</f>
        <v>0.29405506999999997</v>
      </c>
      <c r="BH31" s="995">
        <f ca="1">+BE31/BG31-1</f>
        <v>-8.8903808892658587E-3</v>
      </c>
      <c r="BI31" s="1023"/>
      <c r="BJ31" s="1021"/>
      <c r="BK31" s="1026">
        <f ca="1">INDEX(INDIRECT($D31),MATCH('Estimate Changes'!$F31,INDIRECT($C31),0),MATCH('Estimate Changes'!BK$6,INDIRECT($B31),0))</f>
        <v>0.40608183371098111</v>
      </c>
      <c r="BL31" s="973" t="e">
        <f ca="1">BK31/BJ31-1</f>
        <v>#DIV/0!</v>
      </c>
      <c r="BM31" s="1026">
        <f>INDEX(Consensus!$A$1:$AU$180,MATCH('Estimate Changes'!$F31,Consensus!$A:$A,0),MATCH('Estimate Changes'!BK$6,Consensus!$4:$4,0))</f>
        <v>0.43495800000000001</v>
      </c>
      <c r="BN31" s="995">
        <f ca="1">+BK31/BM31-1</f>
        <v>-6.6388401383625339E-2</v>
      </c>
      <c r="BO31" s="1023"/>
      <c r="BP31" s="1024"/>
      <c r="BQ31" s="1024">
        <f ca="1">INDEX(INDIRECT($D31),MATCH('Estimate Changes'!$F31,INDIRECT($C31),0),MATCH('Estimate Changes'!BQ$6,INDIRECT($B31),0))</f>
        <v>1.0779343374458044</v>
      </c>
      <c r="BR31" s="974" t="e">
        <f ca="1">BQ31/BP31-1</f>
        <v>#DIV/0!</v>
      </c>
      <c r="BS31" s="1024">
        <f>INDEX(Consensus!$A$1:$AU$180,MATCH('Estimate Changes'!$F31,Consensus!$A:$A,0),MATCH('Estimate Changes'!BQ$6,Consensus!$4:$4,0))</f>
        <v>1.1713703</v>
      </c>
      <c r="BT31" s="1201">
        <f ca="1">+BQ31/BS31-1</f>
        <v>-7.976637494923311E-2</v>
      </c>
      <c r="BU31" s="1025"/>
      <c r="BV31" s="1024"/>
      <c r="BW31" s="1024">
        <f ca="1">INDEX(INDIRECT($D31),MATCH('Estimate Changes'!$F31,INDIRECT($C31),0),MATCH('Estimate Changes'!BW$6,INDIRECT($B31),0))</f>
        <v>1.3707806445382316</v>
      </c>
      <c r="BX31" s="974" t="e">
        <f ca="1">BW31/BV31-1</f>
        <v>#DIV/0!</v>
      </c>
      <c r="BY31" s="1024">
        <f>INDEX(Consensus!$A$1:$AU$180,MATCH('Estimate Changes'!$F31,Consensus!$A:$A,0),MATCH('Estimate Changes'!BW$6,Consensus!$4:$4,0))</f>
        <v>1.5342541999999999</v>
      </c>
      <c r="BZ31" s="1201">
        <f ca="1">+BW31/BY31-1</f>
        <v>-0.10654919860201029</v>
      </c>
      <c r="CA31" s="1025"/>
      <c r="CB31" s="1024"/>
      <c r="CC31" s="1024">
        <f ca="1">INDEX(INDIRECT($D31),MATCH('Estimate Changes'!$F31,INDIRECT($C31),0),MATCH('Estimate Changes'!CC$6,INDIRECT($B31),0))</f>
        <v>1.7345686097470046</v>
      </c>
      <c r="CD31" s="974" t="e">
        <f ca="1">CC31/CB31-1</f>
        <v>#DIV/0!</v>
      </c>
      <c r="CE31" s="1024">
        <f>INDEX(Consensus!$A$1:$AU$180,MATCH('Estimate Changes'!$F31,Consensus!$A:$A,0),MATCH('Estimate Changes'!CC$6,Consensus!$4:$4,0))</f>
        <v>2.2300650000000002</v>
      </c>
      <c r="CF31" s="1201">
        <f ca="1">+CC31/CE31-1</f>
        <v>-0.22218921432917682</v>
      </c>
      <c r="CG31" s="1025"/>
    </row>
    <row r="32" spans="1:85">
      <c r="B32" s="824" t="str">
        <f t="shared" ca="1" si="3"/>
        <v>'Cash Flow'!$5:$5</v>
      </c>
      <c r="C32" s="824" t="str">
        <f t="shared" ca="1" si="4"/>
        <v>'Cash Flow'!$A:$A</v>
      </c>
      <c r="D32" s="824" t="str">
        <f t="shared" ca="1" si="5"/>
        <v>'Cash Flow'!$1:$1048576</v>
      </c>
      <c r="E32" s="972" t="str" cm="1">
        <f t="array" aca="1" ref="E32" ca="1">IFERROR(INDEX(SheetNames,MATCH(1,COUNTIF(INDIRECT("'"&amp;SheetNames&amp;"'!A:A"),$F32),0)),"Not Found")</f>
        <v>Cash Flow</v>
      </c>
      <c r="F32" s="943" t="s">
        <v>445</v>
      </c>
      <c r="G32" s="1019">
        <f ca="1">INDEX(INDIRECT($D32),MATCH('Estimate Changes'!$F32,INDIRECT($C32),0),MATCH('Estimate Changes'!G$6,INDIRECT($B32),0))</f>
        <v>-214.10600000000002</v>
      </c>
      <c r="H32" s="1019">
        <f ca="1">INDEX(INDIRECT($D32),MATCH('Estimate Changes'!$F32,INDIRECT($C32),0),MATCH('Estimate Changes'!H$6,INDIRECT($B32),0))</f>
        <v>255.38500000000002</v>
      </c>
      <c r="I32" s="1019">
        <f ca="1">INDEX(INDIRECT($D32),MATCH('Estimate Changes'!$F32,INDIRECT($C32),0),MATCH('Estimate Changes'!I$6,INDIRECT($B32),0))</f>
        <v>-136.44800000000001</v>
      </c>
      <c r="J32" s="1019">
        <f ca="1">INDEX(INDIRECT($D32),MATCH('Estimate Changes'!$F32,INDIRECT($C32),0),MATCH('Estimate Changes'!J$6,INDIRECT($B32),0))</f>
        <v>100</v>
      </c>
      <c r="K32" s="1019">
        <f ca="1">INDEX(INDIRECT($D32),MATCH('Estimate Changes'!$F32,INDIRECT($C32),0),MATCH('Estimate Changes'!K$6,INDIRECT($B32),0))</f>
        <v>118</v>
      </c>
      <c r="L32" s="1019">
        <f ca="1">INDEX(INDIRECT($D32),MATCH('Estimate Changes'!$F32,INDIRECT($C32),0),MATCH('Estimate Changes'!L$6,INDIRECT($B32),0))</f>
        <v>278</v>
      </c>
      <c r="M32" s="1019">
        <f ca="1">INDEX(INDIRECT($D32),MATCH('Estimate Changes'!$F32,INDIRECT($C32),0),MATCH('Estimate Changes'!M$6,INDIRECT($B32),0))</f>
        <v>448</v>
      </c>
      <c r="N32" s="1019">
        <f ca="1">INDEX(INDIRECT($D32),MATCH('Estimate Changes'!$F32,INDIRECT($C32),0),MATCH('Estimate Changes'!N$6,INDIRECT($B32),0))</f>
        <v>944</v>
      </c>
      <c r="O32" s="1019">
        <f ca="1">INDEX(INDIRECT($D32),MATCH('Estimate Changes'!$F32,INDIRECT($C32),0),MATCH('Estimate Changes'!O$6,INDIRECT($B32),0))</f>
        <v>238</v>
      </c>
      <c r="P32" s="1008" t="s">
        <v>639</v>
      </c>
      <c r="Q32" s="1009">
        <f ca="1">INDEX(INDIRECT($D32),MATCH('Estimate Changes'!$F32,INDIRECT($C32),0),MATCH('Estimate Changes'!Q$6,INDIRECT($B32),0))</f>
        <v>278</v>
      </c>
      <c r="R32" s="1010"/>
      <c r="S32" s="1010">
        <f ca="1">INDEX(INDIRECT($D32),MATCH('Estimate Changes'!$F32,INDIRECT($C32),0),MATCH('Estimate Changes'!S$6,INDIRECT($B32),0))</f>
        <v>340</v>
      </c>
      <c r="T32" s="1011" t="e">
        <f ca="1">S32/R32-1</f>
        <v>#DIV/0!</v>
      </c>
      <c r="U32" s="1010">
        <f>INDEX(Consensus!$A$1:$AU$180,MATCH('Estimate Changes'!$F32,Consensus!$A:$A,0),MATCH('Estimate Changes'!S$6,Consensus!$4:$4,0))</f>
        <v>340</v>
      </c>
      <c r="V32" s="1013">
        <f ca="1">+S32/U32-1</f>
        <v>0</v>
      </c>
      <c r="W32" s="1012"/>
      <c r="X32" s="1013" t="e">
        <f ca="1">+S32/W32-1</f>
        <v>#DIV/0!</v>
      </c>
      <c r="Y32" s="1010"/>
      <c r="Z32" s="1010">
        <f ca="1">INDEX(INDIRECT($D32),MATCH('Estimate Changes'!$F32,INDIRECT($C32),0),MATCH('Estimate Changes'!Z$6,INDIRECT($B32),0))</f>
        <v>423</v>
      </c>
      <c r="AA32" s="1011" t="e">
        <f ca="1">Z32/Y32-1</f>
        <v>#DIV/0!</v>
      </c>
      <c r="AB32" s="1010">
        <f>INDEX(Consensus!$A$1:$AU$180,MATCH('Estimate Changes'!$F32,Consensus!$A:$A,0),MATCH('Estimate Changes'!Z$6,Consensus!$4:$4,0))</f>
        <v>423</v>
      </c>
      <c r="AC32" s="1013">
        <f ca="1">+Z32/AB32-1</f>
        <v>0</v>
      </c>
      <c r="AD32" s="1014"/>
      <c r="AE32" s="1010"/>
      <c r="AF32" s="1010">
        <f ca="1">INDEX(INDIRECT($D32),MATCH('Estimate Changes'!$F32,INDIRECT($C32),0),MATCH('Estimate Changes'!AF$6,INDIRECT($B32),0))</f>
        <v>527.96974049629796</v>
      </c>
      <c r="AG32" s="1011" t="e">
        <f ca="1">AF32/AE32-1</f>
        <v>#DIV/0!</v>
      </c>
      <c r="AH32" s="1010">
        <f>INDEX(Consensus!$A$1:$AU$180,MATCH('Estimate Changes'!$F32,Consensus!$A:$A,0),MATCH('Estimate Changes'!AF$6,Consensus!$4:$4,0))</f>
        <v>559.64380000000006</v>
      </c>
      <c r="AI32" s="1011">
        <f ca="1">+AF32/AH32-1</f>
        <v>-5.6596820162578609E-2</v>
      </c>
      <c r="AJ32" s="1012"/>
      <c r="AK32" s="1210"/>
      <c r="AL32" s="1015"/>
      <c r="AM32" s="1015">
        <f ca="1">INDEX(INDIRECT($D32),MATCH('Estimate Changes'!$F32,INDIRECT($C32),0),MATCH('Estimate Changes'!AM$6,INDIRECT($B32),0))</f>
        <v>1528.9697404962981</v>
      </c>
      <c r="AN32" s="1016" t="e">
        <f ca="1">AM32/AL32-1</f>
        <v>#DIV/0!</v>
      </c>
      <c r="AO32" s="1015">
        <f>INDEX(Consensus!$A$1:$AU$180,MATCH('Estimate Changes'!$F32,Consensus!$A:$A,0),MATCH('Estimate Changes'!AM$6,Consensus!$4:$4,0))</f>
        <v>1618.5018</v>
      </c>
      <c r="AP32" s="1203">
        <f ca="1">+AM32/AO32-1</f>
        <v>-5.5317862175810917E-2</v>
      </c>
      <c r="AQ32" s="1017"/>
      <c r="AR32" s="1010"/>
      <c r="AS32" s="1010">
        <f ca="1">INDEX(INDIRECT($D32),MATCH('Estimate Changes'!$F32,INDIRECT($C32),0),MATCH('Estimate Changes'!AS$6,INDIRECT($B32),0))</f>
        <v>553.03854800862666</v>
      </c>
      <c r="AT32" s="1011" t="e">
        <f ca="1">AS32/AR32-1</f>
        <v>#DIV/0!</v>
      </c>
      <c r="AU32" s="1010">
        <f>INDEX(Consensus!$A$1:$AU$180,MATCH('Estimate Changes'!$F32,Consensus!$A:$A,0),MATCH('Estimate Changes'!AS$6,Consensus!$4:$4,0))</f>
        <v>409.72410000000002</v>
      </c>
      <c r="AV32" s="1013">
        <f ca="1">+AS32/AU32-1</f>
        <v>0.34978281240626719</v>
      </c>
      <c r="AW32" s="1014"/>
      <c r="AX32" s="1010"/>
      <c r="AY32" s="1010">
        <f ca="1">INDEX(INDIRECT($D32),MATCH('Estimate Changes'!$F32,INDIRECT($C32),0),MATCH('Estimate Changes'!AY$6,INDIRECT($B32),0))</f>
        <v>275.57813862865885</v>
      </c>
      <c r="AZ32" s="1011" t="e">
        <f ca="1">AY32/AX32-1</f>
        <v>#DIV/0!</v>
      </c>
      <c r="BA32" s="1010">
        <f>INDEX(Consensus!$A$1:$AU$180,MATCH('Estimate Changes'!$F32,Consensus!$A:$A,0),MATCH('Estimate Changes'!AY$6,Consensus!$4:$4,0))</f>
        <v>415.0102</v>
      </c>
      <c r="BB32" s="1013">
        <f ca="1">+AY32/BA32-1</f>
        <v>-0.33597261313418603</v>
      </c>
      <c r="BC32" s="1014"/>
      <c r="BD32" s="1010"/>
      <c r="BE32" s="1010">
        <f ca="1">INDEX(INDIRECT($D32),MATCH('Estimate Changes'!$F32,INDIRECT($C32),0),MATCH('Estimate Changes'!BE$6,INDIRECT($B32),0))</f>
        <v>361.03620931796547</v>
      </c>
      <c r="BF32" s="1011" t="e">
        <f ca="1">BE32/BD32-1</f>
        <v>#DIV/0!</v>
      </c>
      <c r="BG32" s="1010">
        <f>INDEX(Consensus!$A$1:$AU$180,MATCH('Estimate Changes'!$F32,Consensus!$A:$A,0),MATCH('Estimate Changes'!BE$6,Consensus!$4:$4,0))</f>
        <v>478.64713</v>
      </c>
      <c r="BH32" s="1013">
        <f ca="1">+BE32/BG32-1</f>
        <v>-0.24571529486040067</v>
      </c>
      <c r="BI32" s="1014"/>
      <c r="BJ32" s="1010"/>
      <c r="BK32" s="1010">
        <f ca="1">INDEX(INDIRECT($D32),MATCH('Estimate Changes'!$F32,INDIRECT($C32),0),MATCH('Estimate Changes'!BK$6,INDIRECT($B32),0))</f>
        <v>657.91018597369612</v>
      </c>
      <c r="BL32" s="1011" t="e">
        <f ca="1">BK32/BJ32-1</f>
        <v>#DIV/0!</v>
      </c>
      <c r="BM32" s="1010">
        <f>INDEX(Consensus!$A$1:$AU$180,MATCH('Estimate Changes'!$F32,Consensus!$A:$A,0),MATCH('Estimate Changes'!BK$6,Consensus!$4:$4,0))</f>
        <v>710.01379999999995</v>
      </c>
      <c r="BN32" s="1013">
        <f ca="1">+BK32/BM32-1</f>
        <v>-7.3383945532190853E-2</v>
      </c>
      <c r="BO32" s="1014"/>
      <c r="BP32" s="1015"/>
      <c r="BQ32" s="1015">
        <f ca="1">INDEX(INDIRECT($D32),MATCH('Estimate Changes'!$F32,INDIRECT($C32),0),MATCH('Estimate Changes'!BQ$6,INDIRECT($B32),0))</f>
        <v>1847.5630819289472</v>
      </c>
      <c r="BR32" s="1016" t="e">
        <f ca="1">BQ32/BP32-1</f>
        <v>#DIV/0!</v>
      </c>
      <c r="BS32" s="1015">
        <f>INDEX(Consensus!$A$1:$AU$180,MATCH('Estimate Changes'!$F32,Consensus!$A:$A,0),MATCH('Estimate Changes'!BQ$6,Consensus!$4:$4,0))</f>
        <v>2104.9238</v>
      </c>
      <c r="BT32" s="1203">
        <f ca="1">+BQ32/BS32-1</f>
        <v>-0.12226604975964106</v>
      </c>
      <c r="BU32" s="1017"/>
      <c r="BV32" s="1015"/>
      <c r="BW32" s="1015">
        <f ca="1">INDEX(INDIRECT($D32),MATCH('Estimate Changes'!$F32,INDIRECT($C32),0),MATCH('Estimate Changes'!BW$6,INDIRECT($B32),0))</f>
        <v>2247.1925490766698</v>
      </c>
      <c r="BX32" s="1016" t="e">
        <f ca="1">BW32/BV32-1</f>
        <v>#DIV/0!</v>
      </c>
      <c r="BY32" s="1015">
        <f>INDEX(Consensus!$A$1:$AU$180,MATCH('Estimate Changes'!$F32,Consensus!$A:$A,0),MATCH('Estimate Changes'!BW$6,Consensus!$4:$4,0))</f>
        <v>2603.7510000000002</v>
      </c>
      <c r="BZ32" s="1203">
        <f ca="1">+BW32/BY32-1</f>
        <v>-0.13694030301796534</v>
      </c>
      <c r="CA32" s="1017"/>
      <c r="CB32" s="1015"/>
      <c r="CC32" s="1015">
        <f ca="1">INDEX(INDIRECT($D32),MATCH('Estimate Changes'!$F32,INDIRECT($C32),0),MATCH('Estimate Changes'!CC$6,INDIRECT($B32),0))</f>
        <v>2769.819499343369</v>
      </c>
      <c r="CD32" s="1016" t="e">
        <f ca="1">CC32/CB32-1</f>
        <v>#DIV/0!</v>
      </c>
      <c r="CE32" s="1015">
        <f>INDEX(Consensus!$A$1:$AU$180,MATCH('Estimate Changes'!$F32,Consensus!$A:$A,0),MATCH('Estimate Changes'!CC$6,Consensus!$4:$4,0))</f>
        <v>3720</v>
      </c>
      <c r="CF32" s="1203">
        <f ca="1">+CC32/CE32-1</f>
        <v>-0.25542486576791157</v>
      </c>
      <c r="CG32" s="1017"/>
    </row>
    <row r="33" spans="1:85" s="1574" customFormat="1">
      <c r="A33" s="1573"/>
      <c r="B33" s="1574" t="str">
        <f t="shared" ca="1" si="3"/>
        <v>'Not Found'!$5:$5</v>
      </c>
      <c r="C33" s="1574" t="str">
        <f t="shared" ca="1" si="4"/>
        <v>'Not Found'!$A:$A</v>
      </c>
      <c r="D33" s="1574" t="str">
        <f t="shared" ca="1" si="5"/>
        <v>'Not Found'!$1:$1048576</v>
      </c>
      <c r="E33" s="1575" t="str" cm="1">
        <f t="array" aca="1" ref="E33" ca="1">IFERROR(INDEX(SheetNames,MATCH(1,COUNTIF(INDIRECT("'"&amp;SheetNames&amp;"'!A:A"),$F33),0)),"Not Found")</f>
        <v>Not Found</v>
      </c>
      <c r="F33" s="940"/>
      <c r="L33" s="1576">
        <f ca="1">L32/G32-1</f>
        <v>-2.2984222768161562</v>
      </c>
      <c r="M33" s="1576">
        <f t="shared" ref="M33" ca="1" si="90">M32/H32-1</f>
        <v>0.75421422558098539</v>
      </c>
      <c r="N33" s="1576">
        <f t="shared" ref="N33" ca="1" si="91">N32/I32-1</f>
        <v>-7.9183864915572233</v>
      </c>
      <c r="O33" s="1576">
        <f t="shared" ref="O33" ca="1" si="92">O32/J32-1</f>
        <v>1.38</v>
      </c>
      <c r="P33" s="941" t="s">
        <v>433</v>
      </c>
      <c r="Q33" s="1581">
        <f ca="1">Q32/G32-1</f>
        <v>-2.2984222768161562</v>
      </c>
      <c r="R33" s="1576"/>
      <c r="S33" s="1576">
        <f ca="1">S32/K32-1</f>
        <v>1.8813559322033897</v>
      </c>
      <c r="U33" s="1576">
        <f ca="1">+U32/K32-1</f>
        <v>1.8813559322033897</v>
      </c>
      <c r="V33" s="1582"/>
      <c r="W33" s="1576"/>
      <c r="X33" s="1582"/>
      <c r="Y33" s="1576"/>
      <c r="Z33" s="1576">
        <f ca="1">Z32/L32-1</f>
        <v>0.52158273381294973</v>
      </c>
      <c r="AB33" s="1576">
        <f ca="1">+AB32/L32-1</f>
        <v>0.52158273381294973</v>
      </c>
      <c r="AC33" s="1582"/>
      <c r="AD33" s="1582"/>
      <c r="AE33" s="1576"/>
      <c r="AF33" s="1576">
        <f ca="1">AF32/M32-1</f>
        <v>0.17850388503637937</v>
      </c>
      <c r="AH33" s="1576">
        <f ca="1">+AH32/M32-1</f>
        <v>0.24920491071428574</v>
      </c>
      <c r="AK33" s="1583"/>
      <c r="AL33" s="1576"/>
      <c r="AM33" s="1576">
        <f ca="1">AM32/N32-1</f>
        <v>0.6196713352715022</v>
      </c>
      <c r="AO33" s="1576">
        <f ca="1">+AO32/N32-1</f>
        <v>0.71451461864406784</v>
      </c>
      <c r="AP33" s="1582"/>
      <c r="AQ33" s="1582"/>
      <c r="AR33" s="1576"/>
      <c r="AS33" s="1576">
        <f ca="1">AS32/O32-1</f>
        <v>1.3236913781875068</v>
      </c>
      <c r="AU33" s="1576" t="e">
        <f>+AU32/W32-1</f>
        <v>#DIV/0!</v>
      </c>
      <c r="AV33" s="1582"/>
      <c r="AW33" s="1582"/>
      <c r="AX33" s="1576"/>
      <c r="AY33" s="1576">
        <f ca="1">AY32/S32-1</f>
        <v>-0.18947606285688579</v>
      </c>
      <c r="BA33" s="1576" t="e">
        <f>+BA32/W32-1</f>
        <v>#DIV/0!</v>
      </c>
      <c r="BB33" s="1582"/>
      <c r="BC33" s="1582"/>
      <c r="BD33" s="1576"/>
      <c r="BE33" s="1576">
        <f ca="1">BE32/Z32-1</f>
        <v>-0.14648650279440789</v>
      </c>
      <c r="BG33" s="1576">
        <f>+BG32/AB32-1</f>
        <v>0.13155349881796696</v>
      </c>
      <c r="BH33" s="1582"/>
      <c r="BI33" s="1582"/>
      <c r="BJ33" s="1576"/>
      <c r="BK33" s="1576">
        <f ca="1">BK32/AF32-1</f>
        <v>0.24611343323436019</v>
      </c>
      <c r="BM33" s="1576">
        <f>+BM32/AH32-1</f>
        <v>0.26868876238779005</v>
      </c>
      <c r="BN33" s="1582"/>
      <c r="BO33" s="1582"/>
      <c r="BP33" s="1576"/>
      <c r="BQ33" s="1576">
        <f ca="1">BQ32/AM32-1</f>
        <v>0.20837125352738162</v>
      </c>
      <c r="BS33" s="1576">
        <f>+BS32/AO32-1</f>
        <v>0.3005384362254031</v>
      </c>
      <c r="BT33" s="1582"/>
      <c r="BU33" s="1582"/>
      <c r="BV33" s="1576"/>
      <c r="BW33" s="1576">
        <f ca="1">BW32/BQ32-1</f>
        <v>0.21630085113548048</v>
      </c>
      <c r="BY33" s="1576">
        <f>+BY32/BS32-1</f>
        <v>0.23698112017166606</v>
      </c>
      <c r="BZ33" s="1582"/>
      <c r="CA33" s="1582"/>
      <c r="CB33" s="1576"/>
      <c r="CC33" s="1576">
        <f ca="1">CC32/BW32-1</f>
        <v>0.23256883371273052</v>
      </c>
      <c r="CE33" s="1576">
        <f>+CE32/BY32-1</f>
        <v>0.42870804466325696</v>
      </c>
      <c r="CF33" s="1582"/>
      <c r="CG33" s="1582"/>
    </row>
    <row r="34" spans="1:85">
      <c r="B34" s="824" t="str">
        <f t="shared" ca="1" si="3"/>
        <v>'Cash Flow'!$5:$5</v>
      </c>
      <c r="C34" s="824" t="str">
        <f t="shared" ca="1" si="4"/>
        <v>'Cash Flow'!$A:$A</v>
      </c>
      <c r="D34" s="824" t="str">
        <f t="shared" ca="1" si="5"/>
        <v>'Cash Flow'!$1:$1048576</v>
      </c>
      <c r="E34" s="972" t="str" cm="1">
        <f t="array" aca="1" ref="E34" ca="1">IFERROR(INDEX(SheetNames,MATCH(1,COUNTIF(INDIRECT("'"&amp;SheetNames&amp;"'!A:A"),$F34),0)),"Not Found")</f>
        <v>Cash Flow</v>
      </c>
      <c r="F34" s="943" t="s">
        <v>182</v>
      </c>
      <c r="G34" s="1588">
        <f ca="1">-INDEX(INDIRECT($D34),MATCH('Estimate Changes'!$F34,INDIRECT($C34),0),MATCH('Estimate Changes'!G$6,INDIRECT($B34),0))</f>
        <v>13.904999999999999</v>
      </c>
      <c r="H34" s="1588">
        <f ca="1">-INDEX(INDIRECT($D34),MATCH('Estimate Changes'!$F34,INDIRECT($C34),0),MATCH('Estimate Changes'!H$6,INDIRECT($B34),0))</f>
        <v>7.6240000000000006</v>
      </c>
      <c r="I34" s="1588">
        <f ca="1">-INDEX(INDIRECT($D34),MATCH('Estimate Changes'!$F34,INDIRECT($C34),0),MATCH('Estimate Changes'!I$6,INDIRECT($B34),0))</f>
        <v>50.018000000000001</v>
      </c>
      <c r="J34" s="1588">
        <f ca="1">-INDEX(INDIRECT($D34),MATCH('Estimate Changes'!$F34,INDIRECT($C34),0),MATCH('Estimate Changes'!J$6,INDIRECT($B34),0))</f>
        <v>14</v>
      </c>
      <c r="K34" s="1588">
        <f ca="1">-INDEX(INDIRECT($D34),MATCH('Estimate Changes'!$F34,INDIRECT($C34),0),MATCH('Estimate Changes'!K$6,INDIRECT($B34),0))</f>
        <v>21</v>
      </c>
      <c r="L34" s="1588">
        <f ca="1">-INDEX(INDIRECT($D34),MATCH('Estimate Changes'!$F34,INDIRECT($C34),0),MATCH('Estimate Changes'!L$6,INDIRECT($B34),0))</f>
        <v>2</v>
      </c>
      <c r="M34" s="1588">
        <f ca="1">-INDEX(INDIRECT($D34),MATCH('Estimate Changes'!$F34,INDIRECT($C34),0),MATCH('Estimate Changes'!M$6,INDIRECT($B34),0))</f>
        <v>2</v>
      </c>
      <c r="N34" s="1588">
        <f ca="1">-INDEX(INDIRECT($D34),MATCH('Estimate Changes'!$F34,INDIRECT($C34),0),MATCH('Estimate Changes'!N$6,INDIRECT($B34),0))</f>
        <v>39</v>
      </c>
      <c r="O34" s="1588">
        <f ca="1">-INDEX(INDIRECT($D34),MATCH('Estimate Changes'!$F34,INDIRECT($C34),0),MATCH('Estimate Changes'!O$6,INDIRECT($B34),0))</f>
        <v>6</v>
      </c>
      <c r="P34" s="1008" t="s">
        <v>181</v>
      </c>
      <c r="Q34" s="1112">
        <f ca="1">-INDEX(INDIRECT($D34),MATCH('Estimate Changes'!$F34,INDIRECT($C34),0),MATCH('Estimate Changes'!Q$6,INDIRECT($B34),0))</f>
        <v>2</v>
      </c>
      <c r="R34" s="1113"/>
      <c r="S34" s="1113">
        <f ca="1">-INDEX(INDIRECT($D34),MATCH('Estimate Changes'!$F34,INDIRECT($C34),0),MATCH('Estimate Changes'!S$6,INDIRECT($B34),0))</f>
        <v>7</v>
      </c>
      <c r="T34" s="1011" t="e">
        <f ca="1">S34/R34-1</f>
        <v>#DIV/0!</v>
      </c>
      <c r="U34" s="1113">
        <f>-INDEX(Consensus!$A$1:$AU$180,MATCH('Estimate Changes'!$F34,Consensus!$A:$A,0),MATCH('Estimate Changes'!S$6,Consensus!$4:$4,0))</f>
        <v>7</v>
      </c>
      <c r="V34" s="1013">
        <f ca="1">+S34/U34-1</f>
        <v>0</v>
      </c>
      <c r="W34" s="1012"/>
      <c r="X34" s="1013" t="e">
        <f ca="1">+S34/W34-1</f>
        <v>#DIV/0!</v>
      </c>
      <c r="Y34" s="1113"/>
      <c r="Z34" s="1113">
        <f ca="1">-INDEX(INDIRECT($D34),MATCH('Estimate Changes'!$F34,INDIRECT($C34),0),MATCH('Estimate Changes'!Z$6,INDIRECT($B34),0))</f>
        <v>2</v>
      </c>
      <c r="AA34" s="1011" t="e">
        <f ca="1">Z34/Y34-1</f>
        <v>#DIV/0!</v>
      </c>
      <c r="AB34" s="1113">
        <f>-INDEX(Consensus!$A$1:$AU$180,MATCH('Estimate Changes'!$F34,Consensus!$A:$A,0),MATCH('Estimate Changes'!Z$6,Consensus!$4:$4,0))</f>
        <v>2</v>
      </c>
      <c r="AC34" s="1013">
        <f ca="1">+Z34/AB34-1</f>
        <v>0</v>
      </c>
      <c r="AD34" s="1014"/>
      <c r="AE34" s="1113"/>
      <c r="AF34" s="1113">
        <f ca="1">-INDEX(INDIRECT($D34),MATCH('Estimate Changes'!$F34,INDIRECT($C34),0),MATCH('Estimate Changes'!AF$6,INDIRECT($B34),0))</f>
        <v>7</v>
      </c>
      <c r="AG34" s="1011" t="e">
        <f ca="1">AF34/AE34-1</f>
        <v>#DIV/0!</v>
      </c>
      <c r="AH34" s="1113">
        <f>-INDEX(Consensus!$A$1:$AU$180,MATCH('Estimate Changes'!$F34,Consensus!$A:$A,0),MATCH('Estimate Changes'!AF$6,Consensus!$4:$4,0))</f>
        <v>5.3967499999999999</v>
      </c>
      <c r="AI34" s="1011">
        <f ca="1">+AF34/AH34-1</f>
        <v>0.29707694445731225</v>
      </c>
      <c r="AJ34" s="1114"/>
      <c r="AK34" s="1212"/>
      <c r="AL34" s="1116"/>
      <c r="AM34" s="1116">
        <f ca="1">-INDEX(INDIRECT($D34),MATCH('Estimate Changes'!$F34,INDIRECT($C34),0),MATCH('Estimate Changes'!AM$6,INDIRECT($B34),0))</f>
        <v>22</v>
      </c>
      <c r="AN34" s="1016" t="e">
        <f ca="1">AM34/AL34-1</f>
        <v>#DIV/0!</v>
      </c>
      <c r="AO34" s="1116">
        <f>-INDEX(Consensus!$A$1:$AU$180,MATCH('Estimate Changes'!$F34,Consensus!$A:$A,0),MATCH('Estimate Changes'!AM$6,Consensus!$4:$4,0))</f>
        <v>21.771305000000002</v>
      </c>
      <c r="AP34" s="1203">
        <f ca="1">+AM34/AO34-1</f>
        <v>1.0504423138621988E-2</v>
      </c>
      <c r="AQ34" s="1117"/>
      <c r="AR34" s="1113"/>
      <c r="AS34" s="1113">
        <f ca="1">-INDEX(INDIRECT($D34),MATCH('Estimate Changes'!$F34,INDIRECT($C34),0),MATCH('Estimate Changes'!AS$6,INDIRECT($B34),0))</f>
        <v>7.5</v>
      </c>
      <c r="AT34" s="1011" t="e">
        <f ca="1">AS34/AR34-1</f>
        <v>#DIV/0!</v>
      </c>
      <c r="AU34" s="1113">
        <f>-INDEX(Consensus!$A$1:$AU$180,MATCH('Estimate Changes'!$F34,Consensus!$A:$A,0),MATCH('Estimate Changes'!AS$6,Consensus!$4:$4,0))</f>
        <v>6.4972000000000003</v>
      </c>
      <c r="AV34" s="1013">
        <f ca="1">+AS34/AU34-1</f>
        <v>0.15434340946869418</v>
      </c>
      <c r="AW34" s="1115"/>
      <c r="AX34" s="1113"/>
      <c r="AY34" s="1113">
        <f ca="1">-INDEX(INDIRECT($D34),MATCH('Estimate Changes'!$F34,INDIRECT($C34),0),MATCH('Estimate Changes'!AY$6,INDIRECT($B34),0))</f>
        <v>7.5</v>
      </c>
      <c r="AZ34" s="1011" t="e">
        <f ca="1">AY34/AX34-1</f>
        <v>#DIV/0!</v>
      </c>
      <c r="BA34" s="1113">
        <f>-INDEX(Consensus!$A$1:$AU$180,MATCH('Estimate Changes'!$F34,Consensus!$A:$A,0),MATCH('Estimate Changes'!AY$6,Consensus!$4:$4,0))</f>
        <v>6.9048999999999996</v>
      </c>
      <c r="BB34" s="1013">
        <f ca="1">+AY34/BA34-1</f>
        <v>8.6185172848267211E-2</v>
      </c>
      <c r="BC34" s="1115"/>
      <c r="BD34" s="1113"/>
      <c r="BE34" s="1113">
        <f ca="1">-INDEX(INDIRECT($D34),MATCH('Estimate Changes'!$F34,INDIRECT($C34),0),MATCH('Estimate Changes'!BE$6,INDIRECT($B34),0))</f>
        <v>7.5</v>
      </c>
      <c r="BF34" s="1011" t="e">
        <f ca="1">BE34/BD34-1</f>
        <v>#DIV/0!</v>
      </c>
      <c r="BG34" s="1113">
        <f>-INDEX(Consensus!$A$1:$AU$180,MATCH('Estimate Changes'!$F34,Consensus!$A:$A,0),MATCH('Estimate Changes'!BE$6,Consensus!$4:$4,0))</f>
        <v>6.5945999999999998</v>
      </c>
      <c r="BH34" s="1013">
        <f ca="1">+BE34/BG34-1</f>
        <v>0.13729414975889376</v>
      </c>
      <c r="BI34" s="1115"/>
      <c r="BJ34" s="1113"/>
      <c r="BK34" s="1113">
        <f ca="1">-INDEX(INDIRECT($D34),MATCH('Estimate Changes'!$F34,INDIRECT($C34),0),MATCH('Estimate Changes'!BK$6,INDIRECT($B34),0))</f>
        <v>7.5</v>
      </c>
      <c r="BL34" s="1011" t="e">
        <f ca="1">BK34/BJ34-1</f>
        <v>#DIV/0!</v>
      </c>
      <c r="BM34" s="1113">
        <f>-INDEX(Consensus!$A$1:$AU$180,MATCH('Estimate Changes'!$F34,Consensus!$A:$A,0),MATCH('Estimate Changes'!BK$6,Consensus!$4:$4,0))</f>
        <v>7.4150999999999998</v>
      </c>
      <c r="BN34" s="1013">
        <f ca="1">+BK34/BM34-1</f>
        <v>1.1449609580450826E-2</v>
      </c>
      <c r="BO34" s="1115"/>
      <c r="BP34" s="1116"/>
      <c r="BQ34" s="1116">
        <f ca="1">-INDEX(INDIRECT($D34),MATCH('Estimate Changes'!$F34,INDIRECT($C34),0),MATCH('Estimate Changes'!BQ$6,INDIRECT($B34),0))</f>
        <v>30</v>
      </c>
      <c r="BR34" s="1016" t="e">
        <f ca="1">BQ34/BP34-1</f>
        <v>#DIV/0!</v>
      </c>
      <c r="BS34" s="1116">
        <f>-INDEX(Consensus!$A$1:$AU$180,MATCH('Estimate Changes'!$F34,Consensus!$A:$A,0),MATCH('Estimate Changes'!BQ$6,Consensus!$4:$4,0))</f>
        <v>32.172730000000001</v>
      </c>
      <c r="BT34" s="1203">
        <f ca="1">+BQ34/BS34-1</f>
        <v>-6.7533280514274097E-2</v>
      </c>
      <c r="BU34" s="1117"/>
      <c r="BV34" s="1116"/>
      <c r="BW34" s="1116">
        <f ca="1">-INDEX(INDIRECT($D34),MATCH('Estimate Changes'!$F34,INDIRECT($C34),0),MATCH('Estimate Changes'!BW$6,INDIRECT($B34),0))</f>
        <v>36</v>
      </c>
      <c r="BX34" s="1016" t="e">
        <f ca="1">BW34/BV34-1</f>
        <v>#DIV/0!</v>
      </c>
      <c r="BY34" s="1116">
        <f>-INDEX(Consensus!$A$1:$AU$180,MATCH('Estimate Changes'!$F34,Consensus!$A:$A,0),MATCH('Estimate Changes'!BW$6,Consensus!$4:$4,0))</f>
        <v>34.835673999999997</v>
      </c>
      <c r="BZ34" s="1203">
        <f ca="1">+BW34/BY34-1</f>
        <v>3.3423380871000274E-2</v>
      </c>
      <c r="CA34" s="1017"/>
      <c r="CB34" s="1116"/>
      <c r="CC34" s="1116">
        <f ca="1">-INDEX(INDIRECT($D34),MATCH('Estimate Changes'!$F34,INDIRECT($C34),0),MATCH('Estimate Changes'!CC$6,INDIRECT($B34),0))</f>
        <v>43.199999999999996</v>
      </c>
      <c r="CD34" s="1016" t="e">
        <f ca="1">CC34/CB34-1</f>
        <v>#DIV/0!</v>
      </c>
      <c r="CE34" s="1116">
        <f>-INDEX(Consensus!$A$1:$AU$180,MATCH('Estimate Changes'!$F34,Consensus!$A:$A,0),MATCH('Estimate Changes'!CC$6,Consensus!$4:$4,0))</f>
        <v>40.931865999999999</v>
      </c>
      <c r="CF34" s="1203">
        <f ca="1">+CC34/CE34-1</f>
        <v>5.5412426103417678E-2</v>
      </c>
      <c r="CG34" s="1117"/>
    </row>
    <row r="35" spans="1:85" s="1574" customFormat="1">
      <c r="A35" s="1573"/>
      <c r="B35" s="1574" t="str">
        <f t="shared" ca="1" si="3"/>
        <v>'Not Found'!$5:$5</v>
      </c>
      <c r="C35" s="1574" t="str">
        <f t="shared" ca="1" si="4"/>
        <v>'Not Found'!$A:$A</v>
      </c>
      <c r="D35" s="1574" t="str">
        <f t="shared" ca="1" si="5"/>
        <v>'Not Found'!$1:$1048576</v>
      </c>
      <c r="E35" s="1575" t="str" cm="1">
        <f t="array" aca="1" ref="E35" ca="1">IFERROR(INDEX(SheetNames,MATCH(1,COUNTIF(INDIRECT("'"&amp;SheetNames&amp;"'!A:A"),$F35),0)),"Not Found")</f>
        <v>Not Found</v>
      </c>
      <c r="F35" s="940"/>
      <c r="L35" s="1576">
        <f ca="1">L34/G34-1</f>
        <v>-0.85616684645810859</v>
      </c>
      <c r="M35" s="1576">
        <f t="shared" ref="M35" ca="1" si="93">M34/H34-1</f>
        <v>-0.73767051416579221</v>
      </c>
      <c r="N35" s="1576">
        <f t="shared" ref="N35" ca="1" si="94">N34/I34-1</f>
        <v>-0.22028069894837854</v>
      </c>
      <c r="O35" s="1576">
        <f t="shared" ref="O35" ca="1" si="95">O34/J34-1</f>
        <v>-0.5714285714285714</v>
      </c>
      <c r="P35" s="941" t="s">
        <v>433</v>
      </c>
      <c r="Q35" s="1581">
        <f ca="1">Q34/G34-1</f>
        <v>-0.85616684645810859</v>
      </c>
      <c r="R35" s="1576"/>
      <c r="S35" s="1576">
        <f ca="1">S34/K34-1</f>
        <v>-0.66666666666666674</v>
      </c>
      <c r="U35" s="1576">
        <f ca="1">+U34/K34-1</f>
        <v>-0.66666666666666674</v>
      </c>
      <c r="V35" s="1582"/>
      <c r="W35" s="1576"/>
      <c r="X35" s="1582"/>
      <c r="Y35" s="1576"/>
      <c r="Z35" s="1576">
        <f ca="1">Z34/L34-1</f>
        <v>0</v>
      </c>
      <c r="AB35" s="1576">
        <f ca="1">+AB34/L34-1</f>
        <v>0</v>
      </c>
      <c r="AC35" s="1582"/>
      <c r="AD35" s="1582"/>
      <c r="AE35" s="1576"/>
      <c r="AF35" s="1576">
        <f ca="1">AF34/M34-1</f>
        <v>2.5</v>
      </c>
      <c r="AH35" s="1576">
        <f ca="1">+AH34/M34-1</f>
        <v>1.698375</v>
      </c>
      <c r="AK35" s="1583"/>
      <c r="AL35" s="1576"/>
      <c r="AM35" s="1576">
        <f ca="1">AM34/N34-1</f>
        <v>-0.4358974358974359</v>
      </c>
      <c r="AO35" s="1576">
        <f ca="1">+AO34/N34-1</f>
        <v>-0.44176141025641025</v>
      </c>
      <c r="AP35" s="1582"/>
      <c r="AQ35" s="1582"/>
      <c r="AR35" s="1576"/>
      <c r="AS35" s="1576">
        <f ca="1">AS34/O34-1</f>
        <v>0.25</v>
      </c>
      <c r="AU35" s="1576" t="e">
        <f>+AU34/W34-1</f>
        <v>#DIV/0!</v>
      </c>
      <c r="AV35" s="1582"/>
      <c r="AW35" s="1582"/>
      <c r="AX35" s="1576"/>
      <c r="AY35" s="1576">
        <f ca="1">AY34/S34-1</f>
        <v>7.1428571428571397E-2</v>
      </c>
      <c r="BA35" s="1576" t="e">
        <f>+BA34/W34-1</f>
        <v>#DIV/0!</v>
      </c>
      <c r="BB35" s="1582"/>
      <c r="BC35" s="1582"/>
      <c r="BD35" s="1576"/>
      <c r="BE35" s="1576">
        <f ca="1">BE34/Z34-1</f>
        <v>2.75</v>
      </c>
      <c r="BG35" s="1576">
        <f>+BG34/AB34-1</f>
        <v>2.2972999999999999</v>
      </c>
      <c r="BH35" s="1582"/>
      <c r="BI35" s="1582"/>
      <c r="BJ35" s="1576"/>
      <c r="BK35" s="1576">
        <f ca="1">BK34/AF34-1</f>
        <v>7.1428571428571397E-2</v>
      </c>
      <c r="BM35" s="1576">
        <f>+BM34/AH34-1</f>
        <v>0.37399360726363096</v>
      </c>
      <c r="BN35" s="1582"/>
      <c r="BO35" s="1582"/>
      <c r="BP35" s="1576"/>
      <c r="BQ35" s="1576">
        <f ca="1">BQ34/AM34-1</f>
        <v>0.36363636363636354</v>
      </c>
      <c r="BS35" s="1576">
        <f>+BS34/AO34-1</f>
        <v>0.47775845315657461</v>
      </c>
      <c r="BT35" s="1582"/>
      <c r="BU35" s="1582"/>
      <c r="BV35" s="1576"/>
      <c r="BW35" s="1576">
        <f ca="1">BW34/BQ34-1</f>
        <v>0.19999999999999996</v>
      </c>
      <c r="BY35" s="1576">
        <f>+BY34/BS34-1</f>
        <v>8.2770221861806492E-2</v>
      </c>
      <c r="BZ35" s="1582"/>
      <c r="CA35" s="1582"/>
      <c r="CB35" s="1576"/>
      <c r="CC35" s="1576">
        <f ca="1">CC34/BW34-1</f>
        <v>0.19999999999999996</v>
      </c>
      <c r="CE35" s="1576">
        <f>+CE34/BY34-1</f>
        <v>0.17499853741885407</v>
      </c>
      <c r="CF35" s="1582"/>
      <c r="CG35" s="1582"/>
    </row>
    <row r="36" spans="1:85" s="1574" customFormat="1">
      <c r="A36" s="1573"/>
      <c r="B36" s="1574" t="str">
        <f t="shared" ca="1" si="3"/>
        <v>'Not Found'!$5:$5</v>
      </c>
      <c r="C36" s="1574" t="str">
        <f t="shared" ca="1" si="4"/>
        <v>'Not Found'!$A:$A</v>
      </c>
      <c r="D36" s="1574" t="str">
        <f t="shared" ca="1" si="5"/>
        <v>'Not Found'!$1:$1048576</v>
      </c>
      <c r="E36" s="1575" t="str" cm="1">
        <f t="array" aca="1" ref="E36" ca="1">IFERROR(INDEX(SheetNames,MATCH(1,COUNTIF(INDIRECT("'"&amp;SheetNames&amp;"'!A:A"),$F36),0)),"Not Found")</f>
        <v>Not Found</v>
      </c>
      <c r="F36" s="940"/>
      <c r="G36" s="1576">
        <f ca="1">+G34/G$13</f>
        <v>1.017786561264822E-2</v>
      </c>
      <c r="H36" s="1576">
        <f t="shared" ref="H36:O36" ca="1" si="96">+H34/H$13</f>
        <v>4.3942920313686977E-3</v>
      </c>
      <c r="I36" s="1576">
        <f t="shared" ca="1" si="96"/>
        <v>8.9320026343496905E-3</v>
      </c>
      <c r="J36" s="1576">
        <f t="shared" ca="1" si="96"/>
        <v>9.2838196286472146E-3</v>
      </c>
      <c r="K36" s="1576">
        <f t="shared" ca="1" si="96"/>
        <v>1.2396694214876033E-2</v>
      </c>
      <c r="L36" s="1576">
        <f t="shared" ca="1" si="96"/>
        <v>1.1668611435239206E-3</v>
      </c>
      <c r="M36" s="1576">
        <f t="shared" ca="1" si="96"/>
        <v>9.3283582089552237E-4</v>
      </c>
      <c r="N36" s="1576">
        <f t="shared" ca="1" si="96"/>
        <v>5.5240793201133146E-3</v>
      </c>
      <c r="O36" s="1576">
        <f t="shared" ca="1" si="96"/>
        <v>3.2240730789897904E-3</v>
      </c>
      <c r="P36" s="941" t="s">
        <v>450</v>
      </c>
      <c r="Q36" s="1581">
        <f ca="1">+Q34/Q$13</f>
        <v>1.1668611435239206E-3</v>
      </c>
      <c r="R36" s="1576"/>
      <c r="S36" s="1576">
        <f ca="1">+S34/S$13</f>
        <v>3.4229828850855745E-3</v>
      </c>
      <c r="T36" s="1576"/>
      <c r="U36" s="1576">
        <f>+U34/U$13</f>
        <v>3.4229828850855745E-3</v>
      </c>
      <c r="V36" s="1584"/>
      <c r="W36" s="1576"/>
      <c r="X36" s="1584"/>
      <c r="Y36" s="1576"/>
      <c r="Z36" s="1576">
        <f ca="1">+Z34/Z$13</f>
        <v>9.2506938020351531E-4</v>
      </c>
      <c r="AA36" s="1576"/>
      <c r="AB36" s="1576">
        <f>+AB34/AB$13</f>
        <v>9.2506938020351531E-4</v>
      </c>
      <c r="AC36" s="1584"/>
      <c r="AD36" s="1584"/>
      <c r="AE36" s="1576"/>
      <c r="AF36" s="1576">
        <f ca="1">+AF34/AF$13</f>
        <v>2.589150754230198E-3</v>
      </c>
      <c r="AG36" s="1576"/>
      <c r="AH36" s="1576">
        <f>+AH34/AH$13</f>
        <v>1.9798809536387767E-3</v>
      </c>
      <c r="AI36" s="1576"/>
      <c r="AJ36" s="1576"/>
      <c r="AK36" s="1585"/>
      <c r="AL36" s="1576"/>
      <c r="AM36" s="1576">
        <f ca="1">+AM34/AM$13</f>
        <v>2.5080973942325155E-3</v>
      </c>
      <c r="AN36" s="1576"/>
      <c r="AO36" s="1576">
        <f>+AO34/AO$13</f>
        <v>2.4742278644318051E-3</v>
      </c>
      <c r="AP36" s="1584"/>
      <c r="AQ36" s="1584"/>
      <c r="AR36" s="1576"/>
      <c r="AS36" s="1576">
        <f ca="1">+AS34/AS$13</f>
        <v>3.2066583235300754E-3</v>
      </c>
      <c r="AT36" s="1576"/>
      <c r="AU36" s="1576">
        <f>+AU34/AU$13</f>
        <v>2.8007973211114216E-3</v>
      </c>
      <c r="AV36" s="1584"/>
      <c r="AW36" s="1584"/>
      <c r="AX36" s="1576"/>
      <c r="AY36" s="1576">
        <f ca="1">+AY34/AY$13</f>
        <v>2.9903967815032777E-3</v>
      </c>
      <c r="AZ36" s="1576"/>
      <c r="BA36" s="1576">
        <f>+BA34/BA$13</f>
        <v>2.7317047310804455E-3</v>
      </c>
      <c r="BB36" s="1584"/>
      <c r="BC36" s="1584"/>
      <c r="BD36" s="1576"/>
      <c r="BE36" s="1576">
        <f ca="1">+BE34/BE$13</f>
        <v>2.8496462263462008E-3</v>
      </c>
      <c r="BF36" s="1576"/>
      <c r="BG36" s="1576">
        <f>+BG34/BG$13</f>
        <v>2.5002079525766516E-3</v>
      </c>
      <c r="BH36" s="1584"/>
      <c r="BI36" s="1584"/>
      <c r="BJ36" s="1576"/>
      <c r="BK36" s="1576">
        <f ca="1">+BK34/BK$13</f>
        <v>2.2604393642735956E-3</v>
      </c>
      <c r="BL36" s="1576"/>
      <c r="BM36" s="1576">
        <f>+BM34/BM$13</f>
        <v>2.2405286065414393E-3</v>
      </c>
      <c r="BN36" s="1584"/>
      <c r="BO36" s="1584"/>
      <c r="BP36" s="1576"/>
      <c r="BQ36" s="1576">
        <f ca="1">+BQ34/BQ$13</f>
        <v>2.7786122649860875E-3</v>
      </c>
      <c r="BR36" s="1576"/>
      <c r="BS36" s="1576">
        <f>+BS34/BS$13</f>
        <v>2.9629988124144366E-3</v>
      </c>
      <c r="BT36" s="1584"/>
      <c r="BU36" s="1584"/>
      <c r="BV36" s="1576"/>
      <c r="BW36" s="1576">
        <f ca="1">+BW34/BW$13</f>
        <v>2.7856380266154277E-3</v>
      </c>
      <c r="BX36" s="1576"/>
      <c r="BY36" s="1576">
        <f>+BY34/BY$13</f>
        <v>2.6482892807975409E-3</v>
      </c>
      <c r="BZ36" s="1584"/>
      <c r="CA36" s="1584"/>
      <c r="CB36" s="1576"/>
      <c r="CC36" s="1576">
        <f ca="1">+CC34/CC$13</f>
        <v>2.8348747692612127E-3</v>
      </c>
      <c r="CD36" s="1576"/>
      <c r="CE36" s="1576">
        <f>+CE34/CE$13</f>
        <v>2.3654358369672394E-3</v>
      </c>
      <c r="CF36" s="1584"/>
      <c r="CG36" s="1584"/>
    </row>
    <row r="37" spans="1:85">
      <c r="B37" s="824" t="str">
        <f t="shared" ca="1" si="3"/>
        <v>'Cash Flow'!$5:$5</v>
      </c>
      <c r="C37" s="824" t="str">
        <f t="shared" ca="1" si="4"/>
        <v>'Cash Flow'!$A:$A</v>
      </c>
      <c r="D37" s="824" t="str">
        <f t="shared" ca="1" si="5"/>
        <v>'Cash Flow'!$1:$1048576</v>
      </c>
      <c r="E37" s="972" t="str" cm="1">
        <f t="array" aca="1" ref="E37" ca="1">IFERROR(INDEX(SheetNames,MATCH(1,COUNTIF(INDIRECT("'"&amp;SheetNames&amp;"'!A:A"),$F37),0)),"Not Found")</f>
        <v>Cash Flow</v>
      </c>
      <c r="F37" s="943" t="s">
        <v>186</v>
      </c>
      <c r="G37" s="1019">
        <f ca="1">INDEX(INDIRECT($D37),MATCH('Estimate Changes'!$F37,INDIRECT($C37),0),MATCH('Estimate Changes'!G$6,INDIRECT($B37),0))</f>
        <v>-228.01100000000002</v>
      </c>
      <c r="H37" s="1019">
        <f ca="1">INDEX(INDIRECT($D37),MATCH('Estimate Changes'!$F37,INDIRECT($C37),0),MATCH('Estimate Changes'!H$6,INDIRECT($B37),0))</f>
        <v>247.76100000000002</v>
      </c>
      <c r="I37" s="1019">
        <f ca="1">INDEX(INDIRECT($D37),MATCH('Estimate Changes'!$F37,INDIRECT($C37),0),MATCH('Estimate Changes'!I$6,INDIRECT($B37),0))</f>
        <v>-186.46600000000001</v>
      </c>
      <c r="J37" s="1019">
        <f ca="1">INDEX(INDIRECT($D37),MATCH('Estimate Changes'!$F37,INDIRECT($C37),0),MATCH('Estimate Changes'!J$6,INDIRECT($B37),0))</f>
        <v>86</v>
      </c>
      <c r="K37" s="1019">
        <f ca="1">INDEX(INDIRECT($D37),MATCH('Estimate Changes'!$F37,INDIRECT($C37),0),MATCH('Estimate Changes'!K$6,INDIRECT($B37),0))</f>
        <v>97</v>
      </c>
      <c r="L37" s="1019">
        <f ca="1">INDEX(INDIRECT($D37),MATCH('Estimate Changes'!$F37,INDIRECT($C37),0),MATCH('Estimate Changes'!L$6,INDIRECT($B37),0))</f>
        <v>276</v>
      </c>
      <c r="M37" s="1019">
        <f ca="1">INDEX(INDIRECT($D37),MATCH('Estimate Changes'!$F37,INDIRECT($C37),0),MATCH('Estimate Changes'!M$6,INDIRECT($B37),0))</f>
        <v>446</v>
      </c>
      <c r="N37" s="1019">
        <f ca="1">INDEX(INDIRECT($D37),MATCH('Estimate Changes'!$F37,INDIRECT($C37),0),MATCH('Estimate Changes'!N$6,INDIRECT($B37),0))</f>
        <v>905</v>
      </c>
      <c r="O37" s="1019">
        <f ca="1">INDEX(INDIRECT($D37),MATCH('Estimate Changes'!$F37,INDIRECT($C37),0),MATCH('Estimate Changes'!O$6,INDIRECT($B37),0))</f>
        <v>232</v>
      </c>
      <c r="P37" s="963" t="s">
        <v>186</v>
      </c>
      <c r="Q37" s="967">
        <f ca="1">INDEX(INDIRECT($D37),MATCH('Estimate Changes'!$F37,INDIRECT($C37),0),MATCH('Estimate Changes'!Q$6,INDIRECT($B37),0))</f>
        <v>276</v>
      </c>
      <c r="R37" s="938"/>
      <c r="S37" s="938">
        <f ca="1">INDEX(INDIRECT($D37),MATCH('Estimate Changes'!$F37,INDIRECT($C37),0),MATCH('Estimate Changes'!S$6,INDIRECT($B37),0))</f>
        <v>333</v>
      </c>
      <c r="T37" s="973" t="e">
        <f ca="1">S37/R37-1</f>
        <v>#DIV/0!</v>
      </c>
      <c r="U37" s="938">
        <f>INDEX(Consensus!$A$1:$AU$180,MATCH('Estimate Changes'!$F37,Consensus!$A:$A,0),MATCH('Estimate Changes'!S$6,Consensus!$4:$4,0))</f>
        <v>333</v>
      </c>
      <c r="V37" s="995">
        <f ca="1">+S37/U37-1</f>
        <v>0</v>
      </c>
      <c r="W37" s="1119"/>
      <c r="X37" s="995" t="e">
        <f ca="1">+S37/W37-1</f>
        <v>#DIV/0!</v>
      </c>
      <c r="Y37" s="938"/>
      <c r="Z37" s="938">
        <f ca="1">INDEX(INDIRECT($D37),MATCH('Estimate Changes'!$F37,INDIRECT($C37),0),MATCH('Estimate Changes'!Z$6,INDIRECT($B37),0))</f>
        <v>421</v>
      </c>
      <c r="AA37" s="973" t="e">
        <f ca="1">Z37/Y37-1</f>
        <v>#DIV/0!</v>
      </c>
      <c r="AB37" s="938">
        <f>INDEX(Consensus!$A$1:$AU$180,MATCH('Estimate Changes'!$F37,Consensus!$A:$A,0),MATCH('Estimate Changes'!Z$6,Consensus!$4:$4,0))</f>
        <v>421</v>
      </c>
      <c r="AC37" s="995">
        <f ca="1">+Z37/AB37-1</f>
        <v>0</v>
      </c>
      <c r="AD37" s="1120"/>
      <c r="AE37" s="938"/>
      <c r="AF37" s="938">
        <f ca="1">INDEX(INDIRECT($D37),MATCH('Estimate Changes'!$F37,INDIRECT($C37),0),MATCH('Estimate Changes'!AF$6,INDIRECT($B37),0))</f>
        <v>520.96974049629796</v>
      </c>
      <c r="AG37" s="973" t="e">
        <f ca="1">AF37/AE37-1</f>
        <v>#DIV/0!</v>
      </c>
      <c r="AH37" s="938">
        <f>INDEX(Consensus!$A$1:$AU$180,MATCH('Estimate Changes'!$F37,Consensus!$A:$A,0),MATCH('Estimate Changes'!AF$6,Consensus!$4:$4,0))</f>
        <v>546.77940000000001</v>
      </c>
      <c r="AI37" s="973">
        <f ca="1">+AF37/AH37-1</f>
        <v>-4.7203057583555696E-2</v>
      </c>
      <c r="AJ37" s="1119"/>
      <c r="AK37" s="1212"/>
      <c r="AL37" s="1123"/>
      <c r="AM37" s="1123">
        <f ca="1">INDEX(INDIRECT($D37),MATCH('Estimate Changes'!$F37,INDIRECT($C37),0),MATCH('Estimate Changes'!AM$6,INDIRECT($B37),0))</f>
        <v>1506.9697404962981</v>
      </c>
      <c r="AN37" s="974" t="e">
        <f ca="1">AM37/AL37-1</f>
        <v>#DIV/0!</v>
      </c>
      <c r="AO37" s="1123">
        <f>INDEX(Consensus!$A$1:$AU$180,MATCH('Estimate Changes'!$F37,Consensus!$A:$A,0),MATCH('Estimate Changes'!AM$6,Consensus!$4:$4,0))</f>
        <v>1542.643</v>
      </c>
      <c r="AP37" s="1201">
        <f ca="1">+AM37/AO37-1</f>
        <v>-2.3124766717705914E-2</v>
      </c>
      <c r="AQ37" s="1118"/>
      <c r="AR37" s="938"/>
      <c r="AS37" s="938">
        <f ca="1">INDEX(INDIRECT($D37),MATCH('Estimate Changes'!$F37,INDIRECT($C37),0),MATCH('Estimate Changes'!AS$6,INDIRECT($B37),0))</f>
        <v>545.53854800862666</v>
      </c>
      <c r="AT37" s="973" t="e">
        <f ca="1">AS37/AR37-1</f>
        <v>#DIV/0!</v>
      </c>
      <c r="AU37" s="938">
        <f>INDEX(Consensus!$A$1:$AU$180,MATCH('Estimate Changes'!$F37,Consensus!$A:$A,0),MATCH('Estimate Changes'!AS$6,Consensus!$4:$4,0))</f>
        <v>387.28564</v>
      </c>
      <c r="AV37" s="995">
        <f ca="1">+AS37/AU37-1</f>
        <v>0.40862064498086381</v>
      </c>
      <c r="AW37" s="996"/>
      <c r="AX37" s="938"/>
      <c r="AY37" s="938">
        <f ca="1">INDEX(INDIRECT($D37),MATCH('Estimate Changes'!$F37,INDIRECT($C37),0),MATCH('Estimate Changes'!AY$6,INDIRECT($B37),0))</f>
        <v>268.07813862865885</v>
      </c>
      <c r="AZ37" s="973" t="e">
        <f ca="1">AY37/AX37-1</f>
        <v>#DIV/0!</v>
      </c>
      <c r="BA37" s="938">
        <f>INDEX(Consensus!$A$1:$AU$180,MATCH('Estimate Changes'!$F37,Consensus!$A:$A,0),MATCH('Estimate Changes'!AY$6,Consensus!$4:$4,0))</f>
        <v>410.56880000000001</v>
      </c>
      <c r="BB37" s="995">
        <f ca="1">+AY37/BA37-1</f>
        <v>-0.34705672075262695</v>
      </c>
      <c r="BC37" s="1120"/>
      <c r="BD37" s="938"/>
      <c r="BE37" s="938">
        <f ca="1">INDEX(INDIRECT($D37),MATCH('Estimate Changes'!$F37,INDIRECT($C37),0),MATCH('Estimate Changes'!BE$6,INDIRECT($B37),0))</f>
        <v>353.53620931796547</v>
      </c>
      <c r="BF37" s="973" t="e">
        <f ca="1">BE37/BD37-1</f>
        <v>#DIV/0!</v>
      </c>
      <c r="BG37" s="938">
        <f>INDEX(Consensus!$A$1:$AU$180,MATCH('Estimate Changes'!$F37,Consensus!$A:$A,0),MATCH('Estimate Changes'!BE$6,Consensus!$4:$4,0))</f>
        <v>463.75243999999998</v>
      </c>
      <c r="BH37" s="995">
        <f ca="1">+BE37/BG37-1</f>
        <v>-0.23766178067340094</v>
      </c>
      <c r="BI37" s="996"/>
      <c r="BJ37" s="1121"/>
      <c r="BK37" s="1121">
        <f ca="1">INDEX(INDIRECT($D37),MATCH('Estimate Changes'!$F37,INDIRECT($C37),0),MATCH('Estimate Changes'!BK$6,INDIRECT($B37),0))</f>
        <v>650.41018597369612</v>
      </c>
      <c r="BL37" s="973" t="e">
        <f ca="1">BK37/BJ37-1</f>
        <v>#DIV/0!</v>
      </c>
      <c r="BM37" s="1121">
        <f>INDEX(Consensus!$A$1:$AU$180,MATCH('Estimate Changes'!$F37,Consensus!$A:$A,0),MATCH('Estimate Changes'!BK$6,Consensus!$4:$4,0))</f>
        <v>705.52</v>
      </c>
      <c r="BN37" s="995">
        <f ca="1">+BK37/BM37-1</f>
        <v>-7.8112334202154243E-2</v>
      </c>
      <c r="BO37" s="1122"/>
      <c r="BP37" s="939"/>
      <c r="BQ37" s="939">
        <f ca="1">INDEX(INDIRECT($D37),MATCH('Estimate Changes'!$F37,INDIRECT($C37),0),MATCH('Estimate Changes'!BQ$6,INDIRECT($B37),0))</f>
        <v>1817.5630819289472</v>
      </c>
      <c r="BR37" s="974" t="e">
        <f ca="1">BQ37/BP37-1</f>
        <v>#DIV/0!</v>
      </c>
      <c r="BS37" s="939">
        <f>INDEX(Consensus!$A$1:$AU$180,MATCH('Estimate Changes'!$F37,Consensus!$A:$A,0),MATCH('Estimate Changes'!BQ$6,Consensus!$4:$4,0))</f>
        <v>2012.9906000000001</v>
      </c>
      <c r="BT37" s="1201">
        <f ca="1">+BQ37/BS37-1</f>
        <v>-9.7083174690956286E-2</v>
      </c>
      <c r="BU37" s="1118"/>
      <c r="BV37" s="939"/>
      <c r="BW37" s="939">
        <f ca="1">INDEX(INDIRECT($D37),MATCH('Estimate Changes'!$F37,INDIRECT($C37),0),MATCH('Estimate Changes'!BW$6,INDIRECT($B37),0))</f>
        <v>2211.1925490766698</v>
      </c>
      <c r="BX37" s="974" t="e">
        <f ca="1">BW37/BV37-1</f>
        <v>#DIV/0!</v>
      </c>
      <c r="BY37" s="939">
        <f>INDEX(Consensus!$A$1:$AU$180,MATCH('Estimate Changes'!$F37,Consensus!$A:$A,0),MATCH('Estimate Changes'!BW$6,Consensus!$4:$4,0))</f>
        <v>2528.3078999999998</v>
      </c>
      <c r="BZ37" s="1201">
        <f ca="1">+BW37/BY37-1</f>
        <v>-0.12542592257981311</v>
      </c>
      <c r="CA37" s="1118"/>
      <c r="CB37" s="939"/>
      <c r="CC37" s="939">
        <f ca="1">INDEX(INDIRECT($D37),MATCH('Estimate Changes'!$F37,INDIRECT($C37),0),MATCH('Estimate Changes'!CC$6,INDIRECT($B37),0))</f>
        <v>2726.6194993433692</v>
      </c>
      <c r="CD37" s="974" t="e">
        <f ca="1">CC37/CB37-1</f>
        <v>#DIV/0!</v>
      </c>
      <c r="CE37" s="939">
        <f>INDEX(Consensus!$A$1:$AU$180,MATCH('Estimate Changes'!$F37,Consensus!$A:$A,0),MATCH('Estimate Changes'!CC$6,Consensus!$4:$4,0))</f>
        <v>3544.9421000000002</v>
      </c>
      <c r="CF37" s="1201">
        <f ca="1">+CC37/CE37-1</f>
        <v>-0.23084230364626579</v>
      </c>
      <c r="CG37" s="1118"/>
    </row>
    <row r="38" spans="1:85" s="1574" customFormat="1">
      <c r="A38" s="1573"/>
      <c r="B38" s="1574" t="str">
        <f t="shared" ca="1" si="3"/>
        <v>'Not Found'!$5:$5</v>
      </c>
      <c r="C38" s="1574" t="str">
        <f t="shared" ca="1" si="4"/>
        <v>'Not Found'!$A:$A</v>
      </c>
      <c r="D38" s="1574" t="str">
        <f t="shared" ca="1" si="5"/>
        <v>'Not Found'!$1:$1048576</v>
      </c>
      <c r="E38" s="1575" t="str" cm="1">
        <f t="array" aca="1" ref="E38" ca="1">IFERROR(INDEX(SheetNames,MATCH(1,COUNTIF(INDIRECT("'"&amp;SheetNames&amp;"'!A:A"),$F38),0)),"Not Found")</f>
        <v>Not Found</v>
      </c>
      <c r="F38" s="940"/>
      <c r="L38" s="1576">
        <f ca="1">L37/G37-1</f>
        <v>-2.2104679160215954</v>
      </c>
      <c r="M38" s="1576">
        <f t="shared" ref="M38" ca="1" si="97">M37/H37-1</f>
        <v>0.80012189166172232</v>
      </c>
      <c r="N38" s="1576">
        <f t="shared" ref="N38" ca="1" si="98">N37/I37-1</f>
        <v>-5.8534317248184653</v>
      </c>
      <c r="O38" s="1576">
        <f t="shared" ref="O38" ca="1" si="99">O37/J37-1</f>
        <v>1.6976744186046511</v>
      </c>
      <c r="P38" s="941" t="s">
        <v>433</v>
      </c>
      <c r="Q38" s="1581">
        <f ca="1">Q37/G37-1</f>
        <v>-2.2104679160215954</v>
      </c>
      <c r="R38" s="1576"/>
      <c r="S38" s="1576">
        <f ca="1">S37/K37-1</f>
        <v>2.4329896907216493</v>
      </c>
      <c r="U38" s="1576">
        <f ca="1">+U37/K37-1</f>
        <v>2.4329896907216493</v>
      </c>
      <c r="V38" s="1582"/>
      <c r="W38" s="1576"/>
      <c r="X38" s="1582"/>
      <c r="Y38" s="1576"/>
      <c r="Z38" s="1576">
        <f ca="1">Z37/L37-1</f>
        <v>0.5253623188405796</v>
      </c>
      <c r="AB38" s="1576">
        <f ca="1">+AB37/L37-1</f>
        <v>0.5253623188405796</v>
      </c>
      <c r="AC38" s="1582"/>
      <c r="AD38" s="1582"/>
      <c r="AE38" s="1576"/>
      <c r="AF38" s="1576">
        <f ca="1">AF37/M37-1</f>
        <v>0.16809358855672185</v>
      </c>
      <c r="AH38" s="1576">
        <f ca="1">+AH37/M37-1</f>
        <v>0.22596278026905825</v>
      </c>
      <c r="AK38" s="1583"/>
      <c r="AL38" s="1576"/>
      <c r="AM38" s="1576">
        <f ca="1">AM37/N37-1</f>
        <v>0.66515993425005315</v>
      </c>
      <c r="AO38" s="1576">
        <f ca="1">+AO37/N37-1</f>
        <v>0.70457790055248615</v>
      </c>
      <c r="AP38" s="1582"/>
      <c r="AQ38" s="1582"/>
      <c r="AR38" s="1576"/>
      <c r="AS38" s="1576">
        <f ca="1">AS37/O37-1</f>
        <v>1.3514592586578735</v>
      </c>
      <c r="AU38" s="1576" t="e">
        <f>+AU37/W37-1</f>
        <v>#DIV/0!</v>
      </c>
      <c r="AV38" s="1582"/>
      <c r="AW38" s="1582"/>
      <c r="AX38" s="1576"/>
      <c r="AY38" s="1576">
        <f ca="1">AY37/S37-1</f>
        <v>-0.19496054465868218</v>
      </c>
      <c r="BA38" s="1576" t="e">
        <f>+BA37/W37-1</f>
        <v>#DIV/0!</v>
      </c>
      <c r="BB38" s="1582"/>
      <c r="BC38" s="1582"/>
      <c r="BD38" s="1576"/>
      <c r="BE38" s="1576">
        <f ca="1">BE37/Z37-1</f>
        <v>-0.16024653368654285</v>
      </c>
      <c r="BG38" s="1576">
        <f>+BG37/AB37-1</f>
        <v>0.10154973871733963</v>
      </c>
      <c r="BH38" s="1582"/>
      <c r="BI38" s="1582"/>
      <c r="BJ38" s="1576"/>
      <c r="BK38" s="1576">
        <f ca="1">BK37/AF37-1</f>
        <v>0.24846058305437801</v>
      </c>
      <c r="BM38" s="1576">
        <f>+BM37/AH37-1</f>
        <v>0.29031927684181214</v>
      </c>
      <c r="BN38" s="1582"/>
      <c r="BO38" s="1582"/>
      <c r="BP38" s="1576"/>
      <c r="BQ38" s="1576">
        <f ca="1">BQ37/AM37-1</f>
        <v>0.20610456407064937</v>
      </c>
      <c r="BS38" s="1576">
        <f>+BS37/AO37-1</f>
        <v>0.30489724453421818</v>
      </c>
      <c r="BT38" s="1582"/>
      <c r="BU38" s="1582"/>
      <c r="BV38" s="1576"/>
      <c r="BW38" s="1576">
        <f ca="1">BW37/BQ37-1</f>
        <v>0.21656990674016696</v>
      </c>
      <c r="BY38" s="1576">
        <f>+BY37/BS37-1</f>
        <v>0.2559958799608899</v>
      </c>
      <c r="BZ38" s="1582"/>
      <c r="CA38" s="1582"/>
      <c r="CB38" s="1576"/>
      <c r="CC38" s="1576">
        <f ca="1">CC37/BW37-1</f>
        <v>0.23309908062141704</v>
      </c>
      <c r="CE38" s="1576">
        <f>+CE37/BY37-1</f>
        <v>0.4021006302278296</v>
      </c>
      <c r="CF38" s="1582"/>
      <c r="CG38" s="1582"/>
    </row>
    <row r="39" spans="1:85" s="1574" customFormat="1">
      <c r="A39" s="1573"/>
      <c r="B39" s="1574" t="str">
        <f t="shared" ca="1" si="3"/>
        <v>'Not Found'!$5:$5</v>
      </c>
      <c r="C39" s="1574" t="str">
        <f t="shared" ca="1" si="4"/>
        <v>'Not Found'!$A:$A</v>
      </c>
      <c r="D39" s="1574" t="str">
        <f t="shared" ca="1" si="5"/>
        <v>'Not Found'!$1:$1048576</v>
      </c>
      <c r="E39" s="1575" t="str" cm="1">
        <f t="array" aca="1" ref="E39" ca="1">IFERROR(INDEX(SheetNames,MATCH(1,COUNTIF(INDIRECT("'"&amp;SheetNames&amp;"'!A:A"),$F39),0)),"Not Found")</f>
        <v>Not Found</v>
      </c>
      <c r="F39" s="940"/>
      <c r="G39" s="1576">
        <f ca="1">+G37/G$13</f>
        <v>-0.16689430537256625</v>
      </c>
      <c r="H39" s="1576">
        <f t="shared" ref="H39:O39" ca="1" si="100">+H37/H$13</f>
        <v>0.14280353987197533</v>
      </c>
      <c r="I39" s="1576">
        <f t="shared" ca="1" si="100"/>
        <v>-3.3298308673210632E-2</v>
      </c>
      <c r="J39" s="1576">
        <f t="shared" ca="1" si="100"/>
        <v>5.7029177718832889E-2</v>
      </c>
      <c r="K39" s="1576">
        <f t="shared" ca="1" si="100"/>
        <v>5.7260920897284531E-2</v>
      </c>
      <c r="L39" s="1576">
        <f t="shared" ca="1" si="100"/>
        <v>0.16102683780630106</v>
      </c>
      <c r="M39" s="1576">
        <f t="shared" ca="1" si="100"/>
        <v>0.2080223880597015</v>
      </c>
      <c r="N39" s="1576">
        <f t="shared" ca="1" si="100"/>
        <v>0.1281869688385269</v>
      </c>
      <c r="O39" s="1576">
        <f t="shared" ca="1" si="100"/>
        <v>0.1246641590542719</v>
      </c>
      <c r="P39" s="948" t="s">
        <v>440</v>
      </c>
      <c r="Q39" s="1577">
        <f ca="1">+Q37/Q$13</f>
        <v>0.16102683780630106</v>
      </c>
      <c r="R39" s="1578"/>
      <c r="S39" s="1578">
        <f ca="1">+S37/S$13</f>
        <v>0.16283618581907092</v>
      </c>
      <c r="T39" s="1578"/>
      <c r="U39" s="1578">
        <f>+U37/U$13</f>
        <v>0.16283618581907092</v>
      </c>
      <c r="V39" s="1579"/>
      <c r="W39" s="1578"/>
      <c r="X39" s="1579"/>
      <c r="Y39" s="1578"/>
      <c r="Z39" s="1578">
        <f ca="1">+Z37/Z$13</f>
        <v>0.19472710453283995</v>
      </c>
      <c r="AA39" s="1578"/>
      <c r="AB39" s="1578">
        <f>+AB37/AB$13</f>
        <v>0.19472710453283995</v>
      </c>
      <c r="AC39" s="1579"/>
      <c r="AD39" s="1579"/>
      <c r="AE39" s="1578"/>
      <c r="AF39" s="1578">
        <f ca="1">+AF37/AF$13</f>
        <v>0.19269559950530005</v>
      </c>
      <c r="AG39" s="1578"/>
      <c r="AH39" s="1578">
        <f>+AH37/AH$13</f>
        <v>0.2005944540514269</v>
      </c>
      <c r="AI39" s="1578"/>
      <c r="AJ39" s="1578"/>
      <c r="AK39" s="1580" t="s">
        <v>631</v>
      </c>
      <c r="AL39" s="1578"/>
      <c r="AM39" s="1578">
        <f ca="1">+AM37/AM$13</f>
        <v>0.17180122178754617</v>
      </c>
      <c r="AN39" s="1578"/>
      <c r="AO39" s="1578">
        <f>+AO37/AO$13</f>
        <v>0.17531564118323054</v>
      </c>
      <c r="AP39" s="1579"/>
      <c r="AQ39" s="1579"/>
      <c r="AR39" s="1578"/>
      <c r="AS39" s="1578">
        <f ca="1">+AS37/AS$13</f>
        <v>0.23324743010378324</v>
      </c>
      <c r="AT39" s="1578"/>
      <c r="AU39" s="1578">
        <f>+AU37/AU$13</f>
        <v>0.1669501605332947</v>
      </c>
      <c r="AV39" s="1579"/>
      <c r="AW39" s="1579"/>
      <c r="AX39" s="1578"/>
      <c r="AY39" s="1578">
        <f ca="1">+AY37/AY$13</f>
        <v>0.1068880003928708</v>
      </c>
      <c r="AZ39" s="1578"/>
      <c r="BA39" s="1578">
        <f>+BA37/BA$13</f>
        <v>0.16242852661067086</v>
      </c>
      <c r="BB39" s="1579"/>
      <c r="BC39" s="1579"/>
      <c r="BD39" s="1578"/>
      <c r="BE39" s="1578">
        <f ca="1">+BE37/BE$13</f>
        <v>0.13432708330129078</v>
      </c>
      <c r="BF39" s="1578"/>
      <c r="BG39" s="1578">
        <f>+BG37/BG$13</f>
        <v>0.17582226951063393</v>
      </c>
      <c r="BH39" s="1579"/>
      <c r="BI39" s="1579"/>
      <c r="BJ39" s="1578"/>
      <c r="BK39" s="1578">
        <f ca="1">+BK37/BK$13</f>
        <v>0.19602837163992703</v>
      </c>
      <c r="BL39" s="1578"/>
      <c r="BM39" s="1578">
        <f>+BM37/BM$13</f>
        <v>0.21317820966502357</v>
      </c>
      <c r="BN39" s="1579"/>
      <c r="BO39" s="1579"/>
      <c r="BP39" s="1578"/>
      <c r="BQ39" s="1578">
        <f ca="1">+BQ37/BQ$13</f>
        <v>0.16834343572778954</v>
      </c>
      <c r="BR39" s="1578"/>
      <c r="BS39" s="1578">
        <f>+BS37/BS$13</f>
        <v>0.18538957549457022</v>
      </c>
      <c r="BT39" s="1579"/>
      <c r="BU39" s="1579"/>
      <c r="BV39" s="1578"/>
      <c r="BW39" s="1578">
        <f ca="1">+BW37/BW$13</f>
        <v>0.17109950135768534</v>
      </c>
      <c r="BX39" s="1578"/>
      <c r="BY39" s="1578">
        <f>+BY37/BY$13</f>
        <v>0.19220787030346365</v>
      </c>
      <c r="BZ39" s="1579"/>
      <c r="CA39" s="1579"/>
      <c r="CB39" s="1578"/>
      <c r="CC39" s="1578">
        <f ca="1">+CC37/CC$13</f>
        <v>0.17892650055704071</v>
      </c>
      <c r="CD39" s="1578"/>
      <c r="CE39" s="1578">
        <f>+CE37/CE$13</f>
        <v>0.20486075771170323</v>
      </c>
      <c r="CF39" s="1579"/>
      <c r="CG39" s="1579"/>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AEA39-860D-4CF5-A0AD-2952A642FF44}">
  <sheetPr codeName="Sheet12">
    <tabColor theme="6" tint="-0.249977111117893"/>
  </sheetPr>
  <dimension ref="B1:AH60"/>
  <sheetViews>
    <sheetView showGridLines="0" workbookViewId="0">
      <pane xSplit="10" ySplit="10" topLeftCell="K11" activePane="bottomRight" state="frozen"/>
      <selection pane="topRight" activeCell="K1" sqref="K1"/>
      <selection pane="bottomLeft" activeCell="A11" sqref="A11"/>
      <selection pane="bottomRight" activeCell="G1" sqref="G1"/>
    </sheetView>
  </sheetViews>
  <sheetFormatPr defaultColWidth="10.28515625" defaultRowHeight="12.75" outlineLevelCol="1"/>
  <cols>
    <col min="1" max="1" width="1.7109375" style="926" customWidth="1"/>
    <col min="2" max="6" width="10.28515625" style="926" hidden="1" customWidth="1" outlineLevel="1"/>
    <col min="7" max="7" width="18" style="1027" bestFit="1" customWidth="1" collapsed="1"/>
    <col min="8" max="8" width="10" style="926" customWidth="1"/>
    <col min="9" max="9" width="1.7109375" customWidth="1"/>
    <col min="10" max="10" width="35" style="929" customWidth="1"/>
    <col min="11" max="11" width="10" style="926" customWidth="1" outlineLevel="1"/>
    <col min="12" max="12" width="10" style="926" customWidth="1" outlineLevel="1" collapsed="1"/>
    <col min="13" max="14" width="10" style="926" customWidth="1"/>
    <col min="15" max="15" width="10" style="926" hidden="1" customWidth="1" outlineLevel="1"/>
    <col min="16" max="16" width="10" style="926" customWidth="1" collapsed="1"/>
    <col min="17" max="18" width="10" style="926" customWidth="1"/>
    <col min="19" max="19" width="10" style="926" hidden="1" customWidth="1" outlineLevel="1"/>
    <col min="20" max="20" width="10" style="926" customWidth="1" collapsed="1"/>
    <col min="21" max="21" width="10" style="926" hidden="1" customWidth="1" outlineLevel="1"/>
    <col min="22" max="22" width="10" style="926" customWidth="1" collapsed="1"/>
    <col min="23" max="23" width="10" style="926" hidden="1" customWidth="1" outlineLevel="1"/>
    <col min="24" max="24" width="10" style="926" customWidth="1" collapsed="1"/>
    <col min="25" max="25" width="10" style="926" hidden="1" customWidth="1" outlineLevel="1"/>
    <col min="26" max="26" width="10" style="926" customWidth="1" collapsed="1"/>
    <col min="27" max="27" width="10" style="926" hidden="1" customWidth="1" outlineLevel="1"/>
    <col min="28" max="28" width="10" style="926" customWidth="1" collapsed="1"/>
    <col min="29" max="29" width="10" style="926" hidden="1" customWidth="1" outlineLevel="1"/>
    <col min="30" max="30" width="10" style="926" customWidth="1" collapsed="1"/>
    <col min="31" max="31" width="10" style="926" hidden="1" customWidth="1" outlineLevel="1"/>
    <col min="32" max="32" width="10" style="926" customWidth="1" collapsed="1"/>
    <col min="33" max="33" width="10" style="926" hidden="1" customWidth="1" outlineLevel="1"/>
    <col min="34" max="34" width="1.85546875" style="926" customWidth="1" collapsed="1"/>
    <col min="35" max="16384" width="10.28515625" style="926"/>
  </cols>
  <sheetData>
    <row r="1" spans="2:34" ht="15">
      <c r="G1" s="926" t="s">
        <v>548</v>
      </c>
      <c r="H1" s="949">
        <v>45565</v>
      </c>
      <c r="J1" s="926"/>
      <c r="L1" s="1028"/>
      <c r="M1" s="1028"/>
    </row>
    <row r="2" spans="2:34" ht="15">
      <c r="G2" s="926" t="s">
        <v>549</v>
      </c>
      <c r="H2" s="930">
        <f>EOMONTH(H1,-3)</f>
        <v>45473</v>
      </c>
      <c r="J2" s="926"/>
      <c r="L2" s="1028"/>
      <c r="M2" s="1028"/>
    </row>
    <row r="3" spans="2:34" ht="15">
      <c r="G3" s="926" t="s">
        <v>550</v>
      </c>
      <c r="H3" s="930">
        <f>EOMONTH(H1,3)</f>
        <v>45657</v>
      </c>
      <c r="J3" s="926"/>
      <c r="L3" s="1028"/>
      <c r="M3" s="1028"/>
    </row>
    <row r="4" spans="2:34" ht="15">
      <c r="G4" s="926" t="s">
        <v>551</v>
      </c>
      <c r="H4" s="926">
        <f>YEAR(H1)</f>
        <v>2024</v>
      </c>
      <c r="J4" s="926"/>
      <c r="L4" s="1028"/>
      <c r="M4" s="1028"/>
    </row>
    <row r="5" spans="2:34" ht="11.25" customHeight="1">
      <c r="G5" s="926" t="s">
        <v>552</v>
      </c>
      <c r="H5" s="926">
        <f>H4-1</f>
        <v>2023</v>
      </c>
      <c r="J5" s="926"/>
    </row>
    <row r="6" spans="2:34">
      <c r="G6" s="926" t="s">
        <v>553</v>
      </c>
      <c r="H6" s="926">
        <f>H4+1</f>
        <v>2025</v>
      </c>
      <c r="J6" s="926"/>
    </row>
    <row r="7" spans="2:34">
      <c r="G7" s="926" t="s">
        <v>554</v>
      </c>
      <c r="H7" s="926">
        <f>H4+2</f>
        <v>2026</v>
      </c>
      <c r="J7" s="926"/>
    </row>
    <row r="8" spans="2:34">
      <c r="G8" s="926" t="s">
        <v>555</v>
      </c>
      <c r="H8" s="930">
        <f>EOMONTH(H1,-12)</f>
        <v>45199</v>
      </c>
      <c r="J8" s="926"/>
      <c r="K8" s="930">
        <f>H2</f>
        <v>45473</v>
      </c>
      <c r="L8" s="930">
        <f>H1</f>
        <v>45565</v>
      </c>
      <c r="M8" s="949"/>
      <c r="N8" s="88" t="s">
        <v>422</v>
      </c>
      <c r="O8" s="931" t="s">
        <v>423</v>
      </c>
      <c r="R8" s="930">
        <f>H3</f>
        <v>45657</v>
      </c>
      <c r="S8" s="931" t="s">
        <v>423</v>
      </c>
      <c r="T8" s="88" t="s">
        <v>422</v>
      </c>
      <c r="U8" s="931" t="s">
        <v>423</v>
      </c>
      <c r="V8" s="926">
        <f>H4</f>
        <v>2024</v>
      </c>
      <c r="W8" s="931" t="s">
        <v>423</v>
      </c>
      <c r="X8" s="88" t="s">
        <v>422</v>
      </c>
      <c r="Y8" s="931" t="s">
        <v>423</v>
      </c>
      <c r="Z8" s="926">
        <f>H6</f>
        <v>2025</v>
      </c>
      <c r="AA8" s="931" t="s">
        <v>423</v>
      </c>
      <c r="AB8" s="88" t="s">
        <v>422</v>
      </c>
      <c r="AC8" s="931" t="s">
        <v>423</v>
      </c>
      <c r="AD8" s="926">
        <f>Z8+1</f>
        <v>2026</v>
      </c>
      <c r="AE8" s="931" t="s">
        <v>423</v>
      </c>
      <c r="AF8" s="88" t="s">
        <v>422</v>
      </c>
      <c r="AG8" s="931" t="s">
        <v>423</v>
      </c>
    </row>
    <row r="9" spans="2:34" s="933" customFormat="1">
      <c r="I9"/>
      <c r="J9" s="1134"/>
      <c r="K9" s="1135" t="str">
        <f>HLOOKUP(H2,[3]Income!1:2,2,0)</f>
        <v>2Q24A</v>
      </c>
      <c r="L9" s="1136" t="s">
        <v>630</v>
      </c>
      <c r="M9" s="1136" t="s">
        <v>630</v>
      </c>
      <c r="N9" s="1137"/>
      <c r="O9" s="1137"/>
      <c r="P9" s="1136"/>
      <c r="Q9" s="1138"/>
      <c r="R9" s="1136" t="str">
        <f>HLOOKUP(H3,[3]Income!$1:$2,2,0)&amp;" / Next Quarter"</f>
        <v>4Q24E / Next Quarter</v>
      </c>
      <c r="S9" s="1136"/>
      <c r="T9" s="1137"/>
      <c r="U9" s="1137"/>
      <c r="V9" s="1136" t="str">
        <f>HLOOKUP(H4,[3]Income!1:2,2,0)</f>
        <v>FY24E</v>
      </c>
      <c r="W9" s="1136"/>
      <c r="X9" s="1137"/>
      <c r="Y9" s="1137"/>
      <c r="Z9" s="1136" t="str">
        <f>HLOOKUP(H6,[3]Income!1:2,2,0)</f>
        <v>FY25E</v>
      </c>
      <c r="AA9" s="1136"/>
      <c r="AB9" s="1137"/>
      <c r="AC9" s="1137"/>
      <c r="AD9" s="1136" t="str">
        <f>HLOOKUP(AD8,[3]Income!1:2,2,0)</f>
        <v>FY26E</v>
      </c>
      <c r="AE9" s="1136"/>
      <c r="AF9" s="1137"/>
      <c r="AG9" s="1029"/>
      <c r="AH9" s="926"/>
    </row>
    <row r="10" spans="2:34" s="933" customFormat="1" ht="15">
      <c r="G10" s="1047" t="s">
        <v>557</v>
      </c>
      <c r="H10" s="1047"/>
      <c r="I10"/>
      <c r="J10" s="1139" t="s">
        <v>541</v>
      </c>
      <c r="K10" s="1140" t="s">
        <v>167</v>
      </c>
      <c r="L10" s="1140" t="s">
        <v>542</v>
      </c>
      <c r="M10" s="1140" t="s">
        <v>543</v>
      </c>
      <c r="N10" s="1140" t="s">
        <v>135</v>
      </c>
      <c r="O10" s="1140" t="s">
        <v>135</v>
      </c>
      <c r="P10" s="1140" t="s">
        <v>167</v>
      </c>
      <c r="Q10" s="1140" t="s">
        <v>544</v>
      </c>
      <c r="R10" s="1140" t="s">
        <v>543</v>
      </c>
      <c r="S10" s="1140" t="s">
        <v>543</v>
      </c>
      <c r="T10" s="1140" t="s">
        <v>135</v>
      </c>
      <c r="U10" s="1140" t="s">
        <v>135</v>
      </c>
      <c r="V10" s="1140" t="s">
        <v>543</v>
      </c>
      <c r="W10" s="1140" t="s">
        <v>543</v>
      </c>
      <c r="X10" s="1140" t="s">
        <v>135</v>
      </c>
      <c r="Y10" s="1140" t="s">
        <v>135</v>
      </c>
      <c r="Z10" s="1140" t="s">
        <v>543</v>
      </c>
      <c r="AA10" s="1140" t="s">
        <v>543</v>
      </c>
      <c r="AB10" s="1140" t="s">
        <v>135</v>
      </c>
      <c r="AC10" s="1140" t="s">
        <v>135</v>
      </c>
      <c r="AD10" s="1140" t="s">
        <v>543</v>
      </c>
      <c r="AE10" s="1140" t="s">
        <v>543</v>
      </c>
      <c r="AF10" s="1140" t="s">
        <v>135</v>
      </c>
      <c r="AG10" s="1030" t="s">
        <v>135</v>
      </c>
      <c r="AH10" s="926"/>
    </row>
    <row r="11" spans="2:34" s="933" customFormat="1">
      <c r="B11" s="824" t="str">
        <f ca="1">"'"&amp;E11&amp;"'"&amp;"!$5:$5"</f>
        <v>'Revenue Build'!$5:$5</v>
      </c>
      <c r="C11" s="824" t="str">
        <f ca="1">"'"&amp;E11&amp;"'"&amp;"!$A:$A"</f>
        <v>'Revenue Build'!$A:$A</v>
      </c>
      <c r="D11" s="824" t="str">
        <f ca="1">"'"&amp;$E11&amp;"'"&amp;"!$1:$1048576"</f>
        <v>'Revenue Build'!$1:$1048576</v>
      </c>
      <c r="E11" s="972" t="str" cm="1">
        <f t="array" aca="1" ref="E11" ca="1">IFERROR(INDEX(SheetNames,MATCH(1,COUNTIF(INDIRECT("'"&amp;SheetNames&amp;"'!A:A"),$F11),0)),"Not Found")</f>
        <v>Revenue Build</v>
      </c>
      <c r="F11" s="943" t="s">
        <v>368</v>
      </c>
      <c r="G11" s="1042" t="s">
        <v>368</v>
      </c>
      <c r="H11" s="1043">
        <f>M11</f>
        <v>69715</v>
      </c>
      <c r="I11"/>
      <c r="J11" s="1141" t="s">
        <v>368</v>
      </c>
      <c r="K11" s="1142">
        <f ca="1">INDEX(INDIRECT($D11),MATCH('Quarterly Flash'!$F11,INDIRECT($C11),0),MATCH('Quarterly Flash'!K$8,INDIRECT($B11),0))</f>
        <v>67245</v>
      </c>
      <c r="L11" s="1142">
        <f ca="1">INDEX(INDIRECT($D11),MATCH('Quarterly Flash'!$F11,INDIRECT($C11),0),MATCH('Quarterly Flash'!L$8,INDIRECT($B11),0))</f>
        <v>69715</v>
      </c>
      <c r="M11" s="1142">
        <v>69715</v>
      </c>
      <c r="N11" s="1142">
        <f>INDEX(Consensus!$A$1:$AU$180,MATCH('Quarterly Flash'!$F11,Consensus!$A:$A,0),MATCH('Quarterly Flash'!L$8,Consensus!$4:$4,0))</f>
        <v>69715</v>
      </c>
      <c r="O11" s="1142">
        <v>69715</v>
      </c>
      <c r="P11" s="1143">
        <f>+H11</f>
        <v>69715</v>
      </c>
      <c r="Q11" s="1147">
        <f>+P11/O11-1</f>
        <v>0</v>
      </c>
      <c r="R11" s="1142">
        <f ca="1">INDEX(INDIRECT($D11),MATCH('Quarterly Flash'!$F11,INDIRECT($C11),0),MATCH('Quarterly Flash'!R$8,INDIRECT($B11),0))</f>
        <v>92779.374999999985</v>
      </c>
      <c r="S11" s="1142">
        <v>614.27187363281234</v>
      </c>
      <c r="T11" s="1142">
        <f>INDEX(Consensus!$A$1:$AU$180,MATCH('Quarterly Flash'!$F11,Consensus!$A:$A,0),MATCH('Quarterly Flash'!R$8,Consensus!$4:$4,0))</f>
        <v>92277.09</v>
      </c>
      <c r="U11" s="1142">
        <v>640.57889999999998</v>
      </c>
      <c r="V11" s="1142">
        <f ca="1">INDEX(INDIRECT($D11),MATCH('Quarterly Flash'!$F11,INDIRECT($C11),0),MATCH('Quarterly Flash'!V$8,INDIRECT($B11),0))</f>
        <v>290594.375</v>
      </c>
      <c r="W11" s="1142">
        <v>2262.276653015625</v>
      </c>
      <c r="X11" s="1142">
        <f>INDEX(Consensus!$A$1:$AU$180,MATCH('Quarterly Flash'!$F11,Consensus!$A:$A,0),MATCH('Quarterly Flash'!V$8,Consensus!$4:$4,0))</f>
        <v>289784.2</v>
      </c>
      <c r="Y11" s="1142">
        <v>2333.5066000000002</v>
      </c>
      <c r="Z11" s="1142">
        <f ca="1">INDEX(INDIRECT($D11),MATCH('Quarterly Flash'!$F11,INDIRECT($C11),0),MATCH('Quarterly Flash'!Z$8,INDIRECT($B11),0))</f>
        <v>347260.16816817026</v>
      </c>
      <c r="AA11" s="1142">
        <v>2621.9866383465574</v>
      </c>
      <c r="AB11" s="1142">
        <f>INDEX(Consensus!$A$1:$AU$180,MATCH('Quarterly Flash'!$F11,Consensus!$A:$A,0),MATCH('Quarterly Flash'!Z$8,Consensus!$4:$4,0))</f>
        <v>348713.47</v>
      </c>
      <c r="AC11" s="1142">
        <v>2719.5192999999999</v>
      </c>
      <c r="AD11" s="1142">
        <f ca="1">INDEX(INDIRECT($D11),MATCH('Quarterly Flash'!$F11,INDIRECT($C11),0),MATCH('Quarterly Flash'!AD$8,INDIRECT($B11),0))</f>
        <v>407857.06751351594</v>
      </c>
      <c r="AE11" s="1142">
        <v>3038.8917829761112</v>
      </c>
      <c r="AF11" s="1142">
        <f>INDEX(Consensus!$A$1:$AU$180,MATCH('Quarterly Flash'!$F11,Consensus!$A:$A,0),MATCH('Quarterly Flash'!AD$8,Consensus!$4:$4,0))</f>
        <v>415727.38</v>
      </c>
      <c r="AG11" s="1030"/>
      <c r="AH11" s="926"/>
    </row>
    <row r="12" spans="2:34" s="933" customFormat="1" ht="15">
      <c r="B12" s="824" t="str">
        <f ca="1">"'"&amp;E12&amp;"'"&amp;"!$5:$5"</f>
        <v>'Revenue Build'!$5:$5</v>
      </c>
      <c r="C12" s="824" t="str">
        <f ca="1">"'"&amp;E12&amp;"'"&amp;"!$A:$A"</f>
        <v>'Revenue Build'!$A:$A</v>
      </c>
      <c r="D12" s="824" t="str">
        <f ca="1">"'"&amp;$E12&amp;"'"&amp;"!$1:$1048576"</f>
        <v>'Revenue Build'!$1:$1048576</v>
      </c>
      <c r="E12" s="972" t="str" cm="1">
        <f t="array" aca="1" ref="E12" ca="1">IFERROR(INDEX(SheetNames,MATCH(1,COUNTIF(INDIRECT("'"&amp;SheetNames&amp;"'!A:A"),$F12),0)),"Not Found")</f>
        <v>Revenue Build</v>
      </c>
      <c r="F12" s="940" t="s">
        <v>620</v>
      </c>
      <c r="G12" s="1047"/>
      <c r="H12" s="1047"/>
      <c r="I12"/>
      <c r="J12" s="1144" t="s">
        <v>433</v>
      </c>
      <c r="K12" s="1145">
        <f ca="1">INDEX(INDIRECT($D12),MATCH('Quarterly Flash'!$F12,INDIRECT($C12),0),MATCH('Quarterly Flash'!K$8,INDIRECT($B12),0))</f>
        <v>0.22263636363636374</v>
      </c>
      <c r="L12" s="1145">
        <f ca="1">INDEX(INDIRECT($D12),MATCH('Quarterly Flash'!$F12,INDIRECT($C12),0),MATCH('Quarterly Flash'!L$8,INDIRECT($B12),0))</f>
        <v>0.24048042704626327</v>
      </c>
      <c r="M12" s="1145">
        <v>0.24048042704626327</v>
      </c>
      <c r="N12" s="1145">
        <f>INDEX(Consensus!$A$1:$AU$180,MATCH('Quarterly Flash'!$F12,Consensus!$A:$A,0),MATCH('Quarterly Flash'!L$8,Consensus!$4:$4,0))</f>
        <v>0.24037007383684728</v>
      </c>
      <c r="O12" s="1145">
        <v>0.24195246913580237</v>
      </c>
      <c r="P12" s="1146"/>
      <c r="Q12" s="1145"/>
      <c r="R12" s="1145">
        <f ca="1">INDEX(INDIRECT($D12),MATCH('Quarterly Flash'!$F12,INDIRECT($C12),0),MATCH('Quarterly Flash'!R$8,INDIRECT($B12),0))</f>
        <v>0.23499999999999999</v>
      </c>
      <c r="S12" s="1145">
        <v>0.17004166406249976</v>
      </c>
      <c r="T12" s="1145">
        <f>INDEX(Consensus!$A$1:$AU$180,MATCH('Quarterly Flash'!$F12,Consensus!$A:$A,0),MATCH('Quarterly Flash'!R$8,Consensus!$4:$4,0))</f>
        <v>0.22831400998336093</v>
      </c>
      <c r="U12" s="1145">
        <v>0.22015028571428563</v>
      </c>
      <c r="V12" s="1145">
        <f ca="1">INDEX(INDIRECT($D12),MATCH('Quarterly Flash'!$F12,INDIRECT($C12),0),MATCH('Quarterly Flash'!V$8,INDIRECT($B12),0))</f>
        <v>0.23172353502172305</v>
      </c>
      <c r="W12" s="1145">
        <v>0.23150607132042733</v>
      </c>
      <c r="X12" s="1145">
        <f>INDEX(Consensus!$A$1:$AU$180,MATCH('Quarterly Flash'!$F12,Consensus!$A:$A,0),MATCH('Quarterly Flash'!V$8,Consensus!$4:$4,0))</f>
        <v>0.22836759781272531</v>
      </c>
      <c r="Y12" s="1145">
        <v>0.27028121937942307</v>
      </c>
      <c r="Z12" s="1145">
        <f ca="1">INDEX(INDIRECT($D12),MATCH('Quarterly Flash'!$F12,INDIRECT($C12),0),MATCH('Quarterly Flash'!Z$8,INDIRECT($B12),0))</f>
        <v>0.19499962161404616</v>
      </c>
      <c r="AA12" s="1145">
        <v>0.15900353515624954</v>
      </c>
      <c r="AB12" s="1145">
        <f>INDEX(Consensus!$A$1:$AU$180,MATCH('Quarterly Flash'!$F12,Consensus!$A:$A,0),MATCH('Quarterly Flash'!Z$8,Consensus!$4:$4,0))</f>
        <v>0.2033557040031857</v>
      </c>
      <c r="AC12" s="1145">
        <v>0.1654217305406378</v>
      </c>
      <c r="AD12" s="1145">
        <f ca="1">INDEX(INDIRECT($D12),MATCH('Quarterly Flash'!$F12,INDIRECT($C12),0),MATCH('Quarterly Flash'!AD$8,INDIRECT($B12),0))</f>
        <v>0.17449999999999988</v>
      </c>
      <c r="AE12" s="1145">
        <v>0.15900353515624976</v>
      </c>
      <c r="AF12" s="1145">
        <f>INDEX(Consensus!$A$1:$AU$180,MATCH('Quarterly Flash'!$F12,Consensus!$A:$A,0),MATCH('Quarterly Flash'!AD$8,Consensus!$4:$4,0))</f>
        <v>0.19217471008504505</v>
      </c>
      <c r="AG12" s="942">
        <v>0.1427949785096212</v>
      </c>
      <c r="AH12" s="1032"/>
    </row>
    <row r="13" spans="2:34">
      <c r="B13" s="824" t="str">
        <f ca="1">"'"&amp;E13&amp;"'"&amp;"!$5:$5"</f>
        <v>'Income'!$5:$5</v>
      </c>
      <c r="C13" s="824" t="str">
        <f ca="1">"'"&amp;E13&amp;"'"&amp;"!$A:$A"</f>
        <v>'Income'!$A:$A</v>
      </c>
      <c r="D13" s="824" t="str">
        <f ca="1">"'"&amp;$E13&amp;"'"&amp;"!$1:$1048576"</f>
        <v>'Income'!$1:$1048576</v>
      </c>
      <c r="E13" s="972" t="str" cm="1">
        <f t="array" aca="1" ref="E13" ca="1">IFERROR(INDEX(SheetNames,MATCH(1,COUNTIF(INDIRECT("'"&amp;SheetNames&amp;"'!A:A"),$F13),0)),"Not Found")</f>
        <v>Income</v>
      </c>
      <c r="F13" s="943" t="s">
        <v>534</v>
      </c>
      <c r="G13" s="1042" t="s">
        <v>295</v>
      </c>
      <c r="H13" s="1043">
        <f>M13</f>
        <v>574.00477938281244</v>
      </c>
      <c r="J13" s="1141" t="s">
        <v>295</v>
      </c>
      <c r="K13" s="1142">
        <f ca="1">INDEX(INDIRECT($D13),MATCH('Quarterly Flash'!$F13,INDIRECT($C13),0),MATCH('Quarterly Flash'!K$8,INDIRECT($B13),0))</f>
        <v>563</v>
      </c>
      <c r="L13" s="1142">
        <f ca="1">INDEX(INDIRECT($D13),MATCH('Quarterly Flash'!$F13,INDIRECT($C13),0),MATCH('Quarterly Flash'!L$8,INDIRECT($B13),0))</f>
        <v>610</v>
      </c>
      <c r="M13" s="1142">
        <v>574.00477938281244</v>
      </c>
      <c r="N13" s="1142">
        <f>INDEX(Consensus!$A$1:$AU$180,MATCH('Quarterly Flash'!$F13,Consensus!$A:$A,0),MATCH('Quarterly Flash'!L$8,Consensus!$4:$4,0))</f>
        <v>610</v>
      </c>
      <c r="O13" s="1142">
        <v>603.58889999999997</v>
      </c>
      <c r="P13" s="1143">
        <f>+H13</f>
        <v>574.00477938281244</v>
      </c>
      <c r="Q13" s="1147">
        <f>+P13/O13-1</f>
        <v>-4.9013692294850864E-2</v>
      </c>
      <c r="R13" s="1142">
        <f ca="1">INDEX(INDIRECT($D13),MATCH('Quarterly Flash'!$F13,INDIRECT($C13),0),MATCH('Quarterly Flash'!R$8,INDIRECT($B13),0))</f>
        <v>657.73450620117183</v>
      </c>
      <c r="S13" s="1142">
        <v>614.27187363281234</v>
      </c>
      <c r="T13" s="1142">
        <f>INDEX(Consensus!$A$1:$AU$180,MATCH('Quarterly Flash'!$F13,Consensus!$A:$A,0),MATCH('Quarterly Flash'!R$8,Consensus!$4:$4,0))</f>
        <v>648.89260000000002</v>
      </c>
      <c r="U13" s="1142">
        <v>640.57889999999998</v>
      </c>
      <c r="V13" s="1142">
        <f ca="1">INDEX(INDIRECT($D13),MATCH('Quarterly Flash'!$F13,INDIRECT($C13),0),MATCH('Quarterly Flash'!V$8,INDIRECT($B13),0))</f>
        <v>2341.7345062011718</v>
      </c>
      <c r="W13" s="1142">
        <v>2262.276653015625</v>
      </c>
      <c r="X13" s="1142">
        <f>INDEX(Consensus!$A$1:$AU$180,MATCH('Quarterly Flash'!$F13,Consensus!$A:$A,0),MATCH('Quarterly Flash'!V$8,Consensus!$4:$4,0))</f>
        <v>2330.2125999999998</v>
      </c>
      <c r="Y13" s="1142">
        <v>2333.5066000000002</v>
      </c>
      <c r="Z13" s="1142">
        <f ca="1">INDEX(INDIRECT($D13),MATCH('Quarterly Flash'!$F13,INDIRECT($C13),0),MATCH('Quarterly Flash'!Z$8,INDIRECT($B13),0))</f>
        <v>2765.7753057718573</v>
      </c>
      <c r="AA13" s="1142">
        <v>2621.9866383465574</v>
      </c>
      <c r="AB13" s="1142">
        <f>INDEX(Consensus!$A$1:$AU$180,MATCH('Quarterly Flash'!$F13,Consensus!$A:$A,0),MATCH('Quarterly Flash'!Z$8,Consensus!$4:$4,0))</f>
        <v>2769.6774999999998</v>
      </c>
      <c r="AC13" s="1142">
        <v>2719.5192999999999</v>
      </c>
      <c r="AD13" s="1142">
        <f ca="1">INDEX(INDIRECT($D13),MATCH('Quarterly Flash'!$F13,INDIRECT($C13),0),MATCH('Quarterly Flash'!AD$8,INDIRECT($B13),0))</f>
        <v>3205.5433568374401</v>
      </c>
      <c r="AE13" s="1142">
        <v>3038.8917829761112</v>
      </c>
      <c r="AF13" s="1142">
        <f>INDEX(Consensus!$A$1:$AU$180,MATCH('Quarterly Flash'!$F13,Consensus!$A:$A,0),MATCH('Quarterly Flash'!AD$8,Consensus!$4:$4,0))</f>
        <v>3247.7937000000002</v>
      </c>
      <c r="AG13" s="1033">
        <v>3107.8530000000001</v>
      </c>
    </row>
    <row r="14" spans="2:34" s="1032" customFormat="1">
      <c r="B14" s="824" t="str">
        <f ca="1">"'"&amp;E14&amp;"'"&amp;"!$5:$5"</f>
        <v>'Income'!$5:$5</v>
      </c>
      <c r="C14" s="824" t="str">
        <f t="shared" ref="C14:C35" ca="1" si="0">"'"&amp;E14&amp;"'"&amp;"!$A:$A"</f>
        <v>'Income'!$A:$A</v>
      </c>
      <c r="D14" s="824" t="str">
        <f t="shared" ref="D14:D35" ca="1" si="1">"'"&amp;$E14&amp;"'"&amp;"!$1:$1048576"</f>
        <v>'Income'!$1:$1048576</v>
      </c>
      <c r="E14" s="972" t="str" cm="1">
        <f t="array" aca="1" ref="E14" ca="1">IFERROR(INDEX(SheetNames,MATCH(1,COUNTIF(INDIRECT("'"&amp;SheetNames&amp;"'!A:A"),$F14),0)),"Not Found")</f>
        <v>Income</v>
      </c>
      <c r="F14" s="940" t="s">
        <v>535</v>
      </c>
      <c r="G14" s="1044"/>
      <c r="H14" s="1044"/>
      <c r="I14"/>
      <c r="J14" s="1144" t="s">
        <v>433</v>
      </c>
      <c r="K14" s="1145">
        <f ca="1">INDEX(INDIRECT($D14),MATCH('Quarterly Flash'!$F14,INDIRECT($C14),0),MATCH('Quarterly Flash'!K$8,INDIRECT($B14),0))</f>
        <v>0.26801801801801806</v>
      </c>
      <c r="L14" s="1145">
        <f ca="1">INDEX(INDIRECT($D14),MATCH('Quarterly Flash'!$F14,INDIRECT($C14),0),MATCH('Quarterly Flash'!L$8,INDIRECT($B14),0))</f>
        <v>0.25514403292181065</v>
      </c>
      <c r="M14" s="1145">
        <v>0.18107979296874999</v>
      </c>
      <c r="N14" s="1145">
        <f>INDEX(Consensus!$A$1:$AU$180,MATCH('Quarterly Flash'!$F14,Consensus!$A:$A,0),MATCH('Quarterly Flash'!L$8,Consensus!$4:$4,0))</f>
        <v>0.25514403292181065</v>
      </c>
      <c r="O14" s="1145">
        <v>0.24195246913580237</v>
      </c>
      <c r="P14" s="1146"/>
      <c r="Q14" s="1145"/>
      <c r="R14" s="1145">
        <f ca="1">INDEX(INDIRECT($D14),MATCH('Quarterly Flash'!$F14,INDIRECT($C14),0),MATCH('Quarterly Flash'!R$8,INDIRECT($B14),0))</f>
        <v>0.25282763085937487</v>
      </c>
      <c r="S14" s="1145">
        <v>0.17004166406249976</v>
      </c>
      <c r="T14" s="1145">
        <f>INDEX(Consensus!$A$1:$AU$180,MATCH('Quarterly Flash'!$F14,Consensus!$A:$A,0),MATCH('Quarterly Flash'!R$8,Consensus!$4:$4,0))</f>
        <v>0.23598590476190484</v>
      </c>
      <c r="U14" s="1145">
        <v>0.22015028571428563</v>
      </c>
      <c r="V14" s="1145">
        <f ca="1">INDEX(INDIRECT($D14),MATCH('Quarterly Flash'!$F14,INDIRECT($C14),0),MATCH('Quarterly Flash'!V$8,INDIRECT($B14),0))</f>
        <v>0.27476021023471531</v>
      </c>
      <c r="W14" s="1145">
        <v>0.23150607132042733</v>
      </c>
      <c r="X14" s="1145">
        <f>INDEX(Consensus!$A$1:$AU$180,MATCH('Quarterly Flash'!$F14,Consensus!$A:$A,0),MATCH('Quarterly Flash'!V$8,Consensus!$4:$4,0))</f>
        <v>0.26848807838867716</v>
      </c>
      <c r="Y14" s="1145">
        <v>0.27028121937942307</v>
      </c>
      <c r="Z14" s="1145">
        <f ca="1">INDEX(INDIRECT($D14),MATCH('Quarterly Flash'!$F14,INDIRECT($C14),0),MATCH('Quarterly Flash'!Z$8,INDIRECT($B14),0))</f>
        <v>0.18107979296874976</v>
      </c>
      <c r="AA14" s="1145">
        <v>0.15900353515624954</v>
      </c>
      <c r="AB14" s="1145">
        <f>INDEX(Consensus!$A$1:$AU$180,MATCH('Quarterly Flash'!$F14,Consensus!$A:$A,0),MATCH('Quarterly Flash'!Z$8,Consensus!$4:$4,0))</f>
        <v>0.18859433684291305</v>
      </c>
      <c r="AC14" s="1145">
        <v>0.1654217305406378</v>
      </c>
      <c r="AD14" s="1145">
        <f ca="1">INDEX(INDIRECT($D14),MATCH('Quarterly Flash'!$F14,INDIRECT($C14),0),MATCH('Quarterly Flash'!AD$8,INDIRECT($B14),0))</f>
        <v>0.15900353515624976</v>
      </c>
      <c r="AE14" s="1145">
        <v>0.15900353515624976</v>
      </c>
      <c r="AF14" s="1145">
        <f>INDEX(Consensus!$A$1:$AU$180,MATCH('Quarterly Flash'!$F14,Consensus!$A:$A,0),MATCH('Quarterly Flash'!AD$8,Consensus!$4:$4,0))</f>
        <v>0.17262522441692241</v>
      </c>
      <c r="AG14" s="942">
        <v>0.1427949785096212</v>
      </c>
    </row>
    <row r="15" spans="2:34">
      <c r="B15" s="824" t="str">
        <f t="shared" ref="B15:B35" ca="1" si="2">"'"&amp;E15&amp;"'"&amp;"!$5:$5"</f>
        <v>'Income'!$5:$5</v>
      </c>
      <c r="C15" s="824" t="str">
        <f t="shared" ca="1" si="0"/>
        <v>'Income'!$A:$A</v>
      </c>
      <c r="D15" s="824" t="str">
        <f t="shared" ca="1" si="1"/>
        <v>'Income'!$1:$1048576</v>
      </c>
      <c r="E15" s="972" t="str" cm="1">
        <f t="array" aca="1" ref="E15" ca="1">IFERROR(INDEX(SheetNames,MATCH(1,COUNTIF(INDIRECT("'"&amp;SheetNames&amp;"'!A:A"),$F15),0)),"Not Found")</f>
        <v>Income</v>
      </c>
      <c r="F15" s="943" t="s">
        <v>537</v>
      </c>
      <c r="G15" s="1042" t="s">
        <v>547</v>
      </c>
      <c r="H15" s="1043">
        <f>M15</f>
        <v>1535.3910000000001</v>
      </c>
      <c r="J15" s="1141" t="s">
        <v>547</v>
      </c>
      <c r="K15" s="1142">
        <f ca="1">INDEX(INDIRECT($D15),MATCH('Quarterly Flash'!$F15,INDIRECT($C15),0),MATCH('Quarterly Flash'!K$8,INDIRECT($B15),0))</f>
        <v>1482</v>
      </c>
      <c r="L15" s="1142">
        <f ca="1">INDEX(INDIRECT($D15),MATCH('Quarterly Flash'!$F15,INDIRECT($C15),0),MATCH('Quarterly Flash'!L$8,INDIRECT($B15),0))</f>
        <v>1552</v>
      </c>
      <c r="M15" s="1142">
        <v>1535.3910000000001</v>
      </c>
      <c r="N15" s="1142">
        <f>INDEX(Consensus!$A$1:$AU$180,MATCH('Quarterly Flash'!$F15,Consensus!$A:$A,0),MATCH('Quarterly Flash'!L$8,Consensus!$4:$4,0))</f>
        <v>1552</v>
      </c>
      <c r="O15" s="1142">
        <v>1538.9265</v>
      </c>
      <c r="P15" s="1143">
        <f>+H15</f>
        <v>1535.3910000000001</v>
      </c>
      <c r="Q15" s="1147">
        <f>+P15/O15-1</f>
        <v>-2.2973806741257707E-3</v>
      </c>
      <c r="R15" s="1142">
        <f ca="1">INDEX(INDIRECT($D15),MATCH('Quarterly Flash'!$F15,INDIRECT($C15),0),MATCH('Quarterly Flash'!R$8,INDIRECT($B15),0))</f>
        <v>2045.8546874999995</v>
      </c>
      <c r="S15" s="1142">
        <v>1991.440625</v>
      </c>
      <c r="T15" s="1142">
        <f>INDEX(Consensus!$A$1:$AU$180,MATCH('Quarterly Flash'!$F15,Consensus!$A:$A,0),MATCH('Quarterly Flash'!R$8,Consensus!$4:$4,0))</f>
        <v>2069.3555000000001</v>
      </c>
      <c r="U15" s="1142">
        <v>2028.1721</v>
      </c>
      <c r="V15" s="1142">
        <f ca="1">INDEX(INDIRECT($D15),MATCH('Quarterly Flash'!$F15,INDIRECT($C15),0),MATCH('Quarterly Flash'!V$8,INDIRECT($B15),0))</f>
        <v>6429.8546874999993</v>
      </c>
      <c r="W15" s="1142">
        <v>6358.8316249999998</v>
      </c>
      <c r="X15" s="1142">
        <f>INDEX(Consensus!$A$1:$AU$180,MATCH('Quarterly Flash'!$F15,Consensus!$A:$A,0),MATCH('Quarterly Flash'!V$8,Consensus!$4:$4,0))</f>
        <v>6460.0054</v>
      </c>
      <c r="Y15" s="1142">
        <v>6437.4269999999997</v>
      </c>
      <c r="Z15" s="1142">
        <f ca="1">INDEX(INDIRECT($D15),MATCH('Quarterly Flash'!$F15,INDIRECT($C15),0),MATCH('Quarterly Flash'!Z$8,INDIRECT($B15),0))</f>
        <v>8030.9811823631326</v>
      </c>
      <c r="AA15" s="1142">
        <v>7796.0837374999992</v>
      </c>
      <c r="AB15" s="1142">
        <f>INDEX(Consensus!$A$1:$AU$180,MATCH('Quarterly Flash'!$F15,Consensus!$A:$A,0),MATCH('Quarterly Flash'!Z$8,Consensus!$4:$4,0))</f>
        <v>8000.8755000000001</v>
      </c>
      <c r="AC15" s="1142">
        <v>7850.6377000000002</v>
      </c>
      <c r="AD15" s="1142">
        <f ca="1">INDEX(INDIRECT($D15),MATCH('Quarterly Flash'!$F15,INDIRECT($C15),0),MATCH('Quarterly Flash'!AD$8,INDIRECT($B15),0))</f>
        <v>9717.8873459449605</v>
      </c>
      <c r="AE15" s="1142">
        <v>9521.4377721874989</v>
      </c>
      <c r="AF15" s="1142">
        <f>INDEX(Consensus!$A$1:$AU$180,MATCH('Quarterly Flash'!$F15,Consensus!$A:$A,0),MATCH('Quarterly Flash'!AD$8,Consensus!$4:$4,0))</f>
        <v>9683.0169999999998</v>
      </c>
      <c r="AG15" s="1033">
        <v>9586.0879999999997</v>
      </c>
    </row>
    <row r="16" spans="2:34" s="1032" customFormat="1">
      <c r="B16" s="824" t="str">
        <f t="shared" ca="1" si="2"/>
        <v>'Income'!$5:$5</v>
      </c>
      <c r="C16" s="824" t="str">
        <f t="shared" ca="1" si="0"/>
        <v>'Income'!$A:$A</v>
      </c>
      <c r="D16" s="824" t="str">
        <f t="shared" ca="1" si="1"/>
        <v>'Income'!$1:$1048576</v>
      </c>
      <c r="E16" s="972" t="str" cm="1">
        <f t="array" aca="1" ref="E16" ca="1">IFERROR(INDEX(SheetNames,MATCH(1,COUNTIF(INDIRECT("'"&amp;SheetNames&amp;"'!A:A"),$F16),0)),"Not Found")</f>
        <v>Income</v>
      </c>
      <c r="F16" s="940" t="s">
        <v>538</v>
      </c>
      <c r="G16" s="1044"/>
      <c r="H16" s="1044"/>
      <c r="I16"/>
      <c r="J16" s="1144" t="s">
        <v>433</v>
      </c>
      <c r="K16" s="1145">
        <f ca="1">INDEX(INDIRECT($D16),MATCH('Quarterly Flash'!$F16,INDIRECT($C16),0),MATCH('Quarterly Flash'!K$8,INDIRECT($B16),0))</f>
        <v>0.18559999999999999</v>
      </c>
      <c r="L16" s="1145">
        <f ca="1">INDEX(INDIRECT($D16),MATCH('Quarterly Flash'!$F16,INDIRECT($C16),0),MATCH('Quarterly Flash'!L$8,INDIRECT($B16),0))</f>
        <v>0.26384364820846895</v>
      </c>
      <c r="M16" s="1145">
        <v>0.2503184039087949</v>
      </c>
      <c r="N16" s="1145">
        <f>INDEX(Consensus!$A$1:$AU$180,MATCH('Quarterly Flash'!$F16,Consensus!$A:$A,0),MATCH('Quarterly Flash'!L$8,Consensus!$4:$4,0))</f>
        <v>0.26384364820846895</v>
      </c>
      <c r="O16" s="1145">
        <v>0.25319747557003258</v>
      </c>
      <c r="P16" s="1146"/>
      <c r="Q16" s="1145"/>
      <c r="R16" s="1145">
        <f ca="1">INDEX(INDIRECT($D16),MATCH('Quarterly Flash'!$F16,INDIRECT($C16),0),MATCH('Quarterly Flash'!R$8,INDIRECT($B16),0))</f>
        <v>0.26365329678814042</v>
      </c>
      <c r="S16" s="1145">
        <v>0.2300436226065472</v>
      </c>
      <c r="T16" s="1145">
        <f>INDEX(Consensus!$A$1:$AU$180,MATCH('Quarterly Flash'!$F16,Consensus!$A:$A,0),MATCH('Quarterly Flash'!R$8,Consensus!$4:$4,0))</f>
        <v>0.27816893143915999</v>
      </c>
      <c r="U16" s="1145">
        <v>0.25273137739345275</v>
      </c>
      <c r="V16" s="1145">
        <f ca="1">INDEX(INDIRECT($D16),MATCH('Quarterly Flash'!$F16,INDIRECT($C16),0),MATCH('Quarterly Flash'!V$8,INDIRECT($B16),0))</f>
        <v>0.23106541977790518</v>
      </c>
      <c r="W16" s="1145">
        <v>0.21746728412789573</v>
      </c>
      <c r="X16" s="1145">
        <f>INDEX(Consensus!$A$1:$AU$180,MATCH('Quarterly Flash'!$F16,Consensus!$A:$A,0),MATCH('Quarterly Flash'!V$8,Consensus!$4:$4,0))</f>
        <v>0.23683810070840505</v>
      </c>
      <c r="Y16" s="1145">
        <v>0.23251522113727741</v>
      </c>
      <c r="Z16" s="1145">
        <f ca="1">INDEX(INDIRECT($D16),MATCH('Quarterly Flash'!$F16,INDIRECT($C16),0),MATCH('Quarterly Flash'!Z$8,INDIRECT($B16),0))</f>
        <v>0.24901441365009602</v>
      </c>
      <c r="AA16" s="1145">
        <v>0.22602455879620797</v>
      </c>
      <c r="AB16" s="1145">
        <f>INDEX(Consensus!$A$1:$AU$180,MATCH('Quarterly Flash'!$F16,Consensus!$A:$A,0),MATCH('Quarterly Flash'!Z$8,Consensus!$4:$4,0))</f>
        <v>0.23852458389585873</v>
      </c>
      <c r="AC16" s="1145">
        <v>0.21953036515986901</v>
      </c>
      <c r="AD16" s="1145">
        <f ca="1">INDEX(INDIRECT($D16),MATCH('Quarterly Flash'!$F16,INDIRECT($C16),0),MATCH('Quarterly Flash'!AD$8,INDIRECT($B16),0))</f>
        <v>0.21004982146969153</v>
      </c>
      <c r="AE16" s="1145">
        <v>0.22131035181014824</v>
      </c>
      <c r="AF16" s="1145">
        <f>INDEX(Consensus!$A$1:$AU$180,MATCH('Quarterly Flash'!$F16,Consensus!$A:$A,0),MATCH('Quarterly Flash'!AD$8,Consensus!$4:$4,0))</f>
        <v>0.21024467884795861</v>
      </c>
      <c r="AG16" s="942">
        <v>0.22105851350139361</v>
      </c>
    </row>
    <row r="17" spans="2:33">
      <c r="B17" s="824" t="str">
        <f t="shared" ca="1" si="2"/>
        <v>'Income'!$5:$5</v>
      </c>
      <c r="C17" s="824" t="str">
        <f t="shared" ca="1" si="0"/>
        <v>'Income'!$A:$A</v>
      </c>
      <c r="D17" s="824" t="str">
        <f t="shared" ca="1" si="1"/>
        <v>'Income'!$1:$1048576</v>
      </c>
      <c r="E17" s="972" t="str" cm="1">
        <f t="array" aca="1" ref="E17" ca="1">IFERROR(INDEX(SheetNames,MATCH(1,COUNTIF(INDIRECT("'"&amp;SheetNames&amp;"'!A:A"),$F17),0)),"Not Found")</f>
        <v>Income</v>
      </c>
      <c r="F17" s="940" t="s">
        <v>431</v>
      </c>
      <c r="G17" s="1042" t="s">
        <v>197</v>
      </c>
      <c r="H17" s="1043">
        <f>M17</f>
        <v>2109.3957793828126</v>
      </c>
      <c r="J17" s="1148" t="s">
        <v>197</v>
      </c>
      <c r="K17" s="1149">
        <f ca="1">INDEX(INDIRECT($D17),MATCH('Quarterly Flash'!$F17,INDIRECT($C17),0),MATCH('Quarterly Flash'!K$8,INDIRECT($B17),0))</f>
        <v>2045</v>
      </c>
      <c r="L17" s="1149">
        <f ca="1">INDEX(INDIRECT($D17),MATCH('Quarterly Flash'!$F17,INDIRECT($C17),0),MATCH('Quarterly Flash'!L$8,INDIRECT($B17),0))</f>
        <v>2162</v>
      </c>
      <c r="M17" s="1149">
        <v>2109.3957793828126</v>
      </c>
      <c r="N17" s="1149">
        <f>INDEX(Consensus!$A$1:$AU$180,MATCH('Quarterly Flash'!$F17,Consensus!$A:$A,0),MATCH('Quarterly Flash'!L$8,Consensus!$4:$4,0))</f>
        <v>2162</v>
      </c>
      <c r="O17" s="1149">
        <v>2137.2199999999998</v>
      </c>
      <c r="P17" s="1150">
        <f>+H17</f>
        <v>2109.3957793828126</v>
      </c>
      <c r="Q17" s="1151">
        <f>+P17/O17-1</f>
        <v>-1.3018884633864136E-2</v>
      </c>
      <c r="R17" s="1149">
        <f ca="1">INDEX(INDIRECT($D17),MATCH('Quarterly Flash'!$F17,INDIRECT($C17),0),MATCH('Quarterly Flash'!R$8,INDIRECT($B17),0))</f>
        <v>2703.5891937011711</v>
      </c>
      <c r="S17" s="1149">
        <v>2605.7124986328122</v>
      </c>
      <c r="T17" s="1149">
        <f>INDEX(Consensus!$A$1:$AU$180,MATCH('Quarterly Flash'!$F17,Consensus!$A:$A,0),MATCH('Quarterly Flash'!R$8,Consensus!$4:$4,0))</f>
        <v>2725.7952</v>
      </c>
      <c r="U17" s="1149">
        <v>2659.8980000000001</v>
      </c>
      <c r="V17" s="1149">
        <f ca="1">INDEX(INDIRECT($D17),MATCH('Quarterly Flash'!$F17,INDIRECT($C17),0),MATCH('Quarterly Flash'!V$8,INDIRECT($B17),0))</f>
        <v>8771.5891937011711</v>
      </c>
      <c r="W17" s="1149">
        <v>8621.1082780156248</v>
      </c>
      <c r="X17" s="1149">
        <f>INDEX(Consensus!$A$1:$AU$180,MATCH('Quarterly Flash'!$F17,Consensus!$A:$A,0),MATCH('Quarterly Flash'!V$8,Consensus!$4:$4,0))</f>
        <v>8799.232</v>
      </c>
      <c r="Y17" s="1149">
        <v>8745.1409999999996</v>
      </c>
      <c r="Z17" s="1149">
        <f ca="1">INDEX(INDIRECT($D17),MATCH('Quarterly Flash'!$F17,INDIRECT($C17),0),MATCH('Quarterly Flash'!Z$8,INDIRECT($B17),0))</f>
        <v>10796.75648813499</v>
      </c>
      <c r="AA17" s="1149">
        <v>10418.070375846557</v>
      </c>
      <c r="AB17" s="1149">
        <f>INDEX(Consensus!$A$1:$AU$180,MATCH('Quarterly Flash'!$F17,Consensus!$A:$A,0),MATCH('Quarterly Flash'!Z$8,Consensus!$4:$4,0))</f>
        <v>10858.165000000001</v>
      </c>
      <c r="AC17" s="1149">
        <v>10551.374</v>
      </c>
      <c r="AD17" s="1149">
        <f ca="1">INDEX(INDIRECT($D17),MATCH('Quarterly Flash'!$F17,INDIRECT($C17),0),MATCH('Quarterly Flash'!AD$8,INDIRECT($B17),0))</f>
        <v>12923.430702782402</v>
      </c>
      <c r="AE17" s="1149">
        <v>12560.329555163611</v>
      </c>
      <c r="AF17" s="1149">
        <f>INDEX(Consensus!$A$1:$AU$180,MATCH('Quarterly Flash'!$F17,Consensus!$A:$A,0),MATCH('Quarterly Flash'!AD$8,Consensus!$4:$4,0))</f>
        <v>13154.029</v>
      </c>
      <c r="AG17" s="1031">
        <v>12775.403</v>
      </c>
    </row>
    <row r="18" spans="2:33" s="1032" customFormat="1">
      <c r="B18" s="824" t="str">
        <f t="shared" ca="1" si="2"/>
        <v>'Income'!$5:$5</v>
      </c>
      <c r="C18" s="824" t="str">
        <f t="shared" ca="1" si="0"/>
        <v>'Income'!$A:$A</v>
      </c>
      <c r="D18" s="824" t="str">
        <f t="shared" ca="1" si="1"/>
        <v>'Income'!$1:$1048576</v>
      </c>
      <c r="E18" s="972" t="str" cm="1">
        <f t="array" aca="1" ref="E18" ca="1">IFERROR(INDEX(SheetNames,MATCH(1,COUNTIF(INDIRECT("'"&amp;SheetNames&amp;"'!A:A"),$F18),0)),"Not Found")</f>
        <v>Income</v>
      </c>
      <c r="F18" s="940" t="s">
        <v>432</v>
      </c>
      <c r="G18" s="1042" t="s">
        <v>155</v>
      </c>
      <c r="H18" s="1043">
        <f>H17-H19</f>
        <v>994.99564984767176</v>
      </c>
      <c r="I18"/>
      <c r="J18" s="1144" t="s">
        <v>433</v>
      </c>
      <c r="K18" s="1145">
        <f ca="1">INDEX(INDIRECT($D18),MATCH('Quarterly Flash'!$F18,INDIRECT($C18),0),MATCH('Quarterly Flash'!K$8,INDIRECT($B18),0))</f>
        <v>0.20720188902007086</v>
      </c>
      <c r="L18" s="1145">
        <f ca="1">INDEX(INDIRECT($D18),MATCH('Quarterly Flash'!$F18,INDIRECT($C18),0),MATCH('Quarterly Flash'!L$8,INDIRECT($B18),0))</f>
        <v>0.26137689614935833</v>
      </c>
      <c r="M18" s="1145">
        <v>0.23068598563758025</v>
      </c>
      <c r="N18" s="1145">
        <f>INDEX(Consensus!$A$1:$AU$180,MATCH('Quarterly Flash'!$F18,Consensus!$A:$A,0),MATCH('Quarterly Flash'!L$8,Consensus!$4:$4,0))</f>
        <v>0.26137689614935833</v>
      </c>
      <c r="O18" s="1145">
        <v>0.24691948658109664</v>
      </c>
      <c r="P18" s="1146"/>
      <c r="Q18" s="1145"/>
      <c r="R18" s="1145">
        <f ca="1">INDEX(INDIRECT($D18),MATCH('Quarterly Flash'!$F18,INDIRECT($C18),0),MATCH('Quarterly Flash'!R$8,INDIRECT($B18),0))</f>
        <v>0.26100242243524763</v>
      </c>
      <c r="S18" s="1145">
        <v>0.21535097883993104</v>
      </c>
      <c r="T18" s="1145">
        <f>INDEX(Consensus!$A$1:$AU$180,MATCH('Quarterly Flash'!$F18,Consensus!$A:$A,0),MATCH('Quarterly Flash'!R$8,Consensus!$4:$4,0))</f>
        <v>0.2713597014925373</v>
      </c>
      <c r="U18" s="1145">
        <v>0.24062406716417928</v>
      </c>
      <c r="V18" s="1145">
        <f ca="1">INDEX(INDIRECT($D18),MATCH('Quarterly Flash'!$F18,INDIRECT($C18),0),MATCH('Quarterly Flash'!V$8,INDIRECT($B18),0))</f>
        <v>0.24243472998600146</v>
      </c>
      <c r="W18" s="1145">
        <v>0.22112015269343122</v>
      </c>
      <c r="X18" s="1145">
        <f>INDEX(Consensus!$A$1:$AU$180,MATCH('Quarterly Flash'!$F18,Consensus!$A:$A,0),MATCH('Quarterly Flash'!V$8,Consensus!$4:$4,0))</f>
        <v>0.24635014164305957</v>
      </c>
      <c r="Y18" s="1145">
        <v>0.23868852691218123</v>
      </c>
      <c r="Z18" s="1145">
        <f ca="1">INDEX(INDIRECT($D18),MATCH('Quarterly Flash'!$F18,INDIRECT($C18),0),MATCH('Quarterly Flash'!Z$8,INDIRECT($B18),0))</f>
        <v>0.23087803700247167</v>
      </c>
      <c r="AA18" s="1145">
        <v>0.20843748157221276</v>
      </c>
      <c r="AB18" s="1145">
        <f>INDEX(Consensus!$A$1:$AU$180,MATCH('Quarterly Flash'!$F18,Consensus!$A:$A,0),MATCH('Quarterly Flash'!Z$8,Consensus!$4:$4,0))</f>
        <v>0.23399008004334942</v>
      </c>
      <c r="AC18" s="1145">
        <v>0.20654132391919133</v>
      </c>
      <c r="AD18" s="1145">
        <f ca="1">INDEX(INDIRECT($D18),MATCH('Quarterly Flash'!$F18,INDIRECT($C18),0),MATCH('Quarterly Flash'!AD$8,INDIRECT($B18),0))</f>
        <v>0.19697343521496502</v>
      </c>
      <c r="AE18" s="1145">
        <v>0.20562917143310022</v>
      </c>
      <c r="AF18" s="1145">
        <f>INDEX(Consensus!$A$1:$AU$180,MATCH('Quarterly Flash'!$F18,Consensus!$A:$A,0),MATCH('Quarterly Flash'!AD$8,Consensus!$4:$4,0))</f>
        <v>0.21144125181372719</v>
      </c>
      <c r="AG18" s="942">
        <v>0.21078098454286631</v>
      </c>
    </row>
    <row r="19" spans="2:33">
      <c r="B19" s="824" t="str">
        <f t="shared" ca="1" si="2"/>
        <v>'Income'!$5:$5</v>
      </c>
      <c r="C19" s="824" t="str">
        <f t="shared" ca="1" si="0"/>
        <v>'Income'!$A:$A</v>
      </c>
      <c r="D19" s="824" t="str">
        <f t="shared" ca="1" si="1"/>
        <v>'Income'!$1:$1048576</v>
      </c>
      <c r="E19" s="972" t="str" cm="1">
        <f t="array" aca="1" ref="E19" ca="1">IFERROR(INDEX(SheetNames,MATCH(1,COUNTIF(INDIRECT("'"&amp;SheetNames&amp;"'!A:A"),$F19),0)),"Not Found")</f>
        <v>Income</v>
      </c>
      <c r="F19" s="943" t="s">
        <v>434</v>
      </c>
      <c r="G19" s="1042" t="s">
        <v>434</v>
      </c>
      <c r="H19" s="1045">
        <f>M19</f>
        <v>1114.4001295351409</v>
      </c>
      <c r="J19" s="1148" t="s">
        <v>360</v>
      </c>
      <c r="K19" s="1149">
        <f ca="1">INDEX(INDIRECT($D19),MATCH('Quarterly Flash'!$F19,INDIRECT($C19),0),MATCH('Quarterly Flash'!K$8,INDIRECT($B19),0))</f>
        <v>1045</v>
      </c>
      <c r="L19" s="1149">
        <f ca="1">INDEX(INDIRECT($D19),MATCH('Quarterly Flash'!$F19,INDIRECT($C19),0),MATCH('Quarterly Flash'!L$8,INDIRECT($B19),0))</f>
        <v>1118</v>
      </c>
      <c r="M19" s="1149">
        <v>1114.4001295351409</v>
      </c>
      <c r="N19" s="1149">
        <f>INDEX(Consensus!$A$1:$AU$180,MATCH('Quarterly Flash'!$F19,Consensus!$A:$A,0),MATCH('Quarterly Flash'!L$8,Consensus!$4:$4,0))</f>
        <v>1120.2692999999999</v>
      </c>
      <c r="O19" s="1149">
        <v>1111.0954999999999</v>
      </c>
      <c r="P19" s="1150">
        <f>+H19</f>
        <v>1114.4001295351409</v>
      </c>
      <c r="Q19" s="1151">
        <f>+P19/O19-1</f>
        <v>2.9742083692545496E-3</v>
      </c>
      <c r="R19" s="1149">
        <f ca="1">INDEX(INDIRECT($D19),MATCH('Quarterly Flash'!$F19,INDIRECT($C19),0),MATCH('Quarterly Flash'!R$8,INDIRECT($B19),0))</f>
        <v>1315.8871726611505</v>
      </c>
      <c r="S19" s="1149">
        <v>1338.8794551316403</v>
      </c>
      <c r="T19" s="1149">
        <f>INDEX(Consensus!$A$1:$AU$180,MATCH('Quarterly Flash'!$F19,Consensus!$A:$A,0),MATCH('Quarterly Flash'!R$8,Consensus!$4:$4,0))</f>
        <v>1321.9025999999999</v>
      </c>
      <c r="U19" s="1149">
        <v>1327.7356</v>
      </c>
      <c r="V19" s="1149">
        <f ca="1">INDEX(INDIRECT($D19),MATCH('Quarterly Flash'!$F19,INDIRECT($C19),0),MATCH('Quarterly Flash'!V$8,INDIRECT($B19),0))</f>
        <v>4435.8871726611505</v>
      </c>
      <c r="W19" s="1149">
        <v>4455.2795846667805</v>
      </c>
      <c r="X19" s="1149">
        <f>INDEX(Consensus!$A$1:$AU$180,MATCH('Quarterly Flash'!$F19,Consensus!$A:$A,0),MATCH('Quarterly Flash'!V$8,Consensus!$4:$4,0))</f>
        <v>4454.6469999999999</v>
      </c>
      <c r="Y19" s="1149">
        <v>4472.9907000000003</v>
      </c>
      <c r="Z19" s="1149">
        <f ca="1">INDEX(INDIRECT($D19),MATCH('Quarterly Flash'!$F19,INDIRECT($C19),0),MATCH('Quarterly Flash'!Z$8,INDIRECT($B19),0))</f>
        <v>5439.2181937498299</v>
      </c>
      <c r="AA19" s="1149">
        <v>5419.1402399174831</v>
      </c>
      <c r="AB19" s="1149">
        <f>INDEX(Consensus!$A$1:$AU$180,MATCH('Quarterly Flash'!$F19,Consensus!$A:$A,0),MATCH('Quarterly Flash'!Z$8,Consensus!$4:$4,0))</f>
        <v>5417.8647000000001</v>
      </c>
      <c r="AC19" s="1149">
        <v>5376.4290000000001</v>
      </c>
      <c r="AD19" s="1149">
        <f ca="1">INDEX(INDIRECT($D19),MATCH('Quarterly Flash'!$F19,INDIRECT($C19),0),MATCH('Quarterly Flash'!AD$8,INDIRECT($B19),0))</f>
        <v>6476.3656883251451</v>
      </c>
      <c r="AE19" s="1149">
        <v>6484.8173427932097</v>
      </c>
      <c r="AF19" s="1149">
        <f>INDEX(Consensus!$A$1:$AU$180,MATCH('Quarterly Flash'!$F19,Consensus!$A:$A,0),MATCH('Quarterly Flash'!AD$8,Consensus!$4:$4,0))</f>
        <v>6453.41</v>
      </c>
      <c r="AG19" s="1031">
        <v>6405.3325000000004</v>
      </c>
    </row>
    <row r="20" spans="2:33" s="1032" customFormat="1">
      <c r="B20" s="824" t="str">
        <f t="shared" ca="1" si="2"/>
        <v>'Income'!$5:$5</v>
      </c>
      <c r="C20" s="824" t="str">
        <f t="shared" ca="1" si="0"/>
        <v>'Income'!$A:$A</v>
      </c>
      <c r="D20" s="824" t="str">
        <f t="shared" ca="1" si="1"/>
        <v>'Income'!$1:$1048576</v>
      </c>
      <c r="E20" s="972" t="str" cm="1">
        <f t="array" aca="1" ref="E20" ca="1">IFERROR(INDEX(SheetNames,MATCH(1,COUNTIF(INDIRECT("'"&amp;SheetNames&amp;"'!A:A"),$F20),0)),"Not Found")</f>
        <v>Income</v>
      </c>
      <c r="F20" s="940" t="s">
        <v>435</v>
      </c>
      <c r="G20" s="1044"/>
      <c r="H20" s="1044"/>
      <c r="I20"/>
      <c r="J20" s="1144" t="s">
        <v>436</v>
      </c>
      <c r="K20" s="1145">
        <f ca="1">INDEX(INDIRECT($D20),MATCH('Quarterly Flash'!$F20,INDIRECT($C20),0),MATCH('Quarterly Flash'!K$8,INDIRECT($B20),0))</f>
        <v>0.51100244498777503</v>
      </c>
      <c r="L20" s="1145">
        <f ca="1">INDEX(INDIRECT($D20),MATCH('Quarterly Flash'!$F20,INDIRECT($C20),0),MATCH('Quarterly Flash'!L$8,INDIRECT($B20),0))</f>
        <v>0.51711378353376503</v>
      </c>
      <c r="M20" s="1145">
        <v>0.52830300526210539</v>
      </c>
      <c r="N20" s="1145">
        <f>INDEX(Consensus!$A$1:$AU$180,MATCH('Quarterly Flash'!$F20,Consensus!$A:$A,0),MATCH('Quarterly Flash'!L$8,Consensus!$4:$4,0))</f>
        <v>0.51816341350601292</v>
      </c>
      <c r="O20" s="1145">
        <v>0.51987886132452443</v>
      </c>
      <c r="P20" s="1146"/>
      <c r="Q20" s="1152"/>
      <c r="R20" s="1145">
        <f ca="1">INDEX(INDIRECT($D20),MATCH('Quarterly Flash'!$F20,INDIRECT($C20),0),MATCH('Quarterly Flash'!R$8,INDIRECT($B20),0))</f>
        <v>0.48671860936820865</v>
      </c>
      <c r="S20" s="1145">
        <v>0.5138247046956006</v>
      </c>
      <c r="T20" s="1145">
        <f>INDEX(Consensus!$A$1:$AU$180,MATCH('Quarterly Flash'!$F20,Consensus!$A:$A,0),MATCH('Quarterly Flash'!R$8,Consensus!$4:$4,0))</f>
        <v>0.4849603521203647</v>
      </c>
      <c r="U20" s="1145">
        <v>0.49916786282782266</v>
      </c>
      <c r="V20" s="1145">
        <f ca="1">INDEX(INDIRECT($D20),MATCH('Quarterly Flash'!$F20,INDIRECT($C20),0),MATCH('Quarterly Flash'!V$8,INDIRECT($B20),0))</f>
        <v>0.50571077540276699</v>
      </c>
      <c r="W20" s="1145">
        <v>0.51678733649918618</v>
      </c>
      <c r="X20" s="1145">
        <f>INDEX(Consensus!$A$1:$AU$180,MATCH('Quarterly Flash'!$F20,Consensus!$A:$A,0),MATCH('Quarterly Flash'!V$8,Consensus!$4:$4,0))</f>
        <v>0.50625406853689048</v>
      </c>
      <c r="Y20" s="1145">
        <v>0.51148297094352169</v>
      </c>
      <c r="Z20" s="1145">
        <f ca="1">INDEX(INDIRECT($D20),MATCH('Quarterly Flash'!$F20,INDIRECT($C20),0),MATCH('Quarterly Flash'!Z$8,INDIRECT($B20),0))</f>
        <v>0.50378261283629167</v>
      </c>
      <c r="AA20" s="1145">
        <v>0.52016736731605462</v>
      </c>
      <c r="AB20" s="1145">
        <f>INDEX(Consensus!$A$1:$AU$180,MATCH('Quarterly Flash'!$F20,Consensus!$A:$A,0),MATCH('Quarterly Flash'!Z$8,Consensus!$4:$4,0))</f>
        <v>0.49896687884186691</v>
      </c>
      <c r="AC20" s="1145">
        <v>0.50954776126786905</v>
      </c>
      <c r="AD20" s="1145">
        <f ca="1">INDEX(INDIRECT($D20),MATCH('Quarterly Flash'!$F20,INDIRECT($C20),0),MATCH('Quarterly Flash'!AD$8,INDIRECT($B20),0))</f>
        <v>0.50113362599072009</v>
      </c>
      <c r="AE20" s="1145">
        <v>0.51629356652726288</v>
      </c>
      <c r="AF20" s="1145">
        <f>INDEX(Consensus!$A$1:$AU$180,MATCH('Quarterly Flash'!$F20,Consensus!$A:$A,0),MATCH('Quarterly Flash'!AD$8,Consensus!$4:$4,0))</f>
        <v>0.49060329728632951</v>
      </c>
      <c r="AG20" s="942">
        <v>0.50138007388103534</v>
      </c>
    </row>
    <row r="21" spans="2:33">
      <c r="B21" s="824" t="str">
        <f t="shared" ca="1" si="2"/>
        <v>'Income'!$5:$5</v>
      </c>
      <c r="C21" s="824" t="str">
        <f t="shared" ca="1" si="0"/>
        <v>'Income'!$A:$A</v>
      </c>
      <c r="D21" s="824" t="str">
        <f t="shared" ca="1" si="1"/>
        <v>'Income'!$1:$1048576</v>
      </c>
      <c r="E21" s="972" t="str" cm="1">
        <f t="array" aca="1" ref="E21" ca="1">IFERROR(INDEX(SheetNames,MATCH(1,COUNTIF(INDIRECT("'"&amp;SheetNames&amp;"'!A:A"),$F21),0)),"Not Found")</f>
        <v>Income</v>
      </c>
      <c r="F21" s="943" t="s">
        <v>137</v>
      </c>
      <c r="G21" s="1042" t="s">
        <v>137</v>
      </c>
      <c r="H21" s="1043">
        <f>M21</f>
        <v>190.24848645622649</v>
      </c>
      <c r="J21" s="1148" t="s">
        <v>437</v>
      </c>
      <c r="K21" s="1149">
        <f ca="1">INDEX(INDIRECT($D21),MATCH('Quarterly Flash'!$F21,INDIRECT($C21),0),MATCH('Quarterly Flash'!K$8,INDIRECT($B21),0))</f>
        <v>241</v>
      </c>
      <c r="L21" s="1149">
        <f ca="1">INDEX(INDIRECT($D21),MATCH('Quarterly Flash'!$F21,INDIRECT($C21),0),MATCH('Quarterly Flash'!L$8,INDIRECT($B21),0))</f>
        <v>283</v>
      </c>
      <c r="M21" s="1149">
        <v>190.24848645622649</v>
      </c>
      <c r="N21" s="1149">
        <f>INDEX(Consensus!$A$1:$AU$180,MATCH('Quarterly Flash'!$F21,Consensus!$A:$A,0),MATCH('Quarterly Flash'!L$8,Consensus!$4:$4,0))</f>
        <v>283</v>
      </c>
      <c r="O21" s="1149">
        <v>216.78541999999999</v>
      </c>
      <c r="P21" s="1150">
        <f>+H21</f>
        <v>190.24848645622649</v>
      </c>
      <c r="Q21" s="1151">
        <f>+P21/O21-1</f>
        <v>-0.12241106225581733</v>
      </c>
      <c r="R21" s="1149">
        <f ca="1">INDEX(INDIRECT($D21),MATCH('Quarterly Flash'!$F21,INDIRECT($C21),0),MATCH('Quarterly Flash'!R$8,INDIRECT($B21),0))</f>
        <v>422.82872057970485</v>
      </c>
      <c r="S21" s="1149">
        <v>349.08789515656974</v>
      </c>
      <c r="T21" s="1149">
        <f>INDEX(Consensus!$A$1:$AU$180,MATCH('Quarterly Flash'!$F21,Consensus!$A:$A,0),MATCH('Quarterly Flash'!R$8,Consensus!$4:$4,0))</f>
        <v>424.81213000000002</v>
      </c>
      <c r="U21" s="1149">
        <v>356.95553999999998</v>
      </c>
      <c r="V21" s="1149">
        <f ca="1">INDEX(INDIRECT($D21),MATCH('Quarterly Flash'!$F21,INDIRECT($C21),0),MATCH('Quarterly Flash'!V$8,INDIRECT($B21),0))</f>
        <v>1032.8287205797049</v>
      </c>
      <c r="W21" s="1149">
        <v>866.33638161279623</v>
      </c>
      <c r="X21" s="1149">
        <f>INDEX(Consensus!$A$1:$AU$180,MATCH('Quarterly Flash'!$F21,Consensus!$A:$A,0),MATCH('Quarterly Flash'!V$8,Consensus!$4:$4,0))</f>
        <v>1027.8622</v>
      </c>
      <c r="Y21" s="1149">
        <v>898.85344999999995</v>
      </c>
      <c r="Z21" s="1149">
        <f ca="1">INDEX(INDIRECT($D21),MATCH('Quarterly Flash'!$F21,INDIRECT($C21),0),MATCH('Quarterly Flash'!Z$8,INDIRECT($B21),0))</f>
        <v>1479.9391977177661</v>
      </c>
      <c r="AA21" s="1149">
        <v>1124.4480102220405</v>
      </c>
      <c r="AB21" s="1149">
        <f>INDEX(Consensus!$A$1:$AU$180,MATCH('Quarterly Flash'!$F21,Consensus!$A:$A,0),MATCH('Quarterly Flash'!Z$8,Consensus!$4:$4,0))</f>
        <v>1496.0663</v>
      </c>
      <c r="AC21" s="1149">
        <v>1239.4509</v>
      </c>
      <c r="AD21" s="1149">
        <f ca="1">INDEX(INDIRECT($D21),MATCH('Quarterly Flash'!$F21,INDIRECT($C21),0),MATCH('Quarterly Flash'!AD$8,INDIRECT($B21),0))</f>
        <v>1983.0267382888062</v>
      </c>
      <c r="AE21" s="1149">
        <v>1307.2243955051783</v>
      </c>
      <c r="AF21" s="1149">
        <f>INDEX(Consensus!$A$1:$AU$180,MATCH('Quarterly Flash'!$F21,Consensus!$A:$A,0),MATCH('Quarterly Flash'!AD$8,Consensus!$4:$4,0))</f>
        <v>2009.6965</v>
      </c>
      <c r="AG21" s="1031">
        <v>1818.2664</v>
      </c>
    </row>
    <row r="22" spans="2:33" s="1032" customFormat="1">
      <c r="B22" s="824" t="str">
        <f t="shared" ca="1" si="2"/>
        <v>'Income'!$5:$5</v>
      </c>
      <c r="C22" s="824" t="str">
        <f t="shared" ca="1" si="0"/>
        <v>'Income'!$A:$A</v>
      </c>
      <c r="D22" s="824" t="str">
        <f t="shared" ca="1" si="1"/>
        <v>'Income'!$1:$1048576</v>
      </c>
      <c r="E22" s="972" t="str" cm="1">
        <f t="array" aca="1" ref="E22" ca="1">IFERROR(INDEX(SheetNames,MATCH(1,COUNTIF(INDIRECT("'"&amp;SheetNames&amp;"'!A:A"),$F22),0)),"Not Found")</f>
        <v>Income</v>
      </c>
      <c r="F22" s="940" t="s">
        <v>438</v>
      </c>
      <c r="G22" s="1044"/>
      <c r="H22" s="1044"/>
      <c r="I22"/>
      <c r="J22" s="1144" t="s">
        <v>439</v>
      </c>
      <c r="K22" s="1145">
        <f ca="1">INDEX(INDIRECT($D22),MATCH('Quarterly Flash'!$F22,INDIRECT($C22),0),MATCH('Quarterly Flash'!K$8,INDIRECT($B22),0))</f>
        <v>0.11784841075794621</v>
      </c>
      <c r="L22" s="1145">
        <f ca="1">INDEX(INDIRECT($D22),MATCH('Quarterly Flash'!$F22,INDIRECT($C22),0),MATCH('Quarterly Flash'!L$8,INDIRECT($B22),0))</f>
        <v>0.13089731729879742</v>
      </c>
      <c r="M22" s="1145">
        <v>9.0190986592327035E-2</v>
      </c>
      <c r="N22" s="1145">
        <f>INDEX(Consensus!$A$1:$AU$180,MATCH('Quarterly Flash'!$F22,Consensus!$A:$A,0),MATCH('Quarterly Flash'!L$8,Consensus!$4:$4,0))</f>
        <v>0.13089731729879742</v>
      </c>
      <c r="O22" s="1145">
        <v>0.10143336671002517</v>
      </c>
      <c r="P22" s="1146"/>
      <c r="Q22" s="1152"/>
      <c r="R22" s="1145">
        <f ca="1">INDEX(INDIRECT($D22),MATCH('Quarterly Flash'!$F22,INDIRECT($C22),0),MATCH('Quarterly Flash'!R$8,INDIRECT($B22),0))</f>
        <v>0.15639532868559036</v>
      </c>
      <c r="S22" s="1145">
        <v>0.1339702270836603</v>
      </c>
      <c r="T22" s="1145">
        <f>INDEX(Consensus!$A$1:$AU$180,MATCH('Quarterly Flash'!$F22,Consensus!$A:$A,0),MATCH('Quarterly Flash'!R$8,Consensus!$4:$4,0))</f>
        <v>0.15584888035608838</v>
      </c>
      <c r="U22" s="1145">
        <v>0.13419895800515658</v>
      </c>
      <c r="V22" s="1145">
        <f ca="1">INDEX(INDIRECT($D22),MATCH('Quarterly Flash'!$F22,INDIRECT($C22),0),MATCH('Quarterly Flash'!V$8,INDIRECT($B22),0))</f>
        <v>0.11774704648974821</v>
      </c>
      <c r="W22" s="1145">
        <v>0.10049014044076086</v>
      </c>
      <c r="X22" s="1145">
        <f>INDEX(Consensus!$A$1:$AU$180,MATCH('Quarterly Flash'!$F22,Consensus!$A:$A,0),MATCH('Quarterly Flash'!V$8,Consensus!$4:$4,0))</f>
        <v>0.11681271729169092</v>
      </c>
      <c r="Y22" s="1145">
        <v>0.10278318554269165</v>
      </c>
      <c r="Z22" s="1145">
        <f ca="1">INDEX(INDIRECT($D22),MATCH('Quarterly Flash'!$F22,INDIRECT($C22),0),MATCH('Quarterly Flash'!Z$8,INDIRECT($B22),0))</f>
        <v>0.1370725735404085</v>
      </c>
      <c r="AA22" s="1145">
        <v>0.10793246442536816</v>
      </c>
      <c r="AB22" s="1145">
        <f>INDEX(Consensus!$A$1:$AU$180,MATCH('Quarterly Flash'!$F22,Consensus!$A:$A,0),MATCH('Quarterly Flash'!Z$8,Consensus!$4:$4,0))</f>
        <v>0.13778260875571516</v>
      </c>
      <c r="AC22" s="1145">
        <v>0.11746819892840497</v>
      </c>
      <c r="AD22" s="1145">
        <f ca="1">INDEX(INDIRECT($D22),MATCH('Quarterly Flash'!$F22,INDIRECT($C22),0),MATCH('Quarterly Flash'!AD$8,INDIRECT($B22),0))</f>
        <v>0.15344429694367939</v>
      </c>
      <c r="AE22" s="1145">
        <v>0.10407564465279275</v>
      </c>
      <c r="AF22" s="1145">
        <f>INDEX(Consensus!$A$1:$AU$180,MATCH('Quarterly Flash'!$F22,Consensus!$A:$A,0),MATCH('Quarterly Flash'!AD$8,Consensus!$4:$4,0))</f>
        <v>0.15278182068779078</v>
      </c>
      <c r="AG22" s="942">
        <v>0.14232556108014752</v>
      </c>
    </row>
    <row r="23" spans="2:33" collapsed="1">
      <c r="B23" s="824" t="str">
        <f t="shared" ca="1" si="2"/>
        <v>'Income'!$5:$5</v>
      </c>
      <c r="C23" s="824" t="str">
        <f t="shared" ca="1" si="0"/>
        <v>'Income'!$A:$A</v>
      </c>
      <c r="D23" s="824" t="str">
        <f t="shared" ca="1" si="1"/>
        <v>'Income'!$1:$1048576</v>
      </c>
      <c r="E23" s="972" t="str" cm="1">
        <f t="array" aca="1" ref="E23" ca="1">IFERROR(INDEX(SheetNames,MATCH(1,COUNTIF(INDIRECT("'"&amp;SheetNames&amp;"'!A:A"),$F23),0)),"Not Found")</f>
        <v>Income</v>
      </c>
      <c r="F23" s="943" t="s">
        <v>441</v>
      </c>
      <c r="G23" s="1042" t="s">
        <v>179</v>
      </c>
      <c r="H23" s="1043">
        <f>M23</f>
        <v>302.68082873139844</v>
      </c>
      <c r="J23" s="1148" t="s">
        <v>179</v>
      </c>
      <c r="K23" s="1149">
        <f ca="1">INDEX(INDIRECT($D23),MATCH('Quarterly Flash'!$F23,INDIRECT($C23),0),MATCH('Quarterly Flash'!K$8,INDIRECT($B23),0))</f>
        <v>305</v>
      </c>
      <c r="L23" s="1149">
        <f ca="1">INDEX(INDIRECT($D23),MATCH('Quarterly Flash'!$F23,INDIRECT($C23),0),MATCH('Quarterly Flash'!L$8,INDIRECT($B23),0))</f>
        <v>401</v>
      </c>
      <c r="M23" s="1149">
        <v>302.68082873139844</v>
      </c>
      <c r="N23" s="1149">
        <f>INDEX(Consensus!$A$1:$AU$180,MATCH('Quarterly Flash'!$F23,Consensus!$A:$A,0),MATCH('Quarterly Flash'!L$8,Consensus!$4:$4,0))</f>
        <v>405.69232</v>
      </c>
      <c r="O23" s="1149">
        <v>350.78982999999999</v>
      </c>
      <c r="P23" s="1150">
        <f>+H23</f>
        <v>302.68082873139844</v>
      </c>
      <c r="Q23" s="1151">
        <f>+P23/O23-1</f>
        <v>-0.1371448005451058</v>
      </c>
      <c r="R23" s="1149">
        <f ca="1">INDEX(INDIRECT($D23),MATCH('Quarterly Flash'!$F23,INDIRECT($C23),0),MATCH('Quarterly Flash'!R$8,INDIRECT($B23),0))</f>
        <v>549.27709980785721</v>
      </c>
      <c r="S23" s="1149">
        <v>487.97428261426001</v>
      </c>
      <c r="T23" s="1149">
        <f>INDEX(Consensus!$A$1:$AU$180,MATCH('Quarterly Flash'!$F23,Consensus!$A:$A,0),MATCH('Quarterly Flash'!R$8,Consensus!$4:$4,0))</f>
        <v>565.91003000000001</v>
      </c>
      <c r="U23" s="1149">
        <v>511.4787</v>
      </c>
      <c r="V23" s="1149">
        <f ca="1">INDEX(INDIRECT($D23),MATCH('Quarterly Flash'!$F23,INDIRECT($C23),0),MATCH('Quarterly Flash'!V$8,INDIRECT($B23),0))</f>
        <v>1462.2770998078572</v>
      </c>
      <c r="W23" s="1149">
        <v>1302.6551113456585</v>
      </c>
      <c r="X23" s="1149">
        <f>INDEX(Consensus!$A$1:$AU$180,MATCH('Quarterly Flash'!$F23,Consensus!$A:$A,0),MATCH('Quarterly Flash'!V$8,Consensus!$4:$4,0))</f>
        <v>1485.8966</v>
      </c>
      <c r="Y23" s="1149">
        <v>1387.6016999999999</v>
      </c>
      <c r="Z23" s="1149">
        <f ca="1">INDEX(INDIRECT($D23),MATCH('Quarterly Flash'!$F23,INDIRECT($C23),0),MATCH('Quarterly Flash'!Z$8,INDIRECT($B23),0))</f>
        <v>2014.896245831641</v>
      </c>
      <c r="AA23" s="1149">
        <v>1679.7388028710748</v>
      </c>
      <c r="AB23" s="1149">
        <f>INDEX(Consensus!$A$1:$AU$180,MATCH('Quarterly Flash'!$F23,Consensus!$A:$A,0),MATCH('Quarterly Flash'!Z$8,Consensus!$4:$4,0))</f>
        <v>1996.2725</v>
      </c>
      <c r="AC23" s="1149">
        <v>1846.8112000000001</v>
      </c>
      <c r="AD23" s="1149">
        <f ca="1">INDEX(INDIRECT($D23),MATCH('Quarterly Flash'!$F23,INDIRECT($C23),0),MATCH('Quarterly Flash'!AD$8,INDIRECT($B23),0))</f>
        <v>2571.7096574417092</v>
      </c>
      <c r="AE23" s="1149">
        <v>1976.699173751063</v>
      </c>
      <c r="AF23" s="1149">
        <f>INDEX(Consensus!$A$1:$AU$180,MATCH('Quarterly Flash'!$F23,Consensus!$A:$A,0),MATCH('Quarterly Flash'!AD$8,Consensus!$4:$4,0))</f>
        <v>2602.1291999999999</v>
      </c>
      <c r="AG23" s="1031">
        <v>2421.0916000000002</v>
      </c>
    </row>
    <row r="24" spans="2:33" s="1032" customFormat="1">
      <c r="B24" s="824" t="str">
        <f t="shared" ca="1" si="2"/>
        <v>'Income'!$5:$5</v>
      </c>
      <c r="C24" s="824" t="str">
        <f t="shared" ca="1" si="0"/>
        <v>'Income'!$A:$A</v>
      </c>
      <c r="D24" s="824" t="str">
        <f t="shared" ca="1" si="1"/>
        <v>'Income'!$1:$1048576</v>
      </c>
      <c r="E24" s="972" t="str" cm="1">
        <f t="array" aca="1" ref="E24" ca="1">IFERROR(INDEX(SheetNames,MATCH(1,COUNTIF(INDIRECT("'"&amp;SheetNames&amp;"'!A:A"),$F24),0)),"Not Found")</f>
        <v>Income</v>
      </c>
      <c r="F24" s="940" t="s">
        <v>442</v>
      </c>
      <c r="G24" s="1044"/>
      <c r="H24" s="1044"/>
      <c r="I24"/>
      <c r="J24" s="1144" t="s">
        <v>440</v>
      </c>
      <c r="K24" s="1145">
        <f ca="1">INDEX(INDIRECT($D24),MATCH('Quarterly Flash'!$F24,INDIRECT($C24),0),MATCH('Quarterly Flash'!K$8,INDIRECT($B24),0))</f>
        <v>0.1491442542787286</v>
      </c>
      <c r="L24" s="1145">
        <f ca="1">INDEX(INDIRECT($D24),MATCH('Quarterly Flash'!$F24,INDIRECT($C24),0),MATCH('Quarterly Flash'!L$8,INDIRECT($B24),0))</f>
        <v>0.18547641073080481</v>
      </c>
      <c r="M24" s="1145">
        <v>0.14349172008865957</v>
      </c>
      <c r="N24" s="1145">
        <f>INDEX(Consensus!$A$1:$AU$180,MATCH('Quarterly Flash'!$F24,Consensus!$A:$A,0),MATCH('Quarterly Flash'!L$8,Consensus!$4:$4,0))</f>
        <v>0.18764677150786307</v>
      </c>
      <c r="O24" s="1145">
        <v>0.16413370172467037</v>
      </c>
      <c r="P24" s="1146"/>
      <c r="Q24" s="1152"/>
      <c r="R24" s="1145">
        <f ca="1">INDEX(INDIRECT($D24),MATCH('Quarterly Flash'!$F24,INDIRECT($C24),0),MATCH('Quarterly Flash'!R$8,INDIRECT($B24),0))</f>
        <v>0.20316588817841275</v>
      </c>
      <c r="S24" s="1145">
        <v>0.18727096057999285</v>
      </c>
      <c r="T24" s="1145">
        <f>INDEX(Consensus!$A$1:$AU$180,MATCH('Quarterly Flash'!$F24,Consensus!$A:$A,0),MATCH('Quarterly Flash'!R$8,Consensus!$4:$4,0))</f>
        <v>0.20761282065505141</v>
      </c>
      <c r="U24" s="1145">
        <v>0.19229259918989375</v>
      </c>
      <c r="V24" s="1145">
        <f ca="1">INDEX(INDIRECT($D24),MATCH('Quarterly Flash'!$F24,INDIRECT($C24),0),MATCH('Quarterly Flash'!V$8,INDIRECT($B24),0))</f>
        <v>0.16670606289427123</v>
      </c>
      <c r="W24" s="1145">
        <v>0.15110065543052184</v>
      </c>
      <c r="X24" s="1145">
        <f>INDEX(Consensus!$A$1:$AU$180,MATCH('Quarterly Flash'!$F24,Consensus!$A:$A,0),MATCH('Quarterly Flash'!V$8,Consensus!$4:$4,0))</f>
        <v>0.16886662381444198</v>
      </c>
      <c r="Y24" s="1145">
        <v>0.15867116379255636</v>
      </c>
      <c r="Z24" s="1145">
        <f ca="1">INDEX(INDIRECT($D24),MATCH('Quarterly Flash'!$F24,INDIRECT($C24),0),MATCH('Quarterly Flash'!Z$8,INDIRECT($B24),0))</f>
        <v>0.18662051404474067</v>
      </c>
      <c r="AA24" s="1145">
        <v>0.16123319792170071</v>
      </c>
      <c r="AB24" s="1145">
        <f>INDEX(Consensus!$A$1:$AU$180,MATCH('Quarterly Flash'!$F24,Consensus!$A:$A,0),MATCH('Quarterly Flash'!Z$8,Consensus!$4:$4,0))</f>
        <v>0.18384989544734306</v>
      </c>
      <c r="AC24" s="1145">
        <v>0.17503039888454339</v>
      </c>
      <c r="AD24" s="1145">
        <f ca="1">INDEX(INDIRECT($D24),MATCH('Quarterly Flash'!$F24,INDIRECT($C24),0),MATCH('Quarterly Flash'!AD$8,INDIRECT($B24),0))</f>
        <v>0.19899589486621558</v>
      </c>
      <c r="AE24" s="1145">
        <v>0.15737637814912528</v>
      </c>
      <c r="AF24" s="1145">
        <f>INDEX(Consensus!$A$1:$AU$180,MATCH('Quarterly Flash'!$F24,Consensus!$A:$A,0),MATCH('Quarterly Flash'!AD$8,Consensus!$4:$4,0))</f>
        <v>0.19781993790647714</v>
      </c>
      <c r="AG24" s="942">
        <v>0.1895119551218854</v>
      </c>
    </row>
    <row r="25" spans="2:33">
      <c r="B25" s="824" t="str">
        <f t="shared" ca="1" si="2"/>
        <v>'Income'!$5:$5</v>
      </c>
      <c r="C25" s="824" t="str">
        <f t="shared" ca="1" si="0"/>
        <v>'Income'!$A:$A</v>
      </c>
      <c r="D25" s="824" t="str">
        <f t="shared" ca="1" si="1"/>
        <v>'Income'!$1:$1048576</v>
      </c>
      <c r="E25" s="972" t="str" cm="1">
        <f t="array" aca="1" ref="E25" ca="1">IFERROR(INDEX(SheetNames,MATCH(1,COUNTIF(INDIRECT("'"&amp;SheetNames&amp;"'!A:A"),$F25),0)),"Not Found")</f>
        <v>Income</v>
      </c>
      <c r="F25" s="943" t="s">
        <v>443</v>
      </c>
      <c r="G25" s="1042" t="s">
        <v>519</v>
      </c>
      <c r="H25" s="1043">
        <f>M25</f>
        <v>145.68636484216987</v>
      </c>
      <c r="J25" s="1141" t="s">
        <v>178</v>
      </c>
      <c r="K25" s="1142">
        <f ca="1">INDEX(INDIRECT($D25),MATCH('Quarterly Flash'!$F25,INDIRECT($C25),0),MATCH('Quarterly Flash'!K$8,INDIRECT($B25),0))</f>
        <v>171</v>
      </c>
      <c r="L25" s="1142">
        <f ca="1">INDEX(INDIRECT($D25),MATCH('Quarterly Flash'!$F25,INDIRECT($C25),0),MATCH('Quarterly Flash'!L$8,INDIRECT($B25),0))</f>
        <v>828</v>
      </c>
      <c r="M25" s="1142">
        <v>145.68636484216987</v>
      </c>
      <c r="N25" s="1142">
        <f>INDEX(Consensus!$A$1:$AU$180,MATCH('Quarterly Flash'!$F25,Consensus!$A:$A,0),MATCH('Quarterly Flash'!L$8,Consensus!$4:$4,0))</f>
        <v>344</v>
      </c>
      <c r="O25" s="1142">
        <v>342.27066000000002</v>
      </c>
      <c r="P25" s="1143">
        <f>+H25</f>
        <v>145.68636484216987</v>
      </c>
      <c r="Q25" s="1147">
        <f>+P25/O25-1</f>
        <v>-0.57435333533359278</v>
      </c>
      <c r="R25" s="1142">
        <f ca="1">INDEX(INDIRECT($D25),MATCH('Quarterly Flash'!$F25,INDIRECT($C25),0),MATCH('Quarterly Flash'!R$8,INDIRECT($B25),0))</f>
        <v>394.8646892579668</v>
      </c>
      <c r="S25" s="1142">
        <v>264.81592136742734</v>
      </c>
      <c r="T25" s="1142">
        <f>INDEX(Consensus!$A$1:$AU$180,MATCH('Quarterly Flash'!$F25,Consensus!$A:$A,0),MATCH('Quarterly Flash'!R$8,Consensus!$4:$4,0))</f>
        <v>552.62980000000005</v>
      </c>
      <c r="U25" s="1142">
        <v>489.95672999999999</v>
      </c>
      <c r="V25" s="1142">
        <f ca="1">INDEX(INDIRECT($D25),MATCH('Quarterly Flash'!$F25,INDIRECT($C25),0),MATCH('Quarterly Flash'!V$8,INDIRECT($B25),0))</f>
        <v>1120.8646892579668</v>
      </c>
      <c r="W25" s="1142">
        <v>308.50228620959717</v>
      </c>
      <c r="X25" s="1142">
        <f>INDEX(Consensus!$A$1:$AU$180,MATCH('Quarterly Flash'!$F25,Consensus!$A:$A,0),MATCH('Quarterly Flash'!V$8,Consensus!$4:$4,0))</f>
        <v>1625.3815999999999</v>
      </c>
      <c r="Y25" s="1142">
        <v>1470.4032</v>
      </c>
      <c r="Z25" s="1142">
        <f ca="1">INDEX(INDIRECT($D25),MATCH('Quarterly Flash'!$F25,INDIRECT($C25),0),MATCH('Quarterly Flash'!Z$8,INDIRECT($B25),0))</f>
        <v>1412.4719661970353</v>
      </c>
      <c r="AA25" s="1142">
        <v>855.33600766653035</v>
      </c>
      <c r="AB25" s="1142">
        <f>INDEX(Consensus!$A$1:$AU$180,MATCH('Quarterly Flash'!$F25,Consensus!$A:$A,0),MATCH('Quarterly Flash'!Z$8,Consensus!$4:$4,0))</f>
        <v>2013.152</v>
      </c>
      <c r="AC25" s="1142">
        <v>1754.9547</v>
      </c>
      <c r="AD25" s="1142">
        <f ca="1">INDEX(INDIRECT($D25),MATCH('Quarterly Flash'!$F25,INDIRECT($C25),0),MATCH('Quarterly Flash'!AD$8,INDIRECT($B25),0))</f>
        <v>1809.9111232481569</v>
      </c>
      <c r="AE25" s="1142">
        <v>992.41829662888381</v>
      </c>
      <c r="AF25" s="1142">
        <f>INDEX(Consensus!$A$1:$AU$180,MATCH('Quarterly Flash'!$F25,Consensus!$A:$A,0),MATCH('Quarterly Flash'!AD$8,Consensus!$4:$4,0))</f>
        <v>2556.6604000000002</v>
      </c>
      <c r="AG25" s="1033">
        <v>2322.2975999999999</v>
      </c>
    </row>
    <row r="26" spans="2:33" s="1032" customFormat="1">
      <c r="B26" s="824" t="str">
        <f t="shared" ca="1" si="2"/>
        <v>'Income'!$5:$5</v>
      </c>
      <c r="C26" s="824" t="str">
        <f t="shared" ca="1" si="0"/>
        <v>'Income'!$A:$A</v>
      </c>
      <c r="D26" s="824" t="str">
        <f t="shared" ca="1" si="1"/>
        <v>'Income'!$1:$1048576</v>
      </c>
      <c r="E26" s="972" t="str" cm="1">
        <f t="array" aca="1" ref="E26" ca="1">IFERROR(INDEX(SheetNames,MATCH(1,COUNTIF(INDIRECT("'"&amp;SheetNames&amp;"'!A:A"),$F26),0)),"Not Found")</f>
        <v>Income</v>
      </c>
      <c r="F26" s="940" t="s">
        <v>444</v>
      </c>
      <c r="G26" s="1044"/>
      <c r="H26" s="1044"/>
      <c r="I26"/>
      <c r="J26" s="1144" t="s">
        <v>433</v>
      </c>
      <c r="K26" s="1145" t="str">
        <f ca="1">INDEX(INDIRECT($D26),MATCH('Quarterly Flash'!$F26,INDIRECT($C26),0),MATCH('Quarterly Flash'!K$8,INDIRECT($B26),0))</f>
        <v>nm</v>
      </c>
      <c r="L26" s="1145">
        <f ca="1">INDEX(INDIRECT($D26),MATCH('Quarterly Flash'!$F26,INDIRECT($C26),0),MATCH('Quarterly Flash'!L$8,INDIRECT($B26),0))</f>
        <v>0.15320334261838431</v>
      </c>
      <c r="M26" s="1145">
        <v>-0.79709419938416448</v>
      </c>
      <c r="N26" s="1145">
        <f>INDEX(Consensus!$A$1:$AU$180,MATCH('Quarterly Flash'!$F26,Consensus!$A:$A,0),MATCH('Quarterly Flash'!L$8,Consensus!$4:$4,0))</f>
        <v>8.8607594936708889E-2</v>
      </c>
      <c r="O26" s="1145">
        <v>8.3134999999999959E-2</v>
      </c>
      <c r="P26" s="1146"/>
      <c r="Q26" s="1145"/>
      <c r="R26" s="1145">
        <f ca="1">INDEX(INDIRECT($D26),MATCH('Quarterly Flash'!$F26,INDIRECT($C26),0),MATCH('Quarterly Flash'!R$8,INDIRECT($B26),0))</f>
        <v>-0.39898829641100941</v>
      </c>
      <c r="S26" s="1145">
        <v>-0.59693162653359622</v>
      </c>
      <c r="T26" s="1145">
        <f>INDEX(Consensus!$A$1:$AU$180,MATCH('Quarterly Flash'!$F26,Consensus!$A:$A,0),MATCH('Quarterly Flash'!R$8,Consensus!$4:$4,0))</f>
        <v>0.25312879818594114</v>
      </c>
      <c r="U26" s="1145">
        <v>0.11101299319727898</v>
      </c>
      <c r="V26" s="1145">
        <f ca="1">INDEX(INDIRECT($D26),MATCH('Quarterly Flash'!$F26,INDIRECT($C26),0),MATCH('Quarterly Flash'!V$8,INDIRECT($B26),0))</f>
        <v>7.4913991610452033</v>
      </c>
      <c r="W26" s="1145">
        <v>1.3371385318908877</v>
      </c>
      <c r="X26" s="1145">
        <f>INDEX(Consensus!$A$1:$AU$180,MATCH('Quarterly Flash'!$F26,Consensus!$A:$A,0),MATCH('Quarterly Flash'!V$8,Consensus!$4:$4,0))</f>
        <v>0.71634804646251315</v>
      </c>
      <c r="Y26" s="1145">
        <v>0.55269609292502642</v>
      </c>
      <c r="Z26" s="1145">
        <f ca="1">INDEX(INDIRECT($D26),MATCH('Quarterly Flash'!$F26,INDIRECT($C26),0),MATCH('Quarterly Flash'!Z$8,INDIRECT($B26),0))</f>
        <v>0.26016278301363727</v>
      </c>
      <c r="AA26" s="1145">
        <v>1.7725434977341239</v>
      </c>
      <c r="AB26" s="1145">
        <f>INDEX(Consensus!$A$1:$AU$180,MATCH('Quarterly Flash'!$F26,Consensus!$A:$A,0),MATCH('Quarterly Flash'!Z$8,Consensus!$4:$4,0))</f>
        <v>0.23857191443535486</v>
      </c>
      <c r="AC26" s="1145">
        <v>0.19351936938113301</v>
      </c>
      <c r="AD26" s="1145">
        <f ca="1">INDEX(INDIRECT($D26),MATCH('Quarterly Flash'!$F26,INDIRECT($C26),0),MATCH('Quarterly Flash'!AD$8,INDIRECT($B26),0))</f>
        <v>0.28137843905050652</v>
      </c>
      <c r="AE26" s="1145">
        <v>0.16026717890239661</v>
      </c>
      <c r="AF26" s="1145">
        <f>INDEX(Consensus!$A$1:$AU$180,MATCH('Quarterly Flash'!$F26,Consensus!$A:$A,0),MATCH('Quarterly Flash'!AD$8,Consensus!$4:$4,0))</f>
        <v>0.26997881928438594</v>
      </c>
      <c r="AG26" s="942">
        <v>0.32328065220144997</v>
      </c>
    </row>
    <row r="27" spans="2:33" collapsed="1">
      <c r="B27" s="824" t="str">
        <f t="shared" ca="1" si="2"/>
        <v>'Income'!$5:$5</v>
      </c>
      <c r="C27" s="824" t="str">
        <f t="shared" ca="1" si="0"/>
        <v>'Income'!$A:$A</v>
      </c>
      <c r="D27" s="824" t="str">
        <f t="shared" ca="1" si="1"/>
        <v>'Income'!$1:$1048576</v>
      </c>
      <c r="E27" s="972" t="str" cm="1">
        <f t="array" aca="1" ref="E27" ca="1">IFERROR(INDEX(SheetNames,MATCH(1,COUNTIF(INDIRECT("'"&amp;SheetNames&amp;"'!A:A"),$F27),0)),"Not Found")</f>
        <v>Income</v>
      </c>
      <c r="F27" s="943" t="s">
        <v>88</v>
      </c>
      <c r="G27" s="1042" t="s">
        <v>545</v>
      </c>
      <c r="H27" s="1209">
        <f>M27</f>
        <v>0.11185880055352997</v>
      </c>
      <c r="J27" s="1148" t="s">
        <v>88</v>
      </c>
      <c r="K27" s="1153">
        <f ca="1">INDEX(INDIRECT($D27),MATCH('Quarterly Flash'!$F27,INDIRECT($C27),0),MATCH('Quarterly Flash'!K$8,INDIRECT($B27),0))</f>
        <v>0.13154725709164128</v>
      </c>
      <c r="L27" s="1153">
        <f ca="1">INDEX(INDIRECT($D27),MATCH('Quarterly Flash'!$F27,INDIRECT($C27),0),MATCH('Quarterly Flash'!L$8,INDIRECT($B27),0))</f>
        <v>0.63613981460685431</v>
      </c>
      <c r="M27" s="1153">
        <v>0.11185880055352997</v>
      </c>
      <c r="N27" s="1153">
        <f>INDEX(Consensus!$A$1:$AU$180,MATCH('Quarterly Flash'!$F27,Consensus!$A:$A,0),MATCH('Quarterly Flash'!L$8,Consensus!$4:$4,0))</f>
        <v>0.63807959999999997</v>
      </c>
      <c r="O27" s="1153">
        <v>0.27624947</v>
      </c>
      <c r="P27" s="1154">
        <f>+H27</f>
        <v>0.11185880055352997</v>
      </c>
      <c r="Q27" s="1151">
        <f>+P27/O27-1</f>
        <v>-0.59508048810544334</v>
      </c>
      <c r="R27" s="1153">
        <f ca="1">INDEX(INDIRECT($D27),MATCH('Quarterly Flash'!$F27,INDIRECT($C27),0),MATCH('Quarterly Flash'!R$8,INDIRECT($B27),0))</f>
        <v>0.302786972340858</v>
      </c>
      <c r="S27" s="1153">
        <v>0.20293759456404939</v>
      </c>
      <c r="T27" s="1153">
        <f>INDEX(Consensus!$A$1:$AU$180,MATCH('Quarterly Flash'!$F27,Consensus!$A:$A,0),MATCH('Quarterly Flash'!R$8,Consensus!$4:$4,0))</f>
        <v>0.34055999999999997</v>
      </c>
      <c r="U27" s="1153">
        <v>0.38392569999999998</v>
      </c>
      <c r="V27" s="1153">
        <f ca="1">INDEX(INDIRECT($D27),MATCH('Quarterly Flash'!$F27,INDIRECT($C27),0),MATCH('Quarterly Flash'!V$8,INDIRECT($B27),0))</f>
        <v>0.86336730837035214</v>
      </c>
      <c r="W27" s="1153">
        <v>0.23755541416166798</v>
      </c>
      <c r="X27" s="1153">
        <f>INDEX(Consensus!$A$1:$AU$180,MATCH('Quarterly Flash'!$F27,Consensus!$A:$A,0),MATCH('Quarterly Flash'!V$8,Consensus!$4:$4,0))</f>
        <v>0.90200495999999997</v>
      </c>
      <c r="Y27" s="1153">
        <v>1.1346020000000001</v>
      </c>
      <c r="Z27" s="1153">
        <f ca="1">INDEX(INDIRECT($D27),MATCH('Quarterly Flash'!$F27,INDIRECT($C27),0),MATCH('Quarterly Flash'!Z$8,INDIRECT($B27),0))</f>
        <v>1.0779343374458044</v>
      </c>
      <c r="AA27" s="1153">
        <v>0.65234906425132066</v>
      </c>
      <c r="AB27" s="1153">
        <f>INDEX(Consensus!$A$1:$AU$180,MATCH('Quarterly Flash'!$F27,Consensus!$A:$A,0),MATCH('Quarterly Flash'!Z$8,Consensus!$4:$4,0))</f>
        <v>1.1713703</v>
      </c>
      <c r="AC27" s="1153">
        <v>1.3880612999999999</v>
      </c>
      <c r="AD27" s="1153">
        <f ca="1">INDEX(INDIRECT($D27),MATCH('Quarterly Flash'!$F27,INDIRECT($C27),0),MATCH('Quarterly Flash'!AD$8,INDIRECT($B27),0))</f>
        <v>1.3707806445382316</v>
      </c>
      <c r="AE27" s="1153">
        <v>0.75117017149771859</v>
      </c>
      <c r="AF27" s="1153">
        <f>INDEX(Consensus!$A$1:$AU$180,MATCH('Quarterly Flash'!$F27,Consensus!$A:$A,0),MATCH('Quarterly Flash'!AD$8,Consensus!$4:$4,0))</f>
        <v>1.5342541999999999</v>
      </c>
      <c r="AG27" s="1035">
        <v>1.8715436000000001</v>
      </c>
    </row>
    <row r="28" spans="2:33" s="1032" customFormat="1">
      <c r="B28" s="824" t="str">
        <f t="shared" ca="1" si="2"/>
        <v>'Not Found'!$5:$5</v>
      </c>
      <c r="C28" s="824" t="str">
        <f t="shared" ca="1" si="0"/>
        <v>'Not Found'!$A:$A</v>
      </c>
      <c r="D28" s="824" t="str">
        <f t="shared" ca="1" si="1"/>
        <v>'Not Found'!$1:$1048576</v>
      </c>
      <c r="E28" s="972" t="str" cm="1">
        <f t="array" aca="1" ref="E28" ca="1">IFERROR(INDEX(SheetNames,MATCH(1,COUNTIF(INDIRECT("'"&amp;SheetNames&amp;"'!A:A"),$F28),0)),"Not Found")</f>
        <v>Not Found</v>
      </c>
      <c r="F28" s="1032" t="s">
        <v>503</v>
      </c>
      <c r="G28" s="1044"/>
      <c r="H28" s="1044"/>
      <c r="I28"/>
      <c r="J28" s="1144" t="s">
        <v>433</v>
      </c>
      <c r="K28" s="1145"/>
      <c r="L28" s="1145"/>
      <c r="M28" s="1145"/>
      <c r="N28" s="1145"/>
      <c r="O28" s="1145"/>
      <c r="P28" s="1146"/>
      <c r="Q28" s="1145"/>
      <c r="R28" s="1145"/>
      <c r="S28" s="1145"/>
      <c r="T28" s="1145"/>
      <c r="U28" s="1145"/>
      <c r="V28" s="1145"/>
      <c r="W28" s="1145"/>
      <c r="X28" s="1145"/>
      <c r="Y28" s="1145"/>
      <c r="Z28" s="1145"/>
      <c r="AA28" s="1145"/>
      <c r="AB28" s="1145"/>
      <c r="AC28" s="1145"/>
      <c r="AD28" s="1145"/>
      <c r="AE28" s="1145"/>
      <c r="AF28" s="1145"/>
      <c r="AG28" s="942"/>
    </row>
    <row r="29" spans="2:33">
      <c r="B29" s="824" t="str">
        <f t="shared" ca="1" si="2"/>
        <v>'Cash Flow'!$5:$5</v>
      </c>
      <c r="C29" s="824" t="str">
        <f t="shared" ca="1" si="0"/>
        <v>'Cash Flow'!$A:$A</v>
      </c>
      <c r="D29" s="824" t="str">
        <f t="shared" ca="1" si="1"/>
        <v>'Cash Flow'!$1:$1048576</v>
      </c>
      <c r="E29" s="972" t="str" cm="1">
        <f t="array" aca="1" ref="E29" ca="1">IFERROR(INDEX(SheetNames,MATCH(1,COUNTIF(INDIRECT("'"&amp;SheetNames&amp;"'!A:A"),$F29),0)),"Not Found")</f>
        <v>Cash Flow</v>
      </c>
      <c r="F29" s="943" t="s">
        <v>445</v>
      </c>
      <c r="G29" s="1042" t="s">
        <v>445</v>
      </c>
      <c r="H29" s="1043">
        <f>M29</f>
        <v>742.20284216807886</v>
      </c>
      <c r="J29" s="1141" t="s">
        <v>639</v>
      </c>
      <c r="K29" s="1142">
        <f ca="1">INDEX(INDIRECT($D29),MATCH('Quarterly Flash'!$F29,INDIRECT($C29),0),MATCH('Quarterly Flash'!K$8,INDIRECT($B29),0))</f>
        <v>340</v>
      </c>
      <c r="L29" s="1142">
        <f ca="1">INDEX(INDIRECT($D29),MATCH('Quarterly Flash'!$F29,INDIRECT($C29),0),MATCH('Quarterly Flash'!L$8,INDIRECT($B29),0))</f>
        <v>423</v>
      </c>
      <c r="M29" s="1142">
        <v>742.20284216807886</v>
      </c>
      <c r="N29" s="1142">
        <f>INDEX(Consensus!$A$1:$AU$180,MATCH('Quarterly Flash'!$F29,Consensus!$A:$A,0),MATCH('Quarterly Flash'!L$8,Consensus!$4:$4,0))</f>
        <v>423</v>
      </c>
      <c r="O29" s="1142">
        <v>353.53100000000001</v>
      </c>
      <c r="P29" s="1143">
        <f>+H29</f>
        <v>742.20284216807886</v>
      </c>
      <c r="Q29" s="1147">
        <f>+P29/O29-1</f>
        <v>1.099399606167716</v>
      </c>
      <c r="R29" s="1142">
        <f ca="1">INDEX(INDIRECT($D29),MATCH('Quarterly Flash'!$F29,INDIRECT($C29),0),MATCH('Quarterly Flash'!R$8,INDIRECT($B29),0))</f>
        <v>527.96974049629796</v>
      </c>
      <c r="S29" s="1142">
        <v>464.0622376954546</v>
      </c>
      <c r="T29" s="1142">
        <f>INDEX(Consensus!$A$1:$AU$180,MATCH('Quarterly Flash'!$F29,Consensus!$A:$A,0),MATCH('Quarterly Flash'!R$8,Consensus!$4:$4,0))</f>
        <v>559.64380000000006</v>
      </c>
      <c r="U29" s="1142">
        <v>443.23610000000002</v>
      </c>
      <c r="V29" s="1142">
        <f ca="1">INDEX(INDIRECT($D29),MATCH('Quarterly Flash'!$F29,INDIRECT($C29),0),MATCH('Quarterly Flash'!V$8,INDIRECT($B29),0))</f>
        <v>1528.9697404962981</v>
      </c>
      <c r="W29" s="1142">
        <v>1784.2650798635334</v>
      </c>
      <c r="X29" s="1142">
        <f>INDEX(Consensus!$A$1:$AU$180,MATCH('Quarterly Flash'!$F29,Consensus!$A:$A,0),MATCH('Quarterly Flash'!V$8,Consensus!$4:$4,0))</f>
        <v>1618.5018</v>
      </c>
      <c r="Y29" s="1142">
        <v>1402.6133</v>
      </c>
      <c r="Z29" s="1142">
        <f ca="1">INDEX(INDIRECT($D29),MATCH('Quarterly Flash'!$F29,INDIRECT($C29),0),MATCH('Quarterly Flash'!Z$8,INDIRECT($B29),0))</f>
        <v>1847.5630819289472</v>
      </c>
      <c r="AA29" s="1142">
        <v>1555.7169226896331</v>
      </c>
      <c r="AB29" s="1142">
        <f>INDEX(Consensus!$A$1:$AU$180,MATCH('Quarterly Flash'!$F29,Consensus!$A:$A,0),MATCH('Quarterly Flash'!Z$8,Consensus!$4:$4,0))</f>
        <v>2104.9238</v>
      </c>
      <c r="AC29" s="1142">
        <v>1827.7185999999999</v>
      </c>
      <c r="AD29" s="1142">
        <f ca="1">INDEX(INDIRECT($D29),MATCH('Quarterly Flash'!$F29,INDIRECT($C29),0),MATCH('Quarterly Flash'!AD$8,INDIRECT($B29),0))</f>
        <v>2247.1925490766698</v>
      </c>
      <c r="AE29" s="1142">
        <v>2105.303815288944</v>
      </c>
      <c r="AF29" s="1142">
        <f>INDEX(Consensus!$A$1:$AU$180,MATCH('Quarterly Flash'!$F29,Consensus!$A:$A,0),MATCH('Quarterly Flash'!AD$8,Consensus!$4:$4,0))</f>
        <v>2603.7510000000002</v>
      </c>
      <c r="AG29" s="1033">
        <v>2390.9897000000001</v>
      </c>
    </row>
    <row r="30" spans="2:33" s="1032" customFormat="1">
      <c r="B30" s="824" t="str">
        <f t="shared" ca="1" si="2"/>
        <v>'Not Found'!$5:$5</v>
      </c>
      <c r="C30" s="824" t="str">
        <f t="shared" ca="1" si="0"/>
        <v>'Not Found'!$A:$A</v>
      </c>
      <c r="D30" s="824" t="str">
        <f ca="1">"'"&amp;$E30&amp;"'"&amp;"!$1:$1048576"</f>
        <v>'Not Found'!$1:$1048576</v>
      </c>
      <c r="E30" s="972" t="str" cm="1">
        <f t="array" aca="1" ref="E30" ca="1">IFERROR(INDEX(SheetNames,MATCH(1,COUNTIF(INDIRECT("'"&amp;SheetNames&amp;"'!A:A"),$F30),0)),"Not Found")</f>
        <v>Not Found</v>
      </c>
      <c r="F30" s="1032" t="s">
        <v>446</v>
      </c>
      <c r="G30" s="1044"/>
      <c r="H30" s="1044"/>
      <c r="I30"/>
      <c r="J30" s="1144" t="s">
        <v>433</v>
      </c>
      <c r="K30" s="1145"/>
      <c r="L30" s="1145"/>
      <c r="M30" s="1145"/>
      <c r="N30" s="1145"/>
      <c r="O30" s="1145"/>
      <c r="P30" s="1146"/>
      <c r="Q30" s="1145"/>
      <c r="R30" s="1145"/>
      <c r="S30" s="1145"/>
      <c r="T30" s="1145"/>
      <c r="U30" s="1145"/>
      <c r="V30" s="1145"/>
      <c r="W30" s="1145"/>
      <c r="X30" s="1145"/>
      <c r="Y30" s="1145"/>
      <c r="Z30" s="1145"/>
      <c r="AA30" s="1145"/>
      <c r="AB30" s="1145"/>
      <c r="AC30" s="1145"/>
      <c r="AD30" s="1145"/>
      <c r="AE30" s="1145"/>
      <c r="AF30" s="1145"/>
      <c r="AG30" s="942"/>
    </row>
    <row r="31" spans="2:33">
      <c r="B31" s="824" t="str">
        <f t="shared" ca="1" si="2"/>
        <v>'Cash Flow'!$5:$5</v>
      </c>
      <c r="C31" s="824" t="str">
        <f t="shared" ca="1" si="0"/>
        <v>'Cash Flow'!$A:$A</v>
      </c>
      <c r="D31" s="824" t="str">
        <f t="shared" ca="1" si="1"/>
        <v>'Cash Flow'!$1:$1048576</v>
      </c>
      <c r="E31" s="972" t="str" cm="1">
        <f t="array" aca="1" ref="E31" ca="1">IFERROR(INDEX(SheetNames,MATCH(1,COUNTIF(INDIRECT("'"&amp;SheetNames&amp;"'!A:A"),$F31),0)),"Not Found")</f>
        <v>Cash Flow</v>
      </c>
      <c r="F31" s="943" t="s">
        <v>182</v>
      </c>
      <c r="G31" s="1042" t="s">
        <v>447</v>
      </c>
      <c r="H31" s="1043">
        <f>M31</f>
        <v>-20</v>
      </c>
      <c r="J31" s="1141" t="s">
        <v>447</v>
      </c>
      <c r="K31" s="1155">
        <f ca="1">INDEX(INDIRECT($D31),MATCH('Quarterly Flash'!$F31,INDIRECT($C31),0),MATCH('Quarterly Flash'!K$8,INDIRECT($B31),0))</f>
        <v>-7</v>
      </c>
      <c r="L31" s="1155">
        <f ca="1">INDEX(INDIRECT($D31),MATCH('Quarterly Flash'!$F31,INDIRECT($C31),0),MATCH('Quarterly Flash'!L$8,INDIRECT($B31),0))</f>
        <v>-2</v>
      </c>
      <c r="M31" s="1155">
        <v>-20</v>
      </c>
      <c r="N31" s="1155">
        <f>INDEX(Consensus!$A$1:$AU$180,MATCH('Quarterly Flash'!$F31,Consensus!$A:$A,0),MATCH('Quarterly Flash'!L$8,Consensus!$4:$4,0))</f>
        <v>-2</v>
      </c>
      <c r="O31" s="1155">
        <v>6.8820490000000003</v>
      </c>
      <c r="P31" s="1156">
        <f>+H31</f>
        <v>-20</v>
      </c>
      <c r="Q31" s="1155">
        <f>+P31/O31-1</f>
        <v>-3.9061112468103611</v>
      </c>
      <c r="R31" s="1155">
        <f ca="1">INDEX(INDIRECT($D31),MATCH('Quarterly Flash'!$F31,INDIRECT($C31),0),MATCH('Quarterly Flash'!R$8,INDIRECT($B31),0))</f>
        <v>-7</v>
      </c>
      <c r="S31" s="1155">
        <v>-20</v>
      </c>
      <c r="T31" s="1155">
        <f>INDEX(Consensus!$A$1:$AU$180,MATCH('Quarterly Flash'!$F31,Consensus!$A:$A,0),MATCH('Quarterly Flash'!R$8,Consensus!$4:$4,0))</f>
        <v>-5.3967499999999999</v>
      </c>
      <c r="U31" s="1155">
        <v>7.6212150000000003</v>
      </c>
      <c r="V31" s="1155">
        <f ca="1">INDEX(INDIRECT($D31),MATCH('Quarterly Flash'!$F31,INDIRECT($C31),0),MATCH('Quarterly Flash'!V$8,INDIRECT($B31),0))</f>
        <v>-22</v>
      </c>
      <c r="W31" s="1155">
        <v>-53</v>
      </c>
      <c r="X31" s="1155">
        <f>INDEX(Consensus!$A$1:$AU$180,MATCH('Quarterly Flash'!$F31,Consensus!$A:$A,0),MATCH('Quarterly Flash'!V$8,Consensus!$4:$4,0))</f>
        <v>-21.771305000000002</v>
      </c>
      <c r="Y31" s="1155">
        <v>26.402000000000001</v>
      </c>
      <c r="Z31" s="1155">
        <f ca="1">INDEX(INDIRECT($D31),MATCH('Quarterly Flash'!$F31,INDIRECT($C31),0),MATCH('Quarterly Flash'!Z$8,INDIRECT($B31),0))</f>
        <v>-30</v>
      </c>
      <c r="AA31" s="1155">
        <v>-80</v>
      </c>
      <c r="AB31" s="1155">
        <f>INDEX(Consensus!$A$1:$AU$180,MATCH('Quarterly Flash'!$F31,Consensus!$A:$A,0),MATCH('Quarterly Flash'!Z$8,Consensus!$4:$4,0))</f>
        <v>-32.172730000000001</v>
      </c>
      <c r="AC31" s="1155">
        <v>34.125782000000001</v>
      </c>
      <c r="AD31" s="1155">
        <f ca="1">INDEX(INDIRECT($D31),MATCH('Quarterly Flash'!$F31,INDIRECT($C31),0),MATCH('Quarterly Flash'!AD$8,INDIRECT($B31),0))</f>
        <v>-36</v>
      </c>
      <c r="AE31" s="1155">
        <v>-80</v>
      </c>
      <c r="AF31" s="1155">
        <f>INDEX(Consensus!$A$1:$AU$180,MATCH('Quarterly Flash'!$F31,Consensus!$A:$A,0),MATCH('Quarterly Flash'!AD$8,Consensus!$4:$4,0))</f>
        <v>-34.835673999999997</v>
      </c>
      <c r="AG31" s="1034">
        <v>36.795628000000001</v>
      </c>
    </row>
    <row r="32" spans="2:33" s="1032" customFormat="1">
      <c r="B32" s="824" t="str">
        <f t="shared" ca="1" si="2"/>
        <v>'Not Found'!$5:$5</v>
      </c>
      <c r="C32" s="824" t="str">
        <f t="shared" ca="1" si="0"/>
        <v>'Not Found'!$A:$A</v>
      </c>
      <c r="D32" s="824" t="str">
        <f t="shared" ca="1" si="1"/>
        <v>'Not Found'!$1:$1048576</v>
      </c>
      <c r="E32" s="972" t="str" cm="1">
        <f t="array" aca="1" ref="E32" ca="1">IFERROR(INDEX(SheetNames,MATCH(1,COUNTIF(INDIRECT("'"&amp;SheetNames&amp;"'!A:A"),$F32),0)),"Not Found")</f>
        <v>Not Found</v>
      </c>
      <c r="F32" s="1032" t="s">
        <v>448</v>
      </c>
      <c r="G32" s="1044"/>
      <c r="H32" s="1044"/>
      <c r="I32"/>
      <c r="J32" s="1144" t="s">
        <v>450</v>
      </c>
      <c r="K32" s="1145"/>
      <c r="L32" s="1145"/>
      <c r="M32" s="1145"/>
      <c r="N32" s="1145"/>
      <c r="O32" s="1145"/>
      <c r="P32" s="1146"/>
      <c r="Q32" s="1152"/>
      <c r="R32" s="1145"/>
      <c r="S32" s="1145"/>
      <c r="T32" s="1145"/>
      <c r="U32" s="1145"/>
      <c r="V32" s="1145"/>
      <c r="W32" s="1145"/>
      <c r="X32" s="1145"/>
      <c r="Y32" s="1145"/>
      <c r="Z32" s="1145"/>
      <c r="AA32" s="1145"/>
      <c r="AB32" s="1145"/>
      <c r="AC32" s="1145"/>
      <c r="AD32" s="1145"/>
      <c r="AE32" s="1145"/>
      <c r="AF32" s="1145"/>
      <c r="AG32" s="942"/>
    </row>
    <row r="33" spans="2:33">
      <c r="B33" s="824" t="str">
        <f t="shared" ca="1" si="2"/>
        <v>'Cash Flow'!$5:$5</v>
      </c>
      <c r="C33" s="824" t="str">
        <f t="shared" ca="1" si="0"/>
        <v>'Cash Flow'!$A:$A</v>
      </c>
      <c r="D33" s="824" t="str">
        <f t="shared" ca="1" si="1"/>
        <v>'Cash Flow'!$1:$1048576</v>
      </c>
      <c r="E33" s="972" t="str" cm="1">
        <f t="array" aca="1" ref="E33" ca="1">IFERROR(INDEX(SheetNames,MATCH(1,COUNTIF(INDIRECT("'"&amp;SheetNames&amp;"'!A:A"),$F33),0)),"Not Found")</f>
        <v>Cash Flow</v>
      </c>
      <c r="F33" s="943" t="s">
        <v>186</v>
      </c>
      <c r="G33" s="1046" t="s">
        <v>186</v>
      </c>
      <c r="H33" s="1043">
        <f>M33</f>
        <v>722.20284216807886</v>
      </c>
      <c r="J33" s="1148" t="s">
        <v>186</v>
      </c>
      <c r="K33" s="1149">
        <f ca="1">INDEX(INDIRECT($D33),MATCH('Quarterly Flash'!$F33,INDIRECT($C33),0),MATCH('Quarterly Flash'!K$8,INDIRECT($B33),0))</f>
        <v>333</v>
      </c>
      <c r="L33" s="1149">
        <f ca="1">INDEX(INDIRECT($D33),MATCH('Quarterly Flash'!$F33,INDIRECT($C33),0),MATCH('Quarterly Flash'!L$8,INDIRECT($B33),0))</f>
        <v>421</v>
      </c>
      <c r="M33" s="1149">
        <v>722.20284216807886</v>
      </c>
      <c r="N33" s="1149">
        <f>INDEX(Consensus!$A$1:$AU$180,MATCH('Quarterly Flash'!$F33,Consensus!$A:$A,0),MATCH('Quarterly Flash'!L$8,Consensus!$4:$4,0))</f>
        <v>421</v>
      </c>
      <c r="O33" s="1149">
        <v>349.53674000000001</v>
      </c>
      <c r="P33" s="1150">
        <f>+H33</f>
        <v>722.20284216807886</v>
      </c>
      <c r="Q33" s="1151">
        <f>+P33/O33-1</f>
        <v>1.0661714764750592</v>
      </c>
      <c r="R33" s="1149">
        <f ca="1">INDEX(INDIRECT($D33),MATCH('Quarterly Flash'!$F33,INDIRECT($C33),0),MATCH('Quarterly Flash'!R$8,INDIRECT($B33),0))</f>
        <v>520.96974049629796</v>
      </c>
      <c r="S33" s="1149">
        <v>444.0622376954546</v>
      </c>
      <c r="T33" s="1149">
        <f>INDEX(Consensus!$A$1:$AU$180,MATCH('Quarterly Flash'!$F33,Consensus!$A:$A,0),MATCH('Quarterly Flash'!R$8,Consensus!$4:$4,0))</f>
        <v>546.77940000000001</v>
      </c>
      <c r="U33" s="1149">
        <v>454.75826999999998</v>
      </c>
      <c r="V33" s="1149">
        <f ca="1">INDEX(INDIRECT($D33),MATCH('Quarterly Flash'!$F33,INDIRECT($C33),0),MATCH('Quarterly Flash'!V$8,INDIRECT($B33),0))</f>
        <v>1506.9697404962981</v>
      </c>
      <c r="W33" s="1149">
        <v>1731.2650798635334</v>
      </c>
      <c r="X33" s="1149">
        <f>INDEX(Consensus!$A$1:$AU$180,MATCH('Quarterly Flash'!$F33,Consensus!$A:$A,0),MATCH('Quarterly Flash'!V$8,Consensus!$4:$4,0))</f>
        <v>1542.643</v>
      </c>
      <c r="Y33" s="1149">
        <v>1380.4007999999999</v>
      </c>
      <c r="Z33" s="1149">
        <f ca="1">INDEX(INDIRECT($D33),MATCH('Quarterly Flash'!$F33,INDIRECT($C33),0),MATCH('Quarterly Flash'!Z$8,INDIRECT($B33),0))</f>
        <v>1817.5630819289472</v>
      </c>
      <c r="AA33" s="1149">
        <v>1475.7169226896331</v>
      </c>
      <c r="AB33" s="1149">
        <f>INDEX(Consensus!$A$1:$AU$180,MATCH('Quarterly Flash'!$F33,Consensus!$A:$A,0),MATCH('Quarterly Flash'!Z$8,Consensus!$4:$4,0))</f>
        <v>2012.9906000000001</v>
      </c>
      <c r="AC33" s="1149">
        <v>1788.7893999999999</v>
      </c>
      <c r="AD33" s="1149">
        <f ca="1">INDEX(INDIRECT($D33),MATCH('Quarterly Flash'!$F33,INDIRECT($C33),0),MATCH('Quarterly Flash'!AD$8,INDIRECT($B33),0))</f>
        <v>2211.1925490766698</v>
      </c>
      <c r="AE33" s="1149">
        <v>2025.303815288944</v>
      </c>
      <c r="AF33" s="1149">
        <f>INDEX(Consensus!$A$1:$AU$180,MATCH('Quarterly Flash'!$F33,Consensus!$A:$A,0),MATCH('Quarterly Flash'!AD$8,Consensus!$4:$4,0))</f>
        <v>2528.3078999999998</v>
      </c>
      <c r="AG33" s="1031">
        <v>2414.0414999999998</v>
      </c>
    </row>
    <row r="34" spans="2:33" s="1032" customFormat="1">
      <c r="B34" s="824" t="str">
        <f t="shared" ca="1" si="2"/>
        <v>'Cash Flow'!$5:$5</v>
      </c>
      <c r="C34" s="824" t="str">
        <f t="shared" ca="1" si="0"/>
        <v>'Cash Flow'!$A:$A</v>
      </c>
      <c r="D34" s="824" t="str">
        <f t="shared" ca="1" si="1"/>
        <v>'Cash Flow'!$1:$1048576</v>
      </c>
      <c r="E34" s="972" t="str" cm="1">
        <f t="array" aca="1" ref="E34" ca="1">IFERROR(INDEX(SheetNames,MATCH(1,COUNTIF(INDIRECT("'"&amp;SheetNames&amp;"'!A:A"),$F34),0)),"Not Found")</f>
        <v>Cash Flow</v>
      </c>
      <c r="F34" s="1032" t="s">
        <v>451</v>
      </c>
      <c r="G34" s="1042" t="s">
        <v>509</v>
      </c>
      <c r="H34" s="1043" t="s">
        <v>546</v>
      </c>
      <c r="I34"/>
      <c r="J34" s="1144" t="s">
        <v>433</v>
      </c>
      <c r="K34" s="1145"/>
      <c r="L34" s="1145"/>
      <c r="M34" s="1145"/>
      <c r="N34" s="1145">
        <f>INDEX(Consensus!$A$1:$AU$180,MATCH('Quarterly Flash'!$F34,Consensus!$A:$A,0),MATCH('Quarterly Flash'!L$8,Consensus!$4:$4,0))</f>
        <v>0.5253623188405796</v>
      </c>
      <c r="O34" s="1145">
        <v>8.3134999999999959E-2</v>
      </c>
      <c r="P34" s="1146"/>
      <c r="Q34" s="1145"/>
      <c r="R34" s="1145">
        <f ca="1">INDEX(INDIRECT($D34),MATCH('Quarterly Flash'!$F34,INDIRECT($C34),0),MATCH('Quarterly Flash'!R$8,INDIRECT($B34),0))</f>
        <v>0.16809358855672185</v>
      </c>
      <c r="S34" s="1145">
        <v>-0.59693162653359622</v>
      </c>
      <c r="T34" s="1145">
        <f>INDEX(Consensus!$A$1:$AU$180,MATCH('Quarterly Flash'!$F34,Consensus!$A:$A,0),MATCH('Quarterly Flash'!R$8,Consensus!$4:$4,0))</f>
        <v>0.22596278026905825</v>
      </c>
      <c r="U34" s="1145">
        <v>0.11101299319727898</v>
      </c>
      <c r="V34" s="1145">
        <f ca="1">INDEX(INDIRECT($D34),MATCH('Quarterly Flash'!$F34,INDIRECT($C34),0),MATCH('Quarterly Flash'!V$8,INDIRECT($B34),0))</f>
        <v>0.66515993425005315</v>
      </c>
      <c r="W34" s="1145">
        <v>1.3371385318908877</v>
      </c>
      <c r="X34" s="1145">
        <f>INDEX(Consensus!$A$1:$AU$180,MATCH('Quarterly Flash'!$F34,Consensus!$A:$A,0),MATCH('Quarterly Flash'!V$8,Consensus!$4:$4,0))</f>
        <v>0.70474121664473266</v>
      </c>
      <c r="Y34" s="1145">
        <v>0.55269609292502642</v>
      </c>
      <c r="Z34" s="1145">
        <f ca="1">INDEX(INDIRECT($D34),MATCH('Quarterly Flash'!$F34,INDIRECT($C34),0),MATCH('Quarterly Flash'!Z$8,INDIRECT($B34),0))</f>
        <v>0.20610456407064937</v>
      </c>
      <c r="AA34" s="1145">
        <v>1.7725434977341239</v>
      </c>
      <c r="AB34" s="1145">
        <f>INDEX(Consensus!$A$1:$AU$180,MATCH('Quarterly Flash'!$F34,Consensus!$A:$A,0),MATCH('Quarterly Flash'!Z$8,Consensus!$4:$4,0))</f>
        <v>0.30489724453421818</v>
      </c>
      <c r="AC34" s="1145">
        <v>0.19351936938113301</v>
      </c>
      <c r="AD34" s="1145">
        <f ca="1">INDEX(INDIRECT($D34),MATCH('Quarterly Flash'!$F34,INDIRECT($C34),0),MATCH('Quarterly Flash'!AD$8,INDIRECT($B34),0))</f>
        <v>0.21656990674016696</v>
      </c>
      <c r="AE34" s="1145">
        <v>0.16026717890239661</v>
      </c>
      <c r="AF34" s="1145">
        <f>INDEX(Consensus!$A$1:$AU$180,MATCH('Quarterly Flash'!$F34,Consensus!$A:$A,0),MATCH('Quarterly Flash'!AD$8,Consensus!$4:$4,0))</f>
        <v>0.2559958799608899</v>
      </c>
      <c r="AG34" s="942"/>
    </row>
    <row r="35" spans="2:33" s="1032" customFormat="1">
      <c r="B35" s="824" t="str">
        <f t="shared" ca="1" si="2"/>
        <v>'Not Found'!$5:$5</v>
      </c>
      <c r="C35" s="824" t="str">
        <f t="shared" ca="1" si="0"/>
        <v>'Not Found'!$A:$A</v>
      </c>
      <c r="D35" s="824" t="str">
        <f t="shared" ca="1" si="1"/>
        <v>'Not Found'!$1:$1048576</v>
      </c>
      <c r="E35" s="972" t="str" cm="1">
        <f t="array" aca="1" ref="E35" ca="1">IFERROR(INDEX(SheetNames,MATCH(1,COUNTIF(INDIRECT("'"&amp;SheetNames&amp;"'!A:A"),$F35),0)),"Not Found")</f>
        <v>Not Found</v>
      </c>
      <c r="F35" s="1032" t="s">
        <v>452</v>
      </c>
      <c r="G35" s="1042" t="s">
        <v>540</v>
      </c>
      <c r="H35" s="1043" t="s">
        <v>546</v>
      </c>
      <c r="I35"/>
      <c r="J35" s="1144" t="s">
        <v>440</v>
      </c>
      <c r="K35" s="1145"/>
      <c r="L35" s="1145"/>
      <c r="M35" s="1145"/>
      <c r="N35" s="1145"/>
      <c r="O35" s="1145"/>
      <c r="P35" s="1145"/>
      <c r="Q35" s="1152"/>
      <c r="R35" s="1145"/>
      <c r="S35" s="1145"/>
      <c r="T35" s="1145"/>
      <c r="U35" s="1145"/>
      <c r="V35" s="1145"/>
      <c r="W35" s="1145"/>
      <c r="X35" s="1145"/>
      <c r="Y35" s="1145"/>
      <c r="Z35" s="1145"/>
      <c r="AA35" s="1145"/>
      <c r="AB35" s="1145"/>
      <c r="AC35" s="1145"/>
      <c r="AD35" s="1145"/>
      <c r="AE35" s="1145"/>
      <c r="AF35" s="1145"/>
      <c r="AG35" s="942"/>
    </row>
    <row r="36" spans="2:33">
      <c r="L36" s="930">
        <f ca="1">TODAY()</f>
        <v>45667</v>
      </c>
      <c r="M36" s="949">
        <v>45567</v>
      </c>
      <c r="N36" s="930">
        <f ca="1">TODAY()</f>
        <v>45667</v>
      </c>
      <c r="O36" s="949">
        <v>45567</v>
      </c>
      <c r="R36" s="930">
        <f ca="1">TODAY()</f>
        <v>45667</v>
      </c>
      <c r="S36" s="949">
        <v>45567</v>
      </c>
      <c r="T36" s="930">
        <f ca="1">TODAY()</f>
        <v>45667</v>
      </c>
      <c r="U36" s="949">
        <v>45567</v>
      </c>
      <c r="V36" s="930">
        <f ca="1">TODAY()</f>
        <v>45667</v>
      </c>
      <c r="W36" s="949">
        <v>45567</v>
      </c>
      <c r="X36" s="930">
        <f ca="1">TODAY()</f>
        <v>45667</v>
      </c>
      <c r="Y36" s="949">
        <v>45567</v>
      </c>
      <c r="Z36" s="930">
        <f ca="1">TODAY()</f>
        <v>45667</v>
      </c>
      <c r="AA36" s="949">
        <v>45567</v>
      </c>
      <c r="AB36" s="930">
        <f ca="1">TODAY()</f>
        <v>45667</v>
      </c>
      <c r="AC36" s="949">
        <v>45567</v>
      </c>
      <c r="AD36" s="930">
        <f ca="1">TODAY()</f>
        <v>45667</v>
      </c>
      <c r="AE36" s="949">
        <v>45567</v>
      </c>
      <c r="AF36" s="930">
        <f ca="1">TODAY()</f>
        <v>45667</v>
      </c>
      <c r="AG36" s="949">
        <v>45567</v>
      </c>
    </row>
    <row r="38" spans="2:33">
      <c r="G38" s="926"/>
      <c r="P38" s="1064"/>
    </row>
    <row r="39" spans="2:33">
      <c r="G39" s="926"/>
    </row>
    <row r="40" spans="2:33">
      <c r="G40" s="926"/>
    </row>
    <row r="41" spans="2:33">
      <c r="G41" s="926"/>
    </row>
    <row r="42" spans="2:33">
      <c r="G42" s="926"/>
      <c r="N42" s="1064"/>
      <c r="O42" s="1064"/>
      <c r="P42" s="1064"/>
    </row>
    <row r="43" spans="2:33">
      <c r="G43" s="926"/>
    </row>
    <row r="44" spans="2:33">
      <c r="G44" s="926"/>
    </row>
    <row r="45" spans="2:33">
      <c r="G45" s="926"/>
      <c r="H45" s="933"/>
      <c r="AD45" s="1036"/>
      <c r="AE45" s="1036"/>
    </row>
    <row r="46" spans="2:33">
      <c r="G46" s="933"/>
      <c r="H46" s="933"/>
    </row>
    <row r="47" spans="2:33">
      <c r="G47" s="926"/>
    </row>
    <row r="48" spans="2:33">
      <c r="G48" s="926"/>
    </row>
    <row r="49" spans="7:7">
      <c r="G49" s="926"/>
    </row>
    <row r="50" spans="7:7">
      <c r="G50" s="926"/>
    </row>
    <row r="51" spans="7:7">
      <c r="G51" s="926"/>
    </row>
    <row r="52" spans="7:7">
      <c r="G52" s="926"/>
    </row>
    <row r="53" spans="7:7">
      <c r="G53" s="926"/>
    </row>
    <row r="54" spans="7:7">
      <c r="G54" s="926"/>
    </row>
    <row r="56" spans="7:7">
      <c r="G56" s="926"/>
    </row>
    <row r="57" spans="7:7">
      <c r="G57" s="926"/>
    </row>
    <row r="58" spans="7:7">
      <c r="G58" s="926"/>
    </row>
    <row r="59" spans="7:7">
      <c r="G59" s="926"/>
    </row>
    <row r="60" spans="7:7">
      <c r="G60" s="926"/>
    </row>
  </sheetData>
  <conditionalFormatting sqref="E11:E35">
    <cfRule type="cellIs" dxfId="0" priority="2" operator="equal">
      <formula>"Not Found"</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56BA7-C067-4D4D-A3D3-E62951A48FEE}">
  <sheetPr codeName="Sheet7">
    <tabColor theme="6" tint="-0.249977111117893"/>
  </sheetPr>
  <dimension ref="A1:EW228"/>
  <sheetViews>
    <sheetView showGridLines="0" zoomScaleNormal="100" workbookViewId="0">
      <pane xSplit="5" ySplit="4" topLeftCell="CW145" activePane="bottomRight" state="frozen"/>
      <selection pane="topRight" activeCell="F1" sqref="F1"/>
      <selection pane="bottomLeft" activeCell="A5" sqref="A5"/>
      <selection pane="bottomRight" activeCell="DO186" sqref="DO186"/>
    </sheetView>
  </sheetViews>
  <sheetFormatPr defaultColWidth="9" defaultRowHeight="11.25" outlineLevelCol="1"/>
  <cols>
    <col min="1" max="1" width="1.7109375" style="1110" customWidth="1"/>
    <col min="2" max="2" width="6.7109375" style="1110" hidden="1" customWidth="1" outlineLevel="1"/>
    <col min="3" max="4" width="7.140625" style="1110" hidden="1" customWidth="1" outlineLevel="1"/>
    <col min="5" max="5" width="32.5703125" style="6" customWidth="1" collapsed="1"/>
    <col min="6" max="6" width="8.42578125" style="6" bestFit="1" customWidth="1"/>
    <col min="7" max="7" width="8.5703125" style="6" bestFit="1" customWidth="1"/>
    <col min="8" max="8" width="8.42578125" style="6" bestFit="1" customWidth="1"/>
    <col min="9" max="9" width="9.28515625" style="6" bestFit="1" customWidth="1"/>
    <col min="10" max="10" width="8.42578125" style="6" bestFit="1" customWidth="1"/>
    <col min="11" max="53" width="8.42578125" style="6" customWidth="1"/>
    <col min="54" max="84" width="9" style="6"/>
    <col min="85" max="85" width="31" style="6" bestFit="1" customWidth="1"/>
    <col min="86" max="86" width="9.85546875" style="1282" bestFit="1" customWidth="1"/>
    <col min="87" max="93" width="9.28515625" style="1282" bestFit="1" customWidth="1"/>
    <col min="94" max="97" width="9.28515625" style="1282" customWidth="1"/>
    <col min="98" max="98" width="9.7109375" style="6" bestFit="1" customWidth="1"/>
    <col min="99" max="16384" width="9" style="6"/>
  </cols>
  <sheetData>
    <row r="1" spans="1:100">
      <c r="E1" s="1447" t="s">
        <v>365</v>
      </c>
      <c r="CG1" s="1477" t="s">
        <v>735</v>
      </c>
      <c r="CH1" s="1478" t="s">
        <v>721</v>
      </c>
      <c r="CI1" s="1478" t="s">
        <v>722</v>
      </c>
      <c r="CJ1" s="1478" t="s">
        <v>723</v>
      </c>
      <c r="CK1" s="1478" t="s">
        <v>724</v>
      </c>
      <c r="CL1" s="1478" t="s">
        <v>725</v>
      </c>
      <c r="CM1" s="1478" t="s">
        <v>726</v>
      </c>
      <c r="CN1" s="1478" t="s">
        <v>727</v>
      </c>
      <c r="CO1" s="1478" t="s">
        <v>728</v>
      </c>
      <c r="CP1" s="1478" t="s">
        <v>729</v>
      </c>
      <c r="CQ1" s="1478" t="s">
        <v>730</v>
      </c>
      <c r="CR1" s="1478" t="s">
        <v>731</v>
      </c>
      <c r="CS1" s="1478" t="s">
        <v>732</v>
      </c>
    </row>
    <row r="2" spans="1:100">
      <c r="BB2" s="1110"/>
      <c r="BC2" s="1110"/>
      <c r="BD2" s="1110"/>
      <c r="BE2" s="1110"/>
      <c r="BF2" s="1110"/>
      <c r="BG2" s="1110"/>
      <c r="BH2" s="1110"/>
      <c r="BI2" s="1110"/>
      <c r="BJ2" s="1110"/>
      <c r="BK2" s="1110"/>
      <c r="BL2" s="1110"/>
      <c r="BM2" s="1110"/>
      <c r="BN2" s="1110"/>
      <c r="BO2" s="1110"/>
      <c r="BP2" s="1110"/>
      <c r="BQ2" s="1110"/>
      <c r="BR2" s="1110"/>
      <c r="BS2" s="1110"/>
      <c r="BT2" s="1110"/>
      <c r="BU2" s="1110"/>
      <c r="BV2" s="1110"/>
      <c r="BW2" s="1110"/>
      <c r="BX2" s="1110"/>
      <c r="BY2" s="1110"/>
      <c r="BZ2" s="1110"/>
      <c r="CA2" s="1110"/>
      <c r="CB2" s="1110"/>
      <c r="CC2" s="1110"/>
      <c r="CD2" s="1110"/>
      <c r="CE2" s="1110"/>
      <c r="CF2" s="1110"/>
      <c r="CG2" s="1110"/>
    </row>
    <row r="3" spans="1:100">
      <c r="E3" s="1448"/>
      <c r="F3" s="1">
        <v>42460</v>
      </c>
      <c r="G3" s="1">
        <f>EOMONTH(F3,3)</f>
        <v>42551</v>
      </c>
      <c r="H3" s="1">
        <f>EOMONTH(G3,3)</f>
        <v>42643</v>
      </c>
      <c r="I3" s="1">
        <f>EOMONTH(H3,3)</f>
        <v>42735</v>
      </c>
      <c r="J3" s="1">
        <v>42825</v>
      </c>
      <c r="K3" s="1">
        <f>EOMONTH(J3,3)</f>
        <v>42916</v>
      </c>
      <c r="L3" s="1">
        <f>EOMONTH(K3,3)</f>
        <v>43008</v>
      </c>
      <c r="M3" s="1">
        <f>EOMONTH(L3,3)</f>
        <v>43100</v>
      </c>
      <c r="N3" s="1">
        <v>43190</v>
      </c>
      <c r="O3" s="1">
        <f>EOMONTH(N3,3)</f>
        <v>43281</v>
      </c>
      <c r="P3" s="1">
        <f>EOMONTH(O3,3)</f>
        <v>43373</v>
      </c>
      <c r="Q3" s="1">
        <f>EOMONTH(P3,3)</f>
        <v>43465</v>
      </c>
      <c r="R3" s="1">
        <v>43555</v>
      </c>
      <c r="S3" s="1">
        <f t="shared" ref="S3:AK3" si="0">EOMONTH(R3,3)</f>
        <v>43646</v>
      </c>
      <c r="T3" s="1">
        <f t="shared" si="0"/>
        <v>43738</v>
      </c>
      <c r="U3" s="1">
        <f t="shared" si="0"/>
        <v>43830</v>
      </c>
      <c r="V3" s="1">
        <f t="shared" si="0"/>
        <v>43921</v>
      </c>
      <c r="W3" s="1">
        <f t="shared" si="0"/>
        <v>44012</v>
      </c>
      <c r="X3" s="1">
        <f t="shared" si="0"/>
        <v>44104</v>
      </c>
      <c r="Y3" s="1">
        <f t="shared" si="0"/>
        <v>44196</v>
      </c>
      <c r="Z3" s="1">
        <f t="shared" si="0"/>
        <v>44286</v>
      </c>
      <c r="AA3" s="1">
        <f t="shared" si="0"/>
        <v>44377</v>
      </c>
      <c r="AB3" s="1">
        <f t="shared" si="0"/>
        <v>44469</v>
      </c>
      <c r="AC3" s="1">
        <f t="shared" si="0"/>
        <v>44561</v>
      </c>
      <c r="AD3" s="1">
        <f t="shared" si="0"/>
        <v>44651</v>
      </c>
      <c r="AE3" s="1">
        <f t="shared" si="0"/>
        <v>44742</v>
      </c>
      <c r="AF3" s="1">
        <f t="shared" si="0"/>
        <v>44834</v>
      </c>
      <c r="AG3" s="1">
        <f t="shared" si="0"/>
        <v>44926</v>
      </c>
      <c r="AH3" s="1">
        <f t="shared" si="0"/>
        <v>45016</v>
      </c>
      <c r="AI3" s="1">
        <f t="shared" si="0"/>
        <v>45107</v>
      </c>
      <c r="AJ3" s="1">
        <f t="shared" si="0"/>
        <v>45199</v>
      </c>
      <c r="AK3" s="1">
        <f t="shared" si="0"/>
        <v>45291</v>
      </c>
      <c r="AL3" s="1">
        <f t="shared" ref="AL3" si="1">EOMONTH(AK3,3)</f>
        <v>45382</v>
      </c>
      <c r="AM3" s="1">
        <f t="shared" ref="AM3" si="2">EOMONTH(AL3,3)</f>
        <v>45473</v>
      </c>
      <c r="AN3" s="1">
        <f t="shared" ref="AN3" si="3">EOMONTH(AM3,3)</f>
        <v>45565</v>
      </c>
      <c r="AO3" s="1">
        <f t="shared" ref="AO3" si="4">EOMONTH(AN3,3)</f>
        <v>45657</v>
      </c>
      <c r="AP3" s="1">
        <f t="shared" ref="AP3" si="5">EOMONTH(AO3,3)</f>
        <v>45747</v>
      </c>
      <c r="AQ3" s="1">
        <f t="shared" ref="AQ3" si="6">EOMONTH(AP3,3)</f>
        <v>45838</v>
      </c>
      <c r="AR3" s="1">
        <f t="shared" ref="AR3" si="7">EOMONTH(AQ3,3)</f>
        <v>45930</v>
      </c>
      <c r="AS3" s="1">
        <f t="shared" ref="AS3" si="8">EOMONTH(AR3,3)</f>
        <v>46022</v>
      </c>
      <c r="AT3" s="1">
        <f t="shared" ref="AT3" si="9">EOMONTH(AS3,3)</f>
        <v>46112</v>
      </c>
      <c r="AU3" s="1">
        <f t="shared" ref="AU3" si="10">EOMONTH(AT3,3)</f>
        <v>46203</v>
      </c>
      <c r="AV3" s="1">
        <f t="shared" ref="AV3" si="11">EOMONTH(AU3,3)</f>
        <v>46295</v>
      </c>
      <c r="AW3" s="1">
        <f t="shared" ref="AW3" si="12">EOMONTH(AV3,3)</f>
        <v>46387</v>
      </c>
      <c r="AX3" s="1">
        <f t="shared" ref="AX3" si="13">EOMONTH(AW3,3)</f>
        <v>46477</v>
      </c>
      <c r="AY3" s="1">
        <f t="shared" ref="AY3" si="14">EOMONTH(AX3,3)</f>
        <v>46568</v>
      </c>
      <c r="AZ3" s="1">
        <f t="shared" ref="AZ3" si="15">EOMONTH(AY3,3)</f>
        <v>46660</v>
      </c>
      <c r="BA3" s="1">
        <f t="shared" ref="BA3" si="16">EOMONTH(AZ3,3)</f>
        <v>46752</v>
      </c>
      <c r="BB3" s="1157"/>
      <c r="BC3" s="1157"/>
      <c r="BD3" s="1157"/>
      <c r="BE3" s="1157"/>
      <c r="BF3" s="1157"/>
      <c r="BG3" s="1157"/>
      <c r="BH3" s="1157"/>
      <c r="BI3" s="1157"/>
      <c r="BJ3" s="1157"/>
      <c r="BK3" s="1157"/>
      <c r="BL3" s="1157"/>
      <c r="BM3" s="1157"/>
      <c r="BN3" s="1157"/>
      <c r="BO3" s="1157"/>
      <c r="BP3" s="1157"/>
      <c r="BQ3" s="1157"/>
      <c r="BR3" s="1157"/>
      <c r="BS3" s="1157"/>
      <c r="BT3" s="1157"/>
      <c r="BU3" s="1157"/>
      <c r="BV3" s="1157"/>
      <c r="BW3" s="1157"/>
      <c r="BX3" s="1157"/>
      <c r="BY3" s="1157"/>
      <c r="BZ3" s="1157"/>
      <c r="CA3" s="1157"/>
      <c r="CB3" s="1157"/>
      <c r="CC3" s="1157"/>
      <c r="CD3" s="1157"/>
      <c r="CE3" s="1157"/>
      <c r="CF3" s="1157"/>
      <c r="CG3" s="1157"/>
      <c r="CH3" s="1111">
        <v>2016</v>
      </c>
      <c r="CI3" s="1111">
        <f>+CH3+1</f>
        <v>2017</v>
      </c>
      <c r="CJ3" s="1111">
        <f t="shared" ref="CJ3:CS3" si="17">+CI3+1</f>
        <v>2018</v>
      </c>
      <c r="CK3" s="1111">
        <f t="shared" si="17"/>
        <v>2019</v>
      </c>
      <c r="CL3" s="1111">
        <f t="shared" si="17"/>
        <v>2020</v>
      </c>
      <c r="CM3" s="1111">
        <f t="shared" si="17"/>
        <v>2021</v>
      </c>
      <c r="CN3" s="1111">
        <f t="shared" si="17"/>
        <v>2022</v>
      </c>
      <c r="CO3" s="1111">
        <f t="shared" si="17"/>
        <v>2023</v>
      </c>
      <c r="CP3" s="1111">
        <f t="shared" si="17"/>
        <v>2024</v>
      </c>
      <c r="CQ3" s="1111">
        <f t="shared" si="17"/>
        <v>2025</v>
      </c>
      <c r="CR3" s="1111">
        <f t="shared" si="17"/>
        <v>2026</v>
      </c>
      <c r="CS3" s="1111">
        <f t="shared" si="17"/>
        <v>2027</v>
      </c>
      <c r="CT3" s="1111" t="s">
        <v>784</v>
      </c>
    </row>
    <row r="4" spans="1:100">
      <c r="B4" s="2"/>
      <c r="E4" s="1449"/>
      <c r="F4" s="3" t="s">
        <v>597</v>
      </c>
      <c r="G4" s="3" t="s">
        <v>598</v>
      </c>
      <c r="H4" s="3" t="s">
        <v>599</v>
      </c>
      <c r="I4" s="3" t="s">
        <v>600</v>
      </c>
      <c r="J4" s="3" t="s">
        <v>601</v>
      </c>
      <c r="K4" s="3" t="s">
        <v>602</v>
      </c>
      <c r="L4" s="3" t="s">
        <v>603</v>
      </c>
      <c r="M4" s="3" t="s">
        <v>604</v>
      </c>
      <c r="N4" s="3" t="s">
        <v>605</v>
      </c>
      <c r="O4" s="3" t="s">
        <v>606</v>
      </c>
      <c r="P4" s="3" t="s">
        <v>607</v>
      </c>
      <c r="Q4" s="3" t="s">
        <v>608</v>
      </c>
      <c r="R4" s="3" t="s">
        <v>577</v>
      </c>
      <c r="S4" s="3" t="s">
        <v>578</v>
      </c>
      <c r="T4" s="3" t="s">
        <v>579</v>
      </c>
      <c r="U4" s="3" t="s">
        <v>580</v>
      </c>
      <c r="V4" s="3" t="s">
        <v>581</v>
      </c>
      <c r="W4" s="3" t="s">
        <v>582</v>
      </c>
      <c r="X4" s="3" t="s">
        <v>583</v>
      </c>
      <c r="Y4" s="3" t="s">
        <v>584</v>
      </c>
      <c r="Z4" s="3" t="s">
        <v>585</v>
      </c>
      <c r="AA4" s="3" t="s">
        <v>586</v>
      </c>
      <c r="AB4" s="3" t="s">
        <v>587</v>
      </c>
      <c r="AC4" s="3" t="s">
        <v>588</v>
      </c>
      <c r="AD4" s="3" t="s">
        <v>589</v>
      </c>
      <c r="AE4" s="3" t="s">
        <v>590</v>
      </c>
      <c r="AF4" s="3" t="s">
        <v>591</v>
      </c>
      <c r="AG4" s="3" t="s">
        <v>592</v>
      </c>
      <c r="AH4" s="3" t="s">
        <v>593</v>
      </c>
      <c r="AI4" s="3" t="s">
        <v>594</v>
      </c>
      <c r="AJ4" s="3" t="s">
        <v>595</v>
      </c>
      <c r="AK4" s="3" t="s">
        <v>596</v>
      </c>
      <c r="AL4" s="3" t="s">
        <v>562</v>
      </c>
      <c r="AM4" s="3" t="s">
        <v>564</v>
      </c>
      <c r="AN4" s="3" t="s">
        <v>754</v>
      </c>
      <c r="AO4" s="3" t="s">
        <v>565</v>
      </c>
      <c r="AP4" s="3" t="s">
        <v>566</v>
      </c>
      <c r="AQ4" s="3" t="s">
        <v>567</v>
      </c>
      <c r="AR4" s="3" t="s">
        <v>568</v>
      </c>
      <c r="AS4" s="3" t="s">
        <v>569</v>
      </c>
      <c r="AT4" s="3" t="s">
        <v>570</v>
      </c>
      <c r="AU4" s="3" t="s">
        <v>571</v>
      </c>
      <c r="AV4" s="3" t="s">
        <v>572</v>
      </c>
      <c r="AW4" s="3" t="s">
        <v>573</v>
      </c>
      <c r="AX4" s="3" t="s">
        <v>574</v>
      </c>
      <c r="AY4" s="3" t="s">
        <v>575</v>
      </c>
      <c r="AZ4" s="3" t="s">
        <v>576</v>
      </c>
      <c r="BA4" s="3" t="s">
        <v>663</v>
      </c>
      <c r="BB4" s="1158"/>
      <c r="BC4" s="1158"/>
      <c r="BD4" s="1158"/>
      <c r="BE4" s="1158"/>
      <c r="BF4" s="1158"/>
      <c r="BG4" s="1158"/>
      <c r="BH4" s="1158"/>
      <c r="BI4" s="1158"/>
      <c r="BJ4" s="1158"/>
      <c r="BK4" s="1158"/>
      <c r="BL4" s="1158"/>
      <c r="BM4" s="1158"/>
      <c r="BN4" s="1158"/>
      <c r="BO4" s="1158"/>
      <c r="BP4" s="1158"/>
      <c r="BQ4" s="1158"/>
      <c r="BR4" s="1158"/>
      <c r="BS4" s="1158"/>
      <c r="BT4" s="1158"/>
      <c r="BU4" s="1158"/>
      <c r="BV4" s="1158"/>
      <c r="BW4" s="1158"/>
      <c r="BX4" s="1158"/>
      <c r="BY4" s="1158"/>
      <c r="BZ4" s="1158"/>
      <c r="CA4" s="1158"/>
      <c r="CB4" s="1158"/>
      <c r="CC4" s="1158"/>
      <c r="CD4" s="1158"/>
      <c r="CE4" s="1158"/>
      <c r="CF4" s="1158"/>
      <c r="CG4" s="1158"/>
      <c r="CH4" s="5" t="s">
        <v>190</v>
      </c>
      <c r="CI4" s="5" t="s">
        <v>194</v>
      </c>
      <c r="CJ4" s="5" t="s">
        <v>208</v>
      </c>
      <c r="CK4" s="3" t="s">
        <v>212</v>
      </c>
      <c r="CL4" s="3" t="s">
        <v>227</v>
      </c>
      <c r="CM4" s="3" t="s">
        <v>336</v>
      </c>
      <c r="CN4" s="3" t="s">
        <v>380</v>
      </c>
      <c r="CO4" s="3" t="s">
        <v>404</v>
      </c>
      <c r="CP4" s="3" t="s">
        <v>304</v>
      </c>
      <c r="CQ4" s="3" t="s">
        <v>352</v>
      </c>
      <c r="CR4" s="3" t="s">
        <v>387</v>
      </c>
      <c r="CS4" s="4" t="s">
        <v>388</v>
      </c>
      <c r="CT4" s="4" t="s">
        <v>785</v>
      </c>
    </row>
    <row r="5" spans="1:100" s="1110" customFormat="1">
      <c r="E5" s="6" t="s">
        <v>661</v>
      </c>
      <c r="F5" s="1450">
        <f>Income!BV11</f>
        <v>72.722000000000008</v>
      </c>
      <c r="G5" s="1450">
        <f>Income!BW11</f>
        <v>86.646999999999991</v>
      </c>
      <c r="H5" s="1450">
        <f>Income!BX11</f>
        <v>99.578000000000003</v>
      </c>
      <c r="I5" s="1450">
        <f>Income!BY11</f>
        <v>130.38299999999998</v>
      </c>
      <c r="J5" s="1450">
        <f>Income!CA11</f>
        <v>127.379</v>
      </c>
      <c r="K5" s="1450">
        <f>Income!CB11</f>
        <v>151.655</v>
      </c>
      <c r="L5" s="1450">
        <f>Income!CC11</f>
        <v>171.45600000000002</v>
      </c>
      <c r="M5" s="1450">
        <f>Income!CD11</f>
        <v>222.81399999999999</v>
      </c>
      <c r="N5" s="1450">
        <f>Income!CF11</f>
        <v>214.33999999999997</v>
      </c>
      <c r="O5" s="1450">
        <f>Income!CG11</f>
        <v>244.96299999999999</v>
      </c>
      <c r="P5" s="1450">
        <f>Income!CH11</f>
        <v>270.06399999999996</v>
      </c>
      <c r="Q5" s="1450">
        <f>Income!CI11</f>
        <v>343.86199999999997</v>
      </c>
      <c r="R5" s="1450">
        <f>Income!CK11</f>
        <v>320.48199999999997</v>
      </c>
      <c r="S5" s="1450">
        <f>Income!CL11</f>
        <v>361.97899999999998</v>
      </c>
      <c r="T5" s="1450">
        <f>Income!CM11</f>
        <v>390.55200000000002</v>
      </c>
      <c r="U5" s="1450">
        <f>Income!CN11</f>
        <v>505.16</v>
      </c>
      <c r="V5" s="1450">
        <f>Income!CP11</f>
        <v>470.00099999999998</v>
      </c>
      <c r="W5" s="1450">
        <f>Income!CQ11</f>
        <v>714.34100000000001</v>
      </c>
      <c r="X5" s="1450">
        <f>Income!CR11</f>
        <v>767.40499999999997</v>
      </c>
      <c r="Y5" s="1450">
        <f>Income!CS11</f>
        <v>977.74399999999991</v>
      </c>
      <c r="Z5" s="1450">
        <f>Income!CU11</f>
        <v>988.64699999999993</v>
      </c>
      <c r="AA5" s="1450">
        <f>Income!CV11</f>
        <v>1119.4449999999999</v>
      </c>
      <c r="AB5" s="1450">
        <f>Income!CW11</f>
        <v>1123.74</v>
      </c>
      <c r="AC5" s="1450">
        <f>Income!CX11</f>
        <v>1380.0240000000001</v>
      </c>
      <c r="AD5" s="1450">
        <f>Income!CZ11</f>
        <v>1203.623</v>
      </c>
      <c r="AE5" s="1450">
        <f>Income!DA11</f>
        <v>1295.0630000000001</v>
      </c>
      <c r="AF5" s="1450">
        <f>Income!DB11</f>
        <v>1366.2</v>
      </c>
      <c r="AG5" s="1450">
        <f>Income!DC11</f>
        <v>1734.9780000000001</v>
      </c>
      <c r="AH5" s="1450">
        <f>Income!DE11</f>
        <v>1508</v>
      </c>
      <c r="AI5" s="1450">
        <f>Income!DF11</f>
        <v>1694</v>
      </c>
      <c r="AJ5" s="1450">
        <f>Income!DG11</f>
        <v>1714</v>
      </c>
      <c r="AK5" s="1450">
        <f>Income!DH11</f>
        <v>2144</v>
      </c>
      <c r="AL5" s="1450">
        <f>Income!DJ11</f>
        <v>1861</v>
      </c>
      <c r="AM5" s="1450">
        <f>Income!DK11</f>
        <v>2045</v>
      </c>
      <c r="AN5" s="1450">
        <f>Income!DL11</f>
        <v>2162</v>
      </c>
      <c r="AO5" s="1450">
        <f>Income!DM11</f>
        <v>2703.5891937011711</v>
      </c>
      <c r="AP5" s="1450">
        <f>Income!DO11</f>
        <v>2338.8834242070311</v>
      </c>
      <c r="AQ5" s="1450">
        <f>Income!DP11</f>
        <v>2508.0283815145549</v>
      </c>
      <c r="AR5" s="1450">
        <f>Income!DQ11</f>
        <v>2631.9056487290545</v>
      </c>
      <c r="AS5" s="1450">
        <f>Income!DR11</f>
        <v>3317.9390336843499</v>
      </c>
      <c r="AT5" s="1450">
        <f>Income!DT11</f>
        <v>2799.2052568575727</v>
      </c>
      <c r="AU5" s="1450">
        <f>Income!DU11</f>
        <v>3001.1461139124062</v>
      </c>
      <c r="AV5" s="1450">
        <f>Income!DV11</f>
        <v>3147.5647910031289</v>
      </c>
      <c r="AW5" s="1450">
        <f>Income!DW11</f>
        <v>3975.5145410092937</v>
      </c>
      <c r="AX5" s="1450">
        <f>Income!DY11</f>
        <v>3300.3679789037724</v>
      </c>
      <c r="AY5" s="1450">
        <f>Income!DZ11</f>
        <v>3537.9380225337027</v>
      </c>
      <c r="AZ5" s="1450">
        <f>Income!EA11</f>
        <v>3708.9052382572477</v>
      </c>
      <c r="BA5" s="1450">
        <f>Income!EB11</f>
        <v>4691.55714204166</v>
      </c>
      <c r="BB5" s="6"/>
      <c r="CD5" s="6"/>
      <c r="CE5" s="6"/>
      <c r="CF5" s="6"/>
      <c r="CG5" s="6" t="s">
        <v>661</v>
      </c>
      <c r="CH5" s="1436">
        <f>Income!BZ11</f>
        <v>389.33</v>
      </c>
      <c r="CI5" s="1436">
        <f>Income!CE11</f>
        <v>673.30399999999997</v>
      </c>
      <c r="CJ5" s="1436">
        <f>Income!CJ11</f>
        <v>1073.2289999999998</v>
      </c>
      <c r="CK5" s="1436">
        <f>Income!CO11</f>
        <v>1578.173</v>
      </c>
      <c r="CL5" s="1436">
        <f>Income!CT11</f>
        <v>2929.491</v>
      </c>
      <c r="CM5" s="1436">
        <f>Income!CY11</f>
        <v>4611.8559999999998</v>
      </c>
      <c r="CN5" s="1436">
        <f>Income!DD11</f>
        <v>5599.8640000000005</v>
      </c>
      <c r="CO5" s="1436">
        <f>Income!DI11</f>
        <v>7060</v>
      </c>
      <c r="CP5" s="1436">
        <f>Income!DN11</f>
        <v>8771.5891937011711</v>
      </c>
      <c r="CQ5" s="1436">
        <f>Income!DS11</f>
        <v>10796.75648813499</v>
      </c>
      <c r="CR5" s="1436">
        <f>Income!DX11</f>
        <v>12923.430702782402</v>
      </c>
      <c r="CS5" s="1436">
        <f>Income!EC11</f>
        <v>15238.768381736383</v>
      </c>
    </row>
    <row r="6" spans="1:100" s="1110" customFormat="1">
      <c r="E6" s="6"/>
      <c r="F6" s="1450"/>
      <c r="G6" s="1450"/>
      <c r="H6" s="1450"/>
      <c r="I6" s="1450"/>
      <c r="J6" s="1450"/>
      <c r="K6" s="1450"/>
      <c r="L6" s="1450"/>
      <c r="M6" s="1450"/>
      <c r="N6" s="1450"/>
      <c r="O6" s="1450"/>
      <c r="P6" s="1450"/>
      <c r="Q6" s="1450"/>
      <c r="R6" s="1450"/>
      <c r="S6" s="1450"/>
      <c r="T6" s="1450"/>
      <c r="U6" s="1450"/>
      <c r="V6" s="1450"/>
      <c r="W6" s="1450"/>
      <c r="X6" s="1450"/>
      <c r="Y6" s="1450"/>
      <c r="Z6" s="1450"/>
      <c r="AA6" s="1450"/>
      <c r="AB6" s="1450"/>
      <c r="AC6" s="1450"/>
      <c r="AD6" s="1450"/>
      <c r="AE6" s="1450"/>
      <c r="AF6" s="1450"/>
      <c r="AG6" s="1450"/>
      <c r="AH6" s="1450"/>
      <c r="AI6" s="1450"/>
      <c r="AJ6" s="1450"/>
      <c r="AK6" s="1450"/>
      <c r="AL6" s="1450"/>
      <c r="AM6" s="1450"/>
      <c r="AN6" s="1450"/>
      <c r="AO6" s="1450"/>
      <c r="AP6" s="1450"/>
      <c r="AQ6" s="1450"/>
      <c r="AR6" s="1450"/>
      <c r="AS6" s="1450"/>
      <c r="AT6" s="1450"/>
      <c r="AU6" s="1450"/>
      <c r="AV6" s="1450"/>
      <c r="AW6" s="1450"/>
      <c r="AX6" s="1450"/>
      <c r="AY6" s="1450"/>
      <c r="AZ6" s="1450"/>
      <c r="BA6" s="1450"/>
      <c r="BB6" s="6"/>
      <c r="CD6" s="6"/>
      <c r="CE6" s="6"/>
      <c r="CF6" s="6"/>
      <c r="CG6" s="1404" t="s">
        <v>563</v>
      </c>
      <c r="CH6" s="1482">
        <f>Income!BZ12</f>
        <v>0.89701461265975735</v>
      </c>
      <c r="CI6" s="1437">
        <f t="shared" ref="CI6:CS6" si="18">CI5/CH5-1</f>
        <v>0.72939151876300312</v>
      </c>
      <c r="CJ6" s="1437">
        <f t="shared" si="18"/>
        <v>0.59397389589249405</v>
      </c>
      <c r="CK6" s="1437">
        <f t="shared" si="18"/>
        <v>0.47049045450691351</v>
      </c>
      <c r="CL6" s="1437">
        <f t="shared" si="18"/>
        <v>0.856254669164914</v>
      </c>
      <c r="CM6" s="1437">
        <f t="shared" si="18"/>
        <v>0.57428577182862139</v>
      </c>
      <c r="CN6" s="1437">
        <f t="shared" si="18"/>
        <v>0.21423218764853047</v>
      </c>
      <c r="CO6" s="1437">
        <f t="shared" si="18"/>
        <v>0.26074490380480664</v>
      </c>
      <c r="CP6" s="1437">
        <f t="shared" si="18"/>
        <v>0.24243472998600146</v>
      </c>
      <c r="CQ6" s="1437">
        <f t="shared" si="18"/>
        <v>0.23087803700247167</v>
      </c>
      <c r="CR6" s="1437">
        <f t="shared" si="18"/>
        <v>0.19697343521496502</v>
      </c>
      <c r="CS6" s="1437">
        <f t="shared" si="18"/>
        <v>0.17915813008193648</v>
      </c>
    </row>
    <row r="7" spans="1:100" s="1110" customFormat="1">
      <c r="E7" s="6" t="s">
        <v>312</v>
      </c>
      <c r="F7" s="1450">
        <f>'Revenue Build'!BV41</f>
        <v>2671.8009999999999</v>
      </c>
      <c r="G7" s="1450">
        <f>'Revenue Build'!BW41</f>
        <v>3366.6990000000001</v>
      </c>
      <c r="H7" s="1450">
        <f>'Revenue Build'!BX41</f>
        <v>3810.3609999999999</v>
      </c>
      <c r="I7" s="1450">
        <f>'Revenue Build'!BY41</f>
        <v>5525.3049999999985</v>
      </c>
      <c r="J7" s="1450">
        <f>'Revenue Build'!CA41</f>
        <v>4852.4250000000002</v>
      </c>
      <c r="K7" s="1450">
        <f>'Revenue Build'!CB41</f>
        <v>5865.8459999999995</v>
      </c>
      <c r="L7" s="1450">
        <f>'Revenue Build'!CC41</f>
        <v>6430.9</v>
      </c>
      <c r="M7" s="1450">
        <f>'Revenue Build'!CD41</f>
        <v>9170.9789999999994</v>
      </c>
      <c r="N7" s="1450">
        <f>'Revenue Build'!CF41</f>
        <v>7952.4319999999998</v>
      </c>
      <c r="O7" s="1450">
        <f>'Revenue Build'!CG41</f>
        <v>9135.6389999999992</v>
      </c>
      <c r="P7" s="1450">
        <f>'Revenue Build'!CH41</f>
        <v>9994.6080000000002</v>
      </c>
      <c r="Q7" s="1450">
        <f>'Revenue Build'!CI41</f>
        <v>14020.558999999997</v>
      </c>
      <c r="R7" s="1450">
        <f>'Revenue Build'!CK41</f>
        <v>11913.825999999999</v>
      </c>
      <c r="S7" s="1450">
        <f>'Revenue Build'!CL41</f>
        <v>13772.195</v>
      </c>
      <c r="T7" s="1450">
        <f>'Revenue Build'!CM41</f>
        <v>14821.11</v>
      </c>
      <c r="U7" s="1450">
        <f>'Revenue Build'!CN41</f>
        <v>20631.326000000001</v>
      </c>
      <c r="V7" s="1450">
        <f>'Revenue Build'!CP41</f>
        <v>17415.252</v>
      </c>
      <c r="W7" s="1450">
        <f>'Revenue Build'!CQ41</f>
        <v>30105.466</v>
      </c>
      <c r="X7" s="1450">
        <f>'Revenue Build'!CR41</f>
        <v>30917.154999999999</v>
      </c>
      <c r="Y7" s="1450">
        <f>'Revenue Build'!CS41</f>
        <v>41139.273999999998</v>
      </c>
      <c r="Z7" s="1450">
        <f>'Revenue Build'!CU41</f>
        <v>37346.885999999999</v>
      </c>
      <c r="AA7" s="1450">
        <f>'Revenue Build'!CV41</f>
        <v>42193.370999999999</v>
      </c>
      <c r="AB7" s="1450">
        <f>'Revenue Build'!CW41</f>
        <v>41764.997000000003</v>
      </c>
      <c r="AC7" s="1450">
        <f>'Revenue Build'!CX41</f>
        <v>54056.560000000012</v>
      </c>
      <c r="AD7" s="1450">
        <f>'Revenue Build'!CZ41</f>
        <v>43199.951999999997</v>
      </c>
      <c r="AE7" s="1450">
        <f>'Revenue Build'!DA41</f>
        <v>46850.218999999997</v>
      </c>
      <c r="AF7" s="1450">
        <f>'Revenue Build'!DB41</f>
        <v>46200</v>
      </c>
      <c r="AG7" s="1450">
        <f>'Revenue Build'!DC41</f>
        <v>61000</v>
      </c>
      <c r="AH7" s="1450">
        <f>'Revenue Build'!DE41</f>
        <v>49600</v>
      </c>
      <c r="AI7" s="1450">
        <f>'Revenue Build'!DF41</f>
        <v>55000</v>
      </c>
      <c r="AJ7" s="1450">
        <f>'Revenue Build'!DG41</f>
        <v>56200</v>
      </c>
      <c r="AK7" s="1450">
        <f>'Revenue Build'!DH41</f>
        <v>75125</v>
      </c>
      <c r="AL7" s="1450">
        <f>'Revenue Build'!DJ41</f>
        <v>60855</v>
      </c>
      <c r="AM7" s="1450">
        <f>'Revenue Build'!DK41</f>
        <v>67245</v>
      </c>
      <c r="AN7" s="1450">
        <f>'Revenue Build'!DL41</f>
        <v>69715</v>
      </c>
      <c r="AO7" s="1450">
        <f>'Revenue Build'!DM41</f>
        <v>92779.374999999985</v>
      </c>
      <c r="AP7" s="1450">
        <f>'Revenue Build'!DO41</f>
        <v>74851.649999999994</v>
      </c>
      <c r="AQ7" s="1450">
        <f>'Revenue Build'!DP41</f>
        <v>79998.931997927313</v>
      </c>
      <c r="AR7" s="1450">
        <f>'Revenue Build'!DQ41</f>
        <v>82170.125986001265</v>
      </c>
      <c r="AS7" s="1450">
        <f>'Revenue Build'!DR41</f>
        <v>110239.46018424167</v>
      </c>
      <c r="AT7" s="1450">
        <f>'Revenue Build'!DT41</f>
        <v>87913.262925000003</v>
      </c>
      <c r="AU7" s="1450">
        <f>'Revenue Build'!DU41</f>
        <v>93958.745631565631</v>
      </c>
      <c r="AV7" s="1450">
        <f>'Revenue Build'!DV41</f>
        <v>96508.812970558487</v>
      </c>
      <c r="AW7" s="1450">
        <f>'Revenue Build'!DW41</f>
        <v>129476.24598639186</v>
      </c>
      <c r="AX7" s="1450">
        <f>'Revenue Build'!DY41</f>
        <v>102418.951307625</v>
      </c>
      <c r="AY7" s="1450">
        <f>'Revenue Build'!DZ41</f>
        <v>109461.93866077396</v>
      </c>
      <c r="AZ7" s="1450">
        <f>'Revenue Build'!EA41</f>
        <v>112432.76711070065</v>
      </c>
      <c r="BA7" s="1450">
        <f>'Revenue Build'!EB41</f>
        <v>150839.82657414651</v>
      </c>
      <c r="CG7" s="6" t="s">
        <v>312</v>
      </c>
      <c r="CH7" s="1436">
        <f>'Revenue Build'!BZ41</f>
        <v>15374.165999999999</v>
      </c>
      <c r="CI7" s="1436">
        <f>'Revenue Build'!CE41</f>
        <v>26320.15</v>
      </c>
      <c r="CJ7" s="1436">
        <f>'Revenue Build'!CJ41</f>
        <v>41103.237999999998</v>
      </c>
      <c r="CK7" s="1436">
        <f>'Revenue Build'!CO41</f>
        <v>61138.457000000002</v>
      </c>
      <c r="CL7" s="1436">
        <f>'Revenue Build'!CT41</f>
        <v>119577.147</v>
      </c>
      <c r="CM7" s="1436">
        <f>'Revenue Build'!CY41</f>
        <v>175361.81400000001</v>
      </c>
      <c r="CN7" s="1436">
        <f>'Revenue Build'!DD41</f>
        <v>197250.171</v>
      </c>
      <c r="CO7" s="1436">
        <f>'Revenue Build'!DI41</f>
        <v>235925</v>
      </c>
      <c r="CP7" s="1436">
        <f>'Revenue Build'!DN41</f>
        <v>290594.375</v>
      </c>
      <c r="CQ7" s="1436">
        <f>'Revenue Build'!DS41</f>
        <v>347260.16816817026</v>
      </c>
      <c r="CR7" s="1436">
        <f>'Revenue Build'!DX41</f>
        <v>407857.06751351594</v>
      </c>
      <c r="CS7" s="1436">
        <f>'Revenue Build'!EC41</f>
        <v>475153.48365324613</v>
      </c>
      <c r="CT7" s="1437">
        <f>+(CS7/CP7)^(1/3)-1</f>
        <v>0.17810022268728809</v>
      </c>
    </row>
    <row r="8" spans="1:100" s="1110" customFormat="1">
      <c r="A8" s="1404"/>
      <c r="E8" s="1404" t="s">
        <v>563</v>
      </c>
      <c r="F8" s="1450"/>
      <c r="G8" s="1450"/>
      <c r="H8" s="1450"/>
      <c r="I8" s="1450"/>
      <c r="J8" s="1482">
        <f t="shared" ref="J8:BA8" si="19">J7/F7-1</f>
        <v>0.81616258097066363</v>
      </c>
      <c r="K8" s="1482">
        <f t="shared" si="19"/>
        <v>0.74231376193713761</v>
      </c>
      <c r="L8" s="1482">
        <f t="shared" si="19"/>
        <v>0.68774034796178096</v>
      </c>
      <c r="M8" s="1482">
        <f t="shared" si="19"/>
        <v>0.65981407361222622</v>
      </c>
      <c r="N8" s="1482">
        <f t="shared" si="19"/>
        <v>0.63885727239473034</v>
      </c>
      <c r="O8" s="1482">
        <f t="shared" si="19"/>
        <v>0.55742905626912131</v>
      </c>
      <c r="P8" s="1482">
        <f t="shared" si="19"/>
        <v>0.55415385093843805</v>
      </c>
      <c r="Q8" s="1482">
        <f t="shared" si="19"/>
        <v>0.52879632588843561</v>
      </c>
      <c r="R8" s="1482">
        <f t="shared" si="19"/>
        <v>0.49813616765286395</v>
      </c>
      <c r="S8" s="1482">
        <f t="shared" si="19"/>
        <v>0.50752399476380372</v>
      </c>
      <c r="T8" s="1482">
        <f t="shared" si="19"/>
        <v>0.48291058538764098</v>
      </c>
      <c r="U8" s="1482">
        <f t="shared" si="19"/>
        <v>0.47150523741599781</v>
      </c>
      <c r="V8" s="1482">
        <f t="shared" si="19"/>
        <v>0.46176820107998906</v>
      </c>
      <c r="W8" s="1482">
        <f t="shared" si="19"/>
        <v>1.1859598996383656</v>
      </c>
      <c r="X8" s="1482">
        <f t="shared" si="19"/>
        <v>1.0860215597887066</v>
      </c>
      <c r="Y8" s="1482">
        <f t="shared" si="19"/>
        <v>0.99401987055994345</v>
      </c>
      <c r="Z8" s="1482">
        <f t="shared" si="19"/>
        <v>1.1444929995845019</v>
      </c>
      <c r="AA8" s="1482">
        <f t="shared" si="19"/>
        <v>0.40151861459311067</v>
      </c>
      <c r="AB8" s="1482">
        <f t="shared" si="19"/>
        <v>0.35086805367440843</v>
      </c>
      <c r="AC8" s="1482">
        <f t="shared" si="19"/>
        <v>0.31398915790298143</v>
      </c>
      <c r="AD8" s="1482">
        <f t="shared" si="19"/>
        <v>0.15672166080995353</v>
      </c>
      <c r="AE8" s="1482">
        <f t="shared" si="19"/>
        <v>0.11036918571877075</v>
      </c>
      <c r="AF8" s="1482">
        <f t="shared" si="19"/>
        <v>0.10618947249056432</v>
      </c>
      <c r="AG8" s="1482">
        <f t="shared" si="19"/>
        <v>0.12844768516531557</v>
      </c>
      <c r="AH8" s="1482">
        <f t="shared" si="19"/>
        <v>0.14814942386973029</v>
      </c>
      <c r="AI8" s="1482">
        <f t="shared" si="19"/>
        <v>0.17395395739772312</v>
      </c>
      <c r="AJ8" s="1482">
        <f t="shared" si="19"/>
        <v>0.21645021645021645</v>
      </c>
      <c r="AK8" s="1482">
        <f t="shared" si="19"/>
        <v>0.23155737704918034</v>
      </c>
      <c r="AL8" s="1482">
        <f t="shared" si="19"/>
        <v>0.22691532258064506</v>
      </c>
      <c r="AM8" s="1482">
        <f t="shared" si="19"/>
        <v>0.22263636363636374</v>
      </c>
      <c r="AN8" s="1482">
        <f t="shared" si="19"/>
        <v>0.24048042704626327</v>
      </c>
      <c r="AO8" s="1482">
        <f t="shared" si="19"/>
        <v>0.23499999999999988</v>
      </c>
      <c r="AP8" s="1482">
        <f t="shared" si="19"/>
        <v>0.22999999999999998</v>
      </c>
      <c r="AQ8" s="1482">
        <f t="shared" si="19"/>
        <v>0.18966364782403611</v>
      </c>
      <c r="AR8" s="1482">
        <f t="shared" si="19"/>
        <v>0.17865776355162111</v>
      </c>
      <c r="AS8" s="1482">
        <f t="shared" si="19"/>
        <v>0.1881892951342008</v>
      </c>
      <c r="AT8" s="1482">
        <f t="shared" si="19"/>
        <v>0.1745000000000001</v>
      </c>
      <c r="AU8" s="1482">
        <f t="shared" si="19"/>
        <v>0.1745000000000001</v>
      </c>
      <c r="AV8" s="1482">
        <f t="shared" si="19"/>
        <v>0.1745000000000001</v>
      </c>
      <c r="AW8" s="1482">
        <f t="shared" si="19"/>
        <v>0.1745000000000001</v>
      </c>
      <c r="AX8" s="1482">
        <f t="shared" si="19"/>
        <v>0.16500000000000004</v>
      </c>
      <c r="AY8" s="1482">
        <f t="shared" si="19"/>
        <v>0.16500000000000004</v>
      </c>
      <c r="AZ8" s="1482">
        <f t="shared" si="19"/>
        <v>0.16500000000000004</v>
      </c>
      <c r="BA8" s="1482">
        <f t="shared" si="19"/>
        <v>0.16500000000000004</v>
      </c>
      <c r="CG8" s="1404" t="s">
        <v>563</v>
      </c>
      <c r="CH8" s="1436"/>
      <c r="CI8" s="1437">
        <f>CI7/CH7-1</f>
        <v>0.71197253886812484</v>
      </c>
      <c r="CJ8" s="1437">
        <f t="shared" ref="CJ8:CS8" si="20">CJ7/CI7-1</f>
        <v>0.56166427622942861</v>
      </c>
      <c r="CK8" s="1437">
        <f t="shared" si="20"/>
        <v>0.48743651290927503</v>
      </c>
      <c r="CL8" s="1437">
        <f t="shared" si="20"/>
        <v>0.9558417543969091</v>
      </c>
      <c r="CM8" s="1437">
        <f t="shared" si="20"/>
        <v>0.4665161228507988</v>
      </c>
      <c r="CN8" s="1437">
        <f t="shared" si="20"/>
        <v>0.12481826288589826</v>
      </c>
      <c r="CO8" s="1437">
        <f t="shared" si="20"/>
        <v>0.19606993902175129</v>
      </c>
      <c r="CP8" s="1437">
        <f t="shared" si="20"/>
        <v>0.23172353502172305</v>
      </c>
      <c r="CQ8" s="1437">
        <f t="shared" si="20"/>
        <v>0.19499962161404616</v>
      </c>
      <c r="CR8" s="1437">
        <f t="shared" si="20"/>
        <v>0.17449999999999988</v>
      </c>
      <c r="CS8" s="1437">
        <f t="shared" si="20"/>
        <v>0.16500000000000026</v>
      </c>
    </row>
    <row r="9" spans="1:100" s="1110" customFormat="1">
      <c r="E9" s="1110" t="s">
        <v>662</v>
      </c>
      <c r="F9" s="1437">
        <f t="shared" ref="F9:BA9" si="21">F5/F7</f>
        <v>2.7218344479996829E-2</v>
      </c>
      <c r="G9" s="1437">
        <f t="shared" si="21"/>
        <v>2.5736485501079837E-2</v>
      </c>
      <c r="H9" s="1437">
        <f t="shared" si="21"/>
        <v>2.6133481840696984E-2</v>
      </c>
      <c r="I9" s="1437">
        <f t="shared" si="21"/>
        <v>2.3597430368097329E-2</v>
      </c>
      <c r="J9" s="1437">
        <f t="shared" si="21"/>
        <v>2.6250586047182594E-2</v>
      </c>
      <c r="K9" s="1437">
        <f t="shared" si="21"/>
        <v>2.5853900699063702E-2</v>
      </c>
      <c r="L9" s="1437">
        <f t="shared" si="21"/>
        <v>2.6661276026683674E-2</v>
      </c>
      <c r="M9" s="1437">
        <f t="shared" si="21"/>
        <v>2.4295552306902023E-2</v>
      </c>
      <c r="N9" s="1437">
        <f t="shared" si="21"/>
        <v>2.6952761117605278E-2</v>
      </c>
      <c r="O9" s="1437">
        <f t="shared" si="21"/>
        <v>2.6813997356944601E-2</v>
      </c>
      <c r="P9" s="1437">
        <f t="shared" si="21"/>
        <v>2.702096970686594E-2</v>
      </c>
      <c r="Q9" s="1437">
        <f t="shared" si="21"/>
        <v>2.452555565009926E-2</v>
      </c>
      <c r="R9" s="1437">
        <f t="shared" si="21"/>
        <v>2.6900006765249049E-2</v>
      </c>
      <c r="S9" s="1437">
        <f t="shared" si="21"/>
        <v>2.6283319398251331E-2</v>
      </c>
      <c r="T9" s="1437">
        <f t="shared" si="21"/>
        <v>2.6351062774650481E-2</v>
      </c>
      <c r="U9" s="1437">
        <f t="shared" si="21"/>
        <v>2.4485096110642621E-2</v>
      </c>
      <c r="V9" s="1437">
        <f t="shared" si="21"/>
        <v>2.6987895437861016E-2</v>
      </c>
      <c r="W9" s="1437">
        <f t="shared" si="21"/>
        <v>2.3727950266572855E-2</v>
      </c>
      <c r="X9" s="1437">
        <f t="shared" si="21"/>
        <v>2.4821333010750828E-2</v>
      </c>
      <c r="Y9" s="1437">
        <f t="shared" si="21"/>
        <v>2.3766680957957594E-2</v>
      </c>
      <c r="Z9" s="1437">
        <f t="shared" si="21"/>
        <v>2.6472006260441633E-2</v>
      </c>
      <c r="AA9" s="1437">
        <f t="shared" si="21"/>
        <v>2.653130037891497E-2</v>
      </c>
      <c r="AB9" s="1437">
        <f t="shared" si="21"/>
        <v>2.6906263156202308E-2</v>
      </c>
      <c r="AC9" s="1437">
        <f t="shared" si="21"/>
        <v>2.5529260463484908E-2</v>
      </c>
      <c r="AD9" s="1437">
        <f t="shared" si="21"/>
        <v>2.7861674475934607E-2</v>
      </c>
      <c r="AE9" s="1437">
        <f t="shared" si="21"/>
        <v>2.7642624253261232E-2</v>
      </c>
      <c r="AF9" s="1437">
        <f t="shared" si="21"/>
        <v>2.9571428571428571E-2</v>
      </c>
      <c r="AG9" s="1437">
        <f t="shared" si="21"/>
        <v>2.8442262295081969E-2</v>
      </c>
      <c r="AH9" s="1437">
        <f t="shared" si="21"/>
        <v>3.0403225806451613E-2</v>
      </c>
      <c r="AI9" s="1437">
        <f t="shared" si="21"/>
        <v>3.0800000000000001E-2</v>
      </c>
      <c r="AJ9" s="1437">
        <f t="shared" si="21"/>
        <v>3.0498220640569396E-2</v>
      </c>
      <c r="AK9" s="1437">
        <f t="shared" si="21"/>
        <v>2.853910149750416E-2</v>
      </c>
      <c r="AL9" s="1437">
        <f t="shared" si="21"/>
        <v>3.0580888998438912E-2</v>
      </c>
      <c r="AM9" s="1437">
        <f t="shared" si="21"/>
        <v>3.0411182987582719E-2</v>
      </c>
      <c r="AN9" s="1437">
        <f t="shared" si="21"/>
        <v>3.1011977336297784E-2</v>
      </c>
      <c r="AO9" s="1437">
        <f t="shared" si="21"/>
        <v>2.9139980665974216E-2</v>
      </c>
      <c r="AP9" s="1437">
        <f t="shared" si="21"/>
        <v>3.1246918728004409E-2</v>
      </c>
      <c r="AQ9" s="1437">
        <f t="shared" si="21"/>
        <v>3.1350773302567782E-2</v>
      </c>
      <c r="AR9" s="1437">
        <f t="shared" si="21"/>
        <v>3.2029957568489469E-2</v>
      </c>
      <c r="AS9" s="1437">
        <f t="shared" si="21"/>
        <v>3.0097562416752807E-2</v>
      </c>
      <c r="AT9" s="1437">
        <f t="shared" si="21"/>
        <v>3.1840534223438077E-2</v>
      </c>
      <c r="AU9" s="1437">
        <f t="shared" si="21"/>
        <v>3.1941104510703103E-2</v>
      </c>
      <c r="AV9" s="1437">
        <f t="shared" si="21"/>
        <v>3.2614273185220324E-2</v>
      </c>
      <c r="AW9" s="1437">
        <f t="shared" si="21"/>
        <v>3.0704586086216356E-2</v>
      </c>
      <c r="AX9" s="1437">
        <f t="shared" si="21"/>
        <v>3.2224192268780462E-2</v>
      </c>
      <c r="AY9" s="1437">
        <f t="shared" si="21"/>
        <v>3.2321170863763758E-2</v>
      </c>
      <c r="AZ9" s="1437">
        <f t="shared" si="21"/>
        <v>3.2987760895411222E-2</v>
      </c>
      <c r="BA9" s="1437">
        <f t="shared" si="21"/>
        <v>3.1102907293091377E-2</v>
      </c>
      <c r="CG9" s="1110" t="s">
        <v>662</v>
      </c>
      <c r="CH9" s="1437">
        <f>CH5/CH7</f>
        <v>2.532365007636837E-2</v>
      </c>
      <c r="CI9" s="1437">
        <f t="shared" ref="CI9:CS9" si="22">CI5/CI7</f>
        <v>2.5581313176406668E-2</v>
      </c>
      <c r="CJ9" s="1437">
        <f t="shared" si="22"/>
        <v>2.611057065625827E-2</v>
      </c>
      <c r="CK9" s="1437">
        <f t="shared" si="22"/>
        <v>2.5813098292618016E-2</v>
      </c>
      <c r="CL9" s="1437">
        <f t="shared" si="22"/>
        <v>2.4498753093682692E-2</v>
      </c>
      <c r="CM9" s="1437">
        <f t="shared" si="22"/>
        <v>2.629908926466739E-2</v>
      </c>
      <c r="CN9" s="1437">
        <f t="shared" si="22"/>
        <v>2.8389653461948078E-2</v>
      </c>
      <c r="CO9" s="1437">
        <f t="shared" si="22"/>
        <v>2.9924764225919255E-2</v>
      </c>
      <c r="CP9" s="1437">
        <f t="shared" si="22"/>
        <v>3.0184993063617185E-2</v>
      </c>
      <c r="CQ9" s="1437">
        <f t="shared" si="22"/>
        <v>3.1091260898388911E-2</v>
      </c>
      <c r="CR9" s="1437">
        <f t="shared" si="22"/>
        <v>3.168617570260477E-2</v>
      </c>
      <c r="CS9" s="1437">
        <f t="shared" si="22"/>
        <v>3.2071254670327148E-2</v>
      </c>
      <c r="CV9" s="6"/>
    </row>
    <row r="10" spans="1:100">
      <c r="E10" s="1451"/>
      <c r="BB10" s="1110"/>
      <c r="BC10" s="1110"/>
      <c r="BD10" s="1110"/>
      <c r="BE10" s="1110"/>
      <c r="BF10" s="1110"/>
      <c r="BG10" s="1110"/>
      <c r="BH10" s="1110"/>
      <c r="BI10" s="1110"/>
      <c r="BJ10" s="1110"/>
      <c r="BK10" s="1110"/>
      <c r="BL10" s="1110"/>
      <c r="BM10" s="1110"/>
      <c r="BN10" s="1110"/>
      <c r="BO10" s="1110"/>
      <c r="BP10" s="1110"/>
      <c r="BQ10" s="1110"/>
      <c r="BR10" s="1110"/>
      <c r="BS10" s="1110"/>
      <c r="BT10" s="1110"/>
      <c r="BU10" s="1110"/>
      <c r="BV10" s="1110"/>
      <c r="BW10" s="1110"/>
      <c r="BX10" s="1110"/>
      <c r="BY10" s="1110"/>
      <c r="BZ10" s="1110"/>
      <c r="CA10" s="1110"/>
      <c r="CB10" s="1110"/>
      <c r="CC10" s="1110"/>
      <c r="CD10" s="1110"/>
      <c r="CE10" s="1110"/>
      <c r="CF10" s="1110"/>
      <c r="CG10" s="1110"/>
    </row>
    <row r="11" spans="1:100">
      <c r="E11" s="1298" t="str">
        <f>Income!$C$9</f>
        <v>Merchant Solutions revenue</v>
      </c>
      <c r="F11" s="1299">
        <f>Income!BV9</f>
        <v>34.015999999999998</v>
      </c>
      <c r="G11" s="1299">
        <f>Income!BW9</f>
        <v>42.972999999999999</v>
      </c>
      <c r="H11" s="1299">
        <f>Income!BX9</f>
        <v>49.738999999999997</v>
      </c>
      <c r="I11" s="1299">
        <f>Income!BY9</f>
        <v>73.995999999999995</v>
      </c>
      <c r="J11" s="1299">
        <f>Income!CA9</f>
        <v>65.299000000000007</v>
      </c>
      <c r="K11" s="1299">
        <f>Income!CB9</f>
        <v>80.057000000000002</v>
      </c>
      <c r="L11" s="1299">
        <f>Income!CC9</f>
        <v>89.021000000000001</v>
      </c>
      <c r="M11" s="1299">
        <f>Income!CD9</f>
        <v>128.89599999999999</v>
      </c>
      <c r="N11" s="1299">
        <f>Income!CF9</f>
        <v>114.142</v>
      </c>
      <c r="O11" s="1299">
        <f>Income!CG9</f>
        <v>134.24199999999999</v>
      </c>
      <c r="P11" s="1299">
        <f>Income!CH9</f>
        <v>149.547</v>
      </c>
      <c r="Q11" s="1299">
        <f>Income!CI9</f>
        <v>210.30199999999999</v>
      </c>
      <c r="R11" s="1299">
        <f>Income!CK9</f>
        <v>180.03100000000001</v>
      </c>
      <c r="S11" s="1299">
        <f>Income!CL9</f>
        <v>208.93199999999999</v>
      </c>
      <c r="T11" s="1299">
        <f>Income!CM9</f>
        <v>224.97499999999999</v>
      </c>
      <c r="U11" s="1299">
        <f>Income!CN9</f>
        <v>321.99400000000003</v>
      </c>
      <c r="V11" s="1299">
        <f>Income!CP9</f>
        <v>282.392</v>
      </c>
      <c r="W11" s="1299">
        <f>Income!CQ9</f>
        <v>517.90700000000004</v>
      </c>
      <c r="X11" s="1299">
        <f>Income!CR9</f>
        <v>522.13099999999997</v>
      </c>
      <c r="Y11" s="1299">
        <f>Income!CS9</f>
        <v>698.30399999999997</v>
      </c>
      <c r="Z11" s="1299">
        <f>Income!CU9</f>
        <v>667.96600000000001</v>
      </c>
      <c r="AA11" s="1299">
        <f>Income!CV9</f>
        <v>785.20799999999997</v>
      </c>
      <c r="AB11" s="1299">
        <f>Income!CW9</f>
        <v>787.53200000000004</v>
      </c>
      <c r="AC11" s="1299">
        <f>Income!CX9</f>
        <v>1028.816</v>
      </c>
      <c r="AD11" s="1299">
        <f>Income!CZ9</f>
        <v>858.86199999999997</v>
      </c>
      <c r="AE11" s="1299">
        <f>Income!DA9</f>
        <v>928.62</v>
      </c>
      <c r="AF11" s="1299">
        <f>Income!DB9</f>
        <v>989.899</v>
      </c>
      <c r="AG11" s="1299">
        <f>Income!DC9</f>
        <v>1334.7239999999999</v>
      </c>
      <c r="AH11" s="1299">
        <f>Income!DE9</f>
        <v>1126</v>
      </c>
      <c r="AI11" s="1299">
        <f>Income!DF9</f>
        <v>1250</v>
      </c>
      <c r="AJ11" s="1299">
        <f>Income!DG9</f>
        <v>1228</v>
      </c>
      <c r="AK11" s="1299">
        <f>Income!DH9</f>
        <v>1619</v>
      </c>
      <c r="AL11" s="1299">
        <f>Income!DJ9</f>
        <v>1350</v>
      </c>
      <c r="AM11" s="1299">
        <f>Income!DK9</f>
        <v>1482</v>
      </c>
      <c r="AN11" s="1299">
        <f>Income!DL9</f>
        <v>1552</v>
      </c>
      <c r="AO11" s="1299">
        <f>Income!DM9</f>
        <v>2045.8546874999995</v>
      </c>
      <c r="AP11" s="1299">
        <f>Income!DO9</f>
        <v>1735.3516499999998</v>
      </c>
      <c r="AQ11" s="1299">
        <f>Income!DP9</f>
        <v>1843.080458073149</v>
      </c>
      <c r="AR11" s="1299">
        <f>Income!DQ9</f>
        <v>1911.4469750181172</v>
      </c>
      <c r="AS11" s="1299">
        <f>Income!DR9</f>
        <v>2541.1020992718668</v>
      </c>
      <c r="AT11" s="1299">
        <f>Income!DT9</f>
        <v>2099.7097969725</v>
      </c>
      <c r="AU11" s="1299">
        <f>Income!DU9</f>
        <v>2230.4691199490094</v>
      </c>
      <c r="AV11" s="1299">
        <f>Income!DV9</f>
        <v>2312.5506412381696</v>
      </c>
      <c r="AW11" s="1299">
        <f>Income!DW9</f>
        <v>3075.1577877852824</v>
      </c>
      <c r="AX11" s="1299">
        <f>Income!DY9</f>
        <v>2497.3713891267748</v>
      </c>
      <c r="AY11" s="1299">
        <f>Income!DZ9</f>
        <v>2653.2274940709831</v>
      </c>
      <c r="AZ11" s="1299">
        <f>Income!EA9</f>
        <v>2750.3378805978182</v>
      </c>
      <c r="BA11" s="1299">
        <f>Income!EB9</f>
        <v>3657.9787360569271</v>
      </c>
      <c r="BB11" s="1160"/>
      <c r="BC11" s="1160"/>
      <c r="BD11" s="1160"/>
      <c r="BE11" s="1160"/>
      <c r="BF11" s="1160"/>
      <c r="BG11" s="1160"/>
      <c r="BH11" s="1160"/>
      <c r="BI11" s="1160"/>
      <c r="BJ11" s="1160"/>
      <c r="BK11" s="1160"/>
      <c r="BL11" s="1160"/>
      <c r="BM11" s="1160"/>
      <c r="BN11" s="1160"/>
      <c r="BO11" s="1160"/>
      <c r="BP11" s="1160"/>
      <c r="BQ11" s="1160"/>
      <c r="BR11" s="1160"/>
      <c r="BS11" s="1160"/>
      <c r="BT11" s="1160"/>
      <c r="BU11" s="1160"/>
      <c r="BV11" s="1160"/>
      <c r="BW11" s="1160"/>
      <c r="BX11" s="1160"/>
      <c r="BY11" s="1160"/>
      <c r="BZ11" s="1160"/>
      <c r="CA11" s="1160"/>
      <c r="CB11" s="1160"/>
      <c r="CC11" s="1160"/>
      <c r="CD11" s="1160"/>
      <c r="CE11" s="1160"/>
      <c r="CF11" s="1160"/>
      <c r="CG11" s="1160"/>
      <c r="CH11" s="1297">
        <f>Income!BZ9</f>
        <v>200.72399999999999</v>
      </c>
      <c r="CI11" s="1297">
        <f>Income!CE9</f>
        <v>363.27300000000002</v>
      </c>
      <c r="CJ11" s="1297">
        <f>Income!CJ9</f>
        <v>608.23299999999995</v>
      </c>
      <c r="CK11" s="1297">
        <f>Income!CO9</f>
        <v>935.93200000000002</v>
      </c>
      <c r="CL11" s="1297">
        <f>Income!CT9</f>
        <v>2020.7339999999999</v>
      </c>
      <c r="CM11" s="1297">
        <f>Income!CY9</f>
        <v>3269.5219999999999</v>
      </c>
      <c r="CN11" s="1297">
        <f>Income!DD9</f>
        <v>4112.1049999999996</v>
      </c>
      <c r="CO11" s="1297">
        <f>Income!DI9</f>
        <v>5223</v>
      </c>
      <c r="CP11" s="1297">
        <f>Income!DN9</f>
        <v>6429.8546874999993</v>
      </c>
      <c r="CQ11" s="1297">
        <f>Income!DS9</f>
        <v>8030.9811823631326</v>
      </c>
      <c r="CR11" s="1297">
        <f>Income!DX9</f>
        <v>9717.8873459449605</v>
      </c>
      <c r="CS11" s="1297">
        <f>Income!EC9</f>
        <v>11558.915499852503</v>
      </c>
    </row>
    <row r="12" spans="1:100">
      <c r="E12" s="1298"/>
      <c r="F12" s="1299"/>
      <c r="G12" s="1299"/>
      <c r="H12" s="1299"/>
      <c r="I12" s="1299"/>
      <c r="J12" s="1299"/>
      <c r="K12" s="1299"/>
      <c r="L12" s="1299"/>
      <c r="M12" s="1299"/>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1299"/>
      <c r="AV12" s="1299"/>
      <c r="AW12" s="1299"/>
      <c r="AX12" s="1299"/>
      <c r="AY12" s="1299"/>
      <c r="AZ12" s="1299"/>
      <c r="BA12" s="1299"/>
      <c r="BB12" s="1160"/>
      <c r="BC12" s="1160"/>
      <c r="BD12" s="1160"/>
      <c r="BE12" s="1160"/>
      <c r="BF12" s="1160"/>
      <c r="BG12" s="1160"/>
      <c r="BH12" s="1160"/>
      <c r="BI12" s="1160"/>
      <c r="BJ12" s="1160"/>
      <c r="BK12" s="1160"/>
      <c r="BL12" s="1160"/>
      <c r="BM12" s="1160"/>
      <c r="BN12" s="1160"/>
      <c r="BO12" s="1160"/>
      <c r="BP12" s="1160"/>
      <c r="BQ12" s="1160"/>
      <c r="BR12" s="1160"/>
      <c r="BS12" s="1160"/>
      <c r="BT12" s="1160"/>
      <c r="BU12" s="1160"/>
      <c r="BV12" s="1160"/>
      <c r="BW12" s="1160"/>
      <c r="BX12" s="1160"/>
      <c r="BY12" s="1160"/>
      <c r="BZ12" s="1160"/>
      <c r="CA12" s="1160"/>
      <c r="CB12" s="1160"/>
      <c r="CC12" s="1160"/>
      <c r="CD12" s="1160"/>
      <c r="CE12" s="1160"/>
      <c r="CF12" s="1160"/>
      <c r="CG12" s="1160"/>
      <c r="CH12" s="1297"/>
      <c r="CI12" s="1297"/>
      <c r="CJ12" s="1297"/>
      <c r="CK12" s="1297"/>
      <c r="CL12" s="1297"/>
      <c r="CM12" s="1297"/>
      <c r="CN12" s="1297"/>
      <c r="CO12" s="1297"/>
      <c r="CP12" s="1297"/>
      <c r="CQ12" s="1297"/>
      <c r="CR12" s="1297"/>
      <c r="CS12" s="1297"/>
    </row>
    <row r="13" spans="1:100">
      <c r="E13" s="1298"/>
      <c r="F13" s="1299"/>
      <c r="G13" s="1299"/>
      <c r="H13" s="1299"/>
      <c r="I13" s="1299"/>
      <c r="J13" s="1299"/>
      <c r="K13" s="1299"/>
      <c r="L13" s="1299"/>
      <c r="M13" s="1299"/>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299"/>
      <c r="AL13" s="1299"/>
      <c r="AM13" s="1299"/>
      <c r="AN13" s="1299"/>
      <c r="AO13" s="1299"/>
      <c r="AP13" s="1299"/>
      <c r="AQ13" s="1299"/>
      <c r="AR13" s="1299"/>
      <c r="AS13" s="1299"/>
      <c r="AT13" s="1299"/>
      <c r="AU13" s="1299"/>
      <c r="AV13" s="1299"/>
      <c r="AW13" s="1299"/>
      <c r="AX13" s="1299"/>
      <c r="AY13" s="1299"/>
      <c r="AZ13" s="1299"/>
      <c r="BA13" s="1299"/>
      <c r="BB13" s="1160"/>
      <c r="BC13" s="1160"/>
      <c r="BD13" s="1160"/>
      <c r="BE13" s="1160"/>
      <c r="BF13" s="1160"/>
      <c r="BG13" s="1160"/>
      <c r="BH13" s="1160"/>
      <c r="BI13" s="1160"/>
      <c r="BJ13" s="1160"/>
      <c r="BK13" s="1160"/>
      <c r="BL13" s="1160"/>
      <c r="BM13" s="1160"/>
      <c r="BN13" s="1160"/>
      <c r="BO13" s="1160"/>
      <c r="BP13" s="1160"/>
      <c r="BQ13" s="1160"/>
      <c r="BR13" s="1160"/>
      <c r="BS13" s="1160"/>
      <c r="BT13" s="1160"/>
      <c r="BU13" s="1160"/>
      <c r="BV13" s="1160"/>
      <c r="BW13" s="1160"/>
      <c r="BX13" s="1160"/>
      <c r="BY13" s="1160"/>
      <c r="BZ13" s="1160"/>
      <c r="CA13" s="1160"/>
      <c r="CB13" s="1160"/>
      <c r="CC13" s="1160"/>
      <c r="CD13" s="1160"/>
      <c r="CE13" s="1160"/>
      <c r="CF13" s="1160"/>
      <c r="CG13" s="1160"/>
      <c r="CH13" s="1297"/>
      <c r="CI13" s="1285" t="str">
        <f>CI4</f>
        <v>2017A</v>
      </c>
      <c r="CJ13" s="1285" t="str">
        <f t="shared" ref="CJ13:CS13" si="23">CJ4</f>
        <v>2018A</v>
      </c>
      <c r="CK13" s="1285" t="str">
        <f t="shared" si="23"/>
        <v>2019A</v>
      </c>
      <c r="CL13" s="1285" t="str">
        <f t="shared" si="23"/>
        <v>2020A</v>
      </c>
      <c r="CM13" s="1285" t="str">
        <f t="shared" si="23"/>
        <v>2021A</v>
      </c>
      <c r="CN13" s="1285" t="str">
        <f t="shared" si="23"/>
        <v>2022A</v>
      </c>
      <c r="CO13" s="1285" t="str">
        <f t="shared" si="23"/>
        <v>2023A</v>
      </c>
      <c r="CP13" s="1285" t="str">
        <f t="shared" si="23"/>
        <v>2024E</v>
      </c>
      <c r="CQ13" s="1285" t="str">
        <f t="shared" si="23"/>
        <v>2025E</v>
      </c>
      <c r="CR13" s="1285" t="str">
        <f t="shared" si="23"/>
        <v>2026E</v>
      </c>
      <c r="CS13" s="1285" t="str">
        <f t="shared" si="23"/>
        <v>2027E</v>
      </c>
    </row>
    <row r="14" spans="1:100">
      <c r="E14" s="1438" t="s">
        <v>641</v>
      </c>
      <c r="F14" s="1283"/>
      <c r="G14" s="1283"/>
      <c r="H14" s="1283"/>
      <c r="I14" s="1283"/>
      <c r="J14" s="1303">
        <f ca="1">OFFSET('Revenue Build'!$C$6,MATCH(Charts!$E14,'Revenue Build'!$C$6:$C$290,0)-1,MATCH(Charts!J$3,'Revenue Build'!$C$5:$EE$5,0)-1)</f>
        <v>2.1199050208931505E-2</v>
      </c>
      <c r="K14" s="1303">
        <f ca="1">OFFSET('Revenue Build'!$C$6,MATCH(Charts!$E14,'Revenue Build'!$C$6:$C$290,0)-1,MATCH(Charts!K$3,'Revenue Build'!$C$5:$EE$5,0)-1)</f>
        <v>2.0150950075725378E-2</v>
      </c>
      <c r="L14" s="1303">
        <f ca="1">OFFSET('Revenue Build'!$C$6,MATCH(Charts!$E14,'Revenue Build'!$C$6:$C$290,0)-1,MATCH(Charts!L$3,'Revenue Build'!$C$5:$EE$5,0)-1)</f>
        <v>2.1331112316480001E-2</v>
      </c>
      <c r="M14" s="1303">
        <f ca="1">OFFSET('Revenue Build'!$C$6,MATCH(Charts!$E14,'Revenue Build'!$C$6:$C$290,0)-1,MATCH(Charts!M$3,'Revenue Build'!$C$5:$EE$5,0)-1)</f>
        <v>2.0901965556729237E-2</v>
      </c>
      <c r="N14" s="1303">
        <f ca="1">OFFSET('Revenue Build'!$C$6,MATCH(Charts!$E14,'Revenue Build'!$C$6:$C$290,0)-1,MATCH(Charts!N$3,'Revenue Build'!$C$5:$EE$5,0)-1)</f>
        <v>2.2400172051369856E-2</v>
      </c>
      <c r="O14" s="1303">
        <f ca="1">OFFSET('Revenue Build'!$C$6,MATCH(Charts!$E14,'Revenue Build'!$C$6:$C$290,0)-1,MATCH(Charts!O$3,'Revenue Build'!$C$5:$EE$5,0)-1)</f>
        <v>2.0179778379104479E-2</v>
      </c>
      <c r="P14" s="1303">
        <f ca="1">OFFSET('Revenue Build'!$C$6,MATCH(Charts!$E14,'Revenue Build'!$C$6:$C$290,0)-1,MATCH(Charts!P$3,'Revenue Build'!$C$5:$EE$5,0)-1)</f>
        <v>2.0775069239999999E-2</v>
      </c>
      <c r="Q14" s="1303">
        <f ca="1">OFFSET('Revenue Build'!$C$6,MATCH(Charts!$E14,'Revenue Build'!$C$6:$C$290,0)-1,MATCH(Charts!Q$3,'Revenue Build'!$C$5:$EE$5,0)-1)</f>
        <v>2.0786205637696335E-2</v>
      </c>
      <c r="R14" s="1303">
        <f ca="1">OFFSET('Revenue Build'!$C$6,MATCH(Charts!$E14,'Revenue Build'!$C$6:$C$290,0)-1,MATCH(Charts!R$3,'Revenue Build'!$C$5:$EE$5,0)-1)</f>
        <v>2.1226394753424655E-2</v>
      </c>
      <c r="S14" s="1303">
        <f ca="1">OFFSET('Revenue Build'!$C$6,MATCH(Charts!$E14,'Revenue Build'!$C$6:$C$290,0)-1,MATCH(Charts!S$3,'Revenue Build'!$C$5:$EE$5,0)-1)</f>
        <v>2.0618781850746268E-2</v>
      </c>
      <c r="T14" s="1303">
        <f ca="1">OFFSET('Revenue Build'!$C$6,MATCH(Charts!$E14,'Revenue Build'!$C$6:$C$290,0)-1,MATCH(Charts!T$3,'Revenue Build'!$C$5:$EE$5,0)-1)</f>
        <v>2.0517720000000003E-2</v>
      </c>
      <c r="U14" s="1303">
        <f ca="1">OFFSET('Revenue Build'!$C$6,MATCH(Charts!$E14,'Revenue Build'!$C$6:$C$290,0)-1,MATCH(Charts!U$3,'Revenue Build'!$C$5:$EE$5,0)-1)</f>
        <v>2.0755969256544504E-2</v>
      </c>
      <c r="V14" s="1303">
        <f ca="1">OFFSET('Revenue Build'!$C$6,MATCH(Charts!$E14,'Revenue Build'!$C$6:$C$290,0)-1,MATCH(Charts!V$3,'Revenue Build'!$C$5:$EE$5,0)-1)</f>
        <v>2.1856367123287666E-2</v>
      </c>
      <c r="W14" s="1303">
        <f ca="1">OFFSET('Revenue Build'!$C$6,MATCH(Charts!$E14,'Revenue Build'!$C$6:$C$290,0)-1,MATCH(Charts!W$3,'Revenue Build'!$C$5:$EE$5,0)-1)</f>
        <v>2.1837123507462686E-2</v>
      </c>
      <c r="X14" s="1303">
        <f ca="1">OFFSET('Revenue Build'!$C$6,MATCH(Charts!$E14,'Revenue Build'!$C$6:$C$290,0)-1,MATCH(Charts!X$3,'Revenue Build'!$C$5:$EE$5,0)-1)</f>
        <v>2.1071715357142855E-2</v>
      </c>
      <c r="Y14" s="1303">
        <f ca="1">OFFSET('Revenue Build'!$C$6,MATCH(Charts!$E14,'Revenue Build'!$C$6:$C$290,0)-1,MATCH(Charts!Y$3,'Revenue Build'!$C$5:$EE$5,0)-1)</f>
        <v>2.0656636649214657E-2</v>
      </c>
      <c r="Z14" s="1303">
        <f ca="1">OFFSET('Revenue Build'!$C$6,MATCH(Charts!$E14,'Revenue Build'!$C$6:$C$290,0)-1,MATCH(Charts!Z$3,'Revenue Build'!$C$5:$EE$5,0)-1)</f>
        <v>2.1622020809248556E-2</v>
      </c>
      <c r="AA14" s="1303">
        <f ca="1">OFFSET('Revenue Build'!$C$6,MATCH(Charts!$E14,'Revenue Build'!$C$6:$C$290,0)-1,MATCH(Charts!AA$3,'Revenue Build'!$C$5:$EE$5,0)-1)</f>
        <v>2.1660910344827589E-2</v>
      </c>
      <c r="AB14" s="1303">
        <f ca="1">OFFSET('Revenue Build'!$C$6,MATCH(Charts!$E14,'Revenue Build'!$C$6:$C$290,0)-1,MATCH(Charts!AB$3,'Revenue Build'!$C$5:$EE$5,0)-1)</f>
        <v>2.1513069268292686E-2</v>
      </c>
      <c r="AC14" s="1303">
        <f ca="1">OFFSET('Revenue Build'!$C$6,MATCH(Charts!$E14,'Revenue Build'!$C$6:$C$290,0)-1,MATCH(Charts!AC$3,'Revenue Build'!$C$5:$EE$5,0)-1)</f>
        <v>2.0799168231046931E-2</v>
      </c>
      <c r="AD14" s="1303">
        <f ca="1">OFFSET('Revenue Build'!$C$6,MATCH(Charts!$E14,'Revenue Build'!$C$6:$C$290,0)-1,MATCH(Charts!AD$3,'Revenue Build'!$C$5:$EE$5,0)-1)</f>
        <v>2.1588667545454545E-2</v>
      </c>
      <c r="AE14" s="1303">
        <f ca="1">OFFSET('Revenue Build'!$C$6,MATCH(Charts!$E14,'Revenue Build'!$C$6:$C$290,0)-1,MATCH(Charts!AE$3,'Revenue Build'!$C$5:$EE$5,0)-1)</f>
        <v>2.0623568674698799E-2</v>
      </c>
      <c r="AF14" s="1303">
        <f ca="1">OFFSET('Revenue Build'!$C$6,MATCH(Charts!$E14,'Revenue Build'!$C$6:$C$290,0)-1,MATCH(Charts!AF$3,'Revenue Build'!$C$5:$EE$5,0)-1)</f>
        <v>2.1896565880000003E-2</v>
      </c>
      <c r="AG14" s="1303">
        <f ca="1">OFFSET('Revenue Build'!$C$6,MATCH(Charts!$E14,'Revenue Build'!$C$6:$C$290,0)-1,MATCH(Charts!AG$3,'Revenue Build'!$C$5:$EE$5,0)-1)</f>
        <v>2.1581940701754388E-2</v>
      </c>
      <c r="AH14" s="1303">
        <f ca="1">OFFSET('Revenue Build'!$C$6,MATCH(Charts!$E14,'Revenue Build'!$C$6:$C$290,0)-1,MATCH(Charts!AH$3,'Revenue Build'!$C$5:$EE$5,0)-1)</f>
        <v>2.3134181818181818E-2</v>
      </c>
      <c r="AI14" s="1303">
        <f ca="1">OFFSET('Revenue Build'!$C$6,MATCH(Charts!$E14,'Revenue Build'!$C$6:$C$290,0)-1,MATCH(Charts!AI$3,'Revenue Build'!$C$5:$EE$5,0)-1)</f>
        <v>2.2279179810725549E-2</v>
      </c>
      <c r="AJ14" s="1303">
        <f ca="1">OFFSET('Revenue Build'!$C$6,MATCH(Charts!$E14,'Revenue Build'!$C$6:$C$290,0)-1,MATCH(Charts!AJ$3,'Revenue Build'!$C$5:$EE$5,0)-1)</f>
        <v>2.1153048780487804E-2</v>
      </c>
      <c r="AK14" s="1303">
        <f ca="1">OFFSET('Revenue Build'!$C$6,MATCH(Charts!$E14,'Revenue Build'!$C$6:$C$290,0)-1,MATCH(Charts!AK$3,'Revenue Build'!$C$5:$EE$5,0)-1)</f>
        <v>2.0294071970537335E-2</v>
      </c>
      <c r="AL14" s="1303">
        <f ca="1">OFFSET('Revenue Build'!$C$6,MATCH(Charts!$E14,'Revenue Build'!$C$6:$C$290,0)-1,MATCH(Charts!AL$3,'Revenue Build'!$C$5:$EE$5,0)-1)</f>
        <v>2.1053935095755833E-2</v>
      </c>
      <c r="AM14" s="1303">
        <f ca="1">OFFSET('Revenue Build'!$C$6,MATCH(Charts!$E14,'Revenue Build'!$C$6:$C$290,0)-1,MATCH(Charts!AM$3,'Revenue Build'!$C$5:$EE$5,0)-1)</f>
        <v>2.0236101449275359E-2</v>
      </c>
      <c r="AN14" s="1303">
        <f ca="1">OFFSET('Revenue Build'!$C$6,MATCH(Charts!$E14,'Revenue Build'!$C$6:$C$290,0)-1,MATCH(Charts!AN$3,'Revenue Build'!$C$5:$EE$5,0)-1)</f>
        <v>2.0456372960372959E-2</v>
      </c>
      <c r="AO14" s="1303">
        <f ca="1">OFFSET('Revenue Build'!$C$6,MATCH(Charts!$E14,'Revenue Build'!$C$6:$C$290,0)-1,MATCH(Charts!AO$3,'Revenue Build'!$C$5:$EE$5,0)-1)</f>
        <v>1.9556372960372957E-2</v>
      </c>
      <c r="AP14" s="1303">
        <f ca="1">OFFSET('Revenue Build'!$C$6,MATCH(Charts!$E14,'Revenue Build'!$C$6:$C$290,0)-1,MATCH(Charts!AP$3,'Revenue Build'!$C$5:$EE$5,0)-1)</f>
        <v>2.0553935095755833E-2</v>
      </c>
      <c r="AQ14" s="1303">
        <f ca="1">OFFSET('Revenue Build'!$C$6,MATCH(Charts!$E14,'Revenue Build'!$C$6:$C$290,0)-1,MATCH(Charts!AQ$3,'Revenue Build'!$C$5:$EE$5,0)-1)</f>
        <v>1.9736101449275359E-2</v>
      </c>
      <c r="AR14" s="1303">
        <f ca="1">OFFSET('Revenue Build'!$C$6,MATCH(Charts!$E14,'Revenue Build'!$C$6:$C$290,0)-1,MATCH(Charts!AR$3,'Revenue Build'!$C$5:$EE$5,0)-1)</f>
        <v>1.9956372960372958E-2</v>
      </c>
      <c r="AS14" s="1303">
        <f ca="1">OFFSET('Revenue Build'!$C$6,MATCH(Charts!$E14,'Revenue Build'!$C$6:$C$290,0)-1,MATCH(Charts!AS$3,'Revenue Build'!$C$5:$EE$5,0)-1)</f>
        <v>1.9056372960372957E-2</v>
      </c>
      <c r="AT14" s="1303">
        <f ca="1">OFFSET('Revenue Build'!$C$6,MATCH(Charts!$E14,'Revenue Build'!$C$6:$C$290,0)-1,MATCH(Charts!AT$3,'Revenue Build'!$C$5:$EE$5,0)-1)</f>
        <v>2.0053935095755832E-2</v>
      </c>
      <c r="AU14" s="1303">
        <f ca="1">OFFSET('Revenue Build'!$C$6,MATCH(Charts!$E14,'Revenue Build'!$C$6:$C$290,0)-1,MATCH(Charts!AU$3,'Revenue Build'!$C$5:$EE$5,0)-1)</f>
        <v>1.9236101449275358E-2</v>
      </c>
      <c r="AV14" s="1303">
        <f ca="1">OFFSET('Revenue Build'!$C$6,MATCH(Charts!$E14,'Revenue Build'!$C$6:$C$290,0)-1,MATCH(Charts!AV$3,'Revenue Build'!$C$5:$EE$5,0)-1)</f>
        <v>1.9456372960372958E-2</v>
      </c>
      <c r="AW14" s="1303">
        <f ca="1">OFFSET('Revenue Build'!$C$6,MATCH(Charts!$E14,'Revenue Build'!$C$6:$C$290,0)-1,MATCH(Charts!AW$3,'Revenue Build'!$C$5:$EE$5,0)-1)</f>
        <v>1.8556372960372956E-2</v>
      </c>
      <c r="AX14" s="1303">
        <f ca="1">OFFSET('Revenue Build'!$C$6,MATCH(Charts!$E14,'Revenue Build'!$C$6:$C$290,0)-1,MATCH(Charts!AX$3,'Revenue Build'!$C$5:$EE$5,0)-1)</f>
        <v>1.9553935095755832E-2</v>
      </c>
      <c r="AY14" s="1303">
        <f ca="1">OFFSET('Revenue Build'!$C$6,MATCH(Charts!$E14,'Revenue Build'!$C$6:$C$290,0)-1,MATCH(Charts!AY$3,'Revenue Build'!$C$5:$EE$5,0)-1)</f>
        <v>1.8736101449275358E-2</v>
      </c>
      <c r="AZ14" s="1303">
        <f ca="1">OFFSET('Revenue Build'!$C$6,MATCH(Charts!$E14,'Revenue Build'!$C$6:$C$290,0)-1,MATCH(Charts!AZ$3,'Revenue Build'!$C$5:$EE$5,0)-1)</f>
        <v>1.8956372960372957E-2</v>
      </c>
      <c r="BA14" s="1303">
        <f ca="1">OFFSET('Revenue Build'!$C$6,MATCH(Charts!$E14,'Revenue Build'!$C$6:$C$290,0)-1,MATCH(Charts!BA$3,'Revenue Build'!$C$5:$EE$5,0)-1)</f>
        <v>1.8056372960372956E-2</v>
      </c>
      <c r="BB14" s="1159"/>
      <c r="BC14" s="1159"/>
      <c r="BD14" s="1159"/>
      <c r="BE14" s="1159"/>
      <c r="BF14" s="1159"/>
      <c r="BG14" s="1159"/>
      <c r="BH14" s="1159"/>
      <c r="BI14" s="1159"/>
      <c r="BJ14" s="1159"/>
      <c r="BK14" s="1159"/>
      <c r="BL14" s="1159"/>
      <c r="BM14" s="1159"/>
      <c r="BN14" s="1159"/>
      <c r="BO14" s="1159"/>
      <c r="BP14" s="1159"/>
      <c r="BQ14" s="1159"/>
      <c r="BR14" s="1159"/>
      <c r="BS14" s="1159"/>
      <c r="BT14" s="1159"/>
      <c r="BU14" s="1159"/>
      <c r="BV14" s="1159"/>
      <c r="BW14" s="1159"/>
      <c r="BX14" s="1159"/>
      <c r="BY14" s="1159"/>
      <c r="BZ14" s="1159"/>
      <c r="CA14" s="1159"/>
      <c r="CB14" s="1159"/>
      <c r="CC14" s="1159"/>
      <c r="CD14" s="1159"/>
      <c r="CE14" s="1159"/>
      <c r="CF14" s="1159"/>
      <c r="CG14" s="1159" t="str">
        <f>E14</f>
        <v>Shopify Payments Gross Take Rate</v>
      </c>
      <c r="CH14" s="1303"/>
      <c r="CI14" s="1303">
        <f ca="1">OFFSET('Revenue Build'!$C$6,MATCH(Charts!$E14,'Revenue Build'!$C$6:$C$70,0)-1,MATCH(Charts!CI$4,'Revenue Build'!$C$4:$ED$4,0)-1)</f>
        <v>2.0886003872925128E-2</v>
      </c>
      <c r="CJ14" s="1303">
        <f ca="1">OFFSET('Revenue Build'!$C$6,MATCH(Charts!$E14,'Revenue Build'!$C$6:$C$70,0)-1,MATCH(Charts!CJ$4,'Revenue Build'!$C$4:$ED$4,0)-1)</f>
        <v>2.0927612555313529E-2</v>
      </c>
      <c r="CK14" s="1303">
        <f ca="1">OFFSET('Revenue Build'!$C$6,MATCH(Charts!$E14,'Revenue Build'!$C$6:$C$70,0)-1,MATCH(Charts!CK$4,'Revenue Build'!$C$4:$ED$4,0)-1)</f>
        <v>2.0755689485746628E-2</v>
      </c>
      <c r="CL14" s="1303">
        <f ca="1">OFFSET('Revenue Build'!$C$6,MATCH(Charts!$E14,'Revenue Build'!$C$6:$C$70,0)-1,MATCH(Charts!CL$4,'Revenue Build'!$C$4:$ED$4,0)-1)</f>
        <v>2.1221463011152412E-2</v>
      </c>
      <c r="CM14" s="1303">
        <f ca="1">OFFSET('Revenue Build'!$C$6,MATCH(Charts!$E14,'Revenue Build'!$C$6:$C$70,0)-1,MATCH(Charts!CM$4,'Revenue Build'!$C$4:$ED$4,0)-1)</f>
        <v>2.1339537529137531E-2</v>
      </c>
      <c r="CN14" s="1303">
        <f ca="1">OFFSET('Revenue Build'!$C$6,MATCH(Charts!$E14,'Revenue Build'!$C$6:$C$70,0)-1,MATCH(Charts!CN$4,'Revenue Build'!$C$4:$ED$4,0)-1)</f>
        <v>2.1432554806786051E-2</v>
      </c>
      <c r="CO14" s="1303">
        <f ca="1">OFFSET('Revenue Build'!$C$6,MATCH(Charts!$E14,'Revenue Build'!$C$6:$C$70,0)-1,MATCH(Charts!CO$4,'Revenue Build'!$C$4:$ED$4,0)-1)</f>
        <v>2.1528480966485256E-2</v>
      </c>
      <c r="CP14" s="1303">
        <f ca="1">OFFSET('Revenue Build'!$C$6,MATCH(Charts!$E14,'Revenue Build'!$C$6:$C$70,0)-1,MATCH(Charts!CP$4,'Revenue Build'!$C$4:$ED$4,0)-1)</f>
        <v>2.0232505275208763E-2</v>
      </c>
      <c r="CQ14" s="1303">
        <f ca="1">OFFSET('Revenue Build'!$C$6,MATCH(Charts!$E14,'Revenue Build'!$C$6:$C$70,0)-1,MATCH(Charts!CQ$4,'Revenue Build'!$C$4:$ED$4,0)-1)</f>
        <v>1.9738336928966024E-2</v>
      </c>
      <c r="CR14" s="1303">
        <f ca="1">OFFSET('Revenue Build'!$C$6,MATCH(Charts!$E14,'Revenue Build'!$C$6:$C$70,0)-1,MATCH(Charts!CR$4,'Revenue Build'!$C$4:$ED$4,0)-1)</f>
        <v>1.9238681162597002E-2</v>
      </c>
      <c r="CS14" s="1303">
        <f ca="1">OFFSET('Revenue Build'!$C$6,MATCH(Charts!$E14,'Revenue Build'!$C$6:$C$70,0)-1,MATCH(Charts!CS$4,'Revenue Build'!$C$4:$ED$4,0)-1)</f>
        <v>1.873894628434801E-2</v>
      </c>
    </row>
    <row r="15" spans="1:100">
      <c r="E15" s="8" t="str">
        <f>'Revenue Build'!C66</f>
        <v>3P Pay Take Rate</v>
      </c>
      <c r="F15" s="1283"/>
      <c r="G15" s="1283"/>
      <c r="H15" s="1283"/>
      <c r="I15" s="1283"/>
      <c r="J15" s="1303">
        <f ca="1">OFFSET('Revenue Build'!$C$6,MATCH(Charts!$E15,'Revenue Build'!$C$6:$C$290,0)-1,MATCH(Charts!J$3,'Revenue Build'!$C$5:$EE$5,0)-1)</f>
        <v>7.241569776780153E-3</v>
      </c>
      <c r="K15" s="1303">
        <f ca="1">OFFSET('Revenue Build'!$C$6,MATCH(Charts!$E15,'Revenue Build'!$C$6:$C$290,0)-1,MATCH(Charts!K$3,'Revenue Build'!$C$5:$EE$5,0)-1)</f>
        <v>7.6424918708643949E-3</v>
      </c>
      <c r="L15" s="1303">
        <f ca="1">OFFSET('Revenue Build'!$C$6,MATCH(Charts!$E15,'Revenue Build'!$C$6:$C$290,0)-1,MATCH(Charts!L$3,'Revenue Build'!$C$5:$EE$5,0)-1)</f>
        <v>7.5471820196882236E-3</v>
      </c>
      <c r="M15" s="1303">
        <f ca="1">OFFSET('Revenue Build'!$C$6,MATCH(Charts!$E15,'Revenue Build'!$C$6:$C$290,0)-1,MATCH(Charts!M$3,'Revenue Build'!$C$5:$EE$5,0)-1)</f>
        <v>7.8338061979149158E-3</v>
      </c>
      <c r="N15" s="1303">
        <f ca="1">OFFSET('Revenue Build'!$C$6,MATCH(Charts!$E15,'Revenue Build'!$C$6:$C$290,0)-1,MATCH(Charts!N$3,'Revenue Build'!$C$5:$EE$5,0)-1)</f>
        <v>7.2724056205810432E-3</v>
      </c>
      <c r="O15" s="1303">
        <f ca="1">OFFSET('Revenue Build'!$C$6,MATCH(Charts!$E15,'Revenue Build'!$C$6:$C$290,0)-1,MATCH(Charts!O$3,'Revenue Build'!$C$5:$EE$5,0)-1)</f>
        <v>8.0890530032613431E-3</v>
      </c>
      <c r="P15" s="1303">
        <f ca="1">OFFSET('Revenue Build'!$C$6,MATCH(Charts!$E15,'Revenue Build'!$C$6:$C$290,0)-1,MATCH(Charts!P$3,'Revenue Build'!$C$5:$EE$5,0)-1)</f>
        <v>8.1726159531391156E-3</v>
      </c>
      <c r="Q15" s="1303">
        <f ca="1">OFFSET('Revenue Build'!$C$6,MATCH(Charts!$E15,'Revenue Build'!$C$6:$C$290,0)-1,MATCH(Charts!Q$3,'Revenue Build'!$C$5:$EE$5,0)-1)</f>
        <v>8.2038420082390165E-3</v>
      </c>
      <c r="R15" s="1303">
        <f ca="1">OFFSET('Revenue Build'!$C$6,MATCH(Charts!$E15,'Revenue Build'!$C$6:$C$290,0)-1,MATCH(Charts!R$3,'Revenue Build'!$C$5:$EE$5,0)-1)</f>
        <v>7.6290906823751519E-3</v>
      </c>
      <c r="S15" s="1303">
        <f ca="1">OFFSET('Revenue Build'!$C$6,MATCH(Charts!$E15,'Revenue Build'!$C$6:$C$290,0)-1,MATCH(Charts!S$3,'Revenue Build'!$C$5:$EE$5,0)-1)</f>
        <v>7.8385430597486573E-3</v>
      </c>
      <c r="T15" s="1303">
        <f ca="1">OFFSET('Revenue Build'!$C$6,MATCH(Charts!$E15,'Revenue Build'!$C$6:$C$290,0)-1,MATCH(Charts!T$3,'Revenue Build'!$C$5:$EE$5,0)-1)</f>
        <v>7.8744176658565798E-3</v>
      </c>
      <c r="U15" s="1303">
        <f ca="1">OFFSET('Revenue Build'!$C$6,MATCH(Charts!$E15,'Revenue Build'!$C$6:$C$290,0)-1,MATCH(Charts!U$3,'Revenue Build'!$C$5:$EE$5,0)-1)</f>
        <v>8.194111840658205E-3</v>
      </c>
      <c r="V15" s="1303">
        <f ca="1">OFFSET('Revenue Build'!$C$6,MATCH(Charts!$E15,'Revenue Build'!$C$6:$C$290,0)-1,MATCH(Charts!V$3,'Revenue Build'!$C$5:$EE$5,0)-1)</f>
        <v>7.8168848388552245E-3</v>
      </c>
      <c r="W15" s="1303">
        <f ca="1">OFFSET('Revenue Build'!$C$6,MATCH(Charts!$E15,'Revenue Build'!$C$6:$C$290,0)-1,MATCH(Charts!W$3,'Revenue Build'!$C$5:$EE$5,0)-1)</f>
        <v>8.6806294418844705E-3</v>
      </c>
      <c r="X15" s="1303">
        <f ca="1">OFFSET('Revenue Build'!$C$6,MATCH(Charts!$E15,'Revenue Build'!$C$6:$C$290,0)-1,MATCH(Charts!X$3,'Revenue Build'!$C$5:$EE$5,0)-1)</f>
        <v>8.6419188096343615E-3</v>
      </c>
      <c r="Y15" s="1303">
        <f ca="1">OFFSET('Revenue Build'!$C$6,MATCH(Charts!$E15,'Revenue Build'!$C$6:$C$290,0)-1,MATCH(Charts!Y$3,'Revenue Build'!$C$5:$EE$5,0)-1)</f>
        <v>8.8716679142879194E-3</v>
      </c>
      <c r="Z15" s="1303">
        <f ca="1">OFFSET('Revenue Build'!$C$6,MATCH(Charts!$E15,'Revenue Build'!$C$6:$C$290,0)-1,MATCH(Charts!Z$3,'Revenue Build'!$C$5:$EE$5,0)-1)</f>
        <v>8.6632487459648334E-3</v>
      </c>
      <c r="AA15" s="1303">
        <f ca="1">OFFSET('Revenue Build'!$C$6,MATCH(Charts!$E15,'Revenue Build'!$C$6:$C$290,0)-1,MATCH(Charts!AA$3,'Revenue Build'!$C$5:$EE$5,0)-1)</f>
        <v>9.3249267095505753E-3</v>
      </c>
      <c r="AB15" s="1303">
        <f ca="1">OFFSET('Revenue Build'!$C$6,MATCH(Charts!$E15,'Revenue Build'!$C$6:$C$290,0)-1,MATCH(Charts!AB$3,'Revenue Build'!$C$5:$EE$5,0)-1)</f>
        <v>9.6288901428013343E-3</v>
      </c>
      <c r="AC15" s="1303">
        <f ca="1">OFFSET('Revenue Build'!$C$6,MATCH(Charts!$E15,'Revenue Build'!$C$6:$C$290,0)-1,MATCH(Charts!AC$3,'Revenue Build'!$C$5:$EE$5,0)-1)</f>
        <v>1.0148978470635008E-2</v>
      </c>
      <c r="AD15" s="1303">
        <f ca="1">OFFSET('Revenue Build'!$C$6,MATCH(Charts!$E15,'Revenue Build'!$C$6:$C$290,0)-1,MATCH(Charts!AD$3,'Revenue Build'!$C$5:$EE$5,0)-1)</f>
        <v>9.9255503031327602E-3</v>
      </c>
      <c r="AE15" s="1303">
        <f ca="1">OFFSET('Revenue Build'!$C$6,MATCH(Charts!$E15,'Revenue Build'!$C$6:$C$290,0)-1,MATCH(Charts!AE$3,'Revenue Build'!$C$5:$EE$5,0)-1)</f>
        <v>1.0364903420781358E-2</v>
      </c>
      <c r="AF15" s="1303">
        <f ca="1">OFFSET('Revenue Build'!$C$6,MATCH(Charts!$E15,'Revenue Build'!$C$6:$C$290,0)-1,MATCH(Charts!AF$3,'Revenue Build'!$C$5:$EE$5,0)-1)</f>
        <v>1.143987051886792E-2</v>
      </c>
      <c r="AG15" s="1303">
        <f ca="1">OFFSET('Revenue Build'!$C$6,MATCH(Charts!$E15,'Revenue Build'!$C$6:$C$290,0)-1,MATCH(Charts!AG$3,'Revenue Build'!$C$5:$EE$5,0)-1)</f>
        <v>1.2201767910447758E-2</v>
      </c>
      <c r="AH15" s="1303">
        <f ca="1">OFFSET('Revenue Build'!$C$6,MATCH(Charts!$E15,'Revenue Build'!$C$6:$C$290,0)-1,MATCH(Charts!AH$3,'Revenue Build'!$C$5:$EE$5,0)-1)</f>
        <v>1.1973303167420813E-2</v>
      </c>
      <c r="AI15" s="1303">
        <f ca="1">OFFSET('Revenue Build'!$C$6,MATCH(Charts!$E15,'Revenue Build'!$C$6:$C$290,0)-1,MATCH(Charts!AI$3,'Revenue Build'!$C$5:$EE$5,0)-1)</f>
        <v>1.2607296137339056E-2</v>
      </c>
      <c r="AJ15" s="1303">
        <f ca="1">OFFSET('Revenue Build'!$C$6,MATCH(Charts!$E15,'Revenue Build'!$C$6:$C$290,0)-1,MATCH(Charts!AJ$3,'Revenue Build'!$C$5:$EE$5,0)-1)</f>
        <v>1.2332478632478631E-2</v>
      </c>
      <c r="AK15" s="1303">
        <f ca="1">OFFSET('Revenue Build'!$C$6,MATCH(Charts!$E15,'Revenue Build'!$C$6:$C$290,0)-1,MATCH(Charts!AK$3,'Revenue Build'!$C$5:$EE$5,0)-1)</f>
        <v>1.2660643572593257E-2</v>
      </c>
      <c r="AL15" s="1303">
        <f ca="1">OFFSET('Revenue Build'!$C$6,MATCH(Charts!$E15,'Revenue Build'!$C$6:$C$290,0)-1,MATCH(Charts!AL$3,'Revenue Build'!$C$5:$EE$5,0)-1)</f>
        <v>1.2613234756469107E-2</v>
      </c>
      <c r="AM15" s="1303">
        <f ca="1">OFFSET('Revenue Build'!$C$6,MATCH(Charts!$E15,'Revenue Build'!$C$6:$C$290,0)-1,MATCH(Charts!AM$3,'Revenue Build'!$C$5:$EE$5,0)-1)</f>
        <v>1.3188624492164827E-2</v>
      </c>
      <c r="AN15" s="1303">
        <f ca="1">OFFSET('Revenue Build'!$C$6,MATCH(Charts!$E15,'Revenue Build'!$C$6:$C$290,0)-1,MATCH(Charts!AN$3,'Revenue Build'!$C$5:$EE$5,0)-1)</f>
        <v>1.3311952265523027E-2</v>
      </c>
      <c r="AO15" s="1303">
        <f ca="1">OFFSET('Revenue Build'!$C$6,MATCH(Charts!$E15,'Revenue Build'!$C$6:$C$290,0)-1,MATCH(Charts!AO$3,'Revenue Build'!$C$5:$EE$5,0)-1)</f>
        <v>1.2760643572593256E-2</v>
      </c>
      <c r="AP15" s="1303">
        <f ca="1">OFFSET('Revenue Build'!$C$6,MATCH(Charts!$E15,'Revenue Build'!$C$6:$C$290,0)-1,MATCH(Charts!AP$3,'Revenue Build'!$C$5:$EE$5,0)-1)</f>
        <v>1.2613234756469107E-2</v>
      </c>
      <c r="AQ15" s="1303">
        <f ca="1">OFFSET('Revenue Build'!$C$6,MATCH(Charts!$E15,'Revenue Build'!$C$6:$C$290,0)-1,MATCH(Charts!AQ$3,'Revenue Build'!$C$5:$EE$5,0)-1)</f>
        <v>1.3188624492164827E-2</v>
      </c>
      <c r="AR15" s="1303">
        <f ca="1">OFFSET('Revenue Build'!$C$6,MATCH(Charts!$E15,'Revenue Build'!$C$6:$C$290,0)-1,MATCH(Charts!AR$3,'Revenue Build'!$C$5:$EE$5,0)-1)</f>
        <v>1.3311952265523027E-2</v>
      </c>
      <c r="AS15" s="1303">
        <f ca="1">OFFSET('Revenue Build'!$C$6,MATCH(Charts!$E15,'Revenue Build'!$C$6:$C$290,0)-1,MATCH(Charts!AS$3,'Revenue Build'!$C$5:$EE$5,0)-1)</f>
        <v>1.2760643572593256E-2</v>
      </c>
      <c r="AT15" s="1303">
        <f ca="1">OFFSET('Revenue Build'!$C$6,MATCH(Charts!$E15,'Revenue Build'!$C$6:$C$290,0)-1,MATCH(Charts!AT$3,'Revenue Build'!$C$5:$EE$5,0)-1)</f>
        <v>1.2613234756469107E-2</v>
      </c>
      <c r="AU15" s="1303">
        <f ca="1">OFFSET('Revenue Build'!$C$6,MATCH(Charts!$E15,'Revenue Build'!$C$6:$C$290,0)-1,MATCH(Charts!AU$3,'Revenue Build'!$C$5:$EE$5,0)-1)</f>
        <v>1.3188624492164827E-2</v>
      </c>
      <c r="AV15" s="1303">
        <f ca="1">OFFSET('Revenue Build'!$C$6,MATCH(Charts!$E15,'Revenue Build'!$C$6:$C$290,0)-1,MATCH(Charts!AV$3,'Revenue Build'!$C$5:$EE$5,0)-1)</f>
        <v>1.3311952265523027E-2</v>
      </c>
      <c r="AW15" s="1303">
        <f ca="1">OFFSET('Revenue Build'!$C$6,MATCH(Charts!$E15,'Revenue Build'!$C$6:$C$290,0)-1,MATCH(Charts!AW$3,'Revenue Build'!$C$5:$EE$5,0)-1)</f>
        <v>1.2760643572593256E-2</v>
      </c>
      <c r="AX15" s="1303">
        <f ca="1">OFFSET('Revenue Build'!$C$6,MATCH(Charts!$E15,'Revenue Build'!$C$6:$C$290,0)-1,MATCH(Charts!AX$3,'Revenue Build'!$C$5:$EE$5,0)-1)</f>
        <v>1.2613234756469107E-2</v>
      </c>
      <c r="AY15" s="1303">
        <f ca="1">OFFSET('Revenue Build'!$C$6,MATCH(Charts!$E15,'Revenue Build'!$C$6:$C$290,0)-1,MATCH(Charts!AY$3,'Revenue Build'!$C$5:$EE$5,0)-1)</f>
        <v>1.3188624492164827E-2</v>
      </c>
      <c r="AZ15" s="1303">
        <f ca="1">OFFSET('Revenue Build'!$C$6,MATCH(Charts!$E15,'Revenue Build'!$C$6:$C$290,0)-1,MATCH(Charts!AZ$3,'Revenue Build'!$C$5:$EE$5,0)-1)</f>
        <v>1.3311952265523027E-2</v>
      </c>
      <c r="BA15" s="1303">
        <f ca="1">OFFSET('Revenue Build'!$C$6,MATCH(Charts!$E15,'Revenue Build'!$C$6:$C$290,0)-1,MATCH(Charts!BA$3,'Revenue Build'!$C$5:$EE$5,0)-1)</f>
        <v>1.2760643572593256E-2</v>
      </c>
      <c r="BB15" s="1159"/>
      <c r="BC15" s="1159"/>
      <c r="BD15" s="1159"/>
      <c r="BE15" s="1159"/>
      <c r="BF15" s="1159"/>
      <c r="BG15" s="1159"/>
      <c r="BH15" s="1159"/>
      <c r="BI15" s="1159"/>
      <c r="BJ15" s="1159"/>
      <c r="BK15" s="1159"/>
      <c r="BL15" s="1159"/>
      <c r="BM15" s="1159"/>
      <c r="BN15" s="1159"/>
      <c r="BO15" s="1159"/>
      <c r="BP15" s="1159"/>
      <c r="BQ15" s="1159"/>
      <c r="BR15" s="1159"/>
      <c r="BS15" s="1159"/>
      <c r="BT15" s="1159"/>
      <c r="BU15" s="1159"/>
      <c r="BV15" s="1159"/>
      <c r="BW15" s="1159"/>
      <c r="BX15" s="1159"/>
      <c r="BY15" s="1159"/>
      <c r="BZ15" s="1159"/>
      <c r="CA15" s="1159"/>
      <c r="CB15" s="1159"/>
      <c r="CC15" s="1159"/>
      <c r="CD15" s="1159"/>
      <c r="CE15" s="1159"/>
      <c r="CF15" s="1159"/>
      <c r="CG15" s="1159" t="str">
        <f>E15</f>
        <v>3P Pay Take Rate</v>
      </c>
      <c r="CH15" s="1303"/>
      <c r="CI15" s="1303">
        <f ca="1">OFFSET('Revenue Build'!$C$6,MATCH(Charts!$E15,'Revenue Build'!$C$6:$C$70,0)-1,MATCH(Charts!CI$4,'Revenue Build'!$C$4:$ED$4,0)-1)</f>
        <v>7.566262466311922E-3</v>
      </c>
      <c r="CJ15" s="1303">
        <f ca="1">OFFSET('Revenue Build'!$C$6,MATCH(Charts!$E15,'Revenue Build'!$C$6:$C$70,0)-1,MATCH(Charts!CJ$4,'Revenue Build'!$C$4:$ED$4,0)-1)</f>
        <v>7.934479146305129E-3</v>
      </c>
      <c r="CK15" s="1303">
        <f ca="1">OFFSET('Revenue Build'!$C$6,MATCH(Charts!$E15,'Revenue Build'!$C$6:$C$70,0)-1,MATCH(Charts!CK$4,'Revenue Build'!$C$4:$ED$4,0)-1)</f>
        <v>7.8840408121596487E-3</v>
      </c>
      <c r="CL15" s="1303">
        <f ca="1">OFFSET('Revenue Build'!$C$6,MATCH(Charts!$E15,'Revenue Build'!$C$6:$C$70,0)-1,MATCH(Charts!CL$4,'Revenue Build'!$C$4:$ED$4,0)-1)</f>
        <v>8.5027752511654935E-3</v>
      </c>
      <c r="CM15" s="1303">
        <f ca="1">OFFSET('Revenue Build'!$C$6,MATCH(Charts!$E15,'Revenue Build'!$C$6:$C$70,0)-1,MATCH(Charts!CM$4,'Revenue Build'!$C$4:$ED$4,0)-1)</f>
        <v>9.4415110172379382E-3</v>
      </c>
      <c r="CN15" s="1303">
        <f ca="1">OFFSET('Revenue Build'!$C$6,MATCH(Charts!$E15,'Revenue Build'!$C$6:$C$70,0)-1,MATCH(Charts!CN$4,'Revenue Build'!$C$4:$ED$4,0)-1)</f>
        <v>1.0983023038307449E-2</v>
      </c>
      <c r="CO15" s="1303">
        <f ca="1">OFFSET('Revenue Build'!$C$6,MATCH(Charts!$E15,'Revenue Build'!$C$6:$C$70,0)-1,MATCH(Charts!CO$4,'Revenue Build'!$C$4:$ED$4,0)-1)</f>
        <v>1.2393430377457939E-2</v>
      </c>
      <c r="CP15" s="1303">
        <f ca="1">OFFSET('Revenue Build'!$C$6,MATCH(Charts!$E15,'Revenue Build'!$C$6:$C$70,0)-1,MATCH(Charts!CP$4,'Revenue Build'!$C$4:$ED$4,0)-1)</f>
        <v>1.2968613771687554E-2</v>
      </c>
      <c r="CQ15" s="1303">
        <f ca="1">OFFSET('Revenue Build'!$C$6,MATCH(Charts!$E15,'Revenue Build'!$C$6:$C$70,0)-1,MATCH(Charts!CQ$4,'Revenue Build'!$C$4:$ED$4,0)-1)</f>
        <v>1.2968613771687554E-2</v>
      </c>
      <c r="CR15" s="1303">
        <f ca="1">OFFSET('Revenue Build'!$C$6,MATCH(Charts!$E15,'Revenue Build'!$C$6:$C$70,0)-1,MATCH(Charts!CR$4,'Revenue Build'!$C$4:$ED$4,0)-1)</f>
        <v>1.2968613771687554E-2</v>
      </c>
      <c r="CS15" s="1303">
        <f ca="1">OFFSET('Revenue Build'!$C$6,MATCH(Charts!$E15,'Revenue Build'!$C$6:$C$70,0)-1,MATCH(Charts!CS$4,'Revenue Build'!$C$4:$ED$4,0)-1)</f>
        <v>1.2968613771687554E-2</v>
      </c>
    </row>
    <row r="16" spans="1:100">
      <c r="E16" s="791"/>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160"/>
      <c r="BC16" s="1160"/>
      <c r="BD16" s="1160"/>
      <c r="BE16" s="1160"/>
      <c r="BF16" s="1160"/>
      <c r="BG16" s="1160"/>
      <c r="BH16" s="1160"/>
      <c r="BI16" s="1160"/>
      <c r="BJ16" s="1160"/>
      <c r="BK16" s="1160"/>
      <c r="BL16" s="1160"/>
      <c r="BM16" s="1160"/>
      <c r="BN16" s="1160"/>
      <c r="BO16" s="1160"/>
      <c r="BP16" s="1160"/>
      <c r="BQ16" s="1160"/>
      <c r="BR16" s="1160"/>
      <c r="BS16" s="1160"/>
      <c r="BT16" s="1160"/>
      <c r="BU16" s="1160"/>
      <c r="BV16" s="1160"/>
      <c r="BW16" s="1160"/>
      <c r="BX16" s="1160"/>
      <c r="BY16" s="1160"/>
      <c r="BZ16" s="1160"/>
      <c r="CA16" s="1160"/>
      <c r="CB16" s="1160"/>
      <c r="CC16" s="1160"/>
      <c r="CD16" s="1160"/>
      <c r="CE16" s="1160"/>
      <c r="CF16" s="1160"/>
      <c r="CG16" s="1160"/>
      <c r="CH16" s="1284"/>
      <c r="CI16" s="1284"/>
      <c r="CJ16" s="1284"/>
      <c r="CK16" s="1284"/>
      <c r="CL16" s="1284"/>
      <c r="CM16" s="1284"/>
      <c r="CN16" s="1284"/>
      <c r="CO16" s="1284"/>
      <c r="CP16" s="1284"/>
      <c r="CQ16" s="1284"/>
      <c r="CR16" s="1284"/>
      <c r="CS16" s="1284"/>
    </row>
    <row r="17" spans="5:98">
      <c r="E17" s="791"/>
      <c r="F17" s="792"/>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c r="AL17" s="792"/>
      <c r="AM17" s="792"/>
      <c r="AN17" s="792"/>
      <c r="AO17" s="792"/>
      <c r="AP17" s="792"/>
      <c r="AQ17" s="792"/>
      <c r="AR17" s="792"/>
      <c r="AS17" s="792"/>
      <c r="AT17" s="792"/>
      <c r="AU17" s="792"/>
      <c r="AV17" s="792"/>
      <c r="AW17" s="792"/>
      <c r="AX17" s="792"/>
      <c r="AY17" s="792"/>
      <c r="AZ17" s="792"/>
      <c r="BA17" s="792"/>
      <c r="BB17" s="1160"/>
      <c r="BC17" s="1160"/>
      <c r="BD17" s="1160"/>
      <c r="BE17" s="1160"/>
      <c r="BF17" s="1160"/>
      <c r="BG17" s="1160"/>
      <c r="BH17" s="1160"/>
      <c r="BI17" s="1160"/>
      <c r="BJ17" s="1160"/>
      <c r="BK17" s="1160"/>
      <c r="BL17" s="1160"/>
      <c r="BM17" s="1160"/>
      <c r="BN17" s="1160"/>
      <c r="BO17" s="1160"/>
      <c r="BP17" s="1160"/>
      <c r="BQ17" s="1160"/>
      <c r="BR17" s="1160"/>
      <c r="BS17" s="1160"/>
      <c r="BT17" s="1160"/>
      <c r="BU17" s="1160"/>
      <c r="BV17" s="1160"/>
      <c r="BW17" s="1160"/>
      <c r="BX17" s="1160"/>
      <c r="BY17" s="1160"/>
      <c r="BZ17" s="1160"/>
      <c r="CA17" s="1160"/>
      <c r="CB17" s="1160"/>
      <c r="CC17" s="1160"/>
      <c r="CD17" s="1160"/>
      <c r="CE17" s="1160"/>
      <c r="CF17" s="1160"/>
      <c r="CG17" s="1160"/>
      <c r="CH17" s="1284" t="str">
        <f>CH4</f>
        <v>2016A</v>
      </c>
      <c r="CI17" s="1284" t="str">
        <f t="shared" ref="CI17:CS17" si="24">CI4</f>
        <v>2017A</v>
      </c>
      <c r="CJ17" s="1284" t="str">
        <f t="shared" si="24"/>
        <v>2018A</v>
      </c>
      <c r="CK17" s="1284" t="str">
        <f t="shared" si="24"/>
        <v>2019A</v>
      </c>
      <c r="CL17" s="1284" t="str">
        <f t="shared" si="24"/>
        <v>2020A</v>
      </c>
      <c r="CM17" s="1284" t="str">
        <f t="shared" si="24"/>
        <v>2021A</v>
      </c>
      <c r="CN17" s="1284" t="str">
        <f t="shared" si="24"/>
        <v>2022A</v>
      </c>
      <c r="CO17" s="1284" t="str">
        <f t="shared" si="24"/>
        <v>2023A</v>
      </c>
      <c r="CP17" s="1284" t="str">
        <f t="shared" si="24"/>
        <v>2024E</v>
      </c>
      <c r="CQ17" s="1284" t="str">
        <f t="shared" si="24"/>
        <v>2025E</v>
      </c>
      <c r="CR17" s="1284" t="str">
        <f t="shared" si="24"/>
        <v>2026E</v>
      </c>
      <c r="CS17" s="1284" t="str">
        <f t="shared" si="24"/>
        <v>2027E</v>
      </c>
    </row>
    <row r="18" spans="5:98">
      <c r="E18" s="1439" t="s">
        <v>623</v>
      </c>
      <c r="F18" s="1293">
        <f ca="1">OFFSET('Revenue Build'!$C$6,MATCH(Charts!$E18,'Revenue Build'!$C$6:$C$290,0)-1,MATCH(Charts!F$3,'Revenue Build'!$C$5:$EE$5,0)-1)</f>
        <v>0</v>
      </c>
      <c r="G18" s="1293">
        <f ca="1">OFFSET('Revenue Build'!$C$6,MATCH(Charts!$E18,'Revenue Build'!$C$6:$C$290,0)-1,MATCH(Charts!G$3,'Revenue Build'!$C$5:$EE$5,0)-1)</f>
        <v>0</v>
      </c>
      <c r="H18" s="1293">
        <f ca="1">OFFSET('Revenue Build'!$C$6,MATCH(Charts!$E18,'Revenue Build'!$C$6:$C$290,0)-1,MATCH(Charts!H$3,'Revenue Build'!$C$5:$EE$5,0)-1)</f>
        <v>0</v>
      </c>
      <c r="I18" s="1293">
        <f ca="1">OFFSET('Revenue Build'!$C$6,MATCH(Charts!$E18,'Revenue Build'!$C$6:$C$290,0)-1,MATCH(Charts!I$3,'Revenue Build'!$C$5:$EE$5,0)-1)</f>
        <v>0</v>
      </c>
      <c r="J18" s="1293">
        <f ca="1">OFFSET('Revenue Build'!$C$6,MATCH(Charts!$E18,'Revenue Build'!$C$6:$C$290,0)-1,MATCH(Charts!J$3,'Revenue Build'!$C$5:$EE$5,0)-1)</f>
        <v>37.873420000000003</v>
      </c>
      <c r="K18" s="1293">
        <f ca="1">OFFSET('Revenue Build'!$C$6,MATCH(Charts!$E18,'Revenue Build'!$C$6:$C$290,0)-1,MATCH(Charts!K$3,'Revenue Build'!$C$5:$EE$5,0)-1)</f>
        <v>46.433059999999998</v>
      </c>
      <c r="L18" s="1293">
        <f ca="1">OFFSET('Revenue Build'!$C$6,MATCH(Charts!$E18,'Revenue Build'!$C$6:$C$290,0)-1,MATCH(Charts!L$3,'Revenue Build'!$C$5:$EE$5,0)-1)</f>
        <v>51.632179999999998</v>
      </c>
      <c r="M18" s="1293">
        <f ca="1">OFFSET('Revenue Build'!$C$6,MATCH(Charts!$E18,'Revenue Build'!$C$6:$C$290,0)-1,MATCH(Charts!M$3,'Revenue Build'!$C$5:$EE$5,0)-1)</f>
        <v>74.759679999999989</v>
      </c>
      <c r="N18" s="1293">
        <f ca="1">OFFSET('Revenue Build'!$C$6,MATCH(Charts!$E18,'Revenue Build'!$C$6:$C$290,0)-1,MATCH(Charts!N$3,'Revenue Build'!$C$5:$EE$5,0)-1)</f>
        <v>65.631649999999993</v>
      </c>
      <c r="O18" s="1293">
        <f ca="1">OFFSET('Revenue Build'!$C$6,MATCH(Charts!$E18,'Revenue Build'!$C$6:$C$290,0)-1,MATCH(Charts!O$3,'Revenue Build'!$C$5:$EE$5,0)-1)</f>
        <v>77.189149999999984</v>
      </c>
      <c r="P18" s="1293">
        <f ca="1">OFFSET('Revenue Build'!$C$6,MATCH(Charts!$E18,'Revenue Build'!$C$6:$C$290,0)-1,MATCH(Charts!P$3,'Revenue Build'!$C$5:$EE$5,0)-1)</f>
        <v>85.989524999999986</v>
      </c>
      <c r="Q18" s="1293">
        <f ca="1">OFFSET('Revenue Build'!$C$6,MATCH(Charts!$E18,'Revenue Build'!$C$6:$C$290,0)-1,MATCH(Charts!Q$3,'Revenue Build'!$C$5:$EE$5,0)-1)</f>
        <v>120.92364999999998</v>
      </c>
      <c r="R18" s="1293">
        <f ca="1">OFFSET('Revenue Build'!$C$6,MATCH(Charts!$E18,'Revenue Build'!$C$6:$C$290,0)-1,MATCH(Charts!R$3,'Revenue Build'!$C$5:$EE$5,0)-1)</f>
        <v>102.61766999999999</v>
      </c>
      <c r="S18" s="1293">
        <f ca="1">OFFSET('Revenue Build'!$C$6,MATCH(Charts!$E18,'Revenue Build'!$C$6:$C$290,0)-1,MATCH(Charts!S$3,'Revenue Build'!$C$5:$EE$5,0)-1)</f>
        <v>119.09123999999998</v>
      </c>
      <c r="T18" s="1293">
        <f ca="1">OFFSET('Revenue Build'!$C$6,MATCH(Charts!$E18,'Revenue Build'!$C$6:$C$290,0)-1,MATCH(Charts!T$3,'Revenue Build'!$C$5:$EE$5,0)-1)</f>
        <v>128.23575</v>
      </c>
      <c r="U18" s="1293">
        <f ca="1">OFFSET('Revenue Build'!$C$6,MATCH(Charts!$E18,'Revenue Build'!$C$6:$C$290,0)-1,MATCH(Charts!U$3,'Revenue Build'!$C$5:$EE$5,0)-1)</f>
        <v>183.53657999999999</v>
      </c>
      <c r="V18" s="1293">
        <f ca="1">OFFSET('Revenue Build'!$C$6,MATCH(Charts!$E18,'Revenue Build'!$C$6:$C$290,0)-1,MATCH(Charts!V$3,'Revenue Build'!$C$5:$EE$5,0)-1)</f>
        <v>159.55147999999997</v>
      </c>
      <c r="W18" s="1293">
        <f ca="1">OFFSET('Revenue Build'!$C$6,MATCH(Charts!$E18,'Revenue Build'!$C$6:$C$290,0)-1,MATCH(Charts!W$3,'Revenue Build'!$C$5:$EE$5,0)-1)</f>
        <v>292.61745500000001</v>
      </c>
      <c r="X18" s="1293">
        <f ca="1">OFFSET('Revenue Build'!$C$6,MATCH(Charts!$E18,'Revenue Build'!$C$6:$C$290,0)-1,MATCH(Charts!X$3,'Revenue Build'!$C$5:$EE$5,0)-1)</f>
        <v>295.00401499999998</v>
      </c>
      <c r="Y18" s="1293">
        <f ca="1">OFFSET('Revenue Build'!$C$6,MATCH(Charts!$E18,'Revenue Build'!$C$6:$C$290,0)-1,MATCH(Charts!Y$3,'Revenue Build'!$C$5:$EE$5,0)-1)</f>
        <v>394.54175999999995</v>
      </c>
      <c r="Z18" s="1293">
        <f ca="1">OFFSET('Revenue Build'!$C$6,MATCH(Charts!$E18,'Revenue Build'!$C$6:$C$290,0)-1,MATCH(Charts!Z$3,'Revenue Build'!$C$5:$EE$5,0)-1)</f>
        <v>374.06096000000002</v>
      </c>
      <c r="AA18" s="1293">
        <f ca="1">OFFSET('Revenue Build'!$C$6,MATCH(Charts!$E18,'Revenue Build'!$C$6:$C$290,0)-1,MATCH(Charts!AA$3,'Revenue Build'!$C$5:$EE$5,0)-1)</f>
        <v>439.71648000000005</v>
      </c>
      <c r="AB18" s="1293">
        <f ca="1">OFFSET('Revenue Build'!$C$6,MATCH(Charts!$E18,'Revenue Build'!$C$6:$C$290,0)-1,MATCH(Charts!AB$3,'Revenue Build'!$C$5:$EE$5,0)-1)</f>
        <v>441.01792000000006</v>
      </c>
      <c r="AC18" s="1293">
        <f ca="1">OFFSET('Revenue Build'!$C$6,MATCH(Charts!$E18,'Revenue Build'!$C$6:$C$290,0)-1,MATCH(Charts!AC$3,'Revenue Build'!$C$5:$EE$5,0)-1)</f>
        <v>576.13696000000004</v>
      </c>
      <c r="AD18" s="1293">
        <f ca="1">OFFSET('Revenue Build'!$C$6,MATCH(Charts!$E18,'Revenue Build'!$C$6:$C$290,0)-1,MATCH(Charts!AD$3,'Revenue Build'!$C$5:$EE$5,0)-1)</f>
        <v>474.95068600000002</v>
      </c>
      <c r="AE18" s="1293">
        <f ca="1">OFFSET('Revenue Build'!$C$6,MATCH(Charts!$E18,'Revenue Build'!$C$6:$C$290,0)-1,MATCH(Charts!AE$3,'Revenue Build'!$C$5:$EE$5,0)-1)</f>
        <v>513.52686000000006</v>
      </c>
      <c r="AF18" s="1293">
        <f ca="1">OFFSET('Revenue Build'!$C$6,MATCH(Charts!$E18,'Revenue Build'!$C$6:$C$290,0)-1,MATCH(Charts!AF$3,'Revenue Build'!$C$5:$EE$5,0)-1)</f>
        <v>547.41414700000007</v>
      </c>
      <c r="AG18" s="1293">
        <f ca="1">OFFSET('Revenue Build'!$C$6,MATCH(Charts!$E18,'Revenue Build'!$C$6:$C$290,0)-1,MATCH(Charts!AG$3,'Revenue Build'!$C$5:$EE$5,0)-1)</f>
        <v>738.10237200000006</v>
      </c>
      <c r="AH18" s="1293">
        <f ca="1">OFFSET('Revenue Build'!$C$6,MATCH(Charts!$E18,'Revenue Build'!$C$6:$C$290,0)-1,MATCH(Charts!AH$3,'Revenue Build'!$C$5:$EE$5,0)-1)</f>
        <v>636.18999999999994</v>
      </c>
      <c r="AI18" s="1293">
        <f ca="1">OFFSET('Revenue Build'!$C$6,MATCH(Charts!$E18,'Revenue Build'!$C$6:$C$290,0)-1,MATCH(Charts!AI$3,'Revenue Build'!$C$5:$EE$5,0)-1)</f>
        <v>706.24999999999989</v>
      </c>
      <c r="AJ18" s="1293">
        <f ca="1">OFFSET('Revenue Build'!$C$6,MATCH(Charts!$E18,'Revenue Build'!$C$6:$C$290,0)-1,MATCH(Charts!AJ$3,'Revenue Build'!$C$5:$EE$5,0)-1)</f>
        <v>693.81999999999994</v>
      </c>
      <c r="AK18" s="1293">
        <f ca="1">OFFSET('Revenue Build'!$C$6,MATCH(Charts!$E18,'Revenue Build'!$C$6:$C$290,0)-1,MATCH(Charts!AK$3,'Revenue Build'!$C$5:$EE$5,0)-1)</f>
        <v>914.7349999999999</v>
      </c>
      <c r="AL18" s="1293">
        <f ca="1">OFFSET('Revenue Build'!$C$6,MATCH(Charts!$E18,'Revenue Build'!$C$6:$C$290,0)-1,MATCH(Charts!AL$3,'Revenue Build'!$C$5:$EE$5,0)-1)</f>
        <v>762.95249999999987</v>
      </c>
      <c r="AM18" s="1293">
        <f ca="1">OFFSET('Revenue Build'!$C$6,MATCH(Charts!$E18,'Revenue Build'!$C$6:$C$290,0)-1,MATCH(Charts!AM$3,'Revenue Build'!$C$5:$EE$5,0)-1)</f>
        <v>837.77459999999985</v>
      </c>
      <c r="AN18" s="1293">
        <f ca="1">OFFSET('Revenue Build'!$C$6,MATCH(Charts!$E18,'Revenue Build'!$C$6:$C$290,0)-1,MATCH(Charts!AN$3,'Revenue Build'!$C$5:$EE$5,0)-1)</f>
        <v>877.57839999999987</v>
      </c>
      <c r="AO18" s="1293">
        <f ca="1">OFFSET('Revenue Build'!$C$6,MATCH(Charts!$E18,'Revenue Build'!$C$6:$C$290,0)-1,MATCH(Charts!AO$3,'Revenue Build'!$C$5:$EE$5,0)-1)</f>
        <v>1143.0655260134847</v>
      </c>
      <c r="AP18" s="1293">
        <f ca="1">OFFSET('Revenue Build'!$C$6,MATCH(Charts!$E18,'Revenue Build'!$C$6:$C$290,0)-1,MATCH(Charts!AP$3,'Revenue Build'!$C$5:$EE$5,0)-1)</f>
        <v>956.14609985366576</v>
      </c>
      <c r="AQ18" s="1293">
        <f ca="1">OFFSET('Revenue Build'!$C$6,MATCH(Charts!$E18,'Revenue Build'!$C$6:$C$290,0)-1,MATCH(Charts!AQ$3,'Revenue Build'!$C$5:$EE$5,0)-1)</f>
        <v>1013.0944921617291</v>
      </c>
      <c r="AR18" s="1293">
        <f ca="1">OFFSET('Revenue Build'!$C$6,MATCH(Charts!$E18,'Revenue Build'!$C$6:$C$290,0)-1,MATCH(Charts!AR$3,'Revenue Build'!$C$5:$EE$5,0)-1)</f>
        <v>1051.717644946842</v>
      </c>
      <c r="AS18" s="1293">
        <f ca="1">OFFSET('Revenue Build'!$C$6,MATCH(Charts!$E18,'Revenue Build'!$C$6:$C$290,0)-1,MATCH(Charts!AS$3,'Revenue Build'!$C$5:$EE$5,0)-1)</f>
        <v>1378.0733963687687</v>
      </c>
      <c r="AT18" s="1293">
        <f ca="1">OFFSET('Revenue Build'!$C$6,MATCH(Charts!$E18,'Revenue Build'!$C$6:$C$290,0)-1,MATCH(Charts!AT$3,'Revenue Build'!$C$5:$EE$5,0)-1)</f>
        <v>1134.461531407695</v>
      </c>
      <c r="AU18" s="1293">
        <f ca="1">OFFSET('Revenue Build'!$C$6,MATCH(Charts!$E18,'Revenue Build'!$C$6:$C$290,0)-1,MATCH(Charts!AU$3,'Revenue Build'!$C$5:$EE$5,0)-1)</f>
        <v>1199.4975354816354</v>
      </c>
      <c r="AV18" s="1293">
        <f ca="1">OFFSET('Revenue Build'!$C$6,MATCH(Charts!$E18,'Revenue Build'!$C$6:$C$290,0)-1,MATCH(Charts!AV$3,'Revenue Build'!$C$5:$EE$5,0)-1)</f>
        <v>1245.6034570184461</v>
      </c>
      <c r="AW18" s="1293">
        <f ca="1">OFFSET('Revenue Build'!$C$6,MATCH(Charts!$E18,'Revenue Build'!$C$6:$C$290,0)-1,MATCH(Charts!AW$3,'Revenue Build'!$C$5:$EE$5,0)-1)</f>
        <v>1628.9372663110391</v>
      </c>
      <c r="AX18" s="1293">
        <f ca="1">OFFSET('Revenue Build'!$C$6,MATCH(Charts!$E18,'Revenue Build'!$C$6:$C$290,0)-1,MATCH(Charts!AX$3,'Revenue Build'!$C$5:$EE$5,0)-1)</f>
        <v>1324.7438398113609</v>
      </c>
      <c r="AY18" s="1293">
        <f ca="1">OFFSET('Revenue Build'!$C$6,MATCH(Charts!$E18,'Revenue Build'!$C$6:$C$290,0)-1,MATCH(Charts!AY$3,'Revenue Build'!$C$5:$EE$5,0)-1)</f>
        <v>1398.0079396551403</v>
      </c>
      <c r="AZ18" s="1293">
        <f ca="1">OFFSET('Revenue Build'!$C$6,MATCH(Charts!$E18,'Revenue Build'!$C$6:$C$290,0)-1,MATCH(Charts!AZ$3,'Revenue Build'!$C$5:$EE$5,0)-1)</f>
        <v>1452.1998984128486</v>
      </c>
      <c r="BA18" s="1293">
        <f ca="1">OFFSET('Revenue Build'!$C$6,MATCH(Charts!$E18,'Revenue Build'!$C$6:$C$290,0)-1,MATCH(Charts!BA$3,'Revenue Build'!$C$5:$EE$5,0)-1)</f>
        <v>1895.6033809555734</v>
      </c>
      <c r="BB18" s="1161"/>
      <c r="BC18" s="1161"/>
      <c r="BD18" s="1161"/>
      <c r="BE18" s="1161"/>
      <c r="BF18" s="1161"/>
      <c r="BG18" s="1161"/>
      <c r="BH18" s="1161"/>
      <c r="BI18" s="1161"/>
      <c r="BJ18" s="1161"/>
      <c r="BK18" s="1161"/>
      <c r="BL18" s="1161"/>
      <c r="BM18" s="1161"/>
      <c r="BN18" s="1161"/>
      <c r="BO18" s="1161"/>
      <c r="BP18" s="1161"/>
      <c r="BQ18" s="1161"/>
      <c r="BR18" s="1161"/>
      <c r="BS18" s="1161"/>
      <c r="BT18" s="1161"/>
      <c r="BU18" s="1161"/>
      <c r="BV18" s="1161"/>
      <c r="BW18" s="1161"/>
      <c r="BX18" s="1161"/>
      <c r="BY18" s="1161"/>
      <c r="BZ18" s="1161"/>
      <c r="CA18" s="1161"/>
      <c r="CB18" s="1161"/>
      <c r="CC18" s="1161"/>
      <c r="CD18" s="1161"/>
      <c r="CE18" s="1161"/>
      <c r="CF18" s="1161"/>
      <c r="CG18" s="1161" t="str">
        <f>E18</f>
        <v>Shopify Payments Revenue</v>
      </c>
      <c r="CH18" s="1288">
        <f ca="1">OFFSET('Revenue Build'!$C$6,MATCH(Charts!$E18,'Revenue Build'!$C$6:$C$70,0)-1,MATCH(Charts!CH$4,'Revenue Build'!$C$4:$ED$4,0)-1)</f>
        <v>0</v>
      </c>
      <c r="CI18" s="1288">
        <f ca="1">OFFSET('Revenue Build'!$C$6,MATCH(Charts!$E18,'Revenue Build'!$C$6:$C$70,0)-1,MATCH(Charts!CI$4,'Revenue Build'!$C$4:$ED$4,0)-1)</f>
        <v>210.69833999999997</v>
      </c>
      <c r="CJ18" s="1288">
        <f ca="1">OFFSET('Revenue Build'!$C$6,MATCH(Charts!$E18,'Revenue Build'!$C$6:$C$70,0)-1,MATCH(Charts!CJ$4,'Revenue Build'!$C$4:$ED$4,0)-1)</f>
        <v>349.73397499999993</v>
      </c>
      <c r="CK18" s="1288">
        <f ca="1">OFFSET('Revenue Build'!$C$6,MATCH(Charts!$E18,'Revenue Build'!$C$6:$C$70,0)-1,MATCH(Charts!CK$4,'Revenue Build'!$C$4:$ED$4,0)-1)</f>
        <v>533.48123999999996</v>
      </c>
      <c r="CL18" s="1288">
        <f ca="1">OFFSET('Revenue Build'!$C$6,MATCH(Charts!$E18,'Revenue Build'!$C$6:$C$70,0)-1,MATCH(Charts!CL$4,'Revenue Build'!$C$4:$ED$4,0)-1)</f>
        <v>1141.7147099999997</v>
      </c>
      <c r="CM18" s="1288">
        <f ca="1">OFFSET('Revenue Build'!$C$6,MATCH(Charts!$E18,'Revenue Build'!$C$6:$C$70,0)-1,MATCH(Charts!CM$4,'Revenue Build'!$C$4:$ED$4,0)-1)</f>
        <v>1830.9323200000001</v>
      </c>
      <c r="CN18" s="1288">
        <f ca="1">OFFSET('Revenue Build'!$C$6,MATCH(Charts!$E18,'Revenue Build'!$C$6:$C$70,0)-1,MATCH(Charts!CN$4,'Revenue Build'!$C$4:$ED$4,0)-1)</f>
        <v>2273.9940649999999</v>
      </c>
      <c r="CO18" s="1288">
        <f ca="1">OFFSET('Revenue Build'!$C$6,MATCH(Charts!$E18,'Revenue Build'!$C$6:$C$70,0)-1,MATCH(Charts!CO$4,'Revenue Build'!$C$4:$ED$4,0)-1)</f>
        <v>2950.9949999999999</v>
      </c>
      <c r="CP18" s="1288">
        <f ca="1">OFFSET('Revenue Build'!$C$6,MATCH(Charts!$E18,'Revenue Build'!$C$6:$C$70,0)-1,MATCH(Charts!CP$4,'Revenue Build'!$C$4:$ED$4,0)-1)</f>
        <v>3621.371026013484</v>
      </c>
      <c r="CQ18" s="1288">
        <f ca="1">OFFSET('Revenue Build'!$C$6,MATCH(Charts!$E18,'Revenue Build'!$C$6:$C$70,0)-1,MATCH(Charts!CQ$4,'Revenue Build'!$C$4:$ED$4,0)-1)</f>
        <v>4399.0316333310057</v>
      </c>
      <c r="CR18" s="1288">
        <f ca="1">OFFSET('Revenue Build'!$C$6,MATCH(Charts!$E18,'Revenue Build'!$C$6:$C$70,0)-1,MATCH(Charts!CR$4,'Revenue Build'!$C$4:$ED$4,0)-1)</f>
        <v>5208.4997902188161</v>
      </c>
      <c r="CS18" s="1288">
        <f ca="1">OFFSET('Revenue Build'!$C$6,MATCH(Charts!$E18,'Revenue Build'!$C$6:$C$70,0)-1,MATCH(Charts!CS$4,'Revenue Build'!$C$4:$ED$4,0)-1)</f>
        <v>6070.5550588349233</v>
      </c>
    </row>
    <row r="19" spans="5:98">
      <c r="E19" s="8" t="str">
        <f>'Revenue Build'!C69</f>
        <v>3P Transaction Fee Revenue</v>
      </c>
      <c r="F19" s="1293">
        <f ca="1">OFFSET('Revenue Build'!$C$6,MATCH(Charts!$E19,'Revenue Build'!$C$6:$C$290,0)-1,MATCH(Charts!F$3,'Revenue Build'!$C$5:$EE$5,0)-1)</f>
        <v>0</v>
      </c>
      <c r="G19" s="1293">
        <f ca="1">OFFSET('Revenue Build'!$C$6,MATCH(Charts!$E19,'Revenue Build'!$C$6:$C$290,0)-1,MATCH(Charts!G$3,'Revenue Build'!$C$5:$EE$5,0)-1)</f>
        <v>0</v>
      </c>
      <c r="H19" s="1293">
        <f ca="1">OFFSET('Revenue Build'!$C$6,MATCH(Charts!$E19,'Revenue Build'!$C$6:$C$290,0)-1,MATCH(Charts!H$3,'Revenue Build'!$C$5:$EE$5,0)-1)</f>
        <v>0</v>
      </c>
      <c r="I19" s="1293">
        <f ca="1">OFFSET('Revenue Build'!$C$6,MATCH(Charts!$E19,'Revenue Build'!$C$6:$C$290,0)-1,MATCH(Charts!I$3,'Revenue Build'!$C$5:$EE$5,0)-1)</f>
        <v>0</v>
      </c>
      <c r="J19" s="1293">
        <f ca="1">OFFSET('Revenue Build'!$C$6,MATCH(Charts!$E19,'Revenue Build'!$C$6:$C$290,0)-1,MATCH(Charts!J$3,'Revenue Build'!$C$5:$EE$5,0)-1)</f>
        <v>22.201660000000004</v>
      </c>
      <c r="K19" s="1293">
        <f ca="1">OFFSET('Revenue Build'!$C$6,MATCH(Charts!$E19,'Revenue Build'!$C$6:$C$290,0)-1,MATCH(Charts!K$3,'Revenue Build'!$C$5:$EE$5,0)-1)</f>
        <v>27.219380000000001</v>
      </c>
      <c r="L19" s="1293">
        <f ca="1">OFFSET('Revenue Build'!$C$6,MATCH(Charts!$E19,'Revenue Build'!$C$6:$C$290,0)-1,MATCH(Charts!L$3,'Revenue Build'!$C$5:$EE$5,0)-1)</f>
        <v>30.267140000000001</v>
      </c>
      <c r="M19" s="1293">
        <f ca="1">OFFSET('Revenue Build'!$C$6,MATCH(Charts!$E19,'Revenue Build'!$C$6:$C$290,0)-1,MATCH(Charts!M$3,'Revenue Build'!$C$5:$EE$5,0)-1)</f>
        <v>43.824639999999995</v>
      </c>
      <c r="N19" s="1293">
        <f ca="1">OFFSET('Revenue Build'!$C$6,MATCH(Charts!$E19,'Revenue Build'!$C$6:$C$290,0)-1,MATCH(Charts!N$3,'Revenue Build'!$C$5:$EE$5,0)-1)</f>
        <v>36.525439999999996</v>
      </c>
      <c r="O19" s="1293">
        <f ca="1">OFFSET('Revenue Build'!$C$6,MATCH(Charts!$E19,'Revenue Build'!$C$6:$C$290,0)-1,MATCH(Charts!O$3,'Revenue Build'!$C$5:$EE$5,0)-1)</f>
        <v>42.957439999999998</v>
      </c>
      <c r="P19" s="1293">
        <f ca="1">OFFSET('Revenue Build'!$C$6,MATCH(Charts!$E19,'Revenue Build'!$C$6:$C$290,0)-1,MATCH(Charts!P$3,'Revenue Build'!$C$5:$EE$5,0)-1)</f>
        <v>47.855040000000002</v>
      </c>
      <c r="Q19" s="1293">
        <f ca="1">OFFSET('Revenue Build'!$C$6,MATCH(Charts!$E19,'Revenue Build'!$C$6:$C$290,0)-1,MATCH(Charts!Q$3,'Revenue Build'!$C$5:$EE$5,0)-1)</f>
        <v>67.296639999999996</v>
      </c>
      <c r="R19" s="1293">
        <f ca="1">OFFSET('Revenue Build'!$C$6,MATCH(Charts!$E19,'Revenue Build'!$C$6:$C$290,0)-1,MATCH(Charts!R$3,'Revenue Build'!$C$5:$EE$5,0)-1)</f>
        <v>54.009300000000003</v>
      </c>
      <c r="S19" s="1293">
        <f ca="1">OFFSET('Revenue Build'!$C$6,MATCH(Charts!$E19,'Revenue Build'!$C$6:$C$290,0)-1,MATCH(Charts!S$3,'Revenue Build'!$C$5:$EE$5,0)-1)</f>
        <v>62.679599999999994</v>
      </c>
      <c r="T19" s="1293">
        <f ca="1">OFFSET('Revenue Build'!$C$6,MATCH(Charts!$E19,'Revenue Build'!$C$6:$C$290,0)-1,MATCH(Charts!T$3,'Revenue Build'!$C$5:$EE$5,0)-1)</f>
        <v>67.492499999999993</v>
      </c>
      <c r="U19" s="1293">
        <f ca="1">OFFSET('Revenue Build'!$C$6,MATCH(Charts!$E19,'Revenue Build'!$C$6:$C$290,0)-1,MATCH(Charts!U$3,'Revenue Build'!$C$5:$EE$5,0)-1)</f>
        <v>96.598200000000006</v>
      </c>
      <c r="V19" s="1293">
        <f ca="1">OFFSET('Revenue Build'!$C$6,MATCH(Charts!$E19,'Revenue Build'!$C$6:$C$290,0)-1,MATCH(Charts!V$3,'Revenue Build'!$C$5:$EE$5,0)-1)</f>
        <v>79.069759999999988</v>
      </c>
      <c r="W19" s="1293">
        <f ca="1">OFFSET('Revenue Build'!$C$6,MATCH(Charts!$E19,'Revenue Build'!$C$6:$C$290,0)-1,MATCH(Charts!W$3,'Revenue Build'!$C$5:$EE$5,0)-1)</f>
        <v>145.01396</v>
      </c>
      <c r="X19" s="1293">
        <f ca="1">OFFSET('Revenue Build'!$C$6,MATCH(Charts!$E19,'Revenue Build'!$C$6:$C$290,0)-1,MATCH(Charts!X$3,'Revenue Build'!$C$5:$EE$5,0)-1)</f>
        <v>146.19667999999999</v>
      </c>
      <c r="Y19" s="1293">
        <f ca="1">OFFSET('Revenue Build'!$C$6,MATCH(Charts!$E19,'Revenue Build'!$C$6:$C$290,0)-1,MATCH(Charts!Y$3,'Revenue Build'!$C$5:$EE$5,0)-1)</f>
        <v>195.52511999999996</v>
      </c>
      <c r="Z19" s="1293">
        <f ca="1">OFFSET('Revenue Build'!$C$6,MATCH(Charts!$E19,'Revenue Build'!$C$6:$C$290,0)-1,MATCH(Charts!Z$3,'Revenue Build'!$C$5:$EE$5,0)-1)</f>
        <v>173.67115999999996</v>
      </c>
      <c r="AA19" s="1293">
        <f ca="1">OFFSET('Revenue Build'!$C$6,MATCH(Charts!$E19,'Revenue Build'!$C$6:$C$290,0)-1,MATCH(Charts!AA$3,'Revenue Build'!$C$5:$EE$5,0)-1)</f>
        <v>204.15407999999996</v>
      </c>
      <c r="AB19" s="1293">
        <f ca="1">OFFSET('Revenue Build'!$C$6,MATCH(Charts!$E19,'Revenue Build'!$C$6:$C$290,0)-1,MATCH(Charts!AB$3,'Revenue Build'!$C$5:$EE$5,0)-1)</f>
        <v>204.75831999999997</v>
      </c>
      <c r="AC19" s="1293">
        <f ca="1">OFFSET('Revenue Build'!$C$6,MATCH(Charts!$E19,'Revenue Build'!$C$6:$C$290,0)-1,MATCH(Charts!AC$3,'Revenue Build'!$C$5:$EE$5,0)-1)</f>
        <v>267.49215999999996</v>
      </c>
      <c r="AD19" s="1293">
        <f ca="1">OFFSET('Revenue Build'!$C$6,MATCH(Charts!$E19,'Revenue Build'!$C$6:$C$290,0)-1,MATCH(Charts!AD$3,'Revenue Build'!$C$5:$EE$5,0)-1)</f>
        <v>210.42118999999994</v>
      </c>
      <c r="AE19" s="1293">
        <f ca="1">OFFSET('Revenue Build'!$C$6,MATCH(Charts!$E19,'Revenue Build'!$C$6:$C$290,0)-1,MATCH(Charts!AE$3,'Revenue Build'!$C$5:$EE$5,0)-1)</f>
        <v>227.51189999999994</v>
      </c>
      <c r="AF19" s="1293">
        <f ca="1">OFFSET('Revenue Build'!$C$6,MATCH(Charts!$E19,'Revenue Build'!$C$6:$C$290,0)-1,MATCH(Charts!AF$3,'Revenue Build'!$C$5:$EE$5,0)-1)</f>
        <v>242.52525499999993</v>
      </c>
      <c r="AG19" s="1293">
        <f ca="1">OFFSET('Revenue Build'!$C$6,MATCH(Charts!$E19,'Revenue Build'!$C$6:$C$290,0)-1,MATCH(Charts!AG$3,'Revenue Build'!$C$5:$EE$5,0)-1)</f>
        <v>327.0073799999999</v>
      </c>
      <c r="AH19" s="1293">
        <f ca="1">OFFSET('Revenue Build'!$C$6,MATCH(Charts!$E19,'Revenue Build'!$C$6:$C$290,0)-1,MATCH(Charts!AH$3,'Revenue Build'!$C$5:$EE$5,0)-1)</f>
        <v>264.60999999999996</v>
      </c>
      <c r="AI19" s="1293">
        <f ca="1">OFFSET('Revenue Build'!$C$6,MATCH(Charts!$E19,'Revenue Build'!$C$6:$C$290,0)-1,MATCH(Charts!AI$3,'Revenue Build'!$C$5:$EE$5,0)-1)</f>
        <v>293.75</v>
      </c>
      <c r="AJ19" s="1293">
        <f ca="1">OFFSET('Revenue Build'!$C$6,MATCH(Charts!$E19,'Revenue Build'!$C$6:$C$290,0)-1,MATCH(Charts!AJ$3,'Revenue Build'!$C$5:$EE$5,0)-1)</f>
        <v>288.58</v>
      </c>
      <c r="AK19" s="1293">
        <f ca="1">OFFSET('Revenue Build'!$C$6,MATCH(Charts!$E19,'Revenue Build'!$C$6:$C$290,0)-1,MATCH(Charts!AK$3,'Revenue Build'!$C$5:$EE$5,0)-1)</f>
        <v>380.46499999999997</v>
      </c>
      <c r="AL19" s="1293">
        <f ca="1">OFFSET('Revenue Build'!$C$6,MATCH(Charts!$E19,'Revenue Build'!$C$6:$C$290,0)-1,MATCH(Charts!AL$3,'Revenue Build'!$C$5:$EE$5,0)-1)</f>
        <v>310.5</v>
      </c>
      <c r="AM19" s="1293">
        <f ca="1">OFFSET('Revenue Build'!$C$6,MATCH(Charts!$E19,'Revenue Build'!$C$6:$C$290,0)-1,MATCH(Charts!AM$3,'Revenue Build'!$C$5:$EE$5,0)-1)</f>
        <v>340.85999999999996</v>
      </c>
      <c r="AN19" s="1293">
        <f ca="1">OFFSET('Revenue Build'!$C$6,MATCH(Charts!$E19,'Revenue Build'!$C$6:$C$290,0)-1,MATCH(Charts!AN$3,'Revenue Build'!$C$5:$EE$5,0)-1)</f>
        <v>356.96</v>
      </c>
      <c r="AO19" s="1293">
        <f ca="1">OFFSET('Revenue Build'!$C$6,MATCH(Charts!$E19,'Revenue Build'!$C$6:$C$290,0)-1,MATCH(Charts!AO$3,'Revenue Build'!$C$5:$EE$5,0)-1)</f>
        <v>438.06783744211066</v>
      </c>
      <c r="AP19" s="1293">
        <f ca="1">OFFSET('Revenue Build'!$C$6,MATCH(Charts!$E19,'Revenue Build'!$C$6:$C$290,0)-1,MATCH(Charts!AP$3,'Revenue Build'!$C$5:$EE$5,0)-1)</f>
        <v>357.36784273266437</v>
      </c>
      <c r="AQ19" s="1293">
        <f ca="1">OFFSET('Revenue Build'!$C$6,MATCH(Charts!$E19,'Revenue Build'!$C$6:$C$290,0)-1,MATCH(Charts!AQ$3,'Revenue Build'!$C$5:$EE$5,0)-1)</f>
        <v>378.07677827603374</v>
      </c>
      <c r="AR19" s="1293">
        <f ca="1">OFFSET('Revenue Build'!$C$6,MATCH(Charts!$E19,'Revenue Build'!$C$6:$C$290,0)-1,MATCH(Charts!AR$3,'Revenue Build'!$C$5:$EE$5,0)-1)</f>
        <v>392.29371061316732</v>
      </c>
      <c r="AS19" s="1293">
        <f ca="1">OFFSET('Revenue Build'!$C$6,MATCH(Charts!$E19,'Revenue Build'!$C$6:$C$290,0)-1,MATCH(Charts!AS$3,'Revenue Build'!$C$5:$EE$5,0)-1)</f>
        <v>483.93262705610414</v>
      </c>
      <c r="AT19" s="1293">
        <f ca="1">OFFSET('Revenue Build'!$C$6,MATCH(Charts!$E19,'Revenue Build'!$C$6:$C$290,0)-1,MATCH(Charts!AT$3,'Revenue Build'!$C$5:$EE$5,0)-1)</f>
        <v>395.33337757294959</v>
      </c>
      <c r="AU19" s="1293">
        <f ca="1">OFFSET('Revenue Build'!$C$6,MATCH(Charts!$E19,'Revenue Build'!$C$6:$C$290,0)-1,MATCH(Charts!AU$3,'Revenue Build'!$C$5:$EE$5,0)-1)</f>
        <v>416.78907057963147</v>
      </c>
      <c r="AV19" s="1293">
        <f ca="1">OFFSET('Revenue Build'!$C$6,MATCH(Charts!$E19,'Revenue Build'!$C$6:$C$290,0)-1,MATCH(Charts!AV$3,'Revenue Build'!$C$5:$EE$5,0)-1)</f>
        <v>432.48510746290503</v>
      </c>
      <c r="AW19" s="1293">
        <f ca="1">OFFSET('Revenue Build'!$C$6,MATCH(Charts!$E19,'Revenue Build'!$C$6:$C$290,0)-1,MATCH(Charts!AW$3,'Revenue Build'!$C$5:$EE$5,0)-1)</f>
        <v>532.03046550209979</v>
      </c>
      <c r="AX19" s="1293">
        <f ca="1">OFFSET('Revenue Build'!$C$6,MATCH(Charts!$E19,'Revenue Build'!$C$6:$C$290,0)-1,MATCH(Charts!AX$3,'Revenue Build'!$C$5:$EE$5,0)-1)</f>
        <v>437.31036789810605</v>
      </c>
      <c r="AY19" s="1293">
        <f ca="1">OFFSET('Revenue Build'!$C$6,MATCH(Charts!$E19,'Revenue Build'!$C$6:$C$290,0)-1,MATCH(Charts!AY$3,'Revenue Build'!$C$5:$EE$5,0)-1)</f>
        <v>459.57352393200676</v>
      </c>
      <c r="AZ19" s="1293">
        <f ca="1">OFFSET('Revenue Build'!$C$6,MATCH(Charts!$E19,'Revenue Build'!$C$6:$C$290,0)-1,MATCH(Charts!AZ$3,'Revenue Build'!$C$5:$EE$5,0)-1)</f>
        <v>476.90455687483467</v>
      </c>
      <c r="BA19" s="1293">
        <f ca="1">OFFSET('Revenue Build'!$C$6,MATCH(Charts!$E19,'Revenue Build'!$C$6:$C$290,0)-1,MATCH(Charts!BA$3,'Revenue Build'!$C$5:$EE$5,0)-1)</f>
        <v>585.16885356758564</v>
      </c>
      <c r="BB19" s="1161"/>
      <c r="BC19" s="1161"/>
      <c r="BD19" s="1161"/>
      <c r="BE19" s="1161"/>
      <c r="BF19" s="1161"/>
      <c r="BG19" s="1161"/>
      <c r="BH19" s="1161"/>
      <c r="BI19" s="1161"/>
      <c r="BJ19" s="1161"/>
      <c r="BK19" s="1161"/>
      <c r="BL19" s="1161"/>
      <c r="BM19" s="1161"/>
      <c r="BN19" s="1161"/>
      <c r="BO19" s="1161"/>
      <c r="BP19" s="1161"/>
      <c r="BQ19" s="1161"/>
      <c r="BR19" s="1161"/>
      <c r="BS19" s="1161"/>
      <c r="BT19" s="1161"/>
      <c r="BU19" s="1161"/>
      <c r="BV19" s="1161"/>
      <c r="BW19" s="1161"/>
      <c r="BX19" s="1161"/>
      <c r="BY19" s="1161"/>
      <c r="BZ19" s="1161"/>
      <c r="CA19" s="1161"/>
      <c r="CB19" s="1161"/>
      <c r="CC19" s="1161"/>
      <c r="CD19" s="1161"/>
      <c r="CE19" s="1161"/>
      <c r="CF19" s="1161"/>
      <c r="CG19" s="1161" t="str">
        <f>E19</f>
        <v>3P Transaction Fee Revenue</v>
      </c>
      <c r="CH19" s="1288">
        <f ca="1">OFFSET('Revenue Build'!$C$6,MATCH(Charts!$E19,'Revenue Build'!$C$6:$C$70,0)-1,MATCH(Charts!CH$4,'Revenue Build'!$C$4:$ED$4,0)-1)</f>
        <v>0</v>
      </c>
      <c r="CI19" s="1288">
        <f ca="1">OFFSET('Revenue Build'!$C$6,MATCH(Charts!$E19,'Revenue Build'!$C$6:$C$70,0)-1,MATCH(Charts!CI$4,'Revenue Build'!$C$4:$ED$4,0)-1)</f>
        <v>123.51282</v>
      </c>
      <c r="CJ19" s="1288">
        <f ca="1">OFFSET('Revenue Build'!$C$6,MATCH(Charts!$E19,'Revenue Build'!$C$6:$C$70,0)-1,MATCH(Charts!CJ$4,'Revenue Build'!$C$4:$ED$4,0)-1)</f>
        <v>194.63455999999999</v>
      </c>
      <c r="CK19" s="1288">
        <f ca="1">OFFSET('Revenue Build'!$C$6,MATCH(Charts!$E19,'Revenue Build'!$C$6:$C$70,0)-1,MATCH(Charts!CK$4,'Revenue Build'!$C$4:$ED$4,0)-1)</f>
        <v>280.77960000000002</v>
      </c>
      <c r="CL19" s="1288">
        <f ca="1">OFFSET('Revenue Build'!$C$6,MATCH(Charts!$E19,'Revenue Build'!$C$6:$C$70,0)-1,MATCH(Charts!CL$4,'Revenue Build'!$C$4:$ED$4,0)-1)</f>
        <v>565.80551999999989</v>
      </c>
      <c r="CM19" s="1288">
        <f ca="1">OFFSET('Revenue Build'!$C$6,MATCH(Charts!$E19,'Revenue Build'!$C$6:$C$70,0)-1,MATCH(Charts!CM$4,'Revenue Build'!$C$4:$ED$4,0)-1)</f>
        <v>850.07571999999982</v>
      </c>
      <c r="CN19" s="1288">
        <f ca="1">OFFSET('Revenue Build'!$C$6,MATCH(Charts!$E19,'Revenue Build'!$C$6:$C$70,0)-1,MATCH(Charts!CN$4,'Revenue Build'!$C$4:$ED$4,0)-1)</f>
        <v>1007.4657249999997</v>
      </c>
      <c r="CO19" s="1288">
        <f ca="1">OFFSET('Revenue Build'!$C$6,MATCH(Charts!$E19,'Revenue Build'!$C$6:$C$70,0)-1,MATCH(Charts!CO$4,'Revenue Build'!$C$4:$ED$4,0)-1)</f>
        <v>1227.4049999999997</v>
      </c>
      <c r="CP19" s="1288">
        <f ca="1">OFFSET('Revenue Build'!$C$6,MATCH(Charts!$E19,'Revenue Build'!$C$6:$C$70,0)-1,MATCH(Charts!CP$4,'Revenue Build'!$C$4:$ED$4,0)-1)</f>
        <v>1446.3878374421106</v>
      </c>
      <c r="CQ19" s="1288">
        <f ca="1">OFFSET('Revenue Build'!$C$6,MATCH(Charts!$E19,'Revenue Build'!$C$6:$C$70,0)-1,MATCH(Charts!CQ$4,'Revenue Build'!$C$4:$ED$4,0)-1)</f>
        <v>1611.6709586779696</v>
      </c>
      <c r="CR19" s="1288">
        <f ca="1">OFFSET('Revenue Build'!$C$6,MATCH(Charts!$E19,'Revenue Build'!$C$6:$C$70,0)-1,MATCH(Charts!CR$4,'Revenue Build'!$C$4:$ED$4,0)-1)</f>
        <v>1776.6380211175858</v>
      </c>
      <c r="CS19" s="1288">
        <f ca="1">OFFSET('Revenue Build'!$C$6,MATCH(Charts!$E19,'Revenue Build'!$C$6:$C$70,0)-1,MATCH(Charts!CS$4,'Revenue Build'!$C$4:$ED$4,0)-1)</f>
        <v>1958.9573022725331</v>
      </c>
    </row>
    <row r="20" spans="5:98">
      <c r="E20" s="1302" t="str">
        <f>'Revenue Build'!C73</f>
        <v>Total Payments Revenue</v>
      </c>
      <c r="F20" s="1294">
        <f ca="1">OFFSET('Revenue Build'!$C$6,MATCH(Charts!$E20,'Revenue Build'!$C$6:$C$290,0)-1,MATCH(Charts!F$3,'Revenue Build'!$C$5:$EE$5,0)-1)</f>
        <v>0</v>
      </c>
      <c r="G20" s="1294">
        <f ca="1">OFFSET('Revenue Build'!$C$6,MATCH(Charts!$E20,'Revenue Build'!$C$6:$C$290,0)-1,MATCH(Charts!G$3,'Revenue Build'!$C$5:$EE$5,0)-1)</f>
        <v>0</v>
      </c>
      <c r="H20" s="1294">
        <f ca="1">OFFSET('Revenue Build'!$C$6,MATCH(Charts!$E20,'Revenue Build'!$C$6:$C$290,0)-1,MATCH(Charts!H$3,'Revenue Build'!$C$5:$EE$5,0)-1)</f>
        <v>0</v>
      </c>
      <c r="I20" s="1294">
        <f ca="1">OFFSET('Revenue Build'!$C$6,MATCH(Charts!$E20,'Revenue Build'!$C$6:$C$290,0)-1,MATCH(Charts!I$3,'Revenue Build'!$C$5:$EE$5,0)-1)</f>
        <v>0</v>
      </c>
      <c r="J20" s="1294">
        <f ca="1">OFFSET('Revenue Build'!$C$6,MATCH(Charts!$E20,'Revenue Build'!$C$6:$C$290,0)-1,MATCH(Charts!J$3,'Revenue Build'!$C$5:$EE$5,0)-1)</f>
        <v>60.075080000000007</v>
      </c>
      <c r="K20" s="1294">
        <f ca="1">OFFSET('Revenue Build'!$C$6,MATCH(Charts!$E20,'Revenue Build'!$C$6:$C$290,0)-1,MATCH(Charts!K$3,'Revenue Build'!$C$5:$EE$5,0)-1)</f>
        <v>73.652439999999999</v>
      </c>
      <c r="L20" s="1294">
        <f ca="1">OFFSET('Revenue Build'!$C$6,MATCH(Charts!$E20,'Revenue Build'!$C$6:$C$290,0)-1,MATCH(Charts!L$3,'Revenue Build'!$C$5:$EE$5,0)-1)</f>
        <v>81.899320000000003</v>
      </c>
      <c r="M20" s="1294">
        <f ca="1">OFFSET('Revenue Build'!$C$6,MATCH(Charts!$E20,'Revenue Build'!$C$6:$C$290,0)-1,MATCH(Charts!M$3,'Revenue Build'!$C$5:$EE$5,0)-1)</f>
        <v>118.58431999999999</v>
      </c>
      <c r="N20" s="1294">
        <f ca="1">OFFSET('Revenue Build'!$C$6,MATCH(Charts!$E20,'Revenue Build'!$C$6:$C$290,0)-1,MATCH(Charts!N$3,'Revenue Build'!$C$5:$EE$5,0)-1)</f>
        <v>102.15708999999998</v>
      </c>
      <c r="O20" s="1294">
        <f ca="1">OFFSET('Revenue Build'!$C$6,MATCH(Charts!$E20,'Revenue Build'!$C$6:$C$290,0)-1,MATCH(Charts!O$3,'Revenue Build'!$C$5:$EE$5,0)-1)</f>
        <v>120.14658999999997</v>
      </c>
      <c r="P20" s="1294">
        <f ca="1">OFFSET('Revenue Build'!$C$6,MATCH(Charts!$E20,'Revenue Build'!$C$6:$C$290,0)-1,MATCH(Charts!P$3,'Revenue Build'!$C$5:$EE$5,0)-1)</f>
        <v>133.84456499999999</v>
      </c>
      <c r="Q20" s="1294">
        <f ca="1">OFFSET('Revenue Build'!$C$6,MATCH(Charts!$E20,'Revenue Build'!$C$6:$C$290,0)-1,MATCH(Charts!Q$3,'Revenue Build'!$C$5:$EE$5,0)-1)</f>
        <v>188.22028999999998</v>
      </c>
      <c r="R20" s="1294">
        <f ca="1">OFFSET('Revenue Build'!$C$6,MATCH(Charts!$E20,'Revenue Build'!$C$6:$C$290,0)-1,MATCH(Charts!R$3,'Revenue Build'!$C$5:$EE$5,0)-1)</f>
        <v>156.62697</v>
      </c>
      <c r="S20" s="1294">
        <f ca="1">OFFSET('Revenue Build'!$C$6,MATCH(Charts!$E20,'Revenue Build'!$C$6:$C$290,0)-1,MATCH(Charts!S$3,'Revenue Build'!$C$5:$EE$5,0)-1)</f>
        <v>181.77083999999996</v>
      </c>
      <c r="T20" s="1294">
        <f ca="1">OFFSET('Revenue Build'!$C$6,MATCH(Charts!$E20,'Revenue Build'!$C$6:$C$290,0)-1,MATCH(Charts!T$3,'Revenue Build'!$C$5:$EE$5,0)-1)</f>
        <v>195.72825</v>
      </c>
      <c r="U20" s="1294">
        <f ca="1">OFFSET('Revenue Build'!$C$6,MATCH(Charts!$E20,'Revenue Build'!$C$6:$C$290,0)-1,MATCH(Charts!U$3,'Revenue Build'!$C$5:$EE$5,0)-1)</f>
        <v>280.13477999999998</v>
      </c>
      <c r="V20" s="1294">
        <f ca="1">OFFSET('Revenue Build'!$C$6,MATCH(Charts!$E20,'Revenue Build'!$C$6:$C$290,0)-1,MATCH(Charts!V$3,'Revenue Build'!$C$5:$EE$5,0)-1)</f>
        <v>238.62123999999994</v>
      </c>
      <c r="W20" s="1294">
        <f ca="1">OFFSET('Revenue Build'!$C$6,MATCH(Charts!$E20,'Revenue Build'!$C$6:$C$290,0)-1,MATCH(Charts!W$3,'Revenue Build'!$C$5:$EE$5,0)-1)</f>
        <v>437.631415</v>
      </c>
      <c r="X20" s="1294">
        <f ca="1">OFFSET('Revenue Build'!$C$6,MATCH(Charts!$E20,'Revenue Build'!$C$6:$C$290,0)-1,MATCH(Charts!X$3,'Revenue Build'!$C$5:$EE$5,0)-1)</f>
        <v>441.200695</v>
      </c>
      <c r="Y20" s="1294">
        <f ca="1">OFFSET('Revenue Build'!$C$6,MATCH(Charts!$E20,'Revenue Build'!$C$6:$C$290,0)-1,MATCH(Charts!Y$3,'Revenue Build'!$C$5:$EE$5,0)-1)</f>
        <v>590.06687999999986</v>
      </c>
      <c r="Z20" s="1294">
        <f ca="1">OFFSET('Revenue Build'!$C$6,MATCH(Charts!$E20,'Revenue Build'!$C$6:$C$290,0)-1,MATCH(Charts!Z$3,'Revenue Build'!$C$5:$EE$5,0)-1)</f>
        <v>547.73212000000001</v>
      </c>
      <c r="AA20" s="1294">
        <f ca="1">OFFSET('Revenue Build'!$C$6,MATCH(Charts!$E20,'Revenue Build'!$C$6:$C$290,0)-1,MATCH(Charts!AA$3,'Revenue Build'!$C$5:$EE$5,0)-1)</f>
        <v>643.87056000000007</v>
      </c>
      <c r="AB20" s="1294">
        <f ca="1">OFFSET('Revenue Build'!$C$6,MATCH(Charts!$E20,'Revenue Build'!$C$6:$C$290,0)-1,MATCH(Charts!AB$3,'Revenue Build'!$C$5:$EE$5,0)-1)</f>
        <v>645.77624000000003</v>
      </c>
      <c r="AC20" s="1294">
        <f ca="1">OFFSET('Revenue Build'!$C$6,MATCH(Charts!$E20,'Revenue Build'!$C$6:$C$290,0)-1,MATCH(Charts!AC$3,'Revenue Build'!$C$5:$EE$5,0)-1)</f>
        <v>843.62912000000006</v>
      </c>
      <c r="AD20" s="1294">
        <f ca="1">OFFSET('Revenue Build'!$C$6,MATCH(Charts!$E20,'Revenue Build'!$C$6:$C$290,0)-1,MATCH(Charts!AD$3,'Revenue Build'!$C$5:$EE$5,0)-1)</f>
        <v>685.37187599999993</v>
      </c>
      <c r="AE20" s="1294">
        <f ca="1">OFFSET('Revenue Build'!$C$6,MATCH(Charts!$E20,'Revenue Build'!$C$6:$C$290,0)-1,MATCH(Charts!AE$3,'Revenue Build'!$C$5:$EE$5,0)-1)</f>
        <v>741.03876000000002</v>
      </c>
      <c r="AF20" s="1294">
        <f ca="1">OFFSET('Revenue Build'!$C$6,MATCH(Charts!$E20,'Revenue Build'!$C$6:$C$290,0)-1,MATCH(Charts!AF$3,'Revenue Build'!$C$5:$EE$5,0)-1)</f>
        <v>789.93940199999997</v>
      </c>
      <c r="AG20" s="1294">
        <f ca="1">OFFSET('Revenue Build'!$C$6,MATCH(Charts!$E20,'Revenue Build'!$C$6:$C$290,0)-1,MATCH(Charts!AG$3,'Revenue Build'!$C$5:$EE$5,0)-1)</f>
        <v>1065.1097519999998</v>
      </c>
      <c r="AH20" s="1294">
        <f ca="1">OFFSET('Revenue Build'!$C$6,MATCH(Charts!$E20,'Revenue Build'!$C$6:$C$290,0)-1,MATCH(Charts!AH$3,'Revenue Build'!$C$5:$EE$5,0)-1)</f>
        <v>900.8</v>
      </c>
      <c r="AI20" s="1294">
        <f ca="1">OFFSET('Revenue Build'!$C$6,MATCH(Charts!$E20,'Revenue Build'!$C$6:$C$290,0)-1,MATCH(Charts!AI$3,'Revenue Build'!$C$5:$EE$5,0)-1)</f>
        <v>999.99999999999989</v>
      </c>
      <c r="AJ20" s="1294">
        <f ca="1">OFFSET('Revenue Build'!$C$6,MATCH(Charts!$E20,'Revenue Build'!$C$6:$C$290,0)-1,MATCH(Charts!AJ$3,'Revenue Build'!$C$5:$EE$5,0)-1)</f>
        <v>982.39999999999986</v>
      </c>
      <c r="AK20" s="1294">
        <f ca="1">OFFSET('Revenue Build'!$C$6,MATCH(Charts!$E20,'Revenue Build'!$C$6:$C$290,0)-1,MATCH(Charts!AK$3,'Revenue Build'!$C$5:$EE$5,0)-1)</f>
        <v>1295.1999999999998</v>
      </c>
      <c r="AL20" s="1294">
        <f ca="1">OFFSET('Revenue Build'!$C$6,MATCH(Charts!$E20,'Revenue Build'!$C$6:$C$290,0)-1,MATCH(Charts!AL$3,'Revenue Build'!$C$5:$EE$5,0)-1)</f>
        <v>1073.4524999999999</v>
      </c>
      <c r="AM20" s="1294">
        <f ca="1">OFFSET('Revenue Build'!$C$6,MATCH(Charts!$E20,'Revenue Build'!$C$6:$C$290,0)-1,MATCH(Charts!AM$3,'Revenue Build'!$C$5:$EE$5,0)-1)</f>
        <v>1178.6345999999999</v>
      </c>
      <c r="AN20" s="1294">
        <f ca="1">OFFSET('Revenue Build'!$C$6,MATCH(Charts!$E20,'Revenue Build'!$C$6:$C$290,0)-1,MATCH(Charts!AN$3,'Revenue Build'!$C$5:$EE$5,0)-1)</f>
        <v>1234.5383999999999</v>
      </c>
      <c r="AO20" s="1294">
        <f ca="1">OFFSET('Revenue Build'!$C$6,MATCH(Charts!$E20,'Revenue Build'!$C$6:$C$290,0)-1,MATCH(Charts!AO$3,'Revenue Build'!$C$5:$EE$5,0)-1)</f>
        <v>1581.1333634555954</v>
      </c>
      <c r="AP20" s="1294">
        <f ca="1">OFFSET('Revenue Build'!$C$6,MATCH(Charts!$E20,'Revenue Build'!$C$6:$C$290,0)-1,MATCH(Charts!AP$3,'Revenue Build'!$C$5:$EE$5,0)-1)</f>
        <v>1313.5139425863301</v>
      </c>
      <c r="AQ20" s="1294">
        <f ca="1">OFFSET('Revenue Build'!$C$6,MATCH(Charts!$E20,'Revenue Build'!$C$6:$C$290,0)-1,MATCH(Charts!AQ$3,'Revenue Build'!$C$5:$EE$5,0)-1)</f>
        <v>1391.1712704377628</v>
      </c>
      <c r="AR20" s="1294">
        <f ca="1">OFFSET('Revenue Build'!$C$6,MATCH(Charts!$E20,'Revenue Build'!$C$6:$C$290,0)-1,MATCH(Charts!AR$3,'Revenue Build'!$C$5:$EE$5,0)-1)</f>
        <v>1444.0113555600094</v>
      </c>
      <c r="AS20" s="1294">
        <f ca="1">OFFSET('Revenue Build'!$C$6,MATCH(Charts!$E20,'Revenue Build'!$C$6:$C$290,0)-1,MATCH(Charts!AS$3,'Revenue Build'!$C$5:$EE$5,0)-1)</f>
        <v>1862.0060234248729</v>
      </c>
      <c r="AT20" s="1294">
        <f ca="1">OFFSET('Revenue Build'!$C$6,MATCH(Charts!$E20,'Revenue Build'!$C$6:$C$290,0)-1,MATCH(Charts!AT$3,'Revenue Build'!$C$5:$EE$5,0)-1)</f>
        <v>1529.7949089806445</v>
      </c>
      <c r="AU20" s="1294">
        <f ca="1">OFFSET('Revenue Build'!$C$6,MATCH(Charts!$E20,'Revenue Build'!$C$6:$C$290,0)-1,MATCH(Charts!AU$3,'Revenue Build'!$C$5:$EE$5,0)-1)</f>
        <v>1616.2866060612669</v>
      </c>
      <c r="AV20" s="1294">
        <f ca="1">OFFSET('Revenue Build'!$C$6,MATCH(Charts!$E20,'Revenue Build'!$C$6:$C$290,0)-1,MATCH(Charts!AV$3,'Revenue Build'!$C$5:$EE$5,0)-1)</f>
        <v>1678.0885644813511</v>
      </c>
      <c r="AW20" s="1294">
        <f ca="1">OFFSET('Revenue Build'!$C$6,MATCH(Charts!$E20,'Revenue Build'!$C$6:$C$290,0)-1,MATCH(Charts!AW$3,'Revenue Build'!$C$5:$EE$5,0)-1)</f>
        <v>2160.9677318131389</v>
      </c>
      <c r="AX20" s="1294">
        <f ca="1">OFFSET('Revenue Build'!$C$6,MATCH(Charts!$E20,'Revenue Build'!$C$6:$C$290,0)-1,MATCH(Charts!AX$3,'Revenue Build'!$C$5:$EE$5,0)-1)</f>
        <v>1762.0542077094669</v>
      </c>
      <c r="AY20" s="1294">
        <f ca="1">OFFSET('Revenue Build'!$C$6,MATCH(Charts!$E20,'Revenue Build'!$C$6:$C$290,0)-1,MATCH(Charts!AY$3,'Revenue Build'!$C$5:$EE$5,0)-1)</f>
        <v>1857.581463587147</v>
      </c>
      <c r="AZ20" s="1294">
        <f ca="1">OFFSET('Revenue Build'!$C$6,MATCH(Charts!$E20,'Revenue Build'!$C$6:$C$290,0)-1,MATCH(Charts!AZ$3,'Revenue Build'!$C$5:$EE$5,0)-1)</f>
        <v>1929.1044552876833</v>
      </c>
      <c r="BA20" s="1294">
        <f ca="1">OFFSET('Revenue Build'!$C$6,MATCH(Charts!$E20,'Revenue Build'!$C$6:$C$290,0)-1,MATCH(Charts!BA$3,'Revenue Build'!$C$5:$EE$5,0)-1)</f>
        <v>2480.7722345231591</v>
      </c>
      <c r="BB20" s="1161"/>
      <c r="BC20" s="1161"/>
      <c r="BD20" s="1161"/>
      <c r="BE20" s="1161"/>
      <c r="BF20" s="1161"/>
      <c r="BG20" s="1161"/>
      <c r="BH20" s="1161"/>
      <c r="BI20" s="1161"/>
      <c r="BJ20" s="1161"/>
      <c r="BK20" s="1161"/>
      <c r="BL20" s="1161"/>
      <c r="BM20" s="1161"/>
      <c r="BN20" s="1161"/>
      <c r="BO20" s="1161"/>
      <c r="BP20" s="1161"/>
      <c r="BQ20" s="1161"/>
      <c r="BR20" s="1161"/>
      <c r="BS20" s="1161"/>
      <c r="BT20" s="1161"/>
      <c r="BU20" s="1161"/>
      <c r="BV20" s="1161"/>
      <c r="BW20" s="1161"/>
      <c r="BX20" s="1161"/>
      <c r="BY20" s="1161"/>
      <c r="BZ20" s="1161"/>
      <c r="CA20" s="1161"/>
      <c r="CB20" s="1161"/>
      <c r="CC20" s="1161"/>
      <c r="CD20" s="1161"/>
      <c r="CE20" s="1161"/>
      <c r="CF20" s="1161"/>
      <c r="CG20" s="1546" t="str">
        <f>E20</f>
        <v>Total Payments Revenue</v>
      </c>
      <c r="CH20" s="1289">
        <f ca="1">OFFSET('Revenue Build'!$C$6,MATCH(Charts!$E20,'Revenue Build'!$C$6:$C$290,0)-1,MATCH(Charts!CH$4,'Revenue Build'!$C$4:$ED$4,0)-1)</f>
        <v>0</v>
      </c>
      <c r="CI20" s="1289">
        <f ca="1">OFFSET('Revenue Build'!$C$6,MATCH(Charts!$E20,'Revenue Build'!$C$6:$C$290,0)-1,MATCH(Charts!CI$4,'Revenue Build'!$C$4:$ED$4,0)-1)</f>
        <v>334.21115999999995</v>
      </c>
      <c r="CJ20" s="1289">
        <f ca="1">OFFSET('Revenue Build'!$C$6,MATCH(Charts!$E20,'Revenue Build'!$C$6:$C$290,0)-1,MATCH(Charts!CJ$4,'Revenue Build'!$C$4:$ED$4,0)-1)</f>
        <v>544.36853499999995</v>
      </c>
      <c r="CK20" s="1289">
        <f ca="1">OFFSET('Revenue Build'!$C$6,MATCH(Charts!$E20,'Revenue Build'!$C$6:$C$290,0)-1,MATCH(Charts!CK$4,'Revenue Build'!$C$4:$ED$4,0)-1)</f>
        <v>814.26083999999992</v>
      </c>
      <c r="CL20" s="1289">
        <f ca="1">OFFSET('Revenue Build'!$C$6,MATCH(Charts!$E20,'Revenue Build'!$C$6:$C$290,0)-1,MATCH(Charts!CL$4,'Revenue Build'!$C$4:$ED$4,0)-1)</f>
        <v>1707.5202299999996</v>
      </c>
      <c r="CM20" s="1289">
        <f ca="1">OFFSET('Revenue Build'!$C$6,MATCH(Charts!$E20,'Revenue Build'!$C$6:$C$290,0)-1,MATCH(Charts!CM$4,'Revenue Build'!$C$4:$ED$4,0)-1)</f>
        <v>2681.0080399999997</v>
      </c>
      <c r="CN20" s="1289">
        <f ca="1">OFFSET('Revenue Build'!$C$6,MATCH(Charts!$E20,'Revenue Build'!$C$6:$C$290,0)-1,MATCH(Charts!CN$4,'Revenue Build'!$C$4:$ED$4,0)-1)</f>
        <v>3281.4597899999994</v>
      </c>
      <c r="CO20" s="1289">
        <f ca="1">OFFSET('Revenue Build'!$C$6,MATCH(Charts!$E20,'Revenue Build'!$C$6:$C$290,0)-1,MATCH(Charts!CO$4,'Revenue Build'!$C$4:$ED$4,0)-1)</f>
        <v>4178.3999999999996</v>
      </c>
      <c r="CP20" s="1289">
        <f ca="1">OFFSET('Revenue Build'!$C$6,MATCH(Charts!$E20,'Revenue Build'!$C$6:$C$290,0)-1,MATCH(Charts!CP$4,'Revenue Build'!$C$4:$ED$4,0)-1)</f>
        <v>5067.7588634555941</v>
      </c>
      <c r="CQ20" s="1289">
        <f ca="1">OFFSET('Revenue Build'!$C$6,MATCH(Charts!$E20,'Revenue Build'!$C$6:$C$290,0)-1,MATCH(Charts!CQ$4,'Revenue Build'!$C$4:$ED$4,0)-1)</f>
        <v>6010.7025920089754</v>
      </c>
      <c r="CR20" s="1289">
        <f ca="1">OFFSET('Revenue Build'!$C$6,MATCH(Charts!$E20,'Revenue Build'!$C$6:$C$290,0)-1,MATCH(Charts!CR$4,'Revenue Build'!$C$4:$ED$4,0)-1)</f>
        <v>6985.1378113364017</v>
      </c>
      <c r="CS20" s="1289">
        <f ca="1">OFFSET('Revenue Build'!$C$6,MATCH(Charts!$E20,'Revenue Build'!$C$6:$C$290,0)-1,MATCH(Charts!CS$4,'Revenue Build'!$C$4:$ED$4,0)-1)</f>
        <v>8029.5123611074559</v>
      </c>
      <c r="CT20" s="7"/>
    </row>
    <row r="21" spans="5:98">
      <c r="E21" s="9" t="s">
        <v>347</v>
      </c>
      <c r="F21" s="1286"/>
      <c r="G21" s="1286"/>
      <c r="H21" s="1286"/>
      <c r="I21" s="1286"/>
      <c r="J21" s="1286">
        <f t="shared" ref="J21:BA21" ca="1" si="25">J22-J20</f>
        <v>5.2239199999999997</v>
      </c>
      <c r="K21" s="1286">
        <f t="shared" ca="1" si="25"/>
        <v>6.4045600000000036</v>
      </c>
      <c r="L21" s="1286">
        <f t="shared" ca="1" si="25"/>
        <v>7.1216799999999978</v>
      </c>
      <c r="M21" s="1286">
        <f t="shared" ca="1" si="25"/>
        <v>10.311679999999996</v>
      </c>
      <c r="N21" s="1286">
        <f t="shared" ca="1" si="25"/>
        <v>11.984910000000013</v>
      </c>
      <c r="O21" s="1286">
        <f t="shared" ca="1" si="25"/>
        <v>14.095410000000015</v>
      </c>
      <c r="P21" s="1286">
        <f t="shared" ca="1" si="25"/>
        <v>15.702435000000008</v>
      </c>
      <c r="Q21" s="1286">
        <f t="shared" ca="1" si="25"/>
        <v>22.081710000000015</v>
      </c>
      <c r="R21" s="1286">
        <f t="shared" ca="1" si="25"/>
        <v>23.404030000000006</v>
      </c>
      <c r="S21" s="1286">
        <f t="shared" ca="1" si="25"/>
        <v>27.161160000000024</v>
      </c>
      <c r="T21" s="1286">
        <f t="shared" ca="1" si="25"/>
        <v>29.246749999999992</v>
      </c>
      <c r="U21" s="1286">
        <f t="shared" ca="1" si="25"/>
        <v>41.85922000000005</v>
      </c>
      <c r="V21" s="1286">
        <f t="shared" ca="1" si="25"/>
        <v>43.770760000000053</v>
      </c>
      <c r="W21" s="1286">
        <f t="shared" ca="1" si="25"/>
        <v>80.275585000000035</v>
      </c>
      <c r="X21" s="1286">
        <f t="shared" ca="1" si="25"/>
        <v>80.930304999999976</v>
      </c>
      <c r="Y21" s="1286">
        <f t="shared" ca="1" si="25"/>
        <v>108.23712000000012</v>
      </c>
      <c r="Z21" s="1286">
        <f t="shared" ca="1" si="25"/>
        <v>120.23388</v>
      </c>
      <c r="AA21" s="1286">
        <f t="shared" ca="1" si="25"/>
        <v>141.3374399999999</v>
      </c>
      <c r="AB21" s="1286">
        <f t="shared" ca="1" si="25"/>
        <v>141.75576000000001</v>
      </c>
      <c r="AC21" s="1286">
        <f t="shared" ca="1" si="25"/>
        <v>185.18687999999997</v>
      </c>
      <c r="AD21" s="1286">
        <f t="shared" ca="1" si="25"/>
        <v>173.49012400000004</v>
      </c>
      <c r="AE21" s="1286">
        <f t="shared" ca="1" si="25"/>
        <v>187.58123999999998</v>
      </c>
      <c r="AF21" s="1286">
        <f t="shared" ca="1" si="25"/>
        <v>199.95959800000003</v>
      </c>
      <c r="AG21" s="1286">
        <f t="shared" ca="1" si="25"/>
        <v>269.61424800000009</v>
      </c>
      <c r="AH21" s="1286">
        <f t="shared" ca="1" si="25"/>
        <v>225.20000000000005</v>
      </c>
      <c r="AI21" s="1286">
        <f t="shared" ca="1" si="25"/>
        <v>250.00000000000011</v>
      </c>
      <c r="AJ21" s="1286">
        <f t="shared" ca="1" si="25"/>
        <v>245.60000000000014</v>
      </c>
      <c r="AK21" s="1286">
        <f t="shared" ca="1" si="25"/>
        <v>323.80000000000018</v>
      </c>
      <c r="AL21" s="1286">
        <f t="shared" ca="1" si="25"/>
        <v>276.54750000000013</v>
      </c>
      <c r="AM21" s="1286">
        <f t="shared" ca="1" si="25"/>
        <v>303.36540000000014</v>
      </c>
      <c r="AN21" s="1286">
        <f t="shared" ca="1" si="25"/>
        <v>317.46160000000009</v>
      </c>
      <c r="AO21" s="1286">
        <f t="shared" ca="1" si="25"/>
        <v>464.72132404440413</v>
      </c>
      <c r="AP21" s="1286">
        <f t="shared" ca="1" si="25"/>
        <v>421.8377074136697</v>
      </c>
      <c r="AQ21" s="1286">
        <f t="shared" ca="1" si="25"/>
        <v>451.90918763538616</v>
      </c>
      <c r="AR21" s="1286">
        <f t="shared" ca="1" si="25"/>
        <v>467.43561945810779</v>
      </c>
      <c r="AS21" s="1286">
        <f t="shared" ca="1" si="25"/>
        <v>679.09607584699393</v>
      </c>
      <c r="AT21" s="1286">
        <f t="shared" ca="1" si="25"/>
        <v>569.91488799185549</v>
      </c>
      <c r="AU21" s="1286">
        <f t="shared" ca="1" si="25"/>
        <v>614.18251388774252</v>
      </c>
      <c r="AV21" s="1286">
        <f t="shared" ca="1" si="25"/>
        <v>634.46207675681853</v>
      </c>
      <c r="AW21" s="1286">
        <f t="shared" ca="1" si="25"/>
        <v>914.19005597214345</v>
      </c>
      <c r="AX21" s="1286">
        <f t="shared" ca="1" si="25"/>
        <v>735.31718141730789</v>
      </c>
      <c r="AY21" s="1286">
        <f t="shared" ca="1" si="25"/>
        <v>795.64603048383606</v>
      </c>
      <c r="AZ21" s="1286">
        <f t="shared" ca="1" si="25"/>
        <v>821.23342531013486</v>
      </c>
      <c r="BA21" s="1286">
        <f t="shared" ca="1" si="25"/>
        <v>1177.206501533768</v>
      </c>
      <c r="BB21" s="1162"/>
      <c r="BC21" s="1162"/>
      <c r="BD21" s="1162"/>
      <c r="BE21" s="1162"/>
      <c r="BF21" s="1162"/>
      <c r="BG21" s="1162"/>
      <c r="BH21" s="1162"/>
      <c r="BI21" s="1162"/>
      <c r="BJ21" s="1162"/>
      <c r="BK21" s="1162"/>
      <c r="BL21" s="1162"/>
      <c r="BM21" s="1162"/>
      <c r="BN21" s="1162"/>
      <c r="BO21" s="1162"/>
      <c r="BP21" s="1162"/>
      <c r="BQ21" s="1162"/>
      <c r="BR21" s="1162"/>
      <c r="BS21" s="1162"/>
      <c r="BT21" s="1162"/>
      <c r="BU21" s="1162"/>
      <c r="BV21" s="1162"/>
      <c r="BW21" s="1162"/>
      <c r="BX21" s="1162"/>
      <c r="BY21" s="1162"/>
      <c r="BZ21" s="1162"/>
      <c r="CA21" s="1162"/>
      <c r="CB21" s="1162"/>
      <c r="CC21" s="1162"/>
      <c r="CD21" s="1162"/>
      <c r="CE21" s="1162"/>
      <c r="CF21" s="1162"/>
      <c r="CG21" s="1161" t="str">
        <f>E21</f>
        <v>Non-Payments Merchant Solution Revenue</v>
      </c>
      <c r="CH21" s="1288">
        <f t="shared" ref="CH21:CS21" ca="1" si="26">CH22-CH20</f>
        <v>200.72399999999999</v>
      </c>
      <c r="CI21" s="1288">
        <f t="shared" ca="1" si="26"/>
        <v>29.061840000000075</v>
      </c>
      <c r="CJ21" s="1288">
        <f t="shared" ca="1" si="26"/>
        <v>63.864464999999996</v>
      </c>
      <c r="CK21" s="1288">
        <f t="shared" ca="1" si="26"/>
        <v>121.6711600000001</v>
      </c>
      <c r="CL21" s="1288">
        <f t="shared" ca="1" si="26"/>
        <v>313.2137700000003</v>
      </c>
      <c r="CM21" s="1288">
        <f t="shared" ca="1" si="26"/>
        <v>588.51396000000022</v>
      </c>
      <c r="CN21" s="1288">
        <f t="shared" ca="1" si="26"/>
        <v>830.64521000000013</v>
      </c>
      <c r="CO21" s="1288">
        <f t="shared" ca="1" si="26"/>
        <v>1044.6000000000004</v>
      </c>
      <c r="CP21" s="1288">
        <f t="shared" ca="1" si="26"/>
        <v>1362.0958240444052</v>
      </c>
      <c r="CQ21" s="1288">
        <f t="shared" ca="1" si="26"/>
        <v>2020.2785903541571</v>
      </c>
      <c r="CR21" s="1288">
        <f t="shared" ca="1" si="26"/>
        <v>2732.7495346085589</v>
      </c>
      <c r="CS21" s="1288">
        <f t="shared" ca="1" si="26"/>
        <v>3529.4031387450468</v>
      </c>
    </row>
    <row r="22" spans="5:98">
      <c r="E22" s="1300" t="str">
        <f>'Revenue Build'!C48</f>
        <v>Total Merchant Solution Revenues</v>
      </c>
      <c r="F22" s="1301">
        <f ca="1">OFFSET('Revenue Build'!$C$6,MATCH(Charts!$E22,'Revenue Build'!$C$6:$C$290,0)-1,MATCH(Charts!F$3,'Revenue Build'!$C$5:$EE$5,0)-1)</f>
        <v>34.015999999999998</v>
      </c>
      <c r="G22" s="1301">
        <f ca="1">OFFSET('Revenue Build'!$C$6,MATCH(Charts!$E22,'Revenue Build'!$C$6:$C$290,0)-1,MATCH(Charts!G$3,'Revenue Build'!$C$5:$EE$5,0)-1)</f>
        <v>42.972999999999999</v>
      </c>
      <c r="H22" s="1301">
        <f ca="1">OFFSET('Revenue Build'!$C$6,MATCH(Charts!$E22,'Revenue Build'!$C$6:$C$290,0)-1,MATCH(Charts!H$3,'Revenue Build'!$C$5:$EE$5,0)-1)</f>
        <v>49.738999999999997</v>
      </c>
      <c r="I22" s="1301">
        <f ca="1">OFFSET('Revenue Build'!$C$6,MATCH(Charts!$E22,'Revenue Build'!$C$6:$C$290,0)-1,MATCH(Charts!I$3,'Revenue Build'!$C$5:$EE$5,0)-1)</f>
        <v>73.995999999999995</v>
      </c>
      <c r="J22" s="1301">
        <f ca="1">OFFSET('Revenue Build'!$C$6,MATCH(Charts!$E22,'Revenue Build'!$C$6:$C$290,0)-1,MATCH(Charts!J$3,'Revenue Build'!$C$5:$EE$5,0)-1)</f>
        <v>65.299000000000007</v>
      </c>
      <c r="K22" s="1301">
        <f ca="1">OFFSET('Revenue Build'!$C$6,MATCH(Charts!$E22,'Revenue Build'!$C$6:$C$290,0)-1,MATCH(Charts!K$3,'Revenue Build'!$C$5:$EE$5,0)-1)</f>
        <v>80.057000000000002</v>
      </c>
      <c r="L22" s="1301">
        <f ca="1">OFFSET('Revenue Build'!$C$6,MATCH(Charts!$E22,'Revenue Build'!$C$6:$C$290,0)-1,MATCH(Charts!L$3,'Revenue Build'!$C$5:$EE$5,0)-1)</f>
        <v>89.021000000000001</v>
      </c>
      <c r="M22" s="1301">
        <f ca="1">OFFSET('Revenue Build'!$C$6,MATCH(Charts!$E22,'Revenue Build'!$C$6:$C$290,0)-1,MATCH(Charts!M$3,'Revenue Build'!$C$5:$EE$5,0)-1)</f>
        <v>128.89599999999999</v>
      </c>
      <c r="N22" s="1301">
        <f ca="1">OFFSET('Revenue Build'!$C$6,MATCH(Charts!$E22,'Revenue Build'!$C$6:$C$290,0)-1,MATCH(Charts!N$3,'Revenue Build'!$C$5:$EE$5,0)-1)</f>
        <v>114.142</v>
      </c>
      <c r="O22" s="1301">
        <f ca="1">OFFSET('Revenue Build'!$C$6,MATCH(Charts!$E22,'Revenue Build'!$C$6:$C$290,0)-1,MATCH(Charts!O$3,'Revenue Build'!$C$5:$EE$5,0)-1)</f>
        <v>134.24199999999999</v>
      </c>
      <c r="P22" s="1301">
        <f ca="1">OFFSET('Revenue Build'!$C$6,MATCH(Charts!$E22,'Revenue Build'!$C$6:$C$290,0)-1,MATCH(Charts!P$3,'Revenue Build'!$C$5:$EE$5,0)-1)</f>
        <v>149.547</v>
      </c>
      <c r="Q22" s="1301">
        <f ca="1">OFFSET('Revenue Build'!$C$6,MATCH(Charts!$E22,'Revenue Build'!$C$6:$C$290,0)-1,MATCH(Charts!Q$3,'Revenue Build'!$C$5:$EE$5,0)-1)</f>
        <v>210.30199999999999</v>
      </c>
      <c r="R22" s="1301">
        <f ca="1">OFFSET('Revenue Build'!$C$6,MATCH(Charts!$E22,'Revenue Build'!$C$6:$C$290,0)-1,MATCH(Charts!R$3,'Revenue Build'!$C$5:$EE$5,0)-1)</f>
        <v>180.03100000000001</v>
      </c>
      <c r="S22" s="1301">
        <f ca="1">OFFSET('Revenue Build'!$C$6,MATCH(Charts!$E22,'Revenue Build'!$C$6:$C$290,0)-1,MATCH(Charts!S$3,'Revenue Build'!$C$5:$EE$5,0)-1)</f>
        <v>208.93199999999999</v>
      </c>
      <c r="T22" s="1301">
        <f ca="1">OFFSET('Revenue Build'!$C$6,MATCH(Charts!$E22,'Revenue Build'!$C$6:$C$290,0)-1,MATCH(Charts!T$3,'Revenue Build'!$C$5:$EE$5,0)-1)</f>
        <v>224.97499999999999</v>
      </c>
      <c r="U22" s="1301">
        <f ca="1">OFFSET('Revenue Build'!$C$6,MATCH(Charts!$E22,'Revenue Build'!$C$6:$C$290,0)-1,MATCH(Charts!U$3,'Revenue Build'!$C$5:$EE$5,0)-1)</f>
        <v>321.99400000000003</v>
      </c>
      <c r="V22" s="1301">
        <f ca="1">OFFSET('Revenue Build'!$C$6,MATCH(Charts!$E22,'Revenue Build'!$C$6:$C$290,0)-1,MATCH(Charts!V$3,'Revenue Build'!$C$5:$EE$5,0)-1)</f>
        <v>282.392</v>
      </c>
      <c r="W22" s="1301">
        <f ca="1">OFFSET('Revenue Build'!$C$6,MATCH(Charts!$E22,'Revenue Build'!$C$6:$C$290,0)-1,MATCH(Charts!W$3,'Revenue Build'!$C$5:$EE$5,0)-1)</f>
        <v>517.90700000000004</v>
      </c>
      <c r="X22" s="1301">
        <f ca="1">OFFSET('Revenue Build'!$C$6,MATCH(Charts!$E22,'Revenue Build'!$C$6:$C$290,0)-1,MATCH(Charts!X$3,'Revenue Build'!$C$5:$EE$5,0)-1)</f>
        <v>522.13099999999997</v>
      </c>
      <c r="Y22" s="1301">
        <f ca="1">OFFSET('Revenue Build'!$C$6,MATCH(Charts!$E22,'Revenue Build'!$C$6:$C$290,0)-1,MATCH(Charts!Y$3,'Revenue Build'!$C$5:$EE$5,0)-1)</f>
        <v>698.30399999999997</v>
      </c>
      <c r="Z22" s="1301">
        <f ca="1">OFFSET('Revenue Build'!$C$6,MATCH(Charts!$E22,'Revenue Build'!$C$6:$C$290,0)-1,MATCH(Charts!Z$3,'Revenue Build'!$C$5:$EE$5,0)-1)</f>
        <v>667.96600000000001</v>
      </c>
      <c r="AA22" s="1301">
        <f ca="1">OFFSET('Revenue Build'!$C$6,MATCH(Charts!$E22,'Revenue Build'!$C$6:$C$290,0)-1,MATCH(Charts!AA$3,'Revenue Build'!$C$5:$EE$5,0)-1)</f>
        <v>785.20799999999997</v>
      </c>
      <c r="AB22" s="1301">
        <f ca="1">OFFSET('Revenue Build'!$C$6,MATCH(Charts!$E22,'Revenue Build'!$C$6:$C$290,0)-1,MATCH(Charts!AB$3,'Revenue Build'!$C$5:$EE$5,0)-1)</f>
        <v>787.53200000000004</v>
      </c>
      <c r="AC22" s="1301">
        <f ca="1">OFFSET('Revenue Build'!$C$6,MATCH(Charts!$E22,'Revenue Build'!$C$6:$C$290,0)-1,MATCH(Charts!AC$3,'Revenue Build'!$C$5:$EE$5,0)-1)</f>
        <v>1028.816</v>
      </c>
      <c r="AD22" s="1301">
        <f ca="1">OFFSET('Revenue Build'!$C$6,MATCH(Charts!$E22,'Revenue Build'!$C$6:$C$290,0)-1,MATCH(Charts!AD$3,'Revenue Build'!$C$5:$EE$5,0)-1)</f>
        <v>858.86199999999997</v>
      </c>
      <c r="AE22" s="1301">
        <f ca="1">OFFSET('Revenue Build'!$C$6,MATCH(Charts!$E22,'Revenue Build'!$C$6:$C$290,0)-1,MATCH(Charts!AE$3,'Revenue Build'!$C$5:$EE$5,0)-1)</f>
        <v>928.62</v>
      </c>
      <c r="AF22" s="1301">
        <f ca="1">OFFSET('Revenue Build'!$C$6,MATCH(Charts!$E22,'Revenue Build'!$C$6:$C$290,0)-1,MATCH(Charts!AF$3,'Revenue Build'!$C$5:$EE$5,0)-1)</f>
        <v>989.899</v>
      </c>
      <c r="AG22" s="1301">
        <f ca="1">OFFSET('Revenue Build'!$C$6,MATCH(Charts!$E22,'Revenue Build'!$C$6:$C$290,0)-1,MATCH(Charts!AG$3,'Revenue Build'!$C$5:$EE$5,0)-1)</f>
        <v>1334.7239999999999</v>
      </c>
      <c r="AH22" s="1301">
        <f ca="1">OFFSET('Revenue Build'!$C$6,MATCH(Charts!$E22,'Revenue Build'!$C$6:$C$290,0)-1,MATCH(Charts!AH$3,'Revenue Build'!$C$5:$EE$5,0)-1)</f>
        <v>1126</v>
      </c>
      <c r="AI22" s="1301">
        <f ca="1">OFFSET('Revenue Build'!$C$6,MATCH(Charts!$E22,'Revenue Build'!$C$6:$C$290,0)-1,MATCH(Charts!AI$3,'Revenue Build'!$C$5:$EE$5,0)-1)</f>
        <v>1250</v>
      </c>
      <c r="AJ22" s="1301">
        <f ca="1">OFFSET('Revenue Build'!$C$6,MATCH(Charts!$E22,'Revenue Build'!$C$6:$C$290,0)-1,MATCH(Charts!AJ$3,'Revenue Build'!$C$5:$EE$5,0)-1)</f>
        <v>1228</v>
      </c>
      <c r="AK22" s="1301">
        <f ca="1">OFFSET('Revenue Build'!$C$6,MATCH(Charts!$E22,'Revenue Build'!$C$6:$C$290,0)-1,MATCH(Charts!AK$3,'Revenue Build'!$C$5:$EE$5,0)-1)</f>
        <v>1619</v>
      </c>
      <c r="AL22" s="1301">
        <f ca="1">OFFSET('Revenue Build'!$C$6,MATCH(Charts!$E22,'Revenue Build'!$C$6:$C$290,0)-1,MATCH(Charts!AL$3,'Revenue Build'!$C$5:$EE$5,0)-1)</f>
        <v>1350</v>
      </c>
      <c r="AM22" s="1301">
        <f ca="1">OFFSET('Revenue Build'!$C$6,MATCH(Charts!$E22,'Revenue Build'!$C$6:$C$290,0)-1,MATCH(Charts!AM$3,'Revenue Build'!$C$5:$EE$5,0)-1)</f>
        <v>1482</v>
      </c>
      <c r="AN22" s="1301">
        <f ca="1">OFFSET('Revenue Build'!$C$6,MATCH(Charts!$E22,'Revenue Build'!$C$6:$C$290,0)-1,MATCH(Charts!AN$3,'Revenue Build'!$C$5:$EE$5,0)-1)</f>
        <v>1552</v>
      </c>
      <c r="AO22" s="1301">
        <f ca="1">OFFSET('Revenue Build'!$C$6,MATCH(Charts!$E22,'Revenue Build'!$C$6:$C$290,0)-1,MATCH(Charts!AO$3,'Revenue Build'!$C$5:$EE$5,0)-1)</f>
        <v>2045.8546874999995</v>
      </c>
      <c r="AP22" s="1301">
        <f ca="1">OFFSET('Revenue Build'!$C$6,MATCH(Charts!$E22,'Revenue Build'!$C$6:$C$290,0)-1,MATCH(Charts!AP$3,'Revenue Build'!$C$5:$EE$5,0)-1)</f>
        <v>1735.3516499999998</v>
      </c>
      <c r="AQ22" s="1301">
        <f ca="1">OFFSET('Revenue Build'!$C$6,MATCH(Charts!$E22,'Revenue Build'!$C$6:$C$290,0)-1,MATCH(Charts!AQ$3,'Revenue Build'!$C$5:$EE$5,0)-1)</f>
        <v>1843.080458073149</v>
      </c>
      <c r="AR22" s="1301">
        <f ca="1">OFFSET('Revenue Build'!$C$6,MATCH(Charts!$E22,'Revenue Build'!$C$6:$C$290,0)-1,MATCH(Charts!AR$3,'Revenue Build'!$C$5:$EE$5,0)-1)</f>
        <v>1911.4469750181172</v>
      </c>
      <c r="AS22" s="1301">
        <f ca="1">OFFSET('Revenue Build'!$C$6,MATCH(Charts!$E22,'Revenue Build'!$C$6:$C$290,0)-1,MATCH(Charts!AS$3,'Revenue Build'!$C$5:$EE$5,0)-1)</f>
        <v>2541.1020992718668</v>
      </c>
      <c r="AT22" s="1301">
        <f ca="1">OFFSET('Revenue Build'!$C$6,MATCH(Charts!$E22,'Revenue Build'!$C$6:$C$290,0)-1,MATCH(Charts!AT$3,'Revenue Build'!$C$5:$EE$5,0)-1)</f>
        <v>2099.7097969725</v>
      </c>
      <c r="AU22" s="1301">
        <f ca="1">OFFSET('Revenue Build'!$C$6,MATCH(Charts!$E22,'Revenue Build'!$C$6:$C$290,0)-1,MATCH(Charts!AU$3,'Revenue Build'!$C$5:$EE$5,0)-1)</f>
        <v>2230.4691199490094</v>
      </c>
      <c r="AV22" s="1301">
        <f ca="1">OFFSET('Revenue Build'!$C$6,MATCH(Charts!$E22,'Revenue Build'!$C$6:$C$290,0)-1,MATCH(Charts!AV$3,'Revenue Build'!$C$5:$EE$5,0)-1)</f>
        <v>2312.5506412381696</v>
      </c>
      <c r="AW22" s="1301">
        <f ca="1">OFFSET('Revenue Build'!$C$6,MATCH(Charts!$E22,'Revenue Build'!$C$6:$C$290,0)-1,MATCH(Charts!AW$3,'Revenue Build'!$C$5:$EE$5,0)-1)</f>
        <v>3075.1577877852824</v>
      </c>
      <c r="AX22" s="1301">
        <f ca="1">OFFSET('Revenue Build'!$C$6,MATCH(Charts!$E22,'Revenue Build'!$C$6:$C$290,0)-1,MATCH(Charts!AX$3,'Revenue Build'!$C$5:$EE$5,0)-1)</f>
        <v>2497.3713891267748</v>
      </c>
      <c r="AY22" s="1301">
        <f ca="1">OFFSET('Revenue Build'!$C$6,MATCH(Charts!$E22,'Revenue Build'!$C$6:$C$290,0)-1,MATCH(Charts!AY$3,'Revenue Build'!$C$5:$EE$5,0)-1)</f>
        <v>2653.2274940709831</v>
      </c>
      <c r="AZ22" s="1301">
        <f ca="1">OFFSET('Revenue Build'!$C$6,MATCH(Charts!$E22,'Revenue Build'!$C$6:$C$290,0)-1,MATCH(Charts!AZ$3,'Revenue Build'!$C$5:$EE$5,0)-1)</f>
        <v>2750.3378805978182</v>
      </c>
      <c r="BA22" s="1301">
        <f ca="1">OFFSET('Revenue Build'!$C$6,MATCH(Charts!$E22,'Revenue Build'!$C$6:$C$290,0)-1,MATCH(Charts!BA$3,'Revenue Build'!$C$5:$EE$5,0)-1)</f>
        <v>3657.9787360569271</v>
      </c>
      <c r="BB22" s="1162"/>
      <c r="BC22" s="1162"/>
      <c r="BD22" s="1162"/>
      <c r="BE22" s="1162"/>
      <c r="BF22" s="1162"/>
      <c r="BG22" s="1162"/>
      <c r="BH22" s="1162"/>
      <c r="BI22" s="1162"/>
      <c r="BJ22" s="1162"/>
      <c r="BK22" s="1162"/>
      <c r="BL22" s="1162"/>
      <c r="BM22" s="1162"/>
      <c r="BN22" s="1162"/>
      <c r="BO22" s="1162"/>
      <c r="BP22" s="1162"/>
      <c r="BQ22" s="1162"/>
      <c r="BR22" s="1162"/>
      <c r="BS22" s="1162"/>
      <c r="BT22" s="1162"/>
      <c r="BU22" s="1162"/>
      <c r="BV22" s="1162"/>
      <c r="BW22" s="1162"/>
      <c r="BX22" s="1162"/>
      <c r="BY22" s="1162"/>
      <c r="BZ22" s="1162"/>
      <c r="CA22" s="1162"/>
      <c r="CB22" s="1162"/>
      <c r="CC22" s="1162"/>
      <c r="CD22" s="1162"/>
      <c r="CE22" s="1162"/>
      <c r="CF22" s="1162"/>
      <c r="CG22" s="1546" t="str">
        <f>E22</f>
        <v>Total Merchant Solution Revenues</v>
      </c>
      <c r="CH22" s="1289">
        <f ca="1">OFFSET('Revenue Build'!$C$6,MATCH(Charts!$E22,'Revenue Build'!$C$6:$C$290,0)-1,MATCH(Charts!CH$4,'Revenue Build'!$C$4:$ED$4,0)-1)</f>
        <v>200.72399999999999</v>
      </c>
      <c r="CI22" s="1289">
        <f ca="1">OFFSET('Revenue Build'!$C$6,MATCH(Charts!$E22,'Revenue Build'!$C$6:$C$290,0)-1,MATCH(Charts!CI$4,'Revenue Build'!$C$4:$ED$4,0)-1)</f>
        <v>363.27300000000002</v>
      </c>
      <c r="CJ22" s="1289">
        <f ca="1">OFFSET('Revenue Build'!$C$6,MATCH(Charts!$E22,'Revenue Build'!$C$6:$C$290,0)-1,MATCH(Charts!CJ$4,'Revenue Build'!$C$4:$ED$4,0)-1)</f>
        <v>608.23299999999995</v>
      </c>
      <c r="CK22" s="1289">
        <f ca="1">OFFSET('Revenue Build'!$C$6,MATCH(Charts!$E22,'Revenue Build'!$C$6:$C$290,0)-1,MATCH(Charts!CK$4,'Revenue Build'!$C$4:$ED$4,0)-1)</f>
        <v>935.93200000000002</v>
      </c>
      <c r="CL22" s="1289">
        <f ca="1">OFFSET('Revenue Build'!$C$6,MATCH(Charts!$E22,'Revenue Build'!$C$6:$C$290,0)-1,MATCH(Charts!CL$4,'Revenue Build'!$C$4:$ED$4,0)-1)</f>
        <v>2020.7339999999999</v>
      </c>
      <c r="CM22" s="1289">
        <f ca="1">OFFSET('Revenue Build'!$C$6,MATCH(Charts!$E22,'Revenue Build'!$C$6:$C$290,0)-1,MATCH(Charts!CM$4,'Revenue Build'!$C$4:$ED$4,0)-1)</f>
        <v>3269.5219999999999</v>
      </c>
      <c r="CN22" s="1289">
        <f ca="1">OFFSET('Revenue Build'!$C$6,MATCH(Charts!$E22,'Revenue Build'!$C$6:$C$290,0)-1,MATCH(Charts!CN$4,'Revenue Build'!$C$4:$ED$4,0)-1)</f>
        <v>4112.1049999999996</v>
      </c>
      <c r="CO22" s="1289">
        <f ca="1">OFFSET('Revenue Build'!$C$6,MATCH(Charts!$E22,'Revenue Build'!$C$6:$C$290,0)-1,MATCH(Charts!CO$4,'Revenue Build'!$C$4:$ED$4,0)-1)</f>
        <v>5223</v>
      </c>
      <c r="CP22" s="1289">
        <f ca="1">OFFSET('Revenue Build'!$C$6,MATCH(Charts!$E22,'Revenue Build'!$C$6:$C$290,0)-1,MATCH(Charts!CP$4,'Revenue Build'!$C$4:$ED$4,0)-1)</f>
        <v>6429.8546874999993</v>
      </c>
      <c r="CQ22" s="1289">
        <f ca="1">OFFSET('Revenue Build'!$C$6,MATCH(Charts!$E22,'Revenue Build'!$C$6:$C$290,0)-1,MATCH(Charts!CQ$4,'Revenue Build'!$C$4:$ED$4,0)-1)</f>
        <v>8030.9811823631326</v>
      </c>
      <c r="CR22" s="1289">
        <f ca="1">OFFSET('Revenue Build'!$C$6,MATCH(Charts!$E22,'Revenue Build'!$C$6:$C$290,0)-1,MATCH(Charts!CR$4,'Revenue Build'!$C$4:$ED$4,0)-1)</f>
        <v>9717.8873459449605</v>
      </c>
      <c r="CS22" s="1289">
        <f ca="1">OFFSET('Revenue Build'!$C$6,MATCH(Charts!$E22,'Revenue Build'!$C$6:$C$290,0)-1,MATCH(Charts!CS$4,'Revenue Build'!$C$4:$ED$4,0)-1)</f>
        <v>11558.915499852503</v>
      </c>
    </row>
    <row r="23" spans="5:98">
      <c r="E23" s="9"/>
      <c r="F23" s="1286"/>
      <c r="G23" s="1286"/>
      <c r="H23" s="1286"/>
      <c r="I23" s="1286"/>
      <c r="J23" s="1286"/>
      <c r="K23" s="1286"/>
      <c r="L23" s="1286"/>
      <c r="M23" s="1286"/>
      <c r="N23" s="1286"/>
      <c r="O23" s="1286"/>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c r="AT23" s="1286"/>
      <c r="AU23" s="1286"/>
      <c r="AV23" s="1286"/>
      <c r="AW23" s="1286"/>
      <c r="AX23" s="1286"/>
      <c r="AY23" s="1286"/>
      <c r="AZ23" s="1286"/>
      <c r="BA23" s="1286"/>
      <c r="BB23" s="1162"/>
      <c r="BC23" s="1162"/>
      <c r="BD23" s="1162"/>
      <c r="BE23" s="1162"/>
      <c r="BF23" s="1162"/>
      <c r="BG23" s="1162"/>
      <c r="BH23" s="1162"/>
      <c r="BI23" s="1162"/>
      <c r="BJ23" s="1162"/>
      <c r="BK23" s="1162"/>
      <c r="BL23" s="1162"/>
      <c r="BM23" s="1162"/>
      <c r="BN23" s="1162"/>
      <c r="BO23" s="1162"/>
      <c r="BP23" s="1162"/>
      <c r="BQ23" s="1162"/>
      <c r="BR23" s="1162"/>
      <c r="BS23" s="1162"/>
      <c r="BT23" s="1162"/>
      <c r="BU23" s="1162"/>
      <c r="BV23" s="1162"/>
      <c r="BW23" s="1162"/>
      <c r="BX23" s="1162"/>
      <c r="BY23" s="1162"/>
      <c r="BZ23" s="1162"/>
      <c r="CA23" s="1162"/>
      <c r="CB23" s="1162"/>
      <c r="CC23" s="1162"/>
      <c r="CD23" s="1162"/>
      <c r="CE23" s="1162"/>
      <c r="CF23" s="1162"/>
      <c r="CG23" s="1162"/>
      <c r="CH23" s="1286"/>
      <c r="CI23" s="1286"/>
      <c r="CJ23" s="1286"/>
      <c r="CK23" s="1286"/>
      <c r="CL23" s="1286"/>
      <c r="CM23" s="1286"/>
      <c r="CN23" s="1286"/>
      <c r="CO23" s="1286"/>
      <c r="CP23" s="1286"/>
      <c r="CQ23" s="1286"/>
      <c r="CR23" s="1286"/>
      <c r="CS23" s="1286"/>
    </row>
    <row r="24" spans="5:98">
      <c r="E24" s="9"/>
      <c r="F24" s="1286"/>
      <c r="G24" s="1286"/>
      <c r="H24" s="1286"/>
      <c r="I24" s="1286"/>
      <c r="J24" s="1286"/>
      <c r="K24" s="1286"/>
      <c r="L24" s="1286"/>
      <c r="M24" s="1286"/>
      <c r="N24" s="1286"/>
      <c r="O24" s="1286"/>
      <c r="P24" s="1286"/>
      <c r="Q24" s="1286"/>
      <c r="R24" s="1286"/>
      <c r="S24" s="1286"/>
      <c r="T24" s="1286"/>
      <c r="U24" s="1286"/>
      <c r="V24" s="1286"/>
      <c r="W24" s="1286"/>
      <c r="X24" s="1286"/>
      <c r="Y24" s="1286"/>
      <c r="Z24" s="1286"/>
      <c r="AA24" s="1286"/>
      <c r="AB24" s="1286"/>
      <c r="AC24" s="1286"/>
      <c r="AD24" s="1286"/>
      <c r="AE24" s="1286"/>
      <c r="AF24" s="1286"/>
      <c r="AG24" s="1286"/>
      <c r="AH24" s="1286"/>
      <c r="AI24" s="1286"/>
      <c r="AJ24" s="1286"/>
      <c r="AK24" s="1286"/>
      <c r="AL24" s="1286"/>
      <c r="AM24" s="1286"/>
      <c r="AN24" s="1286"/>
      <c r="AO24" s="1286"/>
      <c r="AP24" s="1286"/>
      <c r="AQ24" s="1286"/>
      <c r="AR24" s="1286"/>
      <c r="AS24" s="1286"/>
      <c r="AT24" s="1286"/>
      <c r="AU24" s="1286"/>
      <c r="AV24" s="1286"/>
      <c r="AW24" s="1286"/>
      <c r="AX24" s="1286"/>
      <c r="AY24" s="1286"/>
      <c r="AZ24" s="1286"/>
      <c r="BA24" s="1286"/>
      <c r="BB24" s="1162"/>
      <c r="BC24" s="1162"/>
      <c r="BD24" s="1162"/>
      <c r="BE24" s="1162"/>
      <c r="BF24" s="1162"/>
      <c r="BG24" s="1162"/>
      <c r="BH24" s="1162"/>
      <c r="BI24" s="1162"/>
      <c r="BJ24" s="1162"/>
      <c r="BK24" s="1162"/>
      <c r="BL24" s="1162"/>
      <c r="BM24" s="1162"/>
      <c r="BN24" s="1162"/>
      <c r="BO24" s="1162"/>
      <c r="BP24" s="1162"/>
      <c r="BQ24" s="1162"/>
      <c r="BR24" s="1162"/>
      <c r="BS24" s="1162"/>
      <c r="BT24" s="1162"/>
      <c r="BU24" s="1162"/>
      <c r="BV24" s="1162"/>
      <c r="BW24" s="1162"/>
      <c r="BX24" s="1162"/>
      <c r="BY24" s="1162"/>
      <c r="BZ24" s="1162"/>
      <c r="CA24" s="1162"/>
      <c r="CB24" s="1162"/>
      <c r="CC24" s="1162"/>
      <c r="CD24" s="1162"/>
      <c r="CE24" s="1162"/>
      <c r="CF24" s="1162"/>
      <c r="CG24" s="1162"/>
      <c r="CH24" s="1286"/>
      <c r="CI24" s="1286" t="str">
        <f>CI4</f>
        <v>2017A</v>
      </c>
      <c r="CJ24" s="1286" t="str">
        <f t="shared" ref="CJ24:CS24" si="27">CJ4</f>
        <v>2018A</v>
      </c>
      <c r="CK24" s="1286" t="str">
        <f t="shared" si="27"/>
        <v>2019A</v>
      </c>
      <c r="CL24" s="1286" t="str">
        <f t="shared" si="27"/>
        <v>2020A</v>
      </c>
      <c r="CM24" s="1286" t="str">
        <f t="shared" si="27"/>
        <v>2021A</v>
      </c>
      <c r="CN24" s="1286" t="str">
        <f t="shared" si="27"/>
        <v>2022A</v>
      </c>
      <c r="CO24" s="1286" t="str">
        <f t="shared" si="27"/>
        <v>2023A</v>
      </c>
      <c r="CP24" s="1286" t="str">
        <f t="shared" si="27"/>
        <v>2024E</v>
      </c>
      <c r="CQ24" s="1286" t="str">
        <f t="shared" si="27"/>
        <v>2025E</v>
      </c>
      <c r="CR24" s="1286" t="str">
        <f t="shared" si="27"/>
        <v>2026E</v>
      </c>
      <c r="CS24" s="1286" t="str">
        <f t="shared" si="27"/>
        <v>2027E</v>
      </c>
    </row>
    <row r="25" spans="5:98">
      <c r="E25" s="791" t="s">
        <v>657</v>
      </c>
      <c r="F25" s="1284"/>
      <c r="G25" s="1284"/>
      <c r="H25" s="1284"/>
      <c r="I25" s="1284"/>
      <c r="J25" s="1284"/>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84"/>
      <c r="AG25" s="1284"/>
      <c r="AH25" s="1284"/>
      <c r="AI25" s="1284"/>
      <c r="AJ25" s="1284"/>
      <c r="AK25" s="1284"/>
      <c r="AL25" s="1284"/>
      <c r="AM25" s="1284"/>
      <c r="AN25" s="1284"/>
      <c r="AO25" s="1284"/>
      <c r="AP25" s="1284"/>
      <c r="AQ25" s="1284"/>
      <c r="AR25" s="1284"/>
      <c r="AS25" s="1284"/>
      <c r="AT25" s="1284"/>
      <c r="AU25" s="1284"/>
      <c r="AV25" s="1284"/>
      <c r="AW25" s="1284"/>
      <c r="AX25" s="1284"/>
      <c r="AY25" s="1284"/>
      <c r="AZ25" s="1284"/>
      <c r="BA25" s="1284"/>
      <c r="BB25" s="1160"/>
      <c r="BC25" s="1160"/>
      <c r="BD25" s="1160"/>
      <c r="BE25" s="1160"/>
      <c r="BF25" s="1160"/>
      <c r="BG25" s="1160"/>
      <c r="BH25" s="1160"/>
      <c r="BI25" s="1160"/>
      <c r="BJ25" s="1160"/>
      <c r="BK25" s="1160"/>
      <c r="BL25" s="1160"/>
      <c r="BM25" s="1160"/>
      <c r="BN25" s="1160"/>
      <c r="BO25" s="1160"/>
      <c r="BP25" s="1160"/>
      <c r="BQ25" s="1160"/>
      <c r="BR25" s="1160"/>
      <c r="BS25" s="1160"/>
      <c r="BT25" s="1160"/>
      <c r="BU25" s="1160"/>
      <c r="BV25" s="1160"/>
      <c r="BW25" s="1160"/>
      <c r="BX25" s="1160"/>
      <c r="BY25" s="1160"/>
      <c r="BZ25" s="1160"/>
      <c r="CA25" s="1160"/>
      <c r="CB25" s="1160"/>
      <c r="CC25" s="1160"/>
      <c r="CD25" s="1160"/>
      <c r="CE25" s="1160"/>
      <c r="CF25" s="1160"/>
      <c r="CG25" s="1160" t="s">
        <v>623</v>
      </c>
      <c r="CH25" s="1284"/>
      <c r="CI25" s="1284">
        <f t="shared" ref="CI25:CS25" ca="1" si="28">CI18/CI$11</f>
        <v>0.57999999999999985</v>
      </c>
      <c r="CJ25" s="1284">
        <f t="shared" ca="1" si="28"/>
        <v>0.57499999999999996</v>
      </c>
      <c r="CK25" s="1284">
        <f t="shared" ca="1" si="28"/>
        <v>0.56999999999999995</v>
      </c>
      <c r="CL25" s="1284">
        <f t="shared" ca="1" si="28"/>
        <v>0.56499999999999995</v>
      </c>
      <c r="CM25" s="1284">
        <f t="shared" ca="1" si="28"/>
        <v>0.56000000000000005</v>
      </c>
      <c r="CN25" s="1284">
        <f t="shared" ca="1" si="28"/>
        <v>0.55300000000000005</v>
      </c>
      <c r="CO25" s="1284">
        <f t="shared" ca="1" si="28"/>
        <v>0.56499999999999995</v>
      </c>
      <c r="CP25" s="1284">
        <f t="shared" ca="1" si="28"/>
        <v>0.56321195454908701</v>
      </c>
      <c r="CQ25" s="1284">
        <f t="shared" ca="1" si="28"/>
        <v>0.54775768158836369</v>
      </c>
      <c r="CR25" s="1284">
        <f t="shared" ca="1" si="28"/>
        <v>0.53597038170978561</v>
      </c>
      <c r="CS25" s="1284">
        <f t="shared" ca="1" si="28"/>
        <v>0.52518379072088439</v>
      </c>
    </row>
    <row r="26" spans="5:98">
      <c r="E26" s="791" t="s">
        <v>658</v>
      </c>
      <c r="F26" s="1284">
        <f ca="1">OFFSET('Revenue Build'!$C$6,MATCH(Charts!$E19,'Revenue Build'!$C$6:$C$290,0)+0,MATCH(Charts!F$3,'Revenue Build'!$C$5:$EE$5,0)-1)</f>
        <v>0</v>
      </c>
      <c r="G26" s="1284">
        <f ca="1">OFFSET('Revenue Build'!$C$6,MATCH(Charts!$E19,'Revenue Build'!$C$6:$C$290,0)+0,MATCH(Charts!G$3,'Revenue Build'!$C$5:$EE$5,0)-1)</f>
        <v>0</v>
      </c>
      <c r="H26" s="1284">
        <f ca="1">OFFSET('Revenue Build'!$C$6,MATCH(Charts!$E19,'Revenue Build'!$C$6:$C$290,0)+0,MATCH(Charts!H$3,'Revenue Build'!$C$5:$EE$5,0)-1)</f>
        <v>0</v>
      </c>
      <c r="I26" s="1284">
        <f ca="1">OFFSET('Revenue Build'!$C$6,MATCH(Charts!$E19,'Revenue Build'!$C$6:$C$290,0)+0,MATCH(Charts!I$3,'Revenue Build'!$C$5:$EE$5,0)-1)</f>
        <v>0</v>
      </c>
      <c r="J26" s="1284">
        <f ca="1">OFFSET('Revenue Build'!$C$6,MATCH(Charts!$E19,'Revenue Build'!$C$6:$C$290,0)+0,MATCH(Charts!J$3,'Revenue Build'!$C$5:$EE$5,0)-1)</f>
        <v>0.34</v>
      </c>
      <c r="K26" s="1284">
        <f ca="1">OFFSET('Revenue Build'!$C$6,MATCH(Charts!$E19,'Revenue Build'!$C$6:$C$290,0)+0,MATCH(Charts!K$3,'Revenue Build'!$C$5:$EE$5,0)-1)</f>
        <v>0.34</v>
      </c>
      <c r="L26" s="1284">
        <f ca="1">OFFSET('Revenue Build'!$C$6,MATCH(Charts!$E19,'Revenue Build'!$C$6:$C$290,0)+0,MATCH(Charts!L$3,'Revenue Build'!$C$5:$EE$5,0)-1)</f>
        <v>0.34</v>
      </c>
      <c r="M26" s="1284">
        <f ca="1">OFFSET('Revenue Build'!$C$6,MATCH(Charts!$E19,'Revenue Build'!$C$6:$C$290,0)+0,MATCH(Charts!M$3,'Revenue Build'!$C$5:$EE$5,0)-1)</f>
        <v>0.34</v>
      </c>
      <c r="N26" s="1284">
        <f ca="1">OFFSET('Revenue Build'!$C$6,MATCH(Charts!$E19,'Revenue Build'!$C$6:$C$290,0)+0,MATCH(Charts!N$3,'Revenue Build'!$C$5:$EE$5,0)-1)</f>
        <v>0.32</v>
      </c>
      <c r="O26" s="1284">
        <f ca="1">OFFSET('Revenue Build'!$C$6,MATCH(Charts!$E19,'Revenue Build'!$C$6:$C$290,0)+0,MATCH(Charts!O$3,'Revenue Build'!$C$5:$EE$5,0)-1)</f>
        <v>0.32</v>
      </c>
      <c r="P26" s="1284">
        <f ca="1">OFFSET('Revenue Build'!$C$6,MATCH(Charts!$E19,'Revenue Build'!$C$6:$C$290,0)+0,MATCH(Charts!P$3,'Revenue Build'!$C$5:$EE$5,0)-1)</f>
        <v>0.32</v>
      </c>
      <c r="Q26" s="1284">
        <f ca="1">OFFSET('Revenue Build'!$C$6,MATCH(Charts!$E19,'Revenue Build'!$C$6:$C$290,0)+0,MATCH(Charts!Q$3,'Revenue Build'!$C$5:$EE$5,0)-1)</f>
        <v>0.32</v>
      </c>
      <c r="R26" s="1284">
        <f ca="1">OFFSET('Revenue Build'!$C$6,MATCH(Charts!$E19,'Revenue Build'!$C$6:$C$290,0)+0,MATCH(Charts!R$3,'Revenue Build'!$C$5:$EE$5,0)-1)</f>
        <v>0.3</v>
      </c>
      <c r="S26" s="1284">
        <f ca="1">OFFSET('Revenue Build'!$C$6,MATCH(Charts!$E19,'Revenue Build'!$C$6:$C$290,0)+0,MATCH(Charts!S$3,'Revenue Build'!$C$5:$EE$5,0)-1)</f>
        <v>0.3</v>
      </c>
      <c r="T26" s="1284">
        <f ca="1">OFFSET('Revenue Build'!$C$6,MATCH(Charts!$E19,'Revenue Build'!$C$6:$C$290,0)+0,MATCH(Charts!T$3,'Revenue Build'!$C$5:$EE$5,0)-1)</f>
        <v>0.3</v>
      </c>
      <c r="U26" s="1284">
        <f ca="1">OFFSET('Revenue Build'!$C$6,MATCH(Charts!$E19,'Revenue Build'!$C$6:$C$290,0)+0,MATCH(Charts!U$3,'Revenue Build'!$C$5:$EE$5,0)-1)</f>
        <v>0.3</v>
      </c>
      <c r="V26" s="1284">
        <f ca="1">OFFSET('Revenue Build'!$C$6,MATCH(Charts!$E19,'Revenue Build'!$C$6:$C$290,0)+0,MATCH(Charts!V$3,'Revenue Build'!$C$5:$EE$5,0)-1)</f>
        <v>0.27999999999999997</v>
      </c>
      <c r="W26" s="1284">
        <f ca="1">OFFSET('Revenue Build'!$C$6,MATCH(Charts!$E19,'Revenue Build'!$C$6:$C$290,0)+0,MATCH(Charts!W$3,'Revenue Build'!$C$5:$EE$5,0)-1)</f>
        <v>0.27999999999999997</v>
      </c>
      <c r="X26" s="1284">
        <f ca="1">OFFSET('Revenue Build'!$C$6,MATCH(Charts!$E19,'Revenue Build'!$C$6:$C$290,0)+0,MATCH(Charts!X$3,'Revenue Build'!$C$5:$EE$5,0)-1)</f>
        <v>0.27999999999999997</v>
      </c>
      <c r="Y26" s="1284">
        <f ca="1">OFFSET('Revenue Build'!$C$6,MATCH(Charts!$E19,'Revenue Build'!$C$6:$C$290,0)+0,MATCH(Charts!Y$3,'Revenue Build'!$C$5:$EE$5,0)-1)</f>
        <v>0.27999999999999997</v>
      </c>
      <c r="Z26" s="1284">
        <f ca="1">OFFSET('Revenue Build'!$C$6,MATCH(Charts!$E19,'Revenue Build'!$C$6:$C$290,0)+0,MATCH(Charts!Z$3,'Revenue Build'!$C$5:$EE$5,0)-1)</f>
        <v>0.25999999999999995</v>
      </c>
      <c r="AA26" s="1284">
        <f ca="1">OFFSET('Revenue Build'!$C$6,MATCH(Charts!$E19,'Revenue Build'!$C$6:$C$290,0)+0,MATCH(Charts!AA$3,'Revenue Build'!$C$5:$EE$5,0)-1)</f>
        <v>0.25999999999999995</v>
      </c>
      <c r="AB26" s="1284">
        <f ca="1">OFFSET('Revenue Build'!$C$6,MATCH(Charts!$E19,'Revenue Build'!$C$6:$C$290,0)+0,MATCH(Charts!AB$3,'Revenue Build'!$C$5:$EE$5,0)-1)</f>
        <v>0.25999999999999995</v>
      </c>
      <c r="AC26" s="1284">
        <f ca="1">OFFSET('Revenue Build'!$C$6,MATCH(Charts!$E19,'Revenue Build'!$C$6:$C$290,0)+0,MATCH(Charts!AC$3,'Revenue Build'!$C$5:$EE$5,0)-1)</f>
        <v>0.25999999999999995</v>
      </c>
      <c r="AD26" s="1284">
        <f ca="1">OFFSET('Revenue Build'!$C$6,MATCH(Charts!$E19,'Revenue Build'!$C$6:$C$290,0)+0,MATCH(Charts!AD$3,'Revenue Build'!$C$5:$EE$5,0)-1)</f>
        <v>0.24499999999999994</v>
      </c>
      <c r="AE26" s="1284">
        <f ca="1">OFFSET('Revenue Build'!$C$6,MATCH(Charts!$E19,'Revenue Build'!$C$6:$C$290,0)+0,MATCH(Charts!AE$3,'Revenue Build'!$C$5:$EE$5,0)-1)</f>
        <v>0.24499999999999994</v>
      </c>
      <c r="AF26" s="1284">
        <f ca="1">OFFSET('Revenue Build'!$C$6,MATCH(Charts!$E19,'Revenue Build'!$C$6:$C$290,0)+0,MATCH(Charts!AF$3,'Revenue Build'!$C$5:$EE$5,0)-1)</f>
        <v>0.24499999999999994</v>
      </c>
      <c r="AG26" s="1284">
        <f ca="1">OFFSET('Revenue Build'!$C$6,MATCH(Charts!$E19,'Revenue Build'!$C$6:$C$290,0)+0,MATCH(Charts!AG$3,'Revenue Build'!$C$5:$EE$5,0)-1)</f>
        <v>0.24499999999999994</v>
      </c>
      <c r="AH26" s="1284">
        <f ca="1">OFFSET('Revenue Build'!$C$6,MATCH(Charts!$E19,'Revenue Build'!$C$6:$C$290,0)+0,MATCH(Charts!AH$3,'Revenue Build'!$C$5:$EE$5,0)-1)</f>
        <v>0.23499999999999999</v>
      </c>
      <c r="AI26" s="1284">
        <f ca="1">OFFSET('Revenue Build'!$C$6,MATCH(Charts!$E19,'Revenue Build'!$C$6:$C$290,0)+0,MATCH(Charts!AI$3,'Revenue Build'!$C$5:$EE$5,0)-1)</f>
        <v>0.23499999999999999</v>
      </c>
      <c r="AJ26" s="1284">
        <f ca="1">OFFSET('Revenue Build'!$C$6,MATCH(Charts!$E19,'Revenue Build'!$C$6:$C$290,0)+0,MATCH(Charts!AJ$3,'Revenue Build'!$C$5:$EE$5,0)-1)</f>
        <v>0.23499999999999999</v>
      </c>
      <c r="AK26" s="1284">
        <f ca="1">OFFSET('Revenue Build'!$C$6,MATCH(Charts!$E19,'Revenue Build'!$C$6:$C$290,0)+0,MATCH(Charts!AK$3,'Revenue Build'!$C$5:$EE$5,0)-1)</f>
        <v>0.23499999999999999</v>
      </c>
      <c r="AL26" s="1284">
        <f ca="1">OFFSET('Revenue Build'!$C$6,MATCH(Charts!$E19,'Revenue Build'!$C$6:$C$290,0)+0,MATCH(Charts!AL$3,'Revenue Build'!$C$5:$EE$5,0)-1)</f>
        <v>0.22999999999999998</v>
      </c>
      <c r="AM26" s="1284">
        <f ca="1">OFFSET('Revenue Build'!$C$6,MATCH(Charts!$E19,'Revenue Build'!$C$6:$C$290,0)+0,MATCH(Charts!AM$3,'Revenue Build'!$C$5:$EE$5,0)-1)</f>
        <v>0.22999999999999998</v>
      </c>
      <c r="AN26" s="1284">
        <f ca="1">OFFSET('Revenue Build'!$C$6,MATCH(Charts!$E19,'Revenue Build'!$C$6:$C$290,0)+0,MATCH(Charts!AN$3,'Revenue Build'!$C$5:$EE$5,0)-1)</f>
        <v>0.22999999999999998</v>
      </c>
      <c r="AO26" s="1284">
        <f ca="1">OFFSET('Revenue Build'!$C$6,MATCH(Charts!$E19,'Revenue Build'!$C$6:$C$290,0)+0,MATCH(Charts!AO$3,'Revenue Build'!$C$5:$EE$5,0)-1)</f>
        <v>0.22999999999999998</v>
      </c>
      <c r="AP26" s="1284">
        <f ca="1">OFFSET('Revenue Build'!$C$6,MATCH(Charts!$E19,'Revenue Build'!$C$6:$C$290,0)+0,MATCH(Charts!AP$3,'Revenue Build'!$C$5:$EE$5,0)-1)</f>
        <v>0.20593396314381837</v>
      </c>
      <c r="AQ26" s="1284">
        <f ca="1">OFFSET('Revenue Build'!$C$6,MATCH(Charts!$E19,'Revenue Build'!$C$6:$C$290,0)+0,MATCH(Charts!AQ$3,'Revenue Build'!$C$5:$EE$5,0)-1)</f>
        <v>0.20513308391935023</v>
      </c>
      <c r="AR26" s="1284">
        <f ca="1">OFFSET('Revenue Build'!$C$6,MATCH(Charts!$E19,'Revenue Build'!$C$6:$C$290,0)+0,MATCH(Charts!AR$3,'Revenue Build'!$C$5:$EE$5,0)-1)</f>
        <v>0.20523389648799914</v>
      </c>
      <c r="AS26" s="1284">
        <f ca="1">OFFSET('Revenue Build'!$C$6,MATCH(Charts!$E19,'Revenue Build'!$C$6:$C$290,0)+0,MATCH(Charts!AS$3,'Revenue Build'!$C$5:$EE$5,0)-1)</f>
        <v>0.19044202403152999</v>
      </c>
      <c r="AT26" s="1284">
        <f ca="1">OFFSET('Revenue Build'!$C$6,MATCH(Charts!$E19,'Revenue Build'!$C$6:$C$290,0)+0,MATCH(Charts!AT$3,'Revenue Build'!$C$5:$EE$5,0)-1)</f>
        <v>0.18828000809586512</v>
      </c>
      <c r="AU26" s="1284">
        <f ca="1">OFFSET('Revenue Build'!$C$6,MATCH(Charts!$E19,'Revenue Build'!$C$6:$C$290,0)+0,MATCH(Charts!AU$3,'Revenue Build'!$C$5:$EE$5,0)-1)</f>
        <v>0.18686161886390951</v>
      </c>
      <c r="AV26" s="1284">
        <f ca="1">OFFSET('Revenue Build'!$C$6,MATCH(Charts!$E19,'Revenue Build'!$C$6:$C$290,0)+0,MATCH(Charts!AV$3,'Revenue Build'!$C$5:$EE$5,0)-1)</f>
        <v>0.18701649155295769</v>
      </c>
      <c r="AW26" s="1284">
        <f ca="1">OFFSET('Revenue Build'!$C$6,MATCH(Charts!$E19,'Revenue Build'!$C$6:$C$290,0)+0,MATCH(Charts!AW$3,'Revenue Build'!$C$5:$EE$5,0)-1)</f>
        <v>0.17300915992517776</v>
      </c>
      <c r="AX26" s="1284">
        <f ca="1">OFFSET('Revenue Build'!$C$6,MATCH(Charts!$E19,'Revenue Build'!$C$6:$C$290,0)+0,MATCH(Charts!AX$3,'Revenue Build'!$C$5:$EE$5,0)-1)</f>
        <v>0.17510826375368022</v>
      </c>
      <c r="AY26" s="1284">
        <f ca="1">OFFSET('Revenue Build'!$C$6,MATCH(Charts!$E19,'Revenue Build'!$C$6:$C$290,0)+0,MATCH(Charts!AY$3,'Revenue Build'!$C$5:$EE$5,0)-1)</f>
        <v>0.1732130113075451</v>
      </c>
      <c r="AZ26" s="1284">
        <f ca="1">OFFSET('Revenue Build'!$C$6,MATCH(Charts!$E19,'Revenue Build'!$C$6:$C$290,0)+0,MATCH(Charts!AZ$3,'Revenue Build'!$C$5:$EE$5,0)-1)</f>
        <v>0.17339853413616726</v>
      </c>
      <c r="BA26" s="1284">
        <f ca="1">OFFSET('Revenue Build'!$C$6,MATCH(Charts!$E19,'Revenue Build'!$C$6:$C$290,0)+0,MATCH(Charts!BA$3,'Revenue Build'!$C$5:$EE$5,0)-1)</f>
        <v>0.15997054542705219</v>
      </c>
      <c r="BB26" s="1160"/>
      <c r="BC26" s="1160"/>
      <c r="BD26" s="1160"/>
      <c r="BE26" s="1160"/>
      <c r="BF26" s="1160"/>
      <c r="BG26" s="1160"/>
      <c r="BH26" s="1160"/>
      <c r="BI26" s="1160"/>
      <c r="BJ26" s="1160"/>
      <c r="BK26" s="1160"/>
      <c r="BL26" s="1160"/>
      <c r="BM26" s="1160"/>
      <c r="BN26" s="1160"/>
      <c r="BO26" s="1160"/>
      <c r="BP26" s="1160"/>
      <c r="BQ26" s="1160"/>
      <c r="BR26" s="1160"/>
      <c r="BS26" s="1160"/>
      <c r="BT26" s="1160"/>
      <c r="BU26" s="1160"/>
      <c r="BV26" s="1160"/>
      <c r="BW26" s="1160"/>
      <c r="BX26" s="1160"/>
      <c r="BY26" s="1160"/>
      <c r="BZ26" s="1160"/>
      <c r="CA26" s="1160"/>
      <c r="CB26" s="1160"/>
      <c r="CC26" s="1160"/>
      <c r="CD26" s="1160"/>
      <c r="CE26" s="1160"/>
      <c r="CF26" s="1160"/>
      <c r="CG26" s="1160" t="s">
        <v>643</v>
      </c>
      <c r="CH26" s="1284"/>
      <c r="CI26" s="1284">
        <f t="shared" ref="CI26:CS26" ca="1" si="29">CI19/CI$11</f>
        <v>0.33999999999999997</v>
      </c>
      <c r="CJ26" s="1284">
        <f t="shared" ca="1" si="29"/>
        <v>0.32</v>
      </c>
      <c r="CK26" s="1284">
        <f t="shared" ca="1" si="29"/>
        <v>0.3</v>
      </c>
      <c r="CL26" s="1284">
        <f t="shared" ca="1" si="29"/>
        <v>0.27999999999999997</v>
      </c>
      <c r="CM26" s="1284">
        <f t="shared" ca="1" si="29"/>
        <v>0.25999999999999995</v>
      </c>
      <c r="CN26" s="1284">
        <f t="shared" ca="1" si="29"/>
        <v>0.24499999999999994</v>
      </c>
      <c r="CO26" s="1284">
        <f t="shared" ca="1" si="29"/>
        <v>0.23499999999999996</v>
      </c>
      <c r="CP26" s="1284">
        <f t="shared" ca="1" si="29"/>
        <v>0.22494875976808157</v>
      </c>
      <c r="CQ26" s="1284">
        <f t="shared" ca="1" si="29"/>
        <v>0.20068170029054061</v>
      </c>
      <c r="CR26" s="1284">
        <f t="shared" ca="1" si="29"/>
        <v>0.18282142587904499</v>
      </c>
      <c r="CS26" s="1284">
        <f t="shared" ca="1" si="29"/>
        <v>0.16947587360574876</v>
      </c>
    </row>
    <row r="27" spans="5:98">
      <c r="E27" s="791" t="s">
        <v>659</v>
      </c>
      <c r="F27" s="1284">
        <f ca="1">OFFSET('Revenue Build'!$C$6,MATCH(Charts!$E20,'Revenue Build'!$C$6:$C$290,0)+0,MATCH(Charts!F$3,'Revenue Build'!$C$5:$EE$5,0)-1)</f>
        <v>0</v>
      </c>
      <c r="G27" s="1284">
        <f ca="1">OFFSET('Revenue Build'!$C$6,MATCH(Charts!$E20,'Revenue Build'!$C$6:$C$290,0)+0,MATCH(Charts!G$3,'Revenue Build'!$C$5:$EE$5,0)-1)</f>
        <v>0</v>
      </c>
      <c r="H27" s="1284">
        <f ca="1">OFFSET('Revenue Build'!$C$6,MATCH(Charts!$E20,'Revenue Build'!$C$6:$C$290,0)+0,MATCH(Charts!H$3,'Revenue Build'!$C$5:$EE$5,0)-1)</f>
        <v>0</v>
      </c>
      <c r="I27" s="1284">
        <f ca="1">OFFSET('Revenue Build'!$C$6,MATCH(Charts!$E20,'Revenue Build'!$C$6:$C$290,0)+0,MATCH(Charts!I$3,'Revenue Build'!$C$5:$EE$5,0)-1)</f>
        <v>0</v>
      </c>
      <c r="J27" s="1284">
        <f ca="1">OFFSET('Revenue Build'!$C$6,MATCH(Charts!$E20,'Revenue Build'!$C$6:$C$290,0)+0,MATCH(Charts!J$3,'Revenue Build'!$C$5:$EE$5,0)-1)</f>
        <v>0.92</v>
      </c>
      <c r="K27" s="1284">
        <f ca="1">OFFSET('Revenue Build'!$C$6,MATCH(Charts!$E20,'Revenue Build'!$C$6:$C$290,0)+0,MATCH(Charts!K$3,'Revenue Build'!$C$5:$EE$5,0)-1)</f>
        <v>0.91999999999999993</v>
      </c>
      <c r="L27" s="1284">
        <f ca="1">OFFSET('Revenue Build'!$C$6,MATCH(Charts!$E20,'Revenue Build'!$C$6:$C$290,0)+0,MATCH(Charts!L$3,'Revenue Build'!$C$5:$EE$5,0)-1)</f>
        <v>0.92</v>
      </c>
      <c r="M27" s="1284">
        <f ca="1">OFFSET('Revenue Build'!$C$6,MATCH(Charts!$E20,'Revenue Build'!$C$6:$C$290,0)+0,MATCH(Charts!M$3,'Revenue Build'!$C$5:$EE$5,0)-1)</f>
        <v>0.92</v>
      </c>
      <c r="N27" s="1284">
        <f ca="1">OFFSET('Revenue Build'!$C$6,MATCH(Charts!$E20,'Revenue Build'!$C$6:$C$290,0)+0,MATCH(Charts!N$3,'Revenue Build'!$C$5:$EE$5,0)-1)</f>
        <v>0.89499999999999991</v>
      </c>
      <c r="O27" s="1284">
        <f ca="1">OFFSET('Revenue Build'!$C$6,MATCH(Charts!$E20,'Revenue Build'!$C$6:$C$290,0)+0,MATCH(Charts!O$3,'Revenue Build'!$C$5:$EE$5,0)-1)</f>
        <v>0.89499999999999991</v>
      </c>
      <c r="P27" s="1284">
        <f ca="1">OFFSET('Revenue Build'!$C$6,MATCH(Charts!$E20,'Revenue Build'!$C$6:$C$290,0)+0,MATCH(Charts!P$3,'Revenue Build'!$C$5:$EE$5,0)-1)</f>
        <v>0.89499999999999991</v>
      </c>
      <c r="Q27" s="1284">
        <f ca="1">OFFSET('Revenue Build'!$C$6,MATCH(Charts!$E20,'Revenue Build'!$C$6:$C$290,0)+0,MATCH(Charts!Q$3,'Revenue Build'!$C$5:$EE$5,0)-1)</f>
        <v>0.89499999999999991</v>
      </c>
      <c r="R27" s="1284">
        <f ca="1">OFFSET('Revenue Build'!$C$6,MATCH(Charts!$E20,'Revenue Build'!$C$6:$C$290,0)+0,MATCH(Charts!R$3,'Revenue Build'!$C$5:$EE$5,0)-1)</f>
        <v>0.87</v>
      </c>
      <c r="S27" s="1284">
        <f ca="1">OFFSET('Revenue Build'!$C$6,MATCH(Charts!$E20,'Revenue Build'!$C$6:$C$290,0)+0,MATCH(Charts!S$3,'Revenue Build'!$C$5:$EE$5,0)-1)</f>
        <v>0.86999999999999988</v>
      </c>
      <c r="T27" s="1284">
        <f ca="1">OFFSET('Revenue Build'!$C$6,MATCH(Charts!$E20,'Revenue Build'!$C$6:$C$290,0)+0,MATCH(Charts!T$3,'Revenue Build'!$C$5:$EE$5,0)-1)</f>
        <v>0.87</v>
      </c>
      <c r="U27" s="1284">
        <f ca="1">OFFSET('Revenue Build'!$C$6,MATCH(Charts!$E20,'Revenue Build'!$C$6:$C$290,0)+0,MATCH(Charts!U$3,'Revenue Build'!$C$5:$EE$5,0)-1)</f>
        <v>0.86999999999999988</v>
      </c>
      <c r="V27" s="1284">
        <f ca="1">OFFSET('Revenue Build'!$C$6,MATCH(Charts!$E20,'Revenue Build'!$C$6:$C$290,0)+0,MATCH(Charts!V$3,'Revenue Build'!$C$5:$EE$5,0)-1)</f>
        <v>0.84499999999999986</v>
      </c>
      <c r="W27" s="1284">
        <f ca="1">OFFSET('Revenue Build'!$C$6,MATCH(Charts!$E20,'Revenue Build'!$C$6:$C$290,0)+0,MATCH(Charts!W$3,'Revenue Build'!$C$5:$EE$5,0)-1)</f>
        <v>0.84499999999999997</v>
      </c>
      <c r="X27" s="1284">
        <f ca="1">OFFSET('Revenue Build'!$C$6,MATCH(Charts!$E20,'Revenue Build'!$C$6:$C$290,0)+0,MATCH(Charts!X$3,'Revenue Build'!$C$5:$EE$5,0)-1)</f>
        <v>0.84500000000000008</v>
      </c>
      <c r="Y27" s="1284">
        <f ca="1">OFFSET('Revenue Build'!$C$6,MATCH(Charts!$E20,'Revenue Build'!$C$6:$C$290,0)+0,MATCH(Charts!Y$3,'Revenue Build'!$C$5:$EE$5,0)-1)</f>
        <v>0.84499999999999986</v>
      </c>
      <c r="Z27" s="1284">
        <f ca="1">OFFSET('Revenue Build'!$C$6,MATCH(Charts!$E20,'Revenue Build'!$C$6:$C$290,0)+0,MATCH(Charts!Z$3,'Revenue Build'!$C$5:$EE$5,0)-1)</f>
        <v>0.82</v>
      </c>
      <c r="AA27" s="1284">
        <f ca="1">OFFSET('Revenue Build'!$C$6,MATCH(Charts!$E20,'Revenue Build'!$C$6:$C$290,0)+0,MATCH(Charts!AA$3,'Revenue Build'!$C$5:$EE$5,0)-1)</f>
        <v>0.82000000000000017</v>
      </c>
      <c r="AB27" s="1284">
        <f ca="1">OFFSET('Revenue Build'!$C$6,MATCH(Charts!$E20,'Revenue Build'!$C$6:$C$290,0)+0,MATCH(Charts!AB$3,'Revenue Build'!$C$5:$EE$5,0)-1)</f>
        <v>0.82</v>
      </c>
      <c r="AC27" s="1284">
        <f ca="1">OFFSET('Revenue Build'!$C$6,MATCH(Charts!$E20,'Revenue Build'!$C$6:$C$290,0)+0,MATCH(Charts!AC$3,'Revenue Build'!$C$5:$EE$5,0)-1)</f>
        <v>0.82000000000000006</v>
      </c>
      <c r="AD27" s="1284">
        <f ca="1">OFFSET('Revenue Build'!$C$6,MATCH(Charts!$E20,'Revenue Build'!$C$6:$C$290,0)+0,MATCH(Charts!AD$3,'Revenue Build'!$C$5:$EE$5,0)-1)</f>
        <v>0.79799999999999993</v>
      </c>
      <c r="AE27" s="1284">
        <f ca="1">OFFSET('Revenue Build'!$C$6,MATCH(Charts!$E20,'Revenue Build'!$C$6:$C$290,0)+0,MATCH(Charts!AE$3,'Revenue Build'!$C$5:$EE$5,0)-1)</f>
        <v>0.79800000000000004</v>
      </c>
      <c r="AF27" s="1284">
        <f ca="1">OFFSET('Revenue Build'!$C$6,MATCH(Charts!$E20,'Revenue Build'!$C$6:$C$290,0)+0,MATCH(Charts!AF$3,'Revenue Build'!$C$5:$EE$5,0)-1)</f>
        <v>0.79799999999999993</v>
      </c>
      <c r="AG27" s="1284">
        <f ca="1">OFFSET('Revenue Build'!$C$6,MATCH(Charts!$E20,'Revenue Build'!$C$6:$C$290,0)+0,MATCH(Charts!AG$3,'Revenue Build'!$C$5:$EE$5,0)-1)</f>
        <v>0.79799999999999993</v>
      </c>
      <c r="AH27" s="1284">
        <f ca="1">OFFSET('Revenue Build'!$C$6,MATCH(Charts!$E20,'Revenue Build'!$C$6:$C$290,0)+0,MATCH(Charts!AH$3,'Revenue Build'!$C$5:$EE$5,0)-1)</f>
        <v>0.79999999999999993</v>
      </c>
      <c r="AI27" s="1284">
        <f ca="1">OFFSET('Revenue Build'!$C$6,MATCH(Charts!$E20,'Revenue Build'!$C$6:$C$290,0)+0,MATCH(Charts!AI$3,'Revenue Build'!$C$5:$EE$5,0)-1)</f>
        <v>0.79999999999999993</v>
      </c>
      <c r="AJ27" s="1284">
        <f ca="1">OFFSET('Revenue Build'!$C$6,MATCH(Charts!$E20,'Revenue Build'!$C$6:$C$290,0)+0,MATCH(Charts!AJ$3,'Revenue Build'!$C$5:$EE$5,0)-1)</f>
        <v>0.79999999999999993</v>
      </c>
      <c r="AK27" s="1284">
        <f ca="1">OFFSET('Revenue Build'!$C$6,MATCH(Charts!$E20,'Revenue Build'!$C$6:$C$290,0)+0,MATCH(Charts!AK$3,'Revenue Build'!$C$5:$EE$5,0)-1)</f>
        <v>0.79999999999999993</v>
      </c>
      <c r="AL27" s="1284">
        <f ca="1">OFFSET('Revenue Build'!$C$6,MATCH(Charts!$E20,'Revenue Build'!$C$6:$C$290,0)+0,MATCH(Charts!AL$3,'Revenue Build'!$C$5:$EE$5,0)-1)</f>
        <v>0.79514999999999991</v>
      </c>
      <c r="AM27" s="1284">
        <f ca="1">OFFSET('Revenue Build'!$C$6,MATCH(Charts!$E20,'Revenue Build'!$C$6:$C$290,0)+0,MATCH(Charts!AM$3,'Revenue Build'!$C$5:$EE$5,0)-1)</f>
        <v>0.7952999999999999</v>
      </c>
      <c r="AN27" s="1284">
        <f ca="1">OFFSET('Revenue Build'!$C$6,MATCH(Charts!$E20,'Revenue Build'!$C$6:$C$290,0)+0,MATCH(Charts!AN$3,'Revenue Build'!$C$5:$EE$5,0)-1)</f>
        <v>0.79544999999999999</v>
      </c>
      <c r="AO27" s="1284">
        <f ca="1">OFFSET('Revenue Build'!$C$6,MATCH(Charts!$E20,'Revenue Build'!$C$6:$C$290,0)+0,MATCH(Charts!AO$3,'Revenue Build'!$C$5:$EE$5,0)-1)</f>
        <v>0.7728473449830956</v>
      </c>
      <c r="AP27" s="1284">
        <f ca="1">OFFSET('Revenue Build'!$C$6,MATCH(Charts!$E20,'Revenue Build'!$C$6:$C$290,0)+0,MATCH(Charts!AP$3,'Revenue Build'!$C$5:$EE$5,0)-1)</f>
        <v>0.7569151431563339</v>
      </c>
      <c r="AQ27" s="1284">
        <f ca="1">OFFSET('Revenue Build'!$C$6,MATCH(Charts!$E20,'Revenue Build'!$C$6:$C$290,0)+0,MATCH(Charts!AQ$3,'Revenue Build'!$C$5:$EE$5,0)-1)</f>
        <v>0.75480767230973989</v>
      </c>
      <c r="AR27" s="1284">
        <f ca="1">OFFSET('Revenue Build'!$C$6,MATCH(Charts!$E20,'Revenue Build'!$C$6:$C$290,0)+0,MATCH(Charts!AR$3,'Revenue Build'!$C$5:$EE$5,0)-1)</f>
        <v>0.75545457155374274</v>
      </c>
      <c r="AS27" s="1284">
        <f ca="1">OFFSET('Revenue Build'!$C$6,MATCH(Charts!$E20,'Revenue Build'!$C$6:$C$290,0)+0,MATCH(Charts!AS$3,'Revenue Build'!$C$5:$EE$5,0)-1)</f>
        <v>0.73275529698645969</v>
      </c>
      <c r="AT27" s="1284">
        <f ca="1">OFFSET('Revenue Build'!$C$6,MATCH(Charts!$E20,'Revenue Build'!$C$6:$C$290,0)+0,MATCH(Charts!AT$3,'Revenue Build'!$C$5:$EE$5,0)-1)</f>
        <v>0.72857444928170723</v>
      </c>
      <c r="AU27" s="1284">
        <f ca="1">OFFSET('Revenue Build'!$C$6,MATCH(Charts!$E20,'Revenue Build'!$C$6:$C$290,0)+0,MATCH(Charts!AU$3,'Revenue Build'!$C$5:$EE$5,0)-1)</f>
        <v>0.7246397592351409</v>
      </c>
      <c r="AV27" s="1284">
        <f ca="1">OFFSET('Revenue Build'!$C$6,MATCH(Charts!$E20,'Revenue Build'!$C$6:$C$290,0)+0,MATCH(Charts!AV$3,'Revenue Build'!$C$5:$EE$5,0)-1)</f>
        <v>0.7256440289596775</v>
      </c>
      <c r="AW27" s="1284">
        <f ca="1">OFFSET('Revenue Build'!$C$6,MATCH(Charts!$E20,'Revenue Build'!$C$6:$C$290,0)+0,MATCH(Charts!AW$3,'Revenue Build'!$C$5:$EE$5,0)-1)</f>
        <v>0.70271767529999174</v>
      </c>
      <c r="AX27" s="1284">
        <f ca="1">OFFSET('Revenue Build'!$C$6,MATCH(Charts!$E20,'Revenue Build'!$C$6:$C$290,0)+0,MATCH(Charts!AX$3,'Revenue Build'!$C$5:$EE$5,0)-1)</f>
        <v>0.70556354388506981</v>
      </c>
      <c r="AY27" s="1284">
        <f ca="1">OFFSET('Revenue Build'!$C$6,MATCH(Charts!$E20,'Revenue Build'!$C$6:$C$290,0)+0,MATCH(Charts!AY$3,'Revenue Build'!$C$5:$EE$5,0)-1)</f>
        <v>0.7001214436900639</v>
      </c>
      <c r="AZ27" s="1284">
        <f ca="1">OFFSET('Revenue Build'!$C$6,MATCH(Charts!$E20,'Revenue Build'!$C$6:$C$290,0)+0,MATCH(Charts!AZ$3,'Revenue Build'!$C$5:$EE$5,0)-1)</f>
        <v>0.70140635043297661</v>
      </c>
      <c r="BA27" s="1284">
        <f ca="1">OFFSET('Revenue Build'!$C$6,MATCH(Charts!$E20,'Revenue Build'!$C$6:$C$290,0)+0,MATCH(Charts!BA$3,'Revenue Build'!$C$5:$EE$5,0)-1)</f>
        <v>0.67818115235882337</v>
      </c>
      <c r="BB27" s="1160"/>
      <c r="BC27" s="1160"/>
      <c r="BD27" s="1160"/>
      <c r="BE27" s="1160"/>
      <c r="BF27" s="1160"/>
      <c r="BG27" s="1160"/>
      <c r="BH27" s="1160"/>
      <c r="BI27" s="1160"/>
      <c r="BJ27" s="1160"/>
      <c r="BK27" s="1160"/>
      <c r="BL27" s="1160"/>
      <c r="BM27" s="1160"/>
      <c r="BN27" s="1160"/>
      <c r="BO27" s="1160"/>
      <c r="BP27" s="1160"/>
      <c r="BQ27" s="1160"/>
      <c r="BR27" s="1160"/>
      <c r="BS27" s="1160"/>
      <c r="BT27" s="1160"/>
      <c r="BU27" s="1160"/>
      <c r="BV27" s="1160"/>
      <c r="BW27" s="1160"/>
      <c r="BX27" s="1160"/>
      <c r="BY27" s="1160"/>
      <c r="BZ27" s="1160"/>
      <c r="CA27" s="1160"/>
      <c r="CB27" s="1160"/>
      <c r="CC27" s="1160"/>
      <c r="CD27" s="1160"/>
      <c r="CE27" s="1160"/>
      <c r="CF27" s="1160"/>
      <c r="CG27" s="1160" t="s">
        <v>341</v>
      </c>
      <c r="CH27" s="1284"/>
      <c r="CI27" s="1284">
        <f t="shared" ref="CI27:CS27" ca="1" si="30">CI20/CI$11</f>
        <v>0.91999999999999982</v>
      </c>
      <c r="CJ27" s="1284">
        <f t="shared" ca="1" si="30"/>
        <v>0.89500000000000002</v>
      </c>
      <c r="CK27" s="1284">
        <f t="shared" ca="1" si="30"/>
        <v>0.86999999999999988</v>
      </c>
      <c r="CL27" s="1284">
        <f t="shared" ca="1" si="30"/>
        <v>0.84499999999999986</v>
      </c>
      <c r="CM27" s="1284">
        <f t="shared" ca="1" si="30"/>
        <v>0.82</v>
      </c>
      <c r="CN27" s="1284">
        <f t="shared" ca="1" si="30"/>
        <v>0.79799999999999993</v>
      </c>
      <c r="CO27" s="1284">
        <f t="shared" ca="1" si="30"/>
        <v>0.79999999999999993</v>
      </c>
      <c r="CP27" s="1284">
        <f t="shared" ca="1" si="30"/>
        <v>0.78816071431716861</v>
      </c>
      <c r="CQ27" s="1284">
        <f t="shared" ca="1" si="30"/>
        <v>0.74843938187890435</v>
      </c>
      <c r="CR27" s="1284">
        <f t="shared" ca="1" si="30"/>
        <v>0.71879180758883054</v>
      </c>
      <c r="CS27" s="1284">
        <f t="shared" ca="1" si="30"/>
        <v>0.69465966432663306</v>
      </c>
      <c r="CT27" s="792"/>
    </row>
    <row r="28" spans="5:98">
      <c r="E28" s="793" t="s">
        <v>660</v>
      </c>
      <c r="F28" s="792"/>
      <c r="G28" s="792"/>
      <c r="H28" s="792"/>
      <c r="I28" s="792"/>
      <c r="J28" s="792"/>
      <c r="K28" s="792"/>
      <c r="L28" s="792"/>
      <c r="M28" s="792"/>
      <c r="N28" s="792"/>
      <c r="O28" s="792"/>
      <c r="P28" s="792"/>
      <c r="Q28" s="792"/>
      <c r="R28" s="792"/>
      <c r="S28" s="792"/>
      <c r="T28" s="792"/>
      <c r="U28" s="792"/>
      <c r="V28" s="792"/>
      <c r="W28" s="792"/>
      <c r="X28" s="792"/>
      <c r="Y28" s="792"/>
      <c r="Z28" s="792"/>
      <c r="AA28" s="792"/>
      <c r="AB28" s="792"/>
      <c r="AC28" s="792"/>
      <c r="AD28" s="792"/>
      <c r="AE28" s="792"/>
      <c r="AF28" s="792"/>
      <c r="AG28" s="792"/>
      <c r="AH28" s="792"/>
      <c r="AI28" s="792"/>
      <c r="AJ28" s="792"/>
      <c r="AK28" s="792"/>
      <c r="AL28" s="792"/>
      <c r="AM28" s="792"/>
      <c r="AN28" s="792"/>
      <c r="AO28" s="792"/>
      <c r="AP28" s="792"/>
      <c r="AQ28" s="792"/>
      <c r="AR28" s="792"/>
      <c r="AS28" s="792"/>
      <c r="AT28" s="792"/>
      <c r="AU28" s="792"/>
      <c r="AV28" s="792"/>
      <c r="AW28" s="792"/>
      <c r="AX28" s="792"/>
      <c r="AY28" s="792"/>
      <c r="AZ28" s="792"/>
      <c r="BA28" s="792"/>
      <c r="BB28" s="1160"/>
      <c r="BC28" s="1160"/>
      <c r="BD28" s="1160"/>
      <c r="BE28" s="1160"/>
      <c r="BF28" s="1160"/>
      <c r="BG28" s="1160"/>
      <c r="BH28" s="1160"/>
      <c r="BI28" s="1160"/>
      <c r="BJ28" s="1160"/>
      <c r="BK28" s="1160"/>
      <c r="BL28" s="1160"/>
      <c r="BM28" s="1160"/>
      <c r="BN28" s="1160"/>
      <c r="BO28" s="1160"/>
      <c r="BP28" s="1160"/>
      <c r="BQ28" s="1160"/>
      <c r="BR28" s="1160"/>
      <c r="BS28" s="1160"/>
      <c r="BT28" s="1160"/>
      <c r="BU28" s="1160"/>
      <c r="BV28" s="1160"/>
      <c r="BW28" s="1160"/>
      <c r="BX28" s="1160"/>
      <c r="BY28" s="1160"/>
      <c r="BZ28" s="1160"/>
      <c r="CA28" s="1160"/>
      <c r="CB28" s="1160"/>
      <c r="CC28" s="1160"/>
      <c r="CD28" s="1160"/>
      <c r="CE28" s="1160"/>
      <c r="CF28" s="1160"/>
      <c r="CG28" s="1160" t="s">
        <v>347</v>
      </c>
      <c r="CH28" s="1284"/>
      <c r="CI28" s="1284">
        <f t="shared" ref="CI28:CS28" ca="1" si="31">CI21/CI$11</f>
        <v>8.0000000000000196E-2</v>
      </c>
      <c r="CJ28" s="1284">
        <f t="shared" ca="1" si="31"/>
        <v>0.105</v>
      </c>
      <c r="CK28" s="1284">
        <f t="shared" ca="1" si="31"/>
        <v>0.13000000000000012</v>
      </c>
      <c r="CL28" s="1284">
        <f t="shared" ca="1" si="31"/>
        <v>0.15500000000000017</v>
      </c>
      <c r="CM28" s="1284">
        <f t="shared" ca="1" si="31"/>
        <v>0.18000000000000008</v>
      </c>
      <c r="CN28" s="1284">
        <f t="shared" ca="1" si="31"/>
        <v>0.20200000000000004</v>
      </c>
      <c r="CO28" s="1284">
        <f t="shared" ca="1" si="31"/>
        <v>0.20000000000000007</v>
      </c>
      <c r="CP28" s="1284">
        <f t="shared" ca="1" si="31"/>
        <v>0.21183928568283142</v>
      </c>
      <c r="CQ28" s="1284">
        <f t="shared" ca="1" si="31"/>
        <v>0.25156061812109565</v>
      </c>
      <c r="CR28" s="1284">
        <f t="shared" ca="1" si="31"/>
        <v>0.2812081924111694</v>
      </c>
      <c r="CS28" s="1284">
        <f t="shared" ca="1" si="31"/>
        <v>0.30534033567336688</v>
      </c>
      <c r="CT28" s="792"/>
    </row>
    <row r="29" spans="5:98">
      <c r="E29" s="793"/>
      <c r="F29" s="792"/>
      <c r="G29" s="792"/>
      <c r="H29" s="792"/>
      <c r="I29" s="792"/>
      <c r="J29" s="792"/>
      <c r="K29" s="792"/>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92"/>
      <c r="AI29" s="792"/>
      <c r="AJ29" s="792"/>
      <c r="AK29" s="792"/>
      <c r="AL29" s="792"/>
      <c r="AM29" s="792"/>
      <c r="AN29" s="792"/>
      <c r="AO29" s="792"/>
      <c r="AP29" s="792"/>
      <c r="AQ29" s="792"/>
      <c r="AR29" s="792"/>
      <c r="AS29" s="792"/>
      <c r="AT29" s="792"/>
      <c r="AU29" s="792"/>
      <c r="AV29" s="792"/>
      <c r="AW29" s="792"/>
      <c r="AX29" s="792"/>
      <c r="AY29" s="792"/>
      <c r="AZ29" s="792"/>
      <c r="BA29" s="792"/>
      <c r="BB29" s="1160"/>
      <c r="BC29" s="1160"/>
      <c r="BD29" s="1160"/>
      <c r="BE29" s="1160"/>
      <c r="BF29" s="1160"/>
      <c r="BG29" s="1160"/>
      <c r="BH29" s="1160"/>
      <c r="BI29" s="1160"/>
      <c r="BJ29" s="1160"/>
      <c r="BK29" s="1160"/>
      <c r="BL29" s="1160"/>
      <c r="BM29" s="1160"/>
      <c r="BN29" s="1160"/>
      <c r="BO29" s="1160"/>
      <c r="BP29" s="1160"/>
      <c r="BQ29" s="1160"/>
      <c r="BR29" s="1160"/>
      <c r="BS29" s="1160"/>
      <c r="BT29" s="1160"/>
      <c r="BU29" s="1160"/>
      <c r="BV29" s="1160"/>
      <c r="BW29" s="1160"/>
      <c r="BX29" s="1160"/>
      <c r="BY29" s="1160"/>
      <c r="BZ29" s="1160"/>
      <c r="CA29" s="1160"/>
      <c r="CB29" s="1160"/>
      <c r="CC29" s="1160"/>
      <c r="CD29" s="1160"/>
      <c r="CE29" s="1160"/>
      <c r="CF29" s="1160"/>
      <c r="CG29" s="1160"/>
      <c r="CT29" s="792"/>
    </row>
    <row r="30" spans="5:98">
      <c r="BB30" s="1110"/>
      <c r="BC30" s="1110"/>
      <c r="BD30" s="1110"/>
      <c r="BE30" s="1110"/>
      <c r="BF30" s="1110"/>
      <c r="BG30" s="1110"/>
      <c r="BH30" s="1110"/>
      <c r="BI30" s="1110"/>
      <c r="BJ30" s="1110"/>
      <c r="BK30" s="1110"/>
      <c r="BL30" s="1110"/>
      <c r="BM30" s="1110"/>
      <c r="BN30" s="1110"/>
      <c r="BO30" s="1110"/>
      <c r="BP30" s="1110"/>
      <c r="BQ30" s="1110"/>
      <c r="BR30" s="1110"/>
      <c r="BS30" s="1110"/>
      <c r="BT30" s="1110"/>
      <c r="BU30" s="1110"/>
      <c r="BV30" s="1110"/>
      <c r="BW30" s="1110"/>
      <c r="BX30" s="1110"/>
      <c r="BY30" s="1110"/>
      <c r="BZ30" s="1110"/>
      <c r="CA30" s="1110"/>
      <c r="CB30" s="1110"/>
      <c r="CC30" s="1110"/>
      <c r="CD30" s="1110"/>
      <c r="CE30" s="1110"/>
      <c r="CF30" s="1110"/>
      <c r="CG30" s="1110"/>
    </row>
    <row r="31" spans="5:98">
      <c r="E31" s="6" t="str">
        <f>Income!$C$11</f>
        <v>Total revenue</v>
      </c>
      <c r="F31" s="1287">
        <f ca="1">OFFSET('Revenue Build'!$C$6,MATCH(Charts!$E31,'Revenue Build'!$C$6:$C$290,0)-1,MATCH(Charts!F$3,'Revenue Build'!$C$5:$EE$5,0)-1)</f>
        <v>72.722000000000008</v>
      </c>
      <c r="G31" s="1287">
        <f ca="1">OFFSET('Revenue Build'!$C$6,MATCH(Charts!$E31,'Revenue Build'!$C$6:$C$290,0)-1,MATCH(Charts!G$3,'Revenue Build'!$C$5:$EE$5,0)-1)</f>
        <v>86.646999999999991</v>
      </c>
      <c r="H31" s="1287">
        <f ca="1">OFFSET('Revenue Build'!$C$6,MATCH(Charts!$E31,'Revenue Build'!$C$6:$C$290,0)-1,MATCH(Charts!H$3,'Revenue Build'!$C$5:$EE$5,0)-1)</f>
        <v>99.578000000000003</v>
      </c>
      <c r="I31" s="1287">
        <f ca="1">OFFSET('Revenue Build'!$C$6,MATCH(Charts!$E31,'Revenue Build'!$C$6:$C$290,0)-1,MATCH(Charts!I$3,'Revenue Build'!$C$5:$EE$5,0)-1)</f>
        <v>130.38299999999998</v>
      </c>
      <c r="J31" s="1287">
        <f ca="1">OFFSET('Revenue Build'!$C$6,MATCH(Charts!$E31,'Revenue Build'!$C$6:$C$290,0)-1,MATCH(Charts!J$3,'Revenue Build'!$C$5:$EE$5,0)-1)</f>
        <v>127.379</v>
      </c>
      <c r="K31" s="1287">
        <f ca="1">OFFSET('Revenue Build'!$C$6,MATCH(Charts!$E31,'Revenue Build'!$C$6:$C$290,0)-1,MATCH(Charts!K$3,'Revenue Build'!$C$5:$EE$5,0)-1)</f>
        <v>151.655</v>
      </c>
      <c r="L31" s="1287">
        <f ca="1">OFFSET('Revenue Build'!$C$6,MATCH(Charts!$E31,'Revenue Build'!$C$6:$C$290,0)-1,MATCH(Charts!L$3,'Revenue Build'!$C$5:$EE$5,0)-1)</f>
        <v>171.45600000000002</v>
      </c>
      <c r="M31" s="1287">
        <f ca="1">OFFSET('Revenue Build'!$C$6,MATCH(Charts!$E31,'Revenue Build'!$C$6:$C$290,0)-1,MATCH(Charts!M$3,'Revenue Build'!$C$5:$EE$5,0)-1)</f>
        <v>222.81399999999999</v>
      </c>
      <c r="N31" s="1287">
        <f ca="1">OFFSET('Revenue Build'!$C$6,MATCH(Charts!$E31,'Revenue Build'!$C$6:$C$290,0)-1,MATCH(Charts!N$3,'Revenue Build'!$C$5:$EE$5,0)-1)</f>
        <v>214.33999999999997</v>
      </c>
      <c r="O31" s="1287">
        <f ca="1">OFFSET('Revenue Build'!$C$6,MATCH(Charts!$E31,'Revenue Build'!$C$6:$C$290,0)-1,MATCH(Charts!O$3,'Revenue Build'!$C$5:$EE$5,0)-1)</f>
        <v>244.96299999999999</v>
      </c>
      <c r="P31" s="1287">
        <f ca="1">OFFSET('Revenue Build'!$C$6,MATCH(Charts!$E31,'Revenue Build'!$C$6:$C$290,0)-1,MATCH(Charts!P$3,'Revenue Build'!$C$5:$EE$5,0)-1)</f>
        <v>270.06399999999996</v>
      </c>
      <c r="Q31" s="1287">
        <f ca="1">OFFSET('Revenue Build'!$C$6,MATCH(Charts!$E31,'Revenue Build'!$C$6:$C$290,0)-1,MATCH(Charts!Q$3,'Revenue Build'!$C$5:$EE$5,0)-1)</f>
        <v>343.86199999999997</v>
      </c>
      <c r="R31" s="1287">
        <f ca="1">OFFSET('Revenue Build'!$C$6,MATCH(Charts!$E31,'Revenue Build'!$C$6:$C$290,0)-1,MATCH(Charts!R$3,'Revenue Build'!$C$5:$EE$5,0)-1)</f>
        <v>320.48199999999997</v>
      </c>
      <c r="S31" s="1287">
        <f ca="1">OFFSET('Revenue Build'!$C$6,MATCH(Charts!$E31,'Revenue Build'!$C$6:$C$290,0)-1,MATCH(Charts!S$3,'Revenue Build'!$C$5:$EE$5,0)-1)</f>
        <v>361.97899999999998</v>
      </c>
      <c r="T31" s="1287">
        <f ca="1">OFFSET('Revenue Build'!$C$6,MATCH(Charts!$E31,'Revenue Build'!$C$6:$C$290,0)-1,MATCH(Charts!T$3,'Revenue Build'!$C$5:$EE$5,0)-1)</f>
        <v>390.55200000000002</v>
      </c>
      <c r="U31" s="1287">
        <f ca="1">OFFSET('Revenue Build'!$C$6,MATCH(Charts!$E31,'Revenue Build'!$C$6:$C$290,0)-1,MATCH(Charts!U$3,'Revenue Build'!$C$5:$EE$5,0)-1)</f>
        <v>505.16</v>
      </c>
      <c r="V31" s="1287">
        <f ca="1">OFFSET('Revenue Build'!$C$6,MATCH(Charts!$E31,'Revenue Build'!$C$6:$C$290,0)-1,MATCH(Charts!V$3,'Revenue Build'!$C$5:$EE$5,0)-1)</f>
        <v>470.00099999999998</v>
      </c>
      <c r="W31" s="1287">
        <f ca="1">OFFSET('Revenue Build'!$C$6,MATCH(Charts!$E31,'Revenue Build'!$C$6:$C$290,0)-1,MATCH(Charts!W$3,'Revenue Build'!$C$5:$EE$5,0)-1)</f>
        <v>714.34100000000001</v>
      </c>
      <c r="X31" s="1287">
        <f ca="1">OFFSET('Revenue Build'!$C$6,MATCH(Charts!$E31,'Revenue Build'!$C$6:$C$290,0)-1,MATCH(Charts!X$3,'Revenue Build'!$C$5:$EE$5,0)-1)</f>
        <v>767.40499999999997</v>
      </c>
      <c r="Y31" s="1287">
        <f ca="1">OFFSET('Revenue Build'!$C$6,MATCH(Charts!$E31,'Revenue Build'!$C$6:$C$290,0)-1,MATCH(Charts!Y$3,'Revenue Build'!$C$5:$EE$5,0)-1)</f>
        <v>977.74399999999991</v>
      </c>
      <c r="Z31" s="1287">
        <f ca="1">OFFSET('Revenue Build'!$C$6,MATCH(Charts!$E31,'Revenue Build'!$C$6:$C$290,0)-1,MATCH(Charts!Z$3,'Revenue Build'!$C$5:$EE$5,0)-1)</f>
        <v>988.64699999999993</v>
      </c>
      <c r="AA31" s="1287">
        <f ca="1">OFFSET('Revenue Build'!$C$6,MATCH(Charts!$E31,'Revenue Build'!$C$6:$C$290,0)-1,MATCH(Charts!AA$3,'Revenue Build'!$C$5:$EE$5,0)-1)</f>
        <v>1119.4449999999999</v>
      </c>
      <c r="AB31" s="1287">
        <f ca="1">OFFSET('Revenue Build'!$C$6,MATCH(Charts!$E31,'Revenue Build'!$C$6:$C$290,0)-1,MATCH(Charts!AB$3,'Revenue Build'!$C$5:$EE$5,0)-1)</f>
        <v>1123.74</v>
      </c>
      <c r="AC31" s="1287">
        <f ca="1">OFFSET('Revenue Build'!$C$6,MATCH(Charts!$E31,'Revenue Build'!$C$6:$C$290,0)-1,MATCH(Charts!AC$3,'Revenue Build'!$C$5:$EE$5,0)-1)</f>
        <v>1380.0240000000001</v>
      </c>
      <c r="AD31" s="1287">
        <f ca="1">OFFSET('Revenue Build'!$C$6,MATCH(Charts!$E31,'Revenue Build'!$C$6:$C$290,0)-1,MATCH(Charts!AD$3,'Revenue Build'!$C$5:$EE$5,0)-1)</f>
        <v>1203.623</v>
      </c>
      <c r="AE31" s="1287">
        <f ca="1">OFFSET('Revenue Build'!$C$6,MATCH(Charts!$E31,'Revenue Build'!$C$6:$C$290,0)-1,MATCH(Charts!AE$3,'Revenue Build'!$C$5:$EE$5,0)-1)</f>
        <v>1295.0630000000001</v>
      </c>
      <c r="AF31" s="1287">
        <f ca="1">OFFSET('Revenue Build'!$C$6,MATCH(Charts!$E31,'Revenue Build'!$C$6:$C$290,0)-1,MATCH(Charts!AF$3,'Revenue Build'!$C$5:$EE$5,0)-1)</f>
        <v>1366.2</v>
      </c>
      <c r="AG31" s="1287">
        <f ca="1">OFFSET('Revenue Build'!$C$6,MATCH(Charts!$E31,'Revenue Build'!$C$6:$C$290,0)-1,MATCH(Charts!AG$3,'Revenue Build'!$C$5:$EE$5,0)-1)</f>
        <v>1734.9780000000001</v>
      </c>
      <c r="AH31" s="1287">
        <f ca="1">OFFSET('Revenue Build'!$C$6,MATCH(Charts!$E31,'Revenue Build'!$C$6:$C$290,0)-1,MATCH(Charts!AH$3,'Revenue Build'!$C$5:$EE$5,0)-1)</f>
        <v>1508</v>
      </c>
      <c r="AI31" s="1287">
        <f ca="1">OFFSET('Revenue Build'!$C$6,MATCH(Charts!$E31,'Revenue Build'!$C$6:$C$290,0)-1,MATCH(Charts!AI$3,'Revenue Build'!$C$5:$EE$5,0)-1)</f>
        <v>1694</v>
      </c>
      <c r="AJ31" s="1287">
        <f ca="1">OFFSET('Revenue Build'!$C$6,MATCH(Charts!$E31,'Revenue Build'!$C$6:$C$290,0)-1,MATCH(Charts!AJ$3,'Revenue Build'!$C$5:$EE$5,0)-1)</f>
        <v>1714</v>
      </c>
      <c r="AK31" s="1287">
        <f ca="1">OFFSET('Revenue Build'!$C$6,MATCH(Charts!$E31,'Revenue Build'!$C$6:$C$290,0)-1,MATCH(Charts!AK$3,'Revenue Build'!$C$5:$EE$5,0)-1)</f>
        <v>2144</v>
      </c>
      <c r="AL31" s="1287">
        <f ca="1">OFFSET('Revenue Build'!$C$6,MATCH(Charts!$E31,'Revenue Build'!$C$6:$C$290,0)-1,MATCH(Charts!AL$3,'Revenue Build'!$C$5:$EE$5,0)-1)</f>
        <v>1861</v>
      </c>
      <c r="AM31" s="1287">
        <f ca="1">OFFSET('Revenue Build'!$C$6,MATCH(Charts!$E31,'Revenue Build'!$C$6:$C$290,0)-1,MATCH(Charts!AM$3,'Revenue Build'!$C$5:$EE$5,0)-1)</f>
        <v>2045</v>
      </c>
      <c r="AN31" s="1287">
        <f ca="1">OFFSET('Revenue Build'!$C$6,MATCH(Charts!$E31,'Revenue Build'!$C$6:$C$290,0)-1,MATCH(Charts!AN$3,'Revenue Build'!$C$5:$EE$5,0)-1)</f>
        <v>2162</v>
      </c>
      <c r="AO31" s="1287">
        <f ca="1">OFFSET('Revenue Build'!$C$6,MATCH(Charts!$E31,'Revenue Build'!$C$6:$C$290,0)-1,MATCH(Charts!AO$3,'Revenue Build'!$C$5:$EE$5,0)-1)</f>
        <v>2703.5891937011711</v>
      </c>
      <c r="AP31" s="1287">
        <f ca="1">OFFSET('Revenue Build'!$C$6,MATCH(Charts!$E31,'Revenue Build'!$C$6:$C$290,0)-1,MATCH(Charts!AP$3,'Revenue Build'!$C$5:$EE$5,0)-1)</f>
        <v>2338.8834242070311</v>
      </c>
      <c r="AQ31" s="1287">
        <f ca="1">OFFSET('Revenue Build'!$C$6,MATCH(Charts!$E31,'Revenue Build'!$C$6:$C$290,0)-1,MATCH(Charts!AQ$3,'Revenue Build'!$C$5:$EE$5,0)-1)</f>
        <v>2508.0283815145549</v>
      </c>
      <c r="AR31" s="1287">
        <f ca="1">OFFSET('Revenue Build'!$C$6,MATCH(Charts!$E31,'Revenue Build'!$C$6:$C$290,0)-1,MATCH(Charts!AR$3,'Revenue Build'!$C$5:$EE$5,0)-1)</f>
        <v>2631.9056487290545</v>
      </c>
      <c r="AS31" s="1287">
        <f ca="1">OFFSET('Revenue Build'!$C$6,MATCH(Charts!$E31,'Revenue Build'!$C$6:$C$290,0)-1,MATCH(Charts!AS$3,'Revenue Build'!$C$5:$EE$5,0)-1)</f>
        <v>3317.9390336843499</v>
      </c>
      <c r="AT31" s="1287">
        <f ca="1">OFFSET('Revenue Build'!$C$6,MATCH(Charts!$E31,'Revenue Build'!$C$6:$C$290,0)-1,MATCH(Charts!AT$3,'Revenue Build'!$C$5:$EE$5,0)-1)</f>
        <v>2799.2052568575727</v>
      </c>
      <c r="AU31" s="1287">
        <f ca="1">OFFSET('Revenue Build'!$C$6,MATCH(Charts!$E31,'Revenue Build'!$C$6:$C$290,0)-1,MATCH(Charts!AU$3,'Revenue Build'!$C$5:$EE$5,0)-1)</f>
        <v>3001.1461139124062</v>
      </c>
      <c r="AV31" s="1287">
        <f ca="1">OFFSET('Revenue Build'!$C$6,MATCH(Charts!$E31,'Revenue Build'!$C$6:$C$290,0)-1,MATCH(Charts!AV$3,'Revenue Build'!$C$5:$EE$5,0)-1)</f>
        <v>3147.5647910031289</v>
      </c>
      <c r="AW31" s="1287">
        <f ca="1">OFFSET('Revenue Build'!$C$6,MATCH(Charts!$E31,'Revenue Build'!$C$6:$C$290,0)-1,MATCH(Charts!AW$3,'Revenue Build'!$C$5:$EE$5,0)-1)</f>
        <v>3975.5145410092937</v>
      </c>
      <c r="AX31" s="1287">
        <f ca="1">OFFSET('Revenue Build'!$C$6,MATCH(Charts!$E31,'Revenue Build'!$C$6:$C$290,0)-1,MATCH(Charts!AX$3,'Revenue Build'!$C$5:$EE$5,0)-1)</f>
        <v>3300.3679789037724</v>
      </c>
      <c r="AY31" s="1287">
        <f ca="1">OFFSET('Revenue Build'!$C$6,MATCH(Charts!$E31,'Revenue Build'!$C$6:$C$290,0)-1,MATCH(Charts!AY$3,'Revenue Build'!$C$5:$EE$5,0)-1)</f>
        <v>3537.9380225337027</v>
      </c>
      <c r="AZ31" s="1287">
        <f ca="1">OFFSET('Revenue Build'!$C$6,MATCH(Charts!$E31,'Revenue Build'!$C$6:$C$290,0)-1,MATCH(Charts!AZ$3,'Revenue Build'!$C$5:$EE$5,0)-1)</f>
        <v>3708.9052382572477</v>
      </c>
      <c r="BA31" s="1287">
        <f ca="1">OFFSET('Revenue Build'!$C$6,MATCH(Charts!$E31,'Revenue Build'!$C$6:$C$290,0)-1,MATCH(Charts!BA$3,'Revenue Build'!$C$5:$EE$5,0)-1)</f>
        <v>4691.55714204166</v>
      </c>
      <c r="BB31" s="1110"/>
      <c r="BC31" s="1110"/>
      <c r="BD31" s="1110"/>
      <c r="BE31" s="1110"/>
      <c r="BF31" s="1110"/>
      <c r="BG31" s="1110"/>
      <c r="BH31" s="1110"/>
      <c r="BI31" s="1110"/>
      <c r="BJ31" s="1110"/>
      <c r="BK31" s="1110"/>
      <c r="BL31" s="1110"/>
      <c r="BM31" s="1110"/>
      <c r="BN31" s="1110"/>
      <c r="BO31" s="1110"/>
      <c r="BP31" s="1110"/>
      <c r="BQ31" s="1110"/>
      <c r="BR31" s="1110"/>
      <c r="BS31" s="1110"/>
      <c r="BT31" s="1110"/>
      <c r="BU31" s="1110"/>
      <c r="BV31" s="1110"/>
      <c r="BW31" s="1110"/>
      <c r="BX31" s="1110"/>
      <c r="BY31" s="1110"/>
      <c r="BZ31" s="1110"/>
      <c r="CA31" s="1110"/>
      <c r="CB31" s="1110"/>
      <c r="CC31" s="1110"/>
      <c r="CD31" s="1110"/>
      <c r="CE31" s="1110"/>
      <c r="CF31" s="1110"/>
      <c r="CG31" s="1110" t="str">
        <f>E31</f>
        <v>Total revenue</v>
      </c>
      <c r="CH31" s="1287">
        <f ca="1">OFFSET('Revenue Build'!$C$6,MATCH(Charts!$E31,'Revenue Build'!$C$6:$C$290,0)-1,MATCH(Charts!CH$3,'Revenue Build'!$C$5:$EE$5,0)-1)</f>
        <v>389.33</v>
      </c>
      <c r="CI31" s="1287">
        <f ca="1">OFFSET('Revenue Build'!$C$6,MATCH(Charts!$E31,'Revenue Build'!$C$6:$C$290,0)-1,MATCH(Charts!CI$3,'Revenue Build'!$C$5:$EE$5,0)-1)</f>
        <v>673.30399999999997</v>
      </c>
      <c r="CJ31" s="1287">
        <f ca="1">OFFSET('Revenue Build'!$C$6,MATCH(Charts!$E31,'Revenue Build'!$C$6:$C$290,0)-1,MATCH(Charts!CJ$3,'Revenue Build'!$C$5:$EE$5,0)-1)</f>
        <v>1073.2289999999998</v>
      </c>
      <c r="CK31" s="1287">
        <f ca="1">OFFSET('Revenue Build'!$C$6,MATCH(Charts!$E31,'Revenue Build'!$C$6:$C$290,0)-1,MATCH(Charts!CK$3,'Revenue Build'!$C$5:$EE$5,0)-1)</f>
        <v>1578.173</v>
      </c>
      <c r="CL31" s="1287">
        <f ca="1">OFFSET('Revenue Build'!$C$6,MATCH(Charts!$E31,'Revenue Build'!$C$6:$C$290,0)-1,MATCH(Charts!CL$3,'Revenue Build'!$C$5:$EE$5,0)-1)</f>
        <v>2929.491</v>
      </c>
      <c r="CM31" s="1287">
        <f ca="1">OFFSET('Revenue Build'!$C$6,MATCH(Charts!$E31,'Revenue Build'!$C$6:$C$290,0)-1,MATCH(Charts!CM$3,'Revenue Build'!$C$5:$EE$5,0)-1)</f>
        <v>4611.8559999999998</v>
      </c>
      <c r="CN31" s="1287">
        <f ca="1">OFFSET('Revenue Build'!$C$6,MATCH(Charts!$E31,'Revenue Build'!$C$6:$C$290,0)-1,MATCH(Charts!CN$3,'Revenue Build'!$C$5:$EE$5,0)-1)</f>
        <v>5599.8640000000005</v>
      </c>
      <c r="CO31" s="1287">
        <f ca="1">OFFSET('Revenue Build'!$C$6,MATCH(Charts!$E31,'Revenue Build'!$C$6:$C$290,0)-1,MATCH(Charts!CO$3,'Revenue Build'!$C$5:$EE$5,0)-1)</f>
        <v>7060</v>
      </c>
      <c r="CP31" s="1287">
        <f ca="1">OFFSET('Revenue Build'!$C$6,MATCH(Charts!$E31,'Revenue Build'!$C$6:$C$290,0)-1,MATCH(Charts!CP$3,'Revenue Build'!$C$5:$EE$5,0)-1)</f>
        <v>8771.5891937011711</v>
      </c>
      <c r="CQ31" s="1287">
        <f ca="1">OFFSET('Revenue Build'!$C$6,MATCH(Charts!$E31,'Revenue Build'!$C$6:$C$290,0)-1,MATCH(Charts!CQ$3,'Revenue Build'!$C$5:$EE$5,0)-1)</f>
        <v>10796.75648813499</v>
      </c>
      <c r="CR31" s="1287">
        <f ca="1">OFFSET('Revenue Build'!$C$6,MATCH(Charts!$E31,'Revenue Build'!$C$6:$C$290,0)-1,MATCH(Charts!CR$3,'Revenue Build'!$C$5:$EE$5,0)-1)</f>
        <v>12923.430702782402</v>
      </c>
      <c r="CS31" s="1287">
        <f ca="1">OFFSET('Revenue Build'!$C$6,MATCH(Charts!$E31,'Revenue Build'!$C$6:$C$290,0)-1,MATCH(Charts!CS$3,'Revenue Build'!$C$5:$EE$5,0)-1)</f>
        <v>15238.768381736383</v>
      </c>
    </row>
    <row r="32" spans="5:98">
      <c r="BB32" s="1110"/>
      <c r="BC32" s="1110"/>
      <c r="BD32" s="1110"/>
      <c r="BE32" s="1110"/>
      <c r="BF32" s="1110"/>
      <c r="BG32" s="1110"/>
      <c r="BH32" s="1110"/>
      <c r="BI32" s="1110"/>
      <c r="BJ32" s="1110"/>
      <c r="BK32" s="1110"/>
      <c r="BL32" s="1110"/>
      <c r="BM32" s="1110"/>
      <c r="BN32" s="1110"/>
      <c r="BO32" s="1110"/>
      <c r="BP32" s="1110"/>
      <c r="BQ32" s="1110"/>
      <c r="BR32" s="1110"/>
      <c r="BS32" s="1110"/>
      <c r="BT32" s="1110"/>
      <c r="BU32" s="1110"/>
      <c r="BV32" s="1110"/>
      <c r="BW32" s="1110"/>
      <c r="BX32" s="1110"/>
      <c r="BY32" s="1110"/>
      <c r="BZ32" s="1110"/>
      <c r="CA32" s="1110"/>
      <c r="CB32" s="1110"/>
      <c r="CC32" s="1110"/>
      <c r="CD32" s="1110"/>
      <c r="CE32" s="1110"/>
      <c r="CF32" s="1110"/>
      <c r="CG32" s="1110"/>
    </row>
    <row r="33" spans="1:130">
      <c r="E33" s="6" t="s">
        <v>524</v>
      </c>
      <c r="F33" s="1293">
        <f>Income!BV7</f>
        <v>38.706000000000003</v>
      </c>
      <c r="G33" s="1293">
        <f>Income!BW7</f>
        <v>43.673999999999999</v>
      </c>
      <c r="H33" s="1293">
        <f>Income!BX7</f>
        <v>49.838999999999999</v>
      </c>
      <c r="I33" s="1293">
        <f>Income!BY7</f>
        <v>56.387</v>
      </c>
      <c r="J33" s="1293">
        <f>Income!CA7</f>
        <v>62.08</v>
      </c>
      <c r="K33" s="1293">
        <f>Income!CB7</f>
        <v>71.597999999999999</v>
      </c>
      <c r="L33" s="1293">
        <f>Income!CC7</f>
        <v>82.435000000000002</v>
      </c>
      <c r="M33" s="1293">
        <f>Income!CD7</f>
        <v>93.918000000000006</v>
      </c>
      <c r="N33" s="1293">
        <f>Income!CF7</f>
        <v>100.19799999999999</v>
      </c>
      <c r="O33" s="1293">
        <f>Income!CG7</f>
        <v>110.721</v>
      </c>
      <c r="P33" s="1293">
        <f>Income!CH7</f>
        <v>120.517</v>
      </c>
      <c r="Q33" s="1293">
        <f>Income!CI7</f>
        <v>133.56</v>
      </c>
      <c r="R33" s="1293">
        <f>Income!CK7</f>
        <v>140.45099999999999</v>
      </c>
      <c r="S33" s="1293">
        <f>Income!CL7</f>
        <v>153.047</v>
      </c>
      <c r="T33" s="1293">
        <f>Income!CM7</f>
        <v>165.577</v>
      </c>
      <c r="U33" s="1293">
        <f>Income!CN7</f>
        <v>183.166</v>
      </c>
      <c r="V33" s="1293">
        <f>Income!CP7</f>
        <v>187.60900000000001</v>
      </c>
      <c r="W33" s="1293">
        <f>Income!CQ7</f>
        <v>196.434</v>
      </c>
      <c r="X33" s="1293">
        <f>Income!CR7</f>
        <v>245.274</v>
      </c>
      <c r="Y33" s="1293">
        <f>Income!CS7</f>
        <v>279.44</v>
      </c>
      <c r="Z33" s="1293">
        <f>Income!CU7</f>
        <v>320.68099999999998</v>
      </c>
      <c r="AA33" s="1293">
        <f>Income!CV7</f>
        <v>334.23700000000002</v>
      </c>
      <c r="AB33" s="1293">
        <f>Income!CW7</f>
        <v>336.20800000000003</v>
      </c>
      <c r="AC33" s="1293">
        <f>Income!CX7</f>
        <v>351.20800000000003</v>
      </c>
      <c r="AD33" s="1293">
        <f>Income!CZ7</f>
        <v>344.76100000000002</v>
      </c>
      <c r="AE33" s="1293">
        <f>Income!DA7</f>
        <v>366.44299999999998</v>
      </c>
      <c r="AF33" s="1293">
        <f>Income!DB7</f>
        <v>376.30099999999999</v>
      </c>
      <c r="AG33" s="1293">
        <f>Income!DC7</f>
        <v>400.25400000000002</v>
      </c>
      <c r="AH33" s="1293">
        <f>Income!DE7</f>
        <v>382</v>
      </c>
      <c r="AI33" s="1293">
        <f>Income!DF7</f>
        <v>444</v>
      </c>
      <c r="AJ33" s="1293">
        <f>Income!DG7</f>
        <v>486</v>
      </c>
      <c r="AK33" s="1293">
        <f>Income!DH7</f>
        <v>525</v>
      </c>
      <c r="AL33" s="1293">
        <f>Income!DJ7</f>
        <v>511</v>
      </c>
      <c r="AM33" s="1293">
        <f>Income!DK7</f>
        <v>563</v>
      </c>
      <c r="AN33" s="1293">
        <f>Income!DL7</f>
        <v>610</v>
      </c>
      <c r="AO33" s="1293">
        <f>Income!DM7</f>
        <v>657.73450620117183</v>
      </c>
      <c r="AP33" s="1293">
        <f>Income!DO7</f>
        <v>603.53177420703116</v>
      </c>
      <c r="AQ33" s="1293">
        <f>Income!DP7</f>
        <v>664.94792344140615</v>
      </c>
      <c r="AR33" s="1293">
        <f>Income!DQ7</f>
        <v>720.45867371093732</v>
      </c>
      <c r="AS33" s="1293">
        <f>Income!DR7</f>
        <v>776.83693441248283</v>
      </c>
      <c r="AT33" s="1293">
        <f>Income!DT7</f>
        <v>699.49545988507248</v>
      </c>
      <c r="AU33" s="1293">
        <f>Income!DU7</f>
        <v>770.67699396339685</v>
      </c>
      <c r="AV33" s="1293">
        <f>Income!DV7</f>
        <v>835.01414976495926</v>
      </c>
      <c r="AW33" s="1293">
        <f>Income!DW7</f>
        <v>900.35675322401119</v>
      </c>
      <c r="AX33" s="1293">
        <f>Income!DY7</f>
        <v>802.99658977699755</v>
      </c>
      <c r="AY33" s="1293">
        <f>Income!DZ7</f>
        <v>884.71052846271948</v>
      </c>
      <c r="AZ33" s="1293">
        <f>Income!EA7</f>
        <v>958.56735765942938</v>
      </c>
      <c r="BA33" s="1293">
        <f>Income!EB7</f>
        <v>1033.5784059847326</v>
      </c>
      <c r="BB33" s="1110"/>
      <c r="BC33" s="1110"/>
      <c r="BD33" s="1110"/>
      <c r="BE33" s="1110"/>
      <c r="BF33" s="1110"/>
      <c r="BG33" s="1110"/>
      <c r="BH33" s="1110"/>
      <c r="BI33" s="1110"/>
      <c r="BJ33" s="1110"/>
      <c r="BK33" s="1110"/>
      <c r="BL33" s="1110"/>
      <c r="BM33" s="1110"/>
      <c r="BN33" s="1110"/>
      <c r="BO33" s="1110"/>
      <c r="BP33" s="1110"/>
      <c r="BQ33" s="1110"/>
      <c r="BR33" s="1110"/>
      <c r="BS33" s="1110"/>
      <c r="BT33" s="1110"/>
      <c r="BU33" s="1110"/>
      <c r="BV33" s="1110"/>
      <c r="BW33" s="1110"/>
      <c r="BX33" s="1110"/>
      <c r="BY33" s="1110"/>
      <c r="BZ33" s="1110"/>
      <c r="CA33" s="1110"/>
      <c r="CB33" s="1110"/>
      <c r="CC33" s="1110"/>
      <c r="CD33" s="1110"/>
      <c r="CE33" s="1110"/>
      <c r="CF33" s="1110"/>
      <c r="CG33" s="1110" t="s">
        <v>524</v>
      </c>
      <c r="CH33" s="1288">
        <f>Income!BZ7</f>
        <v>188.60599999999999</v>
      </c>
      <c r="CI33" s="1288">
        <f>Income!CE7</f>
        <v>310.03100000000001</v>
      </c>
      <c r="CJ33" s="1288">
        <f>Income!CJ7</f>
        <v>464.99599999999998</v>
      </c>
      <c r="CK33" s="1288">
        <f>Income!CO7</f>
        <v>642.24099999999999</v>
      </c>
      <c r="CL33" s="1288">
        <f>Income!CT7</f>
        <v>908.75700000000006</v>
      </c>
      <c r="CM33" s="1288">
        <f>Income!CY7</f>
        <v>1342.3340000000001</v>
      </c>
      <c r="CN33" s="1288">
        <f>Income!DD7</f>
        <v>1487.759</v>
      </c>
      <c r="CO33" s="1288">
        <f>Income!DI7</f>
        <v>1837</v>
      </c>
      <c r="CP33" s="1288">
        <f>Income!DN7</f>
        <v>2341.7345062011718</v>
      </c>
      <c r="CQ33" s="1288">
        <f>Income!DS7</f>
        <v>2765.7753057718573</v>
      </c>
      <c r="CR33" s="1288">
        <f>Income!DX7</f>
        <v>3205.5433568374401</v>
      </c>
      <c r="CS33" s="1288">
        <f>Income!EC7</f>
        <v>3679.8528818838795</v>
      </c>
    </row>
    <row r="34" spans="1:130">
      <c r="E34" s="6" t="s">
        <v>523</v>
      </c>
      <c r="F34" s="1293">
        <f>Income!BV9</f>
        <v>34.015999999999998</v>
      </c>
      <c r="G34" s="1293">
        <f>Income!BW9</f>
        <v>42.972999999999999</v>
      </c>
      <c r="H34" s="1293">
        <f>Income!BX9</f>
        <v>49.738999999999997</v>
      </c>
      <c r="I34" s="1293">
        <f>Income!BY9</f>
        <v>73.995999999999995</v>
      </c>
      <c r="J34" s="1293">
        <f>Income!CA9</f>
        <v>65.299000000000007</v>
      </c>
      <c r="K34" s="1293">
        <f>Income!CB9</f>
        <v>80.057000000000002</v>
      </c>
      <c r="L34" s="1293">
        <f>Income!CC9</f>
        <v>89.021000000000001</v>
      </c>
      <c r="M34" s="1293">
        <f>Income!CD9</f>
        <v>128.89599999999999</v>
      </c>
      <c r="N34" s="1293">
        <f>Income!CF9</f>
        <v>114.142</v>
      </c>
      <c r="O34" s="1293">
        <f>Income!CG9</f>
        <v>134.24199999999999</v>
      </c>
      <c r="P34" s="1293">
        <f>Income!CH9</f>
        <v>149.547</v>
      </c>
      <c r="Q34" s="1293">
        <f>Income!CI9</f>
        <v>210.30199999999999</v>
      </c>
      <c r="R34" s="1293">
        <f>Income!CK9</f>
        <v>180.03100000000001</v>
      </c>
      <c r="S34" s="1293">
        <f>Income!CL9</f>
        <v>208.93199999999999</v>
      </c>
      <c r="T34" s="1293">
        <f>Income!CM9</f>
        <v>224.97499999999999</v>
      </c>
      <c r="U34" s="1293">
        <f>Income!CN9</f>
        <v>321.99400000000003</v>
      </c>
      <c r="V34" s="1293">
        <f>Income!CP9</f>
        <v>282.392</v>
      </c>
      <c r="W34" s="1293">
        <f>Income!CQ9</f>
        <v>517.90700000000004</v>
      </c>
      <c r="X34" s="1293">
        <f>Income!CR9</f>
        <v>522.13099999999997</v>
      </c>
      <c r="Y34" s="1293">
        <f>Income!CS9</f>
        <v>698.30399999999997</v>
      </c>
      <c r="Z34" s="1293">
        <f>Income!CU9</f>
        <v>667.96600000000001</v>
      </c>
      <c r="AA34" s="1293">
        <f>Income!CV9</f>
        <v>785.20799999999997</v>
      </c>
      <c r="AB34" s="1293">
        <f>Income!CW9</f>
        <v>787.53200000000004</v>
      </c>
      <c r="AC34" s="1293">
        <f>Income!CX9</f>
        <v>1028.816</v>
      </c>
      <c r="AD34" s="1293">
        <f>Income!CZ9</f>
        <v>858.86199999999997</v>
      </c>
      <c r="AE34" s="1293">
        <f>Income!DA9</f>
        <v>928.62</v>
      </c>
      <c r="AF34" s="1293">
        <f>Income!DB9</f>
        <v>989.899</v>
      </c>
      <c r="AG34" s="1293">
        <f>Income!DC9</f>
        <v>1334.7239999999999</v>
      </c>
      <c r="AH34" s="1293">
        <f>Income!DE9</f>
        <v>1126</v>
      </c>
      <c r="AI34" s="1293">
        <f>Income!DF9</f>
        <v>1250</v>
      </c>
      <c r="AJ34" s="1293">
        <f>Income!DG9</f>
        <v>1228</v>
      </c>
      <c r="AK34" s="1293">
        <f>Income!DH9</f>
        <v>1619</v>
      </c>
      <c r="AL34" s="1293">
        <f>Income!DJ9</f>
        <v>1350</v>
      </c>
      <c r="AM34" s="1293">
        <f>Income!DK9</f>
        <v>1482</v>
      </c>
      <c r="AN34" s="1293">
        <f>Income!DL9</f>
        <v>1552</v>
      </c>
      <c r="AO34" s="1293">
        <f>Income!DM9</f>
        <v>2045.8546874999995</v>
      </c>
      <c r="AP34" s="1293">
        <f>Income!DO9</f>
        <v>1735.3516499999998</v>
      </c>
      <c r="AQ34" s="1293">
        <f>Income!DP9</f>
        <v>1843.080458073149</v>
      </c>
      <c r="AR34" s="1293">
        <f>Income!DQ9</f>
        <v>1911.4469750181172</v>
      </c>
      <c r="AS34" s="1293">
        <f>Income!DR9</f>
        <v>2541.1020992718668</v>
      </c>
      <c r="AT34" s="1293">
        <f>Income!DT9</f>
        <v>2099.7097969725</v>
      </c>
      <c r="AU34" s="1293">
        <f>Income!DU9</f>
        <v>2230.4691199490094</v>
      </c>
      <c r="AV34" s="1293">
        <f>Income!DV9</f>
        <v>2312.5506412381696</v>
      </c>
      <c r="AW34" s="1293">
        <f>Income!DW9</f>
        <v>3075.1577877852824</v>
      </c>
      <c r="AX34" s="1293">
        <f>Income!DY9</f>
        <v>2497.3713891267748</v>
      </c>
      <c r="AY34" s="1293">
        <f>Income!DZ9</f>
        <v>2653.2274940709831</v>
      </c>
      <c r="AZ34" s="1293">
        <f>Income!EA9</f>
        <v>2750.3378805978182</v>
      </c>
      <c r="BA34" s="1293">
        <f>Income!EB9</f>
        <v>3657.9787360569271</v>
      </c>
      <c r="BB34" s="1110"/>
      <c r="BC34" s="1110"/>
      <c r="BD34" s="1110"/>
      <c r="BE34" s="1110"/>
      <c r="BF34" s="1110"/>
      <c r="BG34" s="1110"/>
      <c r="BH34" s="1110"/>
      <c r="BI34" s="1110"/>
      <c r="BJ34" s="1110"/>
      <c r="BK34" s="1110"/>
      <c r="BL34" s="1110"/>
      <c r="BM34" s="1110"/>
      <c r="BN34" s="1110"/>
      <c r="BO34" s="1110"/>
      <c r="BP34" s="1110"/>
      <c r="BQ34" s="1110"/>
      <c r="BR34" s="1110"/>
      <c r="BS34" s="1110"/>
      <c r="BT34" s="1110"/>
      <c r="BU34" s="1110"/>
      <c r="BV34" s="1110"/>
      <c r="BW34" s="1110"/>
      <c r="BX34" s="1110"/>
      <c r="BY34" s="1110"/>
      <c r="BZ34" s="1110"/>
      <c r="CA34" s="1110"/>
      <c r="CB34" s="1110"/>
      <c r="CC34" s="1110"/>
      <c r="CD34" s="1110"/>
      <c r="CE34" s="1110"/>
      <c r="CF34" s="1110"/>
      <c r="CG34" s="1110" t="s">
        <v>523</v>
      </c>
      <c r="CH34" s="1288">
        <f>Income!BZ9</f>
        <v>200.72399999999999</v>
      </c>
      <c r="CI34" s="1288">
        <f>Income!CE9</f>
        <v>363.27300000000002</v>
      </c>
      <c r="CJ34" s="1288">
        <f>Income!CJ9</f>
        <v>608.23299999999995</v>
      </c>
      <c r="CK34" s="1288">
        <f>Income!CO9</f>
        <v>935.93200000000002</v>
      </c>
      <c r="CL34" s="1288">
        <f>Income!CT9</f>
        <v>2020.7339999999999</v>
      </c>
      <c r="CM34" s="1288">
        <f>Income!CY9</f>
        <v>3269.5219999999999</v>
      </c>
      <c r="CN34" s="1288">
        <f>Income!DD9</f>
        <v>4112.1049999999996</v>
      </c>
      <c r="CO34" s="1288">
        <f>Income!DI9</f>
        <v>5223</v>
      </c>
      <c r="CP34" s="1288">
        <f>Income!DN9</f>
        <v>6429.8546874999993</v>
      </c>
      <c r="CQ34" s="1288">
        <f>Income!DS9</f>
        <v>8030.9811823631326</v>
      </c>
      <c r="CR34" s="1288">
        <f>Income!DX9</f>
        <v>9717.8873459449605</v>
      </c>
      <c r="CS34" s="1288">
        <f>Income!EC9</f>
        <v>11558.915499852503</v>
      </c>
      <c r="DR34" s="1110"/>
      <c r="DS34" s="1110"/>
      <c r="DT34" s="1110"/>
      <c r="DU34" s="1110"/>
      <c r="DV34" s="1110"/>
      <c r="DW34" s="1110"/>
      <c r="DX34" s="1110"/>
      <c r="DY34" s="1110"/>
      <c r="DZ34" s="1110"/>
    </row>
    <row r="35" spans="1:130">
      <c r="E35" s="1281" t="s">
        <v>197</v>
      </c>
      <c r="F35" s="1294">
        <f>Income!BV11</f>
        <v>72.722000000000008</v>
      </c>
      <c r="G35" s="1294">
        <f>Income!BW11</f>
        <v>86.646999999999991</v>
      </c>
      <c r="H35" s="1294">
        <f>Income!BX11</f>
        <v>99.578000000000003</v>
      </c>
      <c r="I35" s="1294">
        <f>Income!BY11</f>
        <v>130.38299999999998</v>
      </c>
      <c r="J35" s="1294">
        <f>Income!CA11</f>
        <v>127.379</v>
      </c>
      <c r="K35" s="1294">
        <f>Income!CB11</f>
        <v>151.655</v>
      </c>
      <c r="L35" s="1294">
        <f>Income!CC11</f>
        <v>171.45600000000002</v>
      </c>
      <c r="M35" s="1294">
        <f>Income!CD11</f>
        <v>222.81399999999999</v>
      </c>
      <c r="N35" s="1294">
        <f>Income!CF11</f>
        <v>214.33999999999997</v>
      </c>
      <c r="O35" s="1294">
        <f>Income!CG11</f>
        <v>244.96299999999999</v>
      </c>
      <c r="P35" s="1294">
        <f>Income!CH11</f>
        <v>270.06399999999996</v>
      </c>
      <c r="Q35" s="1294">
        <f>Income!CI11</f>
        <v>343.86199999999997</v>
      </c>
      <c r="R35" s="1294">
        <f>Income!CK11</f>
        <v>320.48199999999997</v>
      </c>
      <c r="S35" s="1294">
        <f>Income!CL11</f>
        <v>361.97899999999998</v>
      </c>
      <c r="T35" s="1294">
        <f>Income!CM11</f>
        <v>390.55200000000002</v>
      </c>
      <c r="U35" s="1294">
        <f>Income!CN11</f>
        <v>505.16</v>
      </c>
      <c r="V35" s="1294">
        <f>Income!CP11</f>
        <v>470.00099999999998</v>
      </c>
      <c r="W35" s="1294">
        <f>Income!CQ11</f>
        <v>714.34100000000001</v>
      </c>
      <c r="X35" s="1294">
        <f>Income!CR11</f>
        <v>767.40499999999997</v>
      </c>
      <c r="Y35" s="1294">
        <f>Income!CS11</f>
        <v>977.74399999999991</v>
      </c>
      <c r="Z35" s="1294">
        <f>Income!CU11</f>
        <v>988.64699999999993</v>
      </c>
      <c r="AA35" s="1294">
        <f>Income!CV11</f>
        <v>1119.4449999999999</v>
      </c>
      <c r="AB35" s="1294">
        <f>Income!CW11</f>
        <v>1123.74</v>
      </c>
      <c r="AC35" s="1294">
        <f>Income!CX11</f>
        <v>1380.0240000000001</v>
      </c>
      <c r="AD35" s="1294">
        <f>Income!CZ11</f>
        <v>1203.623</v>
      </c>
      <c r="AE35" s="1294">
        <f>Income!DA11</f>
        <v>1295.0630000000001</v>
      </c>
      <c r="AF35" s="1294">
        <f>Income!DB11</f>
        <v>1366.2</v>
      </c>
      <c r="AG35" s="1294">
        <f>Income!DC11</f>
        <v>1734.9780000000001</v>
      </c>
      <c r="AH35" s="1294">
        <f>Income!DE11</f>
        <v>1508</v>
      </c>
      <c r="AI35" s="1294">
        <f>Income!DF11</f>
        <v>1694</v>
      </c>
      <c r="AJ35" s="1294">
        <f>Income!DG11</f>
        <v>1714</v>
      </c>
      <c r="AK35" s="1294">
        <f>Income!DH11</f>
        <v>2144</v>
      </c>
      <c r="AL35" s="1294">
        <f>Income!DJ11</f>
        <v>1861</v>
      </c>
      <c r="AM35" s="1294">
        <f>Income!DK11</f>
        <v>2045</v>
      </c>
      <c r="AN35" s="1294">
        <f>Income!DL11</f>
        <v>2162</v>
      </c>
      <c r="AO35" s="1294">
        <f>Income!DM11</f>
        <v>2703.5891937011711</v>
      </c>
      <c r="AP35" s="1294">
        <f>Income!DO11</f>
        <v>2338.8834242070311</v>
      </c>
      <c r="AQ35" s="1294">
        <f>Income!DP11</f>
        <v>2508.0283815145549</v>
      </c>
      <c r="AR35" s="1294">
        <f>Income!DQ11</f>
        <v>2631.9056487290545</v>
      </c>
      <c r="AS35" s="1294">
        <f>Income!DR11</f>
        <v>3317.9390336843499</v>
      </c>
      <c r="AT35" s="1294">
        <f>Income!DT11</f>
        <v>2799.2052568575727</v>
      </c>
      <c r="AU35" s="1294">
        <f>Income!DU11</f>
        <v>3001.1461139124062</v>
      </c>
      <c r="AV35" s="1294">
        <f>Income!DV11</f>
        <v>3147.5647910031289</v>
      </c>
      <c r="AW35" s="1294">
        <f>Income!DW11</f>
        <v>3975.5145410092937</v>
      </c>
      <c r="AX35" s="1294">
        <f>Income!DY11</f>
        <v>3300.3679789037724</v>
      </c>
      <c r="AY35" s="1294">
        <f>Income!DZ11</f>
        <v>3537.9380225337027</v>
      </c>
      <c r="AZ35" s="1294">
        <f>Income!EA11</f>
        <v>3708.9052382572477</v>
      </c>
      <c r="BA35" s="1294">
        <f>Income!EB11</f>
        <v>4691.55714204166</v>
      </c>
      <c r="BB35" s="1110"/>
      <c r="BC35" s="1110"/>
      <c r="BD35" s="1110"/>
      <c r="BE35" s="1110"/>
      <c r="BF35" s="1110"/>
      <c r="BG35" s="1110"/>
      <c r="BH35" s="1110"/>
      <c r="BI35" s="1110"/>
      <c r="BJ35" s="1110"/>
      <c r="BK35" s="1110"/>
      <c r="BL35" s="1110"/>
      <c r="BM35" s="1110"/>
      <c r="BN35" s="1110"/>
      <c r="BO35" s="1110"/>
      <c r="BP35" s="1110"/>
      <c r="BQ35" s="1110"/>
      <c r="BR35" s="1110"/>
      <c r="BS35" s="1110"/>
      <c r="BT35" s="1110"/>
      <c r="BU35" s="1110"/>
      <c r="BV35" s="1110"/>
      <c r="BW35" s="1110"/>
      <c r="BX35" s="1110"/>
      <c r="BY35" s="1110"/>
      <c r="BZ35" s="1110"/>
      <c r="CA35" s="1110"/>
      <c r="CB35" s="1110"/>
      <c r="CC35" s="1110"/>
      <c r="CD35" s="1110"/>
      <c r="CE35" s="1110"/>
      <c r="CF35" s="1110"/>
      <c r="CG35" s="1110" t="s">
        <v>197</v>
      </c>
      <c r="CH35" s="1289">
        <f>Income!BZ11</f>
        <v>389.33</v>
      </c>
      <c r="CI35" s="1289">
        <f>Income!CE11</f>
        <v>673.30399999999997</v>
      </c>
      <c r="CJ35" s="1289">
        <f>Income!CJ11</f>
        <v>1073.2289999999998</v>
      </c>
      <c r="CK35" s="1289">
        <f>Income!CO11</f>
        <v>1578.173</v>
      </c>
      <c r="CL35" s="1289">
        <f>Income!CT11</f>
        <v>2929.491</v>
      </c>
      <c r="CM35" s="1289">
        <f>Income!CY11</f>
        <v>4611.8559999999998</v>
      </c>
      <c r="CN35" s="1289">
        <f>Income!DD11</f>
        <v>5599.8640000000005</v>
      </c>
      <c r="CO35" s="1289">
        <f>Income!DI11</f>
        <v>7060</v>
      </c>
      <c r="CP35" s="1289">
        <f>Income!DN11</f>
        <v>8771.5891937011711</v>
      </c>
      <c r="CQ35" s="1289">
        <f>Income!DS11</f>
        <v>10796.75648813499</v>
      </c>
      <c r="CR35" s="1289">
        <f>Income!DX11</f>
        <v>12923.430702782402</v>
      </c>
      <c r="CS35" s="1289">
        <f>Income!EC11</f>
        <v>15238.768381736383</v>
      </c>
      <c r="DR35" s="1110"/>
      <c r="DS35" s="1110"/>
      <c r="DT35" s="1110"/>
      <c r="DU35" s="1110"/>
      <c r="DV35" s="1110"/>
      <c r="DW35" s="1110"/>
      <c r="DX35" s="1110"/>
      <c r="DY35" s="1110"/>
      <c r="DZ35" s="1110"/>
    </row>
    <row r="36" spans="1:130">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1110"/>
      <c r="BC36" s="1110"/>
      <c r="BD36" s="1110"/>
      <c r="BE36" s="1110"/>
      <c r="BF36" s="1110"/>
      <c r="BG36" s="1110"/>
      <c r="BH36" s="1110"/>
      <c r="BI36" s="1110"/>
      <c r="BJ36" s="1110"/>
      <c r="BK36" s="1110"/>
      <c r="BL36" s="1110"/>
      <c r="BM36" s="1110"/>
      <c r="BN36" s="1110"/>
      <c r="BO36" s="1110"/>
      <c r="BP36" s="1110"/>
      <c r="BQ36" s="1110"/>
      <c r="BR36" s="1110"/>
      <c r="BS36" s="1110"/>
      <c r="BT36" s="1110"/>
      <c r="BU36" s="1110"/>
      <c r="BV36" s="1110"/>
      <c r="BW36" s="1110"/>
      <c r="BX36" s="1110"/>
      <c r="BY36" s="1110"/>
      <c r="BZ36" s="1110"/>
      <c r="CA36" s="1110"/>
      <c r="CB36" s="1110"/>
      <c r="CC36" s="1110"/>
      <c r="CD36" s="1110"/>
      <c r="CE36" s="1110"/>
      <c r="CF36" s="1110"/>
      <c r="CG36" s="1110"/>
      <c r="DR36" s="1110"/>
      <c r="DS36" s="1110"/>
      <c r="DT36" s="1110"/>
      <c r="DU36" s="1110"/>
      <c r="DV36" s="1110"/>
      <c r="DW36" s="1110"/>
      <c r="DX36" s="1110"/>
      <c r="DY36" s="1110"/>
      <c r="DZ36" s="1110"/>
    </row>
    <row r="37" spans="1:130">
      <c r="E37" s="1448"/>
      <c r="F37" s="1">
        <v>42460</v>
      </c>
      <c r="G37" s="1">
        <f>EOMONTH(F37,3)</f>
        <v>42551</v>
      </c>
      <c r="H37" s="1">
        <f>EOMONTH(G37,3)</f>
        <v>42643</v>
      </c>
      <c r="I37" s="1">
        <f>EOMONTH(H37,3)</f>
        <v>42735</v>
      </c>
      <c r="J37" s="1">
        <v>42825</v>
      </c>
      <c r="K37" s="1">
        <f>EOMONTH(J37,3)</f>
        <v>42916</v>
      </c>
      <c r="L37" s="1">
        <f>EOMONTH(K37,3)</f>
        <v>43008</v>
      </c>
      <c r="M37" s="1">
        <f>EOMONTH(L37,3)</f>
        <v>43100</v>
      </c>
      <c r="N37" s="1">
        <v>43190</v>
      </c>
      <c r="O37" s="1">
        <f>EOMONTH(N37,3)</f>
        <v>43281</v>
      </c>
      <c r="P37" s="1">
        <f>EOMONTH(O37,3)</f>
        <v>43373</v>
      </c>
      <c r="Q37" s="1">
        <f>EOMONTH(P37,3)</f>
        <v>43465</v>
      </c>
      <c r="R37" s="1">
        <v>43555</v>
      </c>
      <c r="S37" s="1">
        <f t="shared" ref="S37:AK37" si="32">EOMONTH(R37,3)</f>
        <v>43646</v>
      </c>
      <c r="T37" s="1">
        <f t="shared" si="32"/>
        <v>43738</v>
      </c>
      <c r="U37" s="1">
        <f t="shared" si="32"/>
        <v>43830</v>
      </c>
      <c r="V37" s="1">
        <f t="shared" si="32"/>
        <v>43921</v>
      </c>
      <c r="W37" s="1">
        <f t="shared" si="32"/>
        <v>44012</v>
      </c>
      <c r="X37" s="1">
        <f t="shared" si="32"/>
        <v>44104</v>
      </c>
      <c r="Y37" s="1">
        <f t="shared" si="32"/>
        <v>44196</v>
      </c>
      <c r="Z37" s="1">
        <f t="shared" si="32"/>
        <v>44286</v>
      </c>
      <c r="AA37" s="1">
        <f t="shared" si="32"/>
        <v>44377</v>
      </c>
      <c r="AB37" s="1">
        <f t="shared" si="32"/>
        <v>44469</v>
      </c>
      <c r="AC37" s="1">
        <f t="shared" si="32"/>
        <v>44561</v>
      </c>
      <c r="AD37" s="1">
        <f t="shared" si="32"/>
        <v>44651</v>
      </c>
      <c r="AE37" s="1">
        <f t="shared" si="32"/>
        <v>44742</v>
      </c>
      <c r="AF37" s="1">
        <f t="shared" si="32"/>
        <v>44834</v>
      </c>
      <c r="AG37" s="1">
        <f t="shared" si="32"/>
        <v>44926</v>
      </c>
      <c r="AH37" s="1">
        <f t="shared" si="32"/>
        <v>45016</v>
      </c>
      <c r="AI37" s="1">
        <f t="shared" si="32"/>
        <v>45107</v>
      </c>
      <c r="AJ37" s="1">
        <f t="shared" si="32"/>
        <v>45199</v>
      </c>
      <c r="AK37" s="1">
        <f t="shared" si="32"/>
        <v>45291</v>
      </c>
      <c r="AL37" s="1">
        <f t="shared" ref="AL37" si="33">EOMONTH(AK37,3)</f>
        <v>45382</v>
      </c>
      <c r="AM37" s="1">
        <f t="shared" ref="AM37" si="34">EOMONTH(AL37,3)</f>
        <v>45473</v>
      </c>
      <c r="AN37" s="1">
        <f t="shared" ref="AN37" si="35">EOMONTH(AM37,3)</f>
        <v>45565</v>
      </c>
      <c r="AO37" s="1">
        <f t="shared" ref="AO37" si="36">EOMONTH(AN37,3)</f>
        <v>45657</v>
      </c>
      <c r="AP37" s="1">
        <f t="shared" ref="AP37" si="37">EOMONTH(AO37,3)</f>
        <v>45747</v>
      </c>
      <c r="AQ37" s="1">
        <f t="shared" ref="AQ37" si="38">EOMONTH(AP37,3)</f>
        <v>45838</v>
      </c>
      <c r="AR37" s="1">
        <f t="shared" ref="AR37" si="39">EOMONTH(AQ37,3)</f>
        <v>45930</v>
      </c>
      <c r="AS37" s="1">
        <f t="shared" ref="AS37" si="40">EOMONTH(AR37,3)</f>
        <v>46022</v>
      </c>
      <c r="AT37" s="1">
        <f t="shared" ref="AT37" si="41">EOMONTH(AS37,3)</f>
        <v>46112</v>
      </c>
      <c r="AU37" s="1">
        <f t="shared" ref="AU37" si="42">EOMONTH(AT37,3)</f>
        <v>46203</v>
      </c>
      <c r="AV37" s="1">
        <f t="shared" ref="AV37" si="43">EOMONTH(AU37,3)</f>
        <v>46295</v>
      </c>
      <c r="AW37" s="1">
        <f t="shared" ref="AW37" si="44">EOMONTH(AV37,3)</f>
        <v>46387</v>
      </c>
      <c r="AX37" s="1">
        <f t="shared" ref="AX37" si="45">EOMONTH(AW37,3)</f>
        <v>46477</v>
      </c>
      <c r="AY37" s="1">
        <f t="shared" ref="AY37" si="46">EOMONTH(AX37,3)</f>
        <v>46568</v>
      </c>
      <c r="AZ37" s="1">
        <f t="shared" ref="AZ37" si="47">EOMONTH(AY37,3)</f>
        <v>46660</v>
      </c>
      <c r="BA37" s="1">
        <f t="shared" ref="BA37" si="48">EOMONTH(AZ37,3)</f>
        <v>46752</v>
      </c>
      <c r="BB37" s="1157"/>
      <c r="BC37" s="1157"/>
      <c r="BD37" s="1157"/>
      <c r="BE37" s="1157"/>
      <c r="BF37" s="1157"/>
      <c r="BG37" s="1157"/>
      <c r="BH37" s="1157"/>
      <c r="BI37" s="1157"/>
      <c r="BJ37" s="1157"/>
      <c r="BK37" s="1157"/>
      <c r="BL37" s="1157"/>
      <c r="BM37" s="1157"/>
      <c r="BN37" s="1157"/>
      <c r="BO37" s="1157"/>
      <c r="BP37" s="1157"/>
      <c r="BQ37" s="1157"/>
      <c r="BR37" s="1157"/>
      <c r="BS37" s="1157"/>
      <c r="BT37" s="1157"/>
      <c r="BU37" s="1157"/>
      <c r="BV37" s="1157"/>
      <c r="BW37" s="1157"/>
      <c r="BX37" s="1157"/>
      <c r="BY37" s="1157"/>
      <c r="BZ37" s="1157"/>
      <c r="CA37" s="1157"/>
      <c r="CB37" s="1157"/>
      <c r="CC37" s="1157"/>
      <c r="CD37" s="1157"/>
      <c r="CE37" s="1157"/>
      <c r="CF37" s="1157"/>
      <c r="CG37" s="1157"/>
      <c r="CH37" s="1290"/>
      <c r="CI37" s="1290"/>
      <c r="CJ37" s="1452"/>
      <c r="CK37" s="1452"/>
      <c r="CL37" s="1452"/>
      <c r="CM37" s="1452"/>
      <c r="CN37" s="1452"/>
      <c r="CO37" s="1452"/>
      <c r="DR37" s="1110"/>
      <c r="DS37" s="1110"/>
      <c r="DT37" s="1110"/>
      <c r="DU37" s="1110"/>
      <c r="DV37" s="1110"/>
      <c r="DW37" s="1110"/>
      <c r="DX37" s="1110"/>
      <c r="DY37" s="1110"/>
      <c r="DZ37" s="1110"/>
    </row>
    <row r="38" spans="1:130">
      <c r="B38" s="2"/>
      <c r="E38" s="1449"/>
      <c r="F38" s="3" t="str">
        <f t="shared" ref="F38:BA38" si="49">+F4</f>
        <v>1Q16A</v>
      </c>
      <c r="G38" s="3" t="str">
        <f t="shared" si="49"/>
        <v>2Q16A</v>
      </c>
      <c r="H38" s="3" t="str">
        <f t="shared" si="49"/>
        <v>3Q16A</v>
      </c>
      <c r="I38" s="3" t="str">
        <f t="shared" si="49"/>
        <v>4Q16A</v>
      </c>
      <c r="J38" s="3" t="str">
        <f t="shared" si="49"/>
        <v>1Q17A</v>
      </c>
      <c r="K38" s="3" t="str">
        <f t="shared" si="49"/>
        <v>2Q17A</v>
      </c>
      <c r="L38" s="3" t="str">
        <f t="shared" si="49"/>
        <v>3Q17A</v>
      </c>
      <c r="M38" s="3" t="str">
        <f t="shared" si="49"/>
        <v>4Q17A</v>
      </c>
      <c r="N38" s="3" t="str">
        <f t="shared" si="49"/>
        <v>1Q18A</v>
      </c>
      <c r="O38" s="3" t="str">
        <f t="shared" si="49"/>
        <v>2Q18A</v>
      </c>
      <c r="P38" s="3" t="str">
        <f t="shared" si="49"/>
        <v>3Q18A</v>
      </c>
      <c r="Q38" s="3" t="str">
        <f t="shared" si="49"/>
        <v>4Q18A</v>
      </c>
      <c r="R38" s="3" t="str">
        <f t="shared" si="49"/>
        <v>1Q19A</v>
      </c>
      <c r="S38" s="3" t="str">
        <f t="shared" si="49"/>
        <v>2Q19A</v>
      </c>
      <c r="T38" s="3" t="str">
        <f t="shared" si="49"/>
        <v>3Q19A</v>
      </c>
      <c r="U38" s="3" t="str">
        <f t="shared" si="49"/>
        <v>4Q19A</v>
      </c>
      <c r="V38" s="3" t="str">
        <f t="shared" si="49"/>
        <v>1Q20A</v>
      </c>
      <c r="W38" s="3" t="str">
        <f t="shared" si="49"/>
        <v>2Q20A</v>
      </c>
      <c r="X38" s="3" t="str">
        <f t="shared" si="49"/>
        <v>3Q20A</v>
      </c>
      <c r="Y38" s="3" t="str">
        <f t="shared" si="49"/>
        <v>4Q20A</v>
      </c>
      <c r="Z38" s="3" t="str">
        <f t="shared" si="49"/>
        <v>1Q21A</v>
      </c>
      <c r="AA38" s="3" t="str">
        <f t="shared" si="49"/>
        <v>2Q21A</v>
      </c>
      <c r="AB38" s="3" t="str">
        <f t="shared" si="49"/>
        <v>3Q21A</v>
      </c>
      <c r="AC38" s="3" t="str">
        <f t="shared" si="49"/>
        <v>4Q21A</v>
      </c>
      <c r="AD38" s="3" t="str">
        <f t="shared" si="49"/>
        <v>1Q22A</v>
      </c>
      <c r="AE38" s="3" t="str">
        <f t="shared" si="49"/>
        <v>2Q22A</v>
      </c>
      <c r="AF38" s="3" t="str">
        <f t="shared" si="49"/>
        <v>3Q22A</v>
      </c>
      <c r="AG38" s="3" t="str">
        <f t="shared" si="49"/>
        <v>4Q22A</v>
      </c>
      <c r="AH38" s="3" t="str">
        <f t="shared" si="49"/>
        <v>1Q23A</v>
      </c>
      <c r="AI38" s="3" t="str">
        <f t="shared" si="49"/>
        <v>2Q23A</v>
      </c>
      <c r="AJ38" s="3" t="str">
        <f t="shared" si="49"/>
        <v>3Q23A</v>
      </c>
      <c r="AK38" s="3" t="str">
        <f t="shared" si="49"/>
        <v>4Q23A</v>
      </c>
      <c r="AL38" s="3" t="str">
        <f t="shared" si="49"/>
        <v>1Q24A</v>
      </c>
      <c r="AM38" s="3" t="str">
        <f t="shared" si="49"/>
        <v>2Q24A</v>
      </c>
      <c r="AN38" s="3" t="str">
        <f t="shared" si="49"/>
        <v>3Q24A</v>
      </c>
      <c r="AO38" s="3" t="str">
        <f t="shared" si="49"/>
        <v>4Q24E</v>
      </c>
      <c r="AP38" s="3" t="str">
        <f t="shared" si="49"/>
        <v>1Q25E</v>
      </c>
      <c r="AQ38" s="3" t="str">
        <f t="shared" si="49"/>
        <v>2Q25E</v>
      </c>
      <c r="AR38" s="3" t="str">
        <f t="shared" si="49"/>
        <v>3Q25E</v>
      </c>
      <c r="AS38" s="3" t="str">
        <f t="shared" si="49"/>
        <v>4Q25E</v>
      </c>
      <c r="AT38" s="3" t="str">
        <f t="shared" si="49"/>
        <v>1Q26E</v>
      </c>
      <c r="AU38" s="3" t="str">
        <f t="shared" si="49"/>
        <v>2Q26E</v>
      </c>
      <c r="AV38" s="3" t="str">
        <f t="shared" si="49"/>
        <v>3Q26E</v>
      </c>
      <c r="AW38" s="3" t="str">
        <f t="shared" si="49"/>
        <v>4Q26E</v>
      </c>
      <c r="AX38" s="3" t="str">
        <f t="shared" si="49"/>
        <v>1Q27E</v>
      </c>
      <c r="AY38" s="3" t="str">
        <f t="shared" si="49"/>
        <v>2Q27E</v>
      </c>
      <c r="AZ38" s="3" t="str">
        <f t="shared" si="49"/>
        <v>3Q27E</v>
      </c>
      <c r="BA38" s="3" t="str">
        <f t="shared" si="49"/>
        <v>4Q27E</v>
      </c>
      <c r="BB38" s="1158"/>
      <c r="BC38" s="1158"/>
      <c r="BD38" s="1158"/>
      <c r="BE38" s="1158"/>
      <c r="BF38" s="1158"/>
      <c r="BG38" s="1158"/>
      <c r="BH38" s="1158"/>
      <c r="BI38" s="1158"/>
      <c r="BJ38" s="1158"/>
      <c r="BK38" s="1158"/>
      <c r="BL38" s="1158"/>
      <c r="BM38" s="1158"/>
      <c r="BN38" s="1158"/>
      <c r="BO38" s="1158"/>
      <c r="BP38" s="1158"/>
      <c r="BQ38" s="1158"/>
      <c r="BR38" s="1158"/>
      <c r="BS38" s="1158"/>
      <c r="BT38" s="1158"/>
      <c r="BU38" s="1158"/>
      <c r="BV38" s="1158"/>
      <c r="BW38" s="1158"/>
      <c r="BX38" s="1158"/>
      <c r="BY38" s="1158"/>
      <c r="BZ38" s="1158"/>
      <c r="CA38" s="1158"/>
      <c r="CB38" s="1158"/>
      <c r="CC38" s="1158"/>
      <c r="CD38" s="1158"/>
      <c r="CE38" s="1158"/>
      <c r="CF38" s="1158"/>
      <c r="CG38" s="1158"/>
      <c r="CH38" s="5" t="s">
        <v>190</v>
      </c>
      <c r="CI38" s="5" t="s">
        <v>194</v>
      </c>
      <c r="CJ38" s="5" t="s">
        <v>208</v>
      </c>
      <c r="CK38" s="3" t="s">
        <v>212</v>
      </c>
      <c r="CL38" s="3" t="s">
        <v>227</v>
      </c>
      <c r="CM38" s="3" t="s">
        <v>336</v>
      </c>
      <c r="CN38" s="3" t="s">
        <v>380</v>
      </c>
      <c r="CO38" s="3" t="s">
        <v>404</v>
      </c>
      <c r="CP38" s="3" t="s">
        <v>304</v>
      </c>
      <c r="CQ38" s="3" t="s">
        <v>352</v>
      </c>
      <c r="CR38" s="3" t="s">
        <v>387</v>
      </c>
      <c r="CS38" s="4" t="s">
        <v>388</v>
      </c>
    </row>
    <row r="39" spans="1:130">
      <c r="E39" s="1451"/>
      <c r="BB39" s="1110"/>
      <c r="BC39" s="1110"/>
      <c r="BD39" s="1110"/>
      <c r="BE39" s="1110"/>
      <c r="BF39" s="1110"/>
      <c r="BG39" s="1110"/>
      <c r="BH39" s="1110"/>
      <c r="BI39" s="1110"/>
      <c r="BJ39" s="1110"/>
      <c r="BK39" s="1110"/>
      <c r="BL39" s="1110"/>
      <c r="BM39" s="1110"/>
      <c r="BN39" s="1110"/>
      <c r="BO39" s="1110"/>
      <c r="BP39" s="1110"/>
      <c r="BQ39" s="1110"/>
      <c r="BR39" s="1110"/>
      <c r="BS39" s="1110"/>
      <c r="BT39" s="1110"/>
      <c r="BU39" s="1110"/>
      <c r="BV39" s="1110"/>
      <c r="BW39" s="1110"/>
      <c r="BX39" s="1110"/>
      <c r="BY39" s="1110"/>
      <c r="BZ39" s="1110"/>
      <c r="CA39" s="1110"/>
      <c r="CB39" s="1110"/>
      <c r="CC39" s="1110"/>
      <c r="CD39" s="1110"/>
      <c r="CE39" s="1110"/>
      <c r="CF39" s="1110"/>
      <c r="CG39" s="1110"/>
    </row>
    <row r="40" spans="1:130">
      <c r="E40" s="1061" t="str">
        <f>Income!C14</f>
        <v>Subscription Solutions CoR</v>
      </c>
      <c r="F40" s="1286">
        <f ca="1">-OFFSET(Income!$C$6,MATCH(Charts!$E40,Income!$C$6:$C$117,0)-1,MATCH(Charts!F$37,Income!$C$5:$EE$5,0)-1)</f>
        <v>8.2319999999999993</v>
      </c>
      <c r="G40" s="1286">
        <f ca="1">-OFFSET(Income!$C$6,MATCH(Charts!$E40,Income!$C$6:$C$117,0)-1,MATCH(Charts!G$37,Income!$C$5:$EE$5,0)-1)</f>
        <v>9.0980000000000008</v>
      </c>
      <c r="H40" s="1286">
        <f ca="1">-OFFSET(Income!$C$6,MATCH(Charts!$E40,Income!$C$6:$C$117,0)-1,MATCH(Charts!H$37,Income!$C$5:$EE$5,0)-1)</f>
        <v>10.555</v>
      </c>
      <c r="I40" s="1286">
        <f ca="1">-OFFSET(Income!$C$6,MATCH(Charts!$E40,Income!$C$6:$C$117,0)-1,MATCH(Charts!I$37,Income!$C$5:$EE$5,0)-1)</f>
        <v>11.593</v>
      </c>
      <c r="J40" s="1286">
        <f ca="1">-OFFSET(Income!$C$6,MATCH(Charts!$E40,Income!$C$6:$C$117,0)-1,MATCH(Charts!J$37,Income!$C$5:$EE$5,0)-1)</f>
        <v>12.254</v>
      </c>
      <c r="K40" s="1286">
        <f ca="1">-OFFSET(Income!$C$6,MATCH(Charts!$E40,Income!$C$6:$C$117,0)-1,MATCH(Charts!K$37,Income!$C$5:$EE$5,0)-1)</f>
        <v>13.688000000000001</v>
      </c>
      <c r="L40" s="1286">
        <f ca="1">-OFFSET(Income!$C$6,MATCH(Charts!$E40,Income!$C$6:$C$117,0)-1,MATCH(Charts!L$37,Income!$C$5:$EE$5,0)-1)</f>
        <v>15.458</v>
      </c>
      <c r="M40" s="1286">
        <f ca="1">-OFFSET(Income!$C$6,MATCH(Charts!$E40,Income!$C$6:$C$117,0)-1,MATCH(Charts!M$37,Income!$C$5:$EE$5,0)-1)</f>
        <v>19.867000000000001</v>
      </c>
      <c r="N40" s="1286">
        <f ca="1">-OFFSET(Income!$C$6,MATCH(Charts!$E40,Income!$C$6:$C$117,0)-1,MATCH(Charts!N$37,Income!$C$5:$EE$5,0)-1)</f>
        <v>23.16</v>
      </c>
      <c r="O40" s="1286">
        <f ca="1">-OFFSET(Income!$C$6,MATCH(Charts!$E40,Income!$C$6:$C$117,0)-1,MATCH(Charts!O$37,Income!$C$5:$EE$5,0)-1)</f>
        <v>24.524000000000001</v>
      </c>
      <c r="P40" s="1286">
        <f ca="1">-OFFSET(Income!$C$6,MATCH(Charts!$E40,Income!$C$6:$C$117,0)-1,MATCH(Charts!P$37,Income!$C$5:$EE$5,0)-1)</f>
        <v>26.6</v>
      </c>
      <c r="Q40" s="1286">
        <f ca="1">-OFFSET(Income!$C$6,MATCH(Charts!$E40,Income!$C$6:$C$117,0)-1,MATCH(Charts!Q$37,Income!$C$5:$EE$5,0)-1)</f>
        <v>26.706</v>
      </c>
      <c r="R40" s="1286">
        <f ca="1">-OFFSET(Income!$C$6,MATCH(Charts!$E40,Income!$C$6:$C$117,0)-1,MATCH(Charts!R$37,Income!$C$5:$EE$5,0)-1)</f>
        <v>27.984999999999999</v>
      </c>
      <c r="S40" s="1286">
        <f ca="1">-OFFSET(Income!$C$6,MATCH(Charts!$E40,Income!$C$6:$C$117,0)-1,MATCH(Charts!S$37,Income!$C$5:$EE$5,0)-1)</f>
        <v>29.538</v>
      </c>
      <c r="T40" s="1286">
        <f ca="1">-OFFSET(Income!$C$6,MATCH(Charts!$E40,Income!$C$6:$C$117,0)-1,MATCH(Charts!T$37,Income!$C$5:$EE$5,0)-1)</f>
        <v>33.262999999999998</v>
      </c>
      <c r="U40" s="1286">
        <f ca="1">-OFFSET(Income!$C$6,MATCH(Charts!$E40,Income!$C$6:$C$117,0)-1,MATCH(Charts!U$37,Income!$C$5:$EE$5,0)-1)</f>
        <v>37.369</v>
      </c>
      <c r="V40" s="1286">
        <f ca="1">-OFFSET(Income!$C$6,MATCH(Charts!$E40,Income!$C$6:$C$117,0)-1,MATCH(Charts!V$37,Income!$C$5:$EE$5,0)-1)</f>
        <v>37.712000000000003</v>
      </c>
      <c r="W40" s="1286">
        <f ca="1">-OFFSET(Income!$C$6,MATCH(Charts!$E40,Income!$C$6:$C$117,0)-1,MATCH(Charts!W$37,Income!$C$5:$EE$5,0)-1)</f>
        <v>44.4</v>
      </c>
      <c r="X40" s="1286">
        <f ca="1">-OFFSET(Income!$C$6,MATCH(Charts!$E40,Income!$C$6:$C$117,0)-1,MATCH(Charts!X$37,Income!$C$5:$EE$5,0)-1)</f>
        <v>52.17</v>
      </c>
      <c r="Y40" s="1286">
        <f ca="1">-OFFSET(Income!$C$6,MATCH(Charts!$E40,Income!$C$6:$C$117,0)-1,MATCH(Charts!Y$37,Income!$C$5:$EE$5,0)-1)</f>
        <v>59.25</v>
      </c>
      <c r="Z40" s="1286">
        <f ca="1">-OFFSET(Income!$C$6,MATCH(Charts!$E40,Income!$C$6:$C$117,0)-1,MATCH(Charts!Z$37,Income!$C$5:$EE$5,0)-1)</f>
        <v>58.381999999999998</v>
      </c>
      <c r="AA40" s="1286">
        <f ca="1">-OFFSET(Income!$C$6,MATCH(Charts!$E40,Income!$C$6:$C$117,0)-1,MATCH(Charts!AA$37,Income!$C$5:$EE$5,0)-1)</f>
        <v>63.027000000000001</v>
      </c>
      <c r="AB40" s="1286">
        <f ca="1">-OFFSET(Income!$C$6,MATCH(Charts!$E40,Income!$C$6:$C$117,0)-1,MATCH(Charts!AB$37,Income!$C$5:$EE$5,0)-1)</f>
        <v>67.355000000000004</v>
      </c>
      <c r="AC40" s="1286">
        <f ca="1">-OFFSET(Income!$C$6,MATCH(Charts!$E40,Income!$C$6:$C$117,0)-1,MATCH(Charts!AC$37,Income!$C$5:$EE$5,0)-1)</f>
        <v>75.587000000000003</v>
      </c>
      <c r="AD40" s="1286">
        <f ca="1">-OFFSET(Income!$C$6,MATCH(Charts!$E40,Income!$C$6:$C$117,0)-1,MATCH(Charts!AD$37,Income!$C$5:$EE$5,0)-1)</f>
        <v>77.545000000000002</v>
      </c>
      <c r="AE40" s="1286">
        <f ca="1">-OFFSET(Income!$C$6,MATCH(Charts!$E40,Income!$C$6:$C$117,0)-1,MATCH(Charts!AE$37,Income!$C$5:$EE$5,0)-1)</f>
        <v>85.238</v>
      </c>
      <c r="AF40" s="1286">
        <f ca="1">-OFFSET(Income!$C$6,MATCH(Charts!$E40,Income!$C$6:$C$117,0)-1,MATCH(Charts!AF$37,Income!$C$5:$EE$5,0)-1)</f>
        <v>82.313000000000002</v>
      </c>
      <c r="AG40" s="1286">
        <f ca="1">-OFFSET(Income!$C$6,MATCH(Charts!$E40,Income!$C$6:$C$117,0)-1,MATCH(Charts!AG$37,Income!$C$5:$EE$5,0)-1)</f>
        <v>85.771000000000001</v>
      </c>
      <c r="AH40" s="1286">
        <f ca="1">-OFFSET(Income!$C$6,MATCH(Charts!$E40,Income!$C$6:$C$117,0)-1,MATCH(Charts!AH$37,Income!$C$5:$EE$5,0)-1)</f>
        <v>84</v>
      </c>
      <c r="AI40" s="1286">
        <f ca="1">-OFFSET(Income!$C$6,MATCH(Charts!$E40,Income!$C$6:$C$117,0)-1,MATCH(Charts!AI$37,Income!$C$5:$EE$5,0)-1)</f>
        <v>85</v>
      </c>
      <c r="AJ40" s="1286">
        <f ca="1">-OFFSET(Income!$C$6,MATCH(Charts!$E40,Income!$C$6:$C$117,0)-1,MATCH(Charts!AJ$37,Income!$C$5:$EE$5,0)-1)</f>
        <v>88</v>
      </c>
      <c r="AK40" s="1286">
        <f ca="1">-OFFSET(Income!$C$6,MATCH(Charts!$E40,Income!$C$6:$C$117,0)-1,MATCH(Charts!AK$37,Income!$C$5:$EE$5,0)-1)</f>
        <v>97</v>
      </c>
      <c r="AL40" s="1286">
        <f ca="1">-OFFSET(Income!$C$6,MATCH(Charts!$E40,Income!$C$6:$C$117,0)-1,MATCH(Charts!AL$37,Income!$C$5:$EE$5,0)-1)</f>
        <v>95</v>
      </c>
      <c r="AM40" s="1286">
        <f ca="1">-OFFSET(Income!$C$6,MATCH(Charts!$E40,Income!$C$6:$C$117,0)-1,MATCH(Charts!AM$37,Income!$C$5:$EE$5,0)-1)</f>
        <v>97</v>
      </c>
      <c r="AN40" s="1286">
        <f ca="1">-OFFSET(Income!$C$6,MATCH(Charts!$E40,Income!$C$6:$C$117,0)-1,MATCH(Charts!AN$37,Income!$C$5:$EE$5,0)-1)</f>
        <v>108</v>
      </c>
      <c r="AO40" s="1286">
        <f ca="1">-OFFSET(Income!$C$6,MATCH(Charts!$E40,Income!$C$6:$C$117,0)-1,MATCH(Charts!AO$37,Income!$C$5:$EE$5,0)-1)</f>
        <v>119.08229322107773</v>
      </c>
      <c r="AP40" s="1286">
        <f ca="1">-OFFSET(Income!$C$6,MATCH(Charts!$E40,Income!$C$6:$C$117,0)-1,MATCH(Charts!AP$37,Income!$C$5:$EE$5,0)-1)</f>
        <v>109.18492146099607</v>
      </c>
      <c r="AQ40" s="1286">
        <f ca="1">-OFFSET(Income!$C$6,MATCH(Charts!$E40,Income!$C$6:$C$117,0)-1,MATCH(Charts!AQ$37,Income!$C$5:$EE$5,0)-1)</f>
        <v>111.24000030076169</v>
      </c>
      <c r="AR40" s="1286">
        <f ca="1">-OFFSET(Income!$C$6,MATCH(Charts!$E40,Income!$C$6:$C$117,0)-1,MATCH(Charts!AR$37,Income!$C$5:$EE$5,0)-1)</f>
        <v>123.95432427207027</v>
      </c>
      <c r="AS40" s="1286">
        <f ca="1">-OFFSET(Income!$C$6,MATCH(Charts!$E40,Income!$C$6:$C$117,0)-1,MATCH(Charts!AS$37,Income!$C$5:$EE$5,0)-1)</f>
        <v>136.761505551732</v>
      </c>
      <c r="AT40" s="1286">
        <f ca="1">-OFFSET(Income!$C$6,MATCH(Charts!$E40,Income!$C$6:$C$117,0)-1,MATCH(Charts!AT$37,Income!$C$5:$EE$5,0)-1)</f>
        <v>125.14671903928175</v>
      </c>
      <c r="AU40" s="1286">
        <f ca="1">-OFFSET(Income!$C$6,MATCH(Charts!$E40,Income!$C$6:$C$117,0)-1,MATCH(Charts!AU$37,Income!$C$5:$EE$5,0)-1)</f>
        <v>127.38619961143827</v>
      </c>
      <c r="AV40" s="1286">
        <f ca="1">-OFFSET(Income!$C$6,MATCH(Charts!$E40,Income!$C$6:$C$117,0)-1,MATCH(Charts!AV$37,Income!$C$5:$EE$5,0)-1)</f>
        <v>141.99347172970363</v>
      </c>
      <c r="AW40" s="1286">
        <f ca="1">-OFFSET(Income!$C$6,MATCH(Charts!$E40,Income!$C$6:$C$117,0)-1,MATCH(Charts!AW$37,Income!$C$5:$EE$5,0)-1)</f>
        <v>156.70635490130041</v>
      </c>
      <c r="AX40" s="1286">
        <f ca="1">-OFFSET(Income!$C$6,MATCH(Charts!$E40,Income!$C$6:$C$117,0)-1,MATCH(Charts!AX$37,Income!$C$5:$EE$5,0)-1)</f>
        <v>142.05811098322965</v>
      </c>
      <c r="AY40" s="1286">
        <f ca="1">-OFFSET(Income!$C$6,MATCH(Charts!$E40,Income!$C$6:$C$117,0)-1,MATCH(Charts!AY$37,Income!$C$5:$EE$5,0)-1)</f>
        <v>144.46552933066286</v>
      </c>
      <c r="AZ40" s="1286">
        <f ca="1">-OFFSET(Income!$C$6,MATCH(Charts!$E40,Income!$C$6:$C$117,0)-1,MATCH(Charts!AZ$37,Income!$C$5:$EE$5,0)-1)</f>
        <v>161.0864587437182</v>
      </c>
      <c r="BA40" s="1286">
        <f ca="1">-OFFSET(Income!$C$6,MATCH(Charts!$E40,Income!$C$6:$C$117,0)-1,MATCH(Charts!BA$37,Income!$C$5:$EE$5,0)-1)</f>
        <v>177.82631755425848</v>
      </c>
      <c r="BB40" s="1110"/>
      <c r="BC40" s="1110"/>
      <c r="BD40" s="1110"/>
      <c r="BE40" s="1110"/>
      <c r="BF40" s="1110"/>
      <c r="BG40" s="1110"/>
      <c r="BH40" s="1110"/>
      <c r="BI40" s="1110"/>
      <c r="BJ40" s="1110"/>
      <c r="BK40" s="1110"/>
      <c r="BL40" s="1110"/>
      <c r="BM40" s="1110"/>
      <c r="BN40" s="1110"/>
      <c r="BO40" s="1110"/>
      <c r="BP40" s="1110"/>
      <c r="BQ40" s="1110"/>
      <c r="BR40" s="1110"/>
      <c r="BS40" s="1110"/>
      <c r="BT40" s="1110"/>
      <c r="BU40" s="1110"/>
      <c r="BV40" s="1110"/>
      <c r="BW40" s="1110"/>
      <c r="BX40" s="1110"/>
      <c r="BY40" s="1110"/>
      <c r="BZ40" s="1110"/>
      <c r="CA40" s="1110"/>
      <c r="CB40" s="1110"/>
      <c r="CC40" s="1110"/>
      <c r="CD40" s="1110"/>
      <c r="CE40" s="1110"/>
      <c r="CF40" s="1110"/>
      <c r="CG40" s="1110" t="str">
        <f t="shared" ref="CG40:CG45" si="50">E40</f>
        <v>Subscription Solutions CoR</v>
      </c>
      <c r="CH40" s="1286">
        <f ca="1">-OFFSET(Income!$C$6,MATCH(Charts!$E40,Income!$C$6:$C$117,0)-1,MATCH(Charts!CH$38,Income!$C$4:$EE$4,0)-1)</f>
        <v>39.477999999999994</v>
      </c>
      <c r="CI40" s="1286">
        <f ca="1">-OFFSET(Income!$C$6,MATCH(Charts!$E40,Income!$C$6:$C$117,0)-1,MATCH(Charts!CI$38,Income!$C$4:$EE$4,0)-1)</f>
        <v>61.266999999999996</v>
      </c>
      <c r="CJ40" s="1286">
        <f ca="1">-OFFSET(Income!$C$6,MATCH(Charts!$E40,Income!$C$6:$C$117,0)-1,MATCH(Charts!CJ$38,Income!$C$4:$EE$4,0)-1)</f>
        <v>100.99</v>
      </c>
      <c r="CK40" s="1286">
        <f ca="1">-OFFSET(Income!$C$6,MATCH(Charts!$E40,Income!$C$6:$C$117,0)-1,MATCH(Charts!CK$38,Income!$C$4:$EE$4,0)-1)</f>
        <v>128.155</v>
      </c>
      <c r="CL40" s="1286">
        <f ca="1">-OFFSET(Income!$C$6,MATCH(Charts!$E40,Income!$C$6:$C$117,0)-1,MATCH(Charts!CL$38,Income!$C$4:$EE$4,0)-1)</f>
        <v>193.53199999999998</v>
      </c>
      <c r="CM40" s="1286">
        <f ca="1">-OFFSET(Income!$C$6,MATCH(Charts!$E40,Income!$C$6:$C$117,0)-1,MATCH(Charts!CM$38,Income!$C$4:$EE$4,0)-1)</f>
        <v>264.351</v>
      </c>
      <c r="CN40" s="1286">
        <f ca="1">-OFFSET(Income!$C$6,MATCH(Charts!$E40,Income!$C$6:$C$117,0)-1,MATCH(Charts!CN$38,Income!$C$4:$EE$4,0)-1)</f>
        <v>330.86700000000002</v>
      </c>
      <c r="CO40" s="1286">
        <f ca="1">-OFFSET(Income!$C$6,MATCH(Charts!$E40,Income!$C$6:$C$117,0)-1,MATCH(Charts!CO$38,Income!$C$4:$EE$4,0)-1)</f>
        <v>354</v>
      </c>
      <c r="CP40" s="1286">
        <f ca="1">-OFFSET(Income!$C$6,MATCH(Charts!$E40,Income!$C$6:$C$117,0)-1,MATCH(Charts!CP$38,Income!$C$4:$EE$4,0)-1)</f>
        <v>419.08229322107775</v>
      </c>
      <c r="CQ40" s="1286">
        <f ca="1">-OFFSET(Income!$C$6,MATCH(Charts!$E40,Income!$C$6:$C$117,0)-1,MATCH(Charts!CQ$38,Income!$C$4:$EE$4,0)-1)</f>
        <v>481.14075158556005</v>
      </c>
      <c r="CR40" s="1286">
        <f ca="1">-OFFSET(Income!$C$6,MATCH(Charts!$E40,Income!$C$6:$C$117,0)-1,MATCH(Charts!CR$38,Income!$C$4:$EE$4,0)-1)</f>
        <v>551.23274528172408</v>
      </c>
      <c r="CS40" s="1286">
        <f ca="1">-OFFSET(Income!$C$6,MATCH(Charts!$E40,Income!$C$6:$C$117,0)-1,MATCH(Charts!CS$38,Income!$C$4:$EE$4,0)-1)</f>
        <v>625.43641661186916</v>
      </c>
    </row>
    <row r="41" spans="1:130">
      <c r="E41" s="791" t="str">
        <f>Income!C15</f>
        <v>% of subscription revenue</v>
      </c>
      <c r="F41" s="1284">
        <f ca="1">OFFSET(Income!$C$6,MATCH(Charts!$E40,Income!$C$6:$C$117,0)+0,MATCH(Charts!F$37,Income!$C$5:$EE$5,0)-1)</f>
        <v>0.21268020461943882</v>
      </c>
      <c r="G41" s="1284">
        <f ca="1">OFFSET(Income!$C$6,MATCH(Charts!$E40,Income!$C$6:$C$117,0)+0,MATCH(Charts!G$37,Income!$C$5:$EE$5,0)-1)</f>
        <v>0.20831616064477723</v>
      </c>
      <c r="H41" s="1284">
        <f ca="1">OFFSET(Income!$C$6,MATCH(Charts!$E40,Income!$C$6:$C$117,0)+0,MATCH(Charts!H$37,Income!$C$5:$EE$5,0)-1)</f>
        <v>0.21178193783984431</v>
      </c>
      <c r="I41" s="1284">
        <f ca="1">OFFSET(Income!$C$6,MATCH(Charts!$E40,Income!$C$6:$C$117,0)+0,MATCH(Charts!I$37,Income!$C$5:$EE$5,0)-1)</f>
        <v>0.20559703477751964</v>
      </c>
      <c r="J41" s="1284">
        <f ca="1">OFFSET(Income!$C$6,MATCH(Charts!$E40,Income!$C$6:$C$117,0)+0,MATCH(Charts!J$37,Income!$C$5:$EE$5,0)-1)</f>
        <v>0.19739046391752577</v>
      </c>
      <c r="K41" s="1284">
        <f ca="1">OFFSET(Income!$C$6,MATCH(Charts!$E40,Income!$C$6:$C$117,0)+0,MATCH(Charts!K$37,Income!$C$5:$EE$5,0)-1)</f>
        <v>0.19117852453979162</v>
      </c>
      <c r="L41" s="1284">
        <f ca="1">OFFSET(Income!$C$6,MATCH(Charts!$E40,Income!$C$6:$C$117,0)+0,MATCH(Charts!L$37,Income!$C$5:$EE$5,0)-1)</f>
        <v>0.18751743798143991</v>
      </c>
      <c r="M41" s="1284">
        <f ca="1">OFFSET(Income!$C$6,MATCH(Charts!$E40,Income!$C$6:$C$117,0)+0,MATCH(Charts!M$37,Income!$C$5:$EE$5,0)-1)</f>
        <v>0.21153559488064055</v>
      </c>
      <c r="N41" s="1284">
        <f ca="1">OFFSET(Income!$C$6,MATCH(Charts!$E40,Income!$C$6:$C$117,0)+0,MATCH(Charts!N$37,Income!$C$5:$EE$5,0)-1)</f>
        <v>0.23114233817042257</v>
      </c>
      <c r="O41" s="1284">
        <f ca="1">OFFSET(Income!$C$6,MATCH(Charts!$E40,Income!$C$6:$C$117,0)+0,MATCH(Charts!O$37,Income!$C$5:$EE$5,0)-1)</f>
        <v>0.22149366425520001</v>
      </c>
      <c r="P41" s="1284">
        <f ca="1">OFFSET(Income!$C$6,MATCH(Charts!$E40,Income!$C$6:$C$117,0)+0,MATCH(Charts!P$37,Income!$C$5:$EE$5,0)-1)</f>
        <v>0.22071574964527829</v>
      </c>
      <c r="Q41" s="1284">
        <f ca="1">OFFSET(Income!$C$6,MATCH(Charts!$E40,Income!$C$6:$C$117,0)+0,MATCH(Charts!Q$37,Income!$C$5:$EE$5,0)-1)</f>
        <v>0.19995507637017071</v>
      </c>
      <c r="R41" s="1284">
        <f ca="1">OFFSET(Income!$C$6,MATCH(Charts!$E40,Income!$C$6:$C$117,0)+0,MATCH(Charts!R$37,Income!$C$5:$EE$5,0)-1)</f>
        <v>0.19925098432905428</v>
      </c>
      <c r="S41" s="1284">
        <f ca="1">OFFSET(Income!$C$6,MATCH(Charts!$E40,Income!$C$6:$C$117,0)+0,MATCH(Charts!S$37,Income!$C$5:$EE$5,0)-1)</f>
        <v>0.19299953609022066</v>
      </c>
      <c r="T41" s="1284">
        <f ca="1">OFFSET(Income!$C$6,MATCH(Charts!$E40,Income!$C$6:$C$117,0)+0,MATCH(Charts!T$37,Income!$C$5:$EE$5,0)-1)</f>
        <v>0.20089142815729236</v>
      </c>
      <c r="U41" s="1284">
        <f ca="1">OFFSET(Income!$C$6,MATCH(Charts!$E40,Income!$C$6:$C$117,0)+0,MATCH(Charts!U$37,Income!$C$5:$EE$5,0)-1)</f>
        <v>0.20401712108142342</v>
      </c>
      <c r="V41" s="1284">
        <f ca="1">OFFSET(Income!$C$6,MATCH(Charts!$E40,Income!$C$6:$C$117,0)+0,MATCH(Charts!V$37,Income!$C$5:$EE$5,0)-1)</f>
        <v>0.20101381063808241</v>
      </c>
      <c r="W41" s="1284">
        <f ca="1">OFFSET(Income!$C$6,MATCH(Charts!$E40,Income!$C$6:$C$117,0)+0,MATCH(Charts!W$37,Income!$C$5:$EE$5,0)-1)</f>
        <v>0.22603011698585784</v>
      </c>
      <c r="X41" s="1284">
        <f ca="1">OFFSET(Income!$C$6,MATCH(Charts!$E40,Income!$C$6:$C$117,0)+0,MATCH(Charts!X$37,Income!$C$5:$EE$5,0)-1)</f>
        <v>0.21270089777147191</v>
      </c>
      <c r="Y41" s="1284">
        <f ca="1">OFFSET(Income!$C$6,MATCH(Charts!$E40,Income!$C$6:$C$117,0)+0,MATCH(Charts!Y$37,Income!$C$5:$EE$5,0)-1)</f>
        <v>0.21203120526767821</v>
      </c>
      <c r="Z41" s="1284">
        <f ca="1">OFFSET(Income!$C$6,MATCH(Charts!$E40,Income!$C$6:$C$117,0)+0,MATCH(Charts!Z$37,Income!$C$5:$EE$5,0)-1)</f>
        <v>0.18205631141227577</v>
      </c>
      <c r="AA41" s="1284">
        <f ca="1">OFFSET(Income!$C$6,MATCH(Charts!$E40,Income!$C$6:$C$117,0)+0,MATCH(Charts!AA$37,Income!$C$5:$EE$5,0)-1)</f>
        <v>0.18856978730661175</v>
      </c>
      <c r="AB41" s="1284">
        <f ca="1">OFFSET(Income!$C$6,MATCH(Charts!$E40,Income!$C$6:$C$117,0)+0,MATCH(Charts!AB$37,Income!$C$5:$EE$5,0)-1)</f>
        <v>0.20033729120068527</v>
      </c>
      <c r="AC41" s="1284">
        <f ca="1">OFFSET(Income!$C$6,MATCH(Charts!$E40,Income!$C$6:$C$117,0)+0,MATCH(Charts!AC$37,Income!$C$5:$EE$5,0)-1)</f>
        <v>0.21522004054577343</v>
      </c>
      <c r="AD41" s="1284">
        <f ca="1">OFFSET(Income!$C$6,MATCH(Charts!$E40,Income!$C$6:$C$117,0)+0,MATCH(Charts!AD$37,Income!$C$5:$EE$5,0)-1)</f>
        <v>0.22492393281142586</v>
      </c>
      <c r="AE41" s="1284">
        <f ca="1">OFFSET(Income!$C$6,MATCH(Charts!$E40,Income!$C$6:$C$117,0)+0,MATCH(Charts!AE$37,Income!$C$5:$EE$5,0)-1)</f>
        <v>0.23260916431750642</v>
      </c>
      <c r="AF41" s="1284">
        <f ca="1">OFFSET(Income!$C$6,MATCH(Charts!$E40,Income!$C$6:$C$117,0)+0,MATCH(Charts!AF$37,Income!$C$5:$EE$5,0)-1)</f>
        <v>0.21874244288481828</v>
      </c>
      <c r="AG41" s="1284">
        <f ca="1">OFFSET(Income!$C$6,MATCH(Charts!$E40,Income!$C$6:$C$117,0)+0,MATCH(Charts!AG$37,Income!$C$5:$EE$5,0)-1)</f>
        <v>0.21429142494515982</v>
      </c>
      <c r="AH41" s="1284">
        <f ca="1">OFFSET(Income!$C$6,MATCH(Charts!$E40,Income!$C$6:$C$117,0)+0,MATCH(Charts!AH$37,Income!$C$5:$EE$5,0)-1)</f>
        <v>0.21989528795811519</v>
      </c>
      <c r="AI41" s="1284">
        <f ca="1">OFFSET(Income!$C$6,MATCH(Charts!$E40,Income!$C$6:$C$117,0)+0,MATCH(Charts!AI$37,Income!$C$5:$EE$5,0)-1)</f>
        <v>0.19144144144144143</v>
      </c>
      <c r="AJ41" s="1284">
        <f ca="1">OFFSET(Income!$C$6,MATCH(Charts!$E40,Income!$C$6:$C$117,0)+0,MATCH(Charts!AJ$37,Income!$C$5:$EE$5,0)-1)</f>
        <v>0.18106995884773663</v>
      </c>
      <c r="AK41" s="1284">
        <f ca="1">OFFSET(Income!$C$6,MATCH(Charts!$E40,Income!$C$6:$C$117,0)+0,MATCH(Charts!AK$37,Income!$C$5:$EE$5,0)-1)</f>
        <v>0.18476190476190477</v>
      </c>
      <c r="AL41" s="1284">
        <f ca="1">OFFSET(Income!$C$6,MATCH(Charts!$E40,Income!$C$6:$C$117,0)+0,MATCH(Charts!AL$37,Income!$C$5:$EE$5,0)-1)</f>
        <v>0.18590998043052837</v>
      </c>
      <c r="AM41" s="1284">
        <f ca="1">OFFSET(Income!$C$6,MATCH(Charts!$E40,Income!$C$6:$C$117,0)+0,MATCH(Charts!AM$37,Income!$C$5:$EE$5,0)-1)</f>
        <v>0.17229129662522202</v>
      </c>
      <c r="AN41" s="1284">
        <f ca="1">OFFSET(Income!$C$6,MATCH(Charts!$E40,Income!$C$6:$C$117,0)+0,MATCH(Charts!AN$37,Income!$C$5:$EE$5,0)-1)</f>
        <v>0.17704918032786884</v>
      </c>
      <c r="AO41" s="1284">
        <f ca="1">OFFSET(Income!$C$6,MATCH(Charts!$E40,Income!$C$6:$C$117,0)+0,MATCH(Charts!AO$37,Income!$C$5:$EE$5,0)-1)</f>
        <v>0.18104918032786885</v>
      </c>
      <c r="AP41" s="1284">
        <f ca="1">OFFSET(Income!$C$6,MATCH(Charts!$E40,Income!$C$6:$C$117,0)+0,MATCH(Charts!AP$37,Income!$C$5:$EE$5,0)-1)</f>
        <v>0.18090998043052836</v>
      </c>
      <c r="AQ41" s="1284">
        <f ca="1">OFFSET(Income!$C$6,MATCH(Charts!$E40,Income!$C$6:$C$117,0)+0,MATCH(Charts!AQ$37,Income!$C$5:$EE$5,0)-1)</f>
        <v>0.16729129662522202</v>
      </c>
      <c r="AR41" s="1284">
        <f ca="1">OFFSET(Income!$C$6,MATCH(Charts!$E40,Income!$C$6:$C$117,0)+0,MATCH(Charts!AR$37,Income!$C$5:$EE$5,0)-1)</f>
        <v>0.17204918032786884</v>
      </c>
      <c r="AS41" s="1284">
        <f ca="1">OFFSET(Income!$C$6,MATCH(Charts!$E40,Income!$C$6:$C$117,0)+0,MATCH(Charts!AS$37,Income!$C$5:$EE$5,0)-1)</f>
        <v>0.17604918032786884</v>
      </c>
      <c r="AT41" s="1284">
        <f ca="1">OFFSET(Income!$C$6,MATCH(Charts!$E40,Income!$C$6:$C$117,0)+0,MATCH(Charts!AT$37,Income!$C$5:$EE$5,0)-1)</f>
        <v>0.17890998043052836</v>
      </c>
      <c r="AU41" s="1284">
        <f ca="1">OFFSET(Income!$C$6,MATCH(Charts!$E40,Income!$C$6:$C$117,0)+0,MATCH(Charts!AU$37,Income!$C$5:$EE$5,0)-1)</f>
        <v>0.16529129662522202</v>
      </c>
      <c r="AV41" s="1284">
        <f ca="1">OFFSET(Income!$C$6,MATCH(Charts!$E40,Income!$C$6:$C$117,0)+0,MATCH(Charts!AV$37,Income!$C$5:$EE$5,0)-1)</f>
        <v>0.17004918032786884</v>
      </c>
      <c r="AW41" s="1284">
        <f ca="1">OFFSET(Income!$C$6,MATCH(Charts!$E40,Income!$C$6:$C$117,0)+0,MATCH(Charts!AW$37,Income!$C$5:$EE$5,0)-1)</f>
        <v>0.17404918032786884</v>
      </c>
      <c r="AX41" s="1284">
        <f ca="1">OFFSET(Income!$C$6,MATCH(Charts!$E40,Income!$C$6:$C$117,0)+0,MATCH(Charts!AX$37,Income!$C$5:$EE$5,0)-1)</f>
        <v>0.17690998043052836</v>
      </c>
      <c r="AY41" s="1284">
        <f ca="1">OFFSET(Income!$C$6,MATCH(Charts!$E40,Income!$C$6:$C$117,0)+0,MATCH(Charts!AY$37,Income!$C$5:$EE$5,0)-1)</f>
        <v>0.16329129662522202</v>
      </c>
      <c r="AZ41" s="1284">
        <f ca="1">OFFSET(Income!$C$6,MATCH(Charts!$E40,Income!$C$6:$C$117,0)+0,MATCH(Charts!AZ$37,Income!$C$5:$EE$5,0)-1)</f>
        <v>0.16804918032786884</v>
      </c>
      <c r="BA41" s="1284">
        <f ca="1">OFFSET(Income!$C$6,MATCH(Charts!$E40,Income!$C$6:$C$117,0)+0,MATCH(Charts!BA$37,Income!$C$5:$EE$5,0)-1)</f>
        <v>0.17204918032786884</v>
      </c>
      <c r="BB41" s="1110"/>
      <c r="BC41" s="1110"/>
      <c r="BD41" s="1110"/>
      <c r="BE41" s="1110"/>
      <c r="BF41" s="1110"/>
      <c r="BG41" s="1110"/>
      <c r="BH41" s="1110"/>
      <c r="BI41" s="1110"/>
      <c r="BJ41" s="1110"/>
      <c r="BK41" s="1110"/>
      <c r="BL41" s="1110"/>
      <c r="BM41" s="1110"/>
      <c r="BN41" s="1110"/>
      <c r="BO41" s="1110"/>
      <c r="BP41" s="1110"/>
      <c r="BQ41" s="1110"/>
      <c r="BR41" s="1110"/>
      <c r="BS41" s="1110"/>
      <c r="BT41" s="1110"/>
      <c r="BU41" s="1110"/>
      <c r="BV41" s="1110"/>
      <c r="BW41" s="1110"/>
      <c r="BX41" s="1110"/>
      <c r="BY41" s="1110"/>
      <c r="BZ41" s="1110"/>
      <c r="CA41" s="1110"/>
      <c r="CB41" s="1110"/>
      <c r="CC41" s="1110"/>
      <c r="CD41" s="1110"/>
      <c r="CE41" s="1110"/>
      <c r="CF41" s="1110"/>
      <c r="CG41" s="1110" t="str">
        <f t="shared" si="50"/>
        <v>% of subscription revenue</v>
      </c>
      <c r="CH41" s="1284">
        <f t="shared" ref="CH41:CS41" ca="1" si="51">CH40/CH33</f>
        <v>0.20931465594943954</v>
      </c>
      <c r="CI41" s="1284">
        <f t="shared" ca="1" si="51"/>
        <v>0.19761572229873786</v>
      </c>
      <c r="CJ41" s="1284">
        <f t="shared" ca="1" si="51"/>
        <v>0.21718466395409852</v>
      </c>
      <c r="CK41" s="1284">
        <f t="shared" ca="1" si="51"/>
        <v>0.19954347355587701</v>
      </c>
      <c r="CL41" s="1284">
        <f t="shared" ca="1" si="51"/>
        <v>0.21296342146470396</v>
      </c>
      <c r="CM41" s="1284">
        <f t="shared" ca="1" si="51"/>
        <v>0.19693384805867986</v>
      </c>
      <c r="CN41" s="1284">
        <f t="shared" ca="1" si="51"/>
        <v>0.22239287411469197</v>
      </c>
      <c r="CO41" s="1284">
        <f t="shared" ca="1" si="51"/>
        <v>0.19270549809471965</v>
      </c>
      <c r="CP41" s="1284">
        <f t="shared" ca="1" si="51"/>
        <v>0.17896234270422268</v>
      </c>
      <c r="CQ41" s="1284">
        <f t="shared" ca="1" si="51"/>
        <v>0.17396234270422264</v>
      </c>
      <c r="CR41" s="1284">
        <f t="shared" ca="1" si="51"/>
        <v>0.17196234270422261</v>
      </c>
      <c r="CS41" s="1284">
        <f t="shared" ca="1" si="51"/>
        <v>0.16996234270422261</v>
      </c>
    </row>
    <row r="42" spans="1:130">
      <c r="E42" s="1062" t="str">
        <f>Income!C17</f>
        <v>Merchant Solutions CoR</v>
      </c>
      <c r="F42" s="1286">
        <f ca="1">-OFFSET(Income!$C$6,MATCH(Charts!$E42,Income!$C$6:$C$117,0)-1,MATCH(Charts!F$37,Income!$C$5:$EE$5,0)-1)</f>
        <v>24.405000000000001</v>
      </c>
      <c r="G42" s="1286">
        <f ca="1">-OFFSET(Income!$C$6,MATCH(Charts!$E42,Income!$C$6:$C$117,0)-1,MATCH(Charts!G$37,Income!$C$5:$EE$5,0)-1)</f>
        <v>30.026</v>
      </c>
      <c r="H42" s="1286">
        <f ca="1">-OFFSET(Income!$C$6,MATCH(Charts!$E42,Income!$C$6:$C$117,0)-1,MATCH(Charts!H$37,Income!$C$5:$EE$5,0)-1)</f>
        <v>35.271000000000001</v>
      </c>
      <c r="I42" s="1286">
        <f ca="1">-OFFSET(Income!$C$6,MATCH(Charts!$E42,Income!$C$6:$C$117,0)-1,MATCH(Charts!I$37,Income!$C$5:$EE$5,0)-1)</f>
        <v>50.655000000000001</v>
      </c>
      <c r="J42" s="1286">
        <f ca="1">-OFFSET(Income!$C$6,MATCH(Charts!$E42,Income!$C$6:$C$117,0)-1,MATCH(Charts!J$37,Income!$C$5:$EE$5,0)-1)</f>
        <v>42.884</v>
      </c>
      <c r="K42" s="1286">
        <f ca="1">-OFFSET(Income!$C$6,MATCH(Charts!$E42,Income!$C$6:$C$117,0)-1,MATCH(Charts!K$37,Income!$C$5:$EE$5,0)-1)</f>
        <v>51.127000000000002</v>
      </c>
      <c r="L42" s="1286">
        <f ca="1">-OFFSET(Income!$C$6,MATCH(Charts!$E42,Income!$C$6:$C$117,0)-1,MATCH(Charts!L$37,Income!$C$5:$EE$5,0)-1)</f>
        <v>55.970999999999997</v>
      </c>
      <c r="M42" s="1286">
        <f ca="1">-OFFSET(Income!$C$6,MATCH(Charts!$E42,Income!$C$6:$C$117,0)-1,MATCH(Charts!M$37,Income!$C$5:$EE$5,0)-1)</f>
        <v>81.802000000000007</v>
      </c>
      <c r="N42" s="1286">
        <f ca="1">-OFFSET(Income!$C$6,MATCH(Charts!$E42,Income!$C$6:$C$117,0)-1,MATCH(Charts!N$37,Income!$C$5:$EE$5,0)-1)</f>
        <v>67.337999999999994</v>
      </c>
      <c r="O42" s="1286">
        <f ca="1">-OFFSET(Income!$C$6,MATCH(Charts!$E42,Income!$C$6:$C$117,0)-1,MATCH(Charts!O$37,Income!$C$5:$EE$5,0)-1)</f>
        <v>83.483999999999995</v>
      </c>
      <c r="P42" s="1286">
        <f ca="1">-OFFSET(Income!$C$6,MATCH(Charts!$E42,Income!$C$6:$C$117,0)-1,MATCH(Charts!P$37,Income!$C$5:$EE$5,0)-1)</f>
        <v>93.736999999999995</v>
      </c>
      <c r="Q42" s="1286">
        <f ca="1">-OFFSET(Income!$C$6,MATCH(Charts!$E42,Income!$C$6:$C$117,0)-1,MATCH(Charts!Q$37,Income!$C$5:$EE$5,0)-1)</f>
        <v>131.41300000000001</v>
      </c>
      <c r="R42" s="1286">
        <f ca="1">-OFFSET(Income!$C$6,MATCH(Charts!$E42,Income!$C$6:$C$117,0)-1,MATCH(Charts!R$37,Income!$C$5:$EE$5,0)-1)</f>
        <v>112.206</v>
      </c>
      <c r="S42" s="1286">
        <f ca="1">-OFFSET(Income!$C$6,MATCH(Charts!$E42,Income!$C$6:$C$117,0)-1,MATCH(Charts!S$37,Income!$C$5:$EE$5,0)-1)</f>
        <v>127.676</v>
      </c>
      <c r="T42" s="1286">
        <f ca="1">-OFFSET(Income!$C$6,MATCH(Charts!$E42,Income!$C$6:$C$117,0)-1,MATCH(Charts!T$37,Income!$C$5:$EE$5,0)-1)</f>
        <v>140.59299999999999</v>
      </c>
      <c r="U42" s="1286">
        <f ca="1">-OFFSET(Income!$C$6,MATCH(Charts!$E42,Income!$C$6:$C$117,0)-1,MATCH(Charts!U$37,Income!$C$5:$EE$5,0)-1)</f>
        <v>203.9</v>
      </c>
      <c r="V42" s="1286">
        <f ca="1">-OFFSET(Income!$C$6,MATCH(Charts!$E42,Income!$C$6:$C$117,0)-1,MATCH(Charts!V$37,Income!$C$5:$EE$5,0)-1)</f>
        <v>175.339</v>
      </c>
      <c r="W42" s="1286">
        <f ca="1">-OFFSET(Income!$C$6,MATCH(Charts!$E42,Income!$C$6:$C$117,0)-1,MATCH(Charts!W$37,Income!$C$5:$EE$5,0)-1)</f>
        <v>294.90699999999998</v>
      </c>
      <c r="X42" s="1286">
        <f ca="1">-OFFSET(Income!$C$6,MATCH(Charts!$E42,Income!$C$6:$C$117,0)-1,MATCH(Charts!X$37,Income!$C$5:$EE$5,0)-1)</f>
        <v>310.08699999999999</v>
      </c>
      <c r="Y42" s="1286">
        <f ca="1">-OFFSET(Income!$C$6,MATCH(Charts!$E42,Income!$C$6:$C$117,0)-1,MATCH(Charts!Y$37,Income!$C$5:$EE$5,0)-1)</f>
        <v>414.10599999999999</v>
      </c>
      <c r="Z42" s="1286">
        <f ca="1">-OFFSET(Income!$C$6,MATCH(Charts!$E42,Income!$C$6:$C$117,0)-1,MATCH(Charts!Z$37,Income!$C$5:$EE$5,0)-1)</f>
        <v>371.54899999999998</v>
      </c>
      <c r="AA42" s="1286">
        <f ca="1">-OFFSET(Income!$C$6,MATCH(Charts!$E42,Income!$C$6:$C$117,0)-1,MATCH(Charts!AA$37,Income!$C$5:$EE$5,0)-1)</f>
        <v>435.55799999999999</v>
      </c>
      <c r="AB42" s="1286">
        <f ca="1">-OFFSET(Income!$C$6,MATCH(Charts!$E42,Income!$C$6:$C$117,0)-1,MATCH(Charts!AB$37,Income!$C$5:$EE$5,0)-1)</f>
        <v>447.476</v>
      </c>
      <c r="AC42" s="1286">
        <f ca="1">-OFFSET(Income!$C$6,MATCH(Charts!$E42,Income!$C$6:$C$117,0)-1,MATCH(Charts!AC$37,Income!$C$5:$EE$5,0)-1)</f>
        <v>611.77800000000002</v>
      </c>
      <c r="AD42" s="1286">
        <f ca="1">-OFFSET(Income!$C$6,MATCH(Charts!$E42,Income!$C$6:$C$117,0)-1,MATCH(Charts!AD$37,Income!$C$5:$EE$5,0)-1)</f>
        <v>488.44099999999997</v>
      </c>
      <c r="AE42" s="1286">
        <f ca="1">-OFFSET(Income!$C$6,MATCH(Charts!$E42,Income!$C$6:$C$117,0)-1,MATCH(Charts!AE$37,Income!$C$5:$EE$5,0)-1)</f>
        <v>554.18299999999999</v>
      </c>
      <c r="AF42" s="1286">
        <f ca="1">-OFFSET(Income!$C$6,MATCH(Charts!$E42,Income!$C$6:$C$117,0)-1,MATCH(Charts!AF$37,Income!$C$5:$EE$5,0)-1)</f>
        <v>621.55499999999995</v>
      </c>
      <c r="AG42" s="1286">
        <f ca="1">-OFFSET(Income!$C$6,MATCH(Charts!$E42,Income!$C$6:$C$117,0)-1,MATCH(Charts!AG$37,Income!$C$5:$EE$5,0)-1)</f>
        <v>850.69899999999996</v>
      </c>
      <c r="AH42" s="1286">
        <f ca="1">-OFFSET(Income!$C$6,MATCH(Charts!$E42,Income!$C$6:$C$117,0)-1,MATCH(Charts!AH$37,Income!$C$5:$EE$5,0)-1)</f>
        <v>707</v>
      </c>
      <c r="AI42" s="1286">
        <f ca="1">-OFFSET(Income!$C$6,MATCH(Charts!$E42,Income!$C$6:$C$117,0)-1,MATCH(Charts!AI$37,Income!$C$5:$EE$5,0)-1)</f>
        <v>774</v>
      </c>
      <c r="AJ42" s="1286">
        <f ca="1">-OFFSET(Income!$C$6,MATCH(Charts!$E42,Income!$C$6:$C$117,0)-1,MATCH(Charts!AJ$37,Income!$C$5:$EE$5,0)-1)</f>
        <v>725</v>
      </c>
      <c r="AK42" s="1286">
        <f ca="1">-OFFSET(Income!$C$6,MATCH(Charts!$E42,Income!$C$6:$C$117,0)-1,MATCH(Charts!AK$37,Income!$C$5:$EE$5,0)-1)</f>
        <v>985</v>
      </c>
      <c r="AL42" s="1286">
        <f ca="1">-OFFSET(Income!$C$6,MATCH(Charts!$E42,Income!$C$6:$C$117,0)-1,MATCH(Charts!AL$37,Income!$C$5:$EE$5,0)-1)</f>
        <v>809</v>
      </c>
      <c r="AM42" s="1286">
        <f ca="1">-OFFSET(Income!$C$6,MATCH(Charts!$E42,Income!$C$6:$C$117,0)-1,MATCH(Charts!AM$37,Income!$C$5:$EE$5,0)-1)</f>
        <v>903</v>
      </c>
      <c r="AN42" s="1286">
        <f ca="1">-OFFSET(Income!$C$6,MATCH(Charts!$E42,Income!$C$6:$C$117,0)-1,MATCH(Charts!AN$37,Income!$C$5:$EE$5,0)-1)</f>
        <v>936</v>
      </c>
      <c r="AO42" s="1286">
        <f ca="1">-OFFSET(Income!$C$6,MATCH(Charts!$E42,Income!$C$6:$C$117,0)-1,MATCH(Charts!AO$37,Income!$C$5:$EE$5,0)-1)</f>
        <v>1268.6197278189429</v>
      </c>
      <c r="AP42" s="1286">
        <f ca="1">-OFFSET(Income!$C$6,MATCH(Charts!$E42,Income!$C$6:$C$117,0)-1,MATCH(Charts!AP$37,Income!$C$5:$EE$5,0)-1)</f>
        <v>1043.3962476333334</v>
      </c>
      <c r="AQ42" s="1286">
        <f ca="1">-OFFSET(Income!$C$6,MATCH(Charts!$E42,Income!$C$6:$C$117,0)-1,MATCH(Charts!AQ$37,Income!$C$5:$EE$5,0)-1)</f>
        <v>1124.8536429682308</v>
      </c>
      <c r="AR42" s="1286">
        <f ca="1">-OFFSET(Income!$C$6,MATCH(Charts!$E42,Income!$C$6:$C$117,0)-1,MATCH(Charts!AR$37,Income!$C$5:$EE$5,0)-1)</f>
        <v>1145.1340887861115</v>
      </c>
      <c r="AS42" s="1286">
        <f ca="1">-OFFSET(Income!$C$6,MATCH(Charts!$E42,Income!$C$6:$C$117,0)-1,MATCH(Charts!AS$37,Income!$C$5:$EE$5,0)-1)</f>
        <v>1563.0135634119242</v>
      </c>
      <c r="AT42" s="1286">
        <f ca="1">-OFFSET(Income!$C$6,MATCH(Charts!$E42,Income!$C$6:$C$117,0)-1,MATCH(Charts!AT$37,Income!$C$5:$EE$5,0)-1)</f>
        <v>1261.4201022886089</v>
      </c>
      <c r="AU42" s="1286">
        <f ca="1">-OFFSET(Income!$C$6,MATCH(Charts!$E42,Income!$C$6:$C$117,0)-1,MATCH(Charts!AU$37,Income!$C$5:$EE$5,0)-1)</f>
        <v>1360.166257039027</v>
      </c>
      <c r="AV42" s="1286">
        <f ca="1">-OFFSET(Income!$C$6,MATCH(Charts!$E42,Income!$C$6:$C$117,0)-1,MATCH(Charts!AV$37,Income!$C$5:$EE$5,0)-1)</f>
        <v>1384.2761253353863</v>
      </c>
      <c r="AW42" s="1286">
        <f ca="1">-OFFSET(Income!$C$6,MATCH(Charts!$E42,Income!$C$6:$C$117,0)-1,MATCH(Charts!AW$37,Income!$C$5:$EE$5,0)-1)</f>
        <v>1889.9697845125104</v>
      </c>
      <c r="AX42" s="1286">
        <f ca="1">-OFFSET(Income!$C$6,MATCH(Charts!$E42,Income!$C$6:$C$117,0)-1,MATCH(Charts!AX$37,Income!$C$5:$EE$5,0)-1)</f>
        <v>1499.0703001325055</v>
      </c>
      <c r="AY42" s="1286">
        <f ca="1">-OFFSET(Income!$C$6,MATCH(Charts!$E42,Income!$C$6:$C$117,0)-1,MATCH(Charts!AY$37,Income!$C$5:$EE$5,0)-1)</f>
        <v>1616.6426633914293</v>
      </c>
      <c r="AZ42" s="1286">
        <f ca="1">-OFFSET(Income!$C$6,MATCH(Charts!$E42,Income!$C$6:$C$117,0)-1,MATCH(Charts!AZ$37,Income!$C$5:$EE$5,0)-1)</f>
        <v>1644.9572385864169</v>
      </c>
      <c r="BA42" s="1286">
        <f ca="1">-OFFSET(Income!$C$6,MATCH(Charts!$E42,Income!$C$6:$C$117,0)-1,MATCH(Charts!BA$37,Income!$C$5:$EE$5,0)-1)</f>
        <v>2246.3383440278662</v>
      </c>
      <c r="BB42" s="1110"/>
      <c r="BC42" s="1110"/>
      <c r="BD42" s="1110"/>
      <c r="BE42" s="1110"/>
      <c r="BF42" s="1110"/>
      <c r="BG42" s="1110"/>
      <c r="BH42" s="1110"/>
      <c r="BI42" s="1110"/>
      <c r="BJ42" s="1110"/>
      <c r="BK42" s="1110"/>
      <c r="BL42" s="1110"/>
      <c r="BM42" s="1110"/>
      <c r="BN42" s="1110"/>
      <c r="BO42" s="1110"/>
      <c r="BP42" s="1110"/>
      <c r="BQ42" s="1110"/>
      <c r="BR42" s="1110"/>
      <c r="BS42" s="1110"/>
      <c r="BT42" s="1110"/>
      <c r="BU42" s="1110"/>
      <c r="BV42" s="1110"/>
      <c r="BW42" s="1110"/>
      <c r="BX42" s="1110"/>
      <c r="BY42" s="1110"/>
      <c r="BZ42" s="1110"/>
      <c r="CA42" s="1110"/>
      <c r="CB42" s="1110"/>
      <c r="CC42" s="1110"/>
      <c r="CD42" s="1110"/>
      <c r="CE42" s="1110"/>
      <c r="CF42" s="1110"/>
      <c r="CG42" s="1304" t="str">
        <f t="shared" si="50"/>
        <v>Merchant Solutions CoR</v>
      </c>
      <c r="CH42" s="1286">
        <f ca="1">-OFFSET(Income!$C$6,MATCH(Charts!$E42,Income!$C$6:$C$117,0)-1,MATCH(Charts!CH$38,Income!$C$4:$EE$4,0)-1)</f>
        <v>140.357</v>
      </c>
      <c r="CI42" s="1286">
        <f ca="1">-OFFSET(Income!$C$6,MATCH(Charts!$E42,Income!$C$6:$C$117,0)-1,MATCH(Charts!CI$38,Income!$C$4:$EE$4,0)-1)</f>
        <v>231.78399999999999</v>
      </c>
      <c r="CJ42" s="1286">
        <f ca="1">-OFFSET(Income!$C$6,MATCH(Charts!$E42,Income!$C$6:$C$117,0)-1,MATCH(Charts!CJ$38,Income!$C$4:$EE$4,0)-1)</f>
        <v>375.97199999999998</v>
      </c>
      <c r="CK42" s="1286">
        <f ca="1">-OFFSET(Income!$C$6,MATCH(Charts!$E42,Income!$C$6:$C$117,0)-1,MATCH(Charts!CK$38,Income!$C$4:$EE$4,0)-1)</f>
        <v>584.375</v>
      </c>
      <c r="CL42" s="1286">
        <f ca="1">-OFFSET(Income!$C$6,MATCH(Charts!$E42,Income!$C$6:$C$117,0)-1,MATCH(Charts!CL$38,Income!$C$4:$EE$4,0)-1)</f>
        <v>1194.4389999999999</v>
      </c>
      <c r="CM42" s="1286">
        <f ca="1">-OFFSET(Income!$C$6,MATCH(Charts!$E42,Income!$C$6:$C$117,0)-1,MATCH(Charts!CM$38,Income!$C$4:$EE$4,0)-1)</f>
        <v>1866.3610000000001</v>
      </c>
      <c r="CN42" s="1286">
        <f ca="1">-OFFSET(Income!$C$6,MATCH(Charts!$E42,Income!$C$6:$C$117,0)-1,MATCH(Charts!CN$38,Income!$C$4:$EE$4,0)-1)</f>
        <v>2514.8780000000002</v>
      </c>
      <c r="CO42" s="1286">
        <f ca="1">-OFFSET(Income!$C$6,MATCH(Charts!$E42,Income!$C$6:$C$117,0)-1,MATCH(Charts!CO$38,Income!$C$4:$EE$4,0)-1)</f>
        <v>3191</v>
      </c>
      <c r="CP42" s="1286">
        <f ca="1">-OFFSET(Income!$C$6,MATCH(Charts!$E42,Income!$C$6:$C$117,0)-1,MATCH(Charts!CP$38,Income!$C$4:$EE$4,0)-1)</f>
        <v>3916.6197278189429</v>
      </c>
      <c r="CQ42" s="1286">
        <f ca="1">-OFFSET(Income!$C$6,MATCH(Charts!$E42,Income!$C$6:$C$117,0)-1,MATCH(Charts!CQ$38,Income!$C$4:$EE$4,0)-1)</f>
        <v>4876.3975427996002</v>
      </c>
      <c r="CR42" s="1286">
        <f ca="1">-OFFSET(Income!$C$6,MATCH(Charts!$E42,Income!$C$6:$C$117,0)-1,MATCH(Charts!CR$38,Income!$C$4:$EE$4,0)-1)</f>
        <v>5895.832269175532</v>
      </c>
      <c r="CS42" s="1286">
        <f ca="1">-OFFSET(Income!$C$6,MATCH(Charts!$E42,Income!$C$6:$C$117,0)-1,MATCH(Charts!CS$38,Income!$C$4:$EE$4,0)-1)</f>
        <v>7007.0085461382187</v>
      </c>
    </row>
    <row r="43" spans="1:130">
      <c r="E43" s="791" t="str">
        <f>Income!C18</f>
        <v>% of merchant revenue</v>
      </c>
      <c r="F43" s="1284">
        <f ca="1">OFFSET(Income!$C$6,MATCH(Charts!$E42,Income!$C$6:$C$117,0)+0,MATCH(Charts!F$37,Income!$C$5:$EE$5,0)-1)</f>
        <v>0.71745649106302922</v>
      </c>
      <c r="G43" s="1284">
        <f ca="1">OFFSET(Income!$C$6,MATCH(Charts!$E42,Income!$C$6:$C$117,0)+0,MATCH(Charts!G$37,Income!$C$5:$EE$5,0)-1)</f>
        <v>0.69871779954855373</v>
      </c>
      <c r="H43" s="1284">
        <f ca="1">OFFSET(Income!$C$6,MATCH(Charts!$E42,Income!$C$6:$C$117,0)+0,MATCH(Charts!H$37,Income!$C$5:$EE$5,0)-1)</f>
        <v>0.70912161482940961</v>
      </c>
      <c r="I43" s="1284">
        <f ca="1">OFFSET(Income!$C$6,MATCH(Charts!$E42,Income!$C$6:$C$117,0)+0,MATCH(Charts!I$37,Income!$C$5:$EE$5,0)-1)</f>
        <v>0.68456403048813452</v>
      </c>
      <c r="J43" s="1284">
        <f ca="1">OFFSET(Income!$C$6,MATCH(Charts!$E42,Income!$C$6:$C$117,0)+0,MATCH(Charts!J$37,Income!$C$5:$EE$5,0)-1)</f>
        <v>0.65673287492917187</v>
      </c>
      <c r="K43" s="1284">
        <f ca="1">OFFSET(Income!$C$6,MATCH(Charts!$E42,Income!$C$6:$C$117,0)+0,MATCH(Charts!K$37,Income!$C$5:$EE$5,0)-1)</f>
        <v>0.63863247436201709</v>
      </c>
      <c r="L43" s="1284">
        <f ca="1">OFFSET(Income!$C$6,MATCH(Charts!$E42,Income!$C$6:$C$117,0)+0,MATCH(Charts!L$37,Income!$C$5:$EE$5,0)-1)</f>
        <v>0.62873928623583197</v>
      </c>
      <c r="M43" s="1284">
        <f ca="1">OFFSET(Income!$C$6,MATCH(Charts!$E42,Income!$C$6:$C$117,0)+0,MATCH(Charts!M$37,Income!$C$5:$EE$5,0)-1)</f>
        <v>0.63463567527308851</v>
      </c>
      <c r="N43" s="1284">
        <f ca="1">OFFSET(Income!$C$6,MATCH(Charts!$E42,Income!$C$6:$C$117,0)+0,MATCH(Charts!N$37,Income!$C$5:$EE$5,0)-1)</f>
        <v>0.58994936132186226</v>
      </c>
      <c r="O43" s="1284">
        <f ca="1">OFFSET(Income!$C$6,MATCH(Charts!$E42,Income!$C$6:$C$117,0)+0,MATCH(Charts!O$37,Income!$C$5:$EE$5,0)-1)</f>
        <v>0.6218918073330254</v>
      </c>
      <c r="P43" s="1284">
        <f ca="1">OFFSET(Income!$C$6,MATCH(Charts!$E42,Income!$C$6:$C$117,0)+0,MATCH(Charts!P$37,Income!$C$5:$EE$5,0)-1)</f>
        <v>0.62680628832407204</v>
      </c>
      <c r="Q43" s="1284">
        <f ca="1">OFFSET(Income!$C$6,MATCH(Charts!$E42,Income!$C$6:$C$117,0)+0,MATCH(Charts!Q$37,Income!$C$5:$EE$5,0)-1)</f>
        <v>0.62487755703702297</v>
      </c>
      <c r="R43" s="1284">
        <f ca="1">OFFSET(Income!$C$6,MATCH(Charts!$E42,Income!$C$6:$C$117,0)+0,MATCH(Charts!R$37,Income!$C$5:$EE$5,0)-1)</f>
        <v>0.62325932756025348</v>
      </c>
      <c r="S43" s="1284">
        <f ca="1">OFFSET(Income!$C$6,MATCH(Charts!$E42,Income!$C$6:$C$117,0)+0,MATCH(Charts!S$37,Income!$C$5:$EE$5,0)-1)</f>
        <v>0.61108877529531147</v>
      </c>
      <c r="T43" s="1284">
        <f ca="1">OFFSET(Income!$C$6,MATCH(Charts!$E42,Income!$C$6:$C$117,0)+0,MATCH(Charts!T$37,Income!$C$5:$EE$5,0)-1)</f>
        <v>0.62492721413490382</v>
      </c>
      <c r="U43" s="1284">
        <f ca="1">OFFSET(Income!$C$6,MATCH(Charts!$E42,Income!$C$6:$C$117,0)+0,MATCH(Charts!U$37,Income!$C$5:$EE$5,0)-1)</f>
        <v>0.6332416131977614</v>
      </c>
      <c r="V43" s="1284">
        <f ca="1">OFFSET(Income!$C$6,MATCH(Charts!$E42,Income!$C$6:$C$117,0)+0,MATCH(Charts!V$37,Income!$C$5:$EE$5,0)-1)</f>
        <v>0.62090639961471994</v>
      </c>
      <c r="W43" s="1284">
        <f ca="1">OFFSET(Income!$C$6,MATCH(Charts!$E42,Income!$C$6:$C$117,0)+0,MATCH(Charts!W$37,Income!$C$5:$EE$5,0)-1)</f>
        <v>0.56942076473189196</v>
      </c>
      <c r="X43" s="1284">
        <f ca="1">OFFSET(Income!$C$6,MATCH(Charts!$E42,Income!$C$6:$C$117,0)+0,MATCH(Charts!X$37,Income!$C$5:$EE$5,0)-1)</f>
        <v>0.59388735777036794</v>
      </c>
      <c r="Y43" s="1284">
        <f ca="1">OFFSET(Income!$C$6,MATCH(Charts!$E42,Income!$C$6:$C$117,0)+0,MATCH(Charts!Y$37,Income!$C$5:$EE$5,0)-1)</f>
        <v>0.59301679497754556</v>
      </c>
      <c r="Z43" s="1284">
        <f ca="1">OFFSET(Income!$C$6,MATCH(Charts!$E42,Income!$C$6:$C$117,0)+0,MATCH(Charts!Z$37,Income!$C$5:$EE$5,0)-1)</f>
        <v>0.55623938943000084</v>
      </c>
      <c r="AA43" s="1284">
        <f ca="1">OFFSET(Income!$C$6,MATCH(Charts!$E42,Income!$C$6:$C$117,0)+0,MATCH(Charts!AA$37,Income!$C$5:$EE$5,0)-1)</f>
        <v>0.55470397652596515</v>
      </c>
      <c r="AB43" s="1284">
        <f ca="1">OFFSET(Income!$C$6,MATCH(Charts!$E42,Income!$C$6:$C$117,0)+0,MATCH(Charts!AB$37,Income!$C$5:$EE$5,0)-1)</f>
        <v>0.56820040328519983</v>
      </c>
      <c r="AC43" s="1284">
        <f ca="1">OFFSET(Income!$C$6,MATCH(Charts!$E42,Income!$C$6:$C$117,0)+0,MATCH(Charts!AC$37,Income!$C$5:$EE$5,0)-1)</f>
        <v>0.59464277382933395</v>
      </c>
      <c r="AD43" s="1284">
        <f ca="1">OFFSET(Income!$C$6,MATCH(Charts!$E42,Income!$C$6:$C$117,0)+0,MATCH(Charts!AD$37,Income!$C$5:$EE$5,0)-1)</f>
        <v>0.56870719626668775</v>
      </c>
      <c r="AE43" s="1284">
        <f ca="1">OFFSET(Income!$C$6,MATCH(Charts!$E42,Income!$C$6:$C$117,0)+0,MATCH(Charts!AE$37,Income!$C$5:$EE$5,0)-1)</f>
        <v>0.59678124528870802</v>
      </c>
      <c r="AF43" s="1284">
        <f ca="1">OFFSET(Income!$C$6,MATCH(Charts!$E42,Income!$C$6:$C$117,0)+0,MATCH(Charts!AF$37,Income!$C$5:$EE$5,0)-1)</f>
        <v>0.62789739155206736</v>
      </c>
      <c r="AG43" s="1284">
        <f ca="1">OFFSET(Income!$C$6,MATCH(Charts!$E42,Income!$C$6:$C$117,0)+0,MATCH(Charts!AG$37,Income!$C$5:$EE$5,0)-1)</f>
        <v>0.63735948405812737</v>
      </c>
      <c r="AH43" s="1284">
        <f ca="1">OFFSET(Income!$C$6,MATCH(Charts!$E42,Income!$C$6:$C$117,0)+0,MATCH(Charts!AH$37,Income!$C$5:$EE$5,0)-1)</f>
        <v>0.62788632326820604</v>
      </c>
      <c r="AI43" s="1284">
        <f ca="1">OFFSET(Income!$C$6,MATCH(Charts!$E42,Income!$C$6:$C$117,0)+0,MATCH(Charts!AI$37,Income!$C$5:$EE$5,0)-1)</f>
        <v>0.61919999999999997</v>
      </c>
      <c r="AJ43" s="1284">
        <f ca="1">OFFSET(Income!$C$6,MATCH(Charts!$E42,Income!$C$6:$C$117,0)+0,MATCH(Charts!AJ$37,Income!$C$5:$EE$5,0)-1)</f>
        <v>0.5903908794788274</v>
      </c>
      <c r="AK43" s="1284">
        <f ca="1">OFFSET(Income!$C$6,MATCH(Charts!$E42,Income!$C$6:$C$117,0)+0,MATCH(Charts!AK$37,Income!$C$5:$EE$5,0)-1)</f>
        <v>0.60840024706609019</v>
      </c>
      <c r="AL43" s="1284">
        <f ca="1">OFFSET(Income!$C$6,MATCH(Charts!$E42,Income!$C$6:$C$117,0)+0,MATCH(Charts!AL$37,Income!$C$5:$EE$5,0)-1)</f>
        <v>0.59925925925925927</v>
      </c>
      <c r="AM43" s="1284">
        <f ca="1">OFFSET(Income!$C$6,MATCH(Charts!$E42,Income!$C$6:$C$117,0)+0,MATCH(Charts!AM$37,Income!$C$5:$EE$5,0)-1)</f>
        <v>0.60931174089068829</v>
      </c>
      <c r="AN43" s="1284">
        <f ca="1">OFFSET(Income!$C$6,MATCH(Charts!$E42,Income!$C$6:$C$117,0)+0,MATCH(Charts!AN$37,Income!$C$5:$EE$5,0)-1)</f>
        <v>0.60309278350515461</v>
      </c>
      <c r="AO43" s="1284">
        <f ca="1">OFFSET(Income!$C$6,MATCH(Charts!$E42,Income!$C$6:$C$117,0)+0,MATCH(Charts!AO$37,Income!$C$5:$EE$5,0)-1)</f>
        <v>0.62009278350515462</v>
      </c>
      <c r="AP43" s="1284">
        <f ca="1">OFFSET(Income!$C$6,MATCH(Charts!$E42,Income!$C$6:$C$117,0)+0,MATCH(Charts!AP$37,Income!$C$5:$EE$5,0)-1)</f>
        <v>0.60125925925925927</v>
      </c>
      <c r="AQ43" s="1284">
        <f ca="1">OFFSET(Income!$C$6,MATCH(Charts!$E42,Income!$C$6:$C$117,0)+0,MATCH(Charts!AQ$37,Income!$C$5:$EE$5,0)-1)</f>
        <v>0.61031174089068829</v>
      </c>
      <c r="AR43" s="1284">
        <f ca="1">OFFSET(Income!$C$6,MATCH(Charts!$E42,Income!$C$6:$C$117,0)+0,MATCH(Charts!AR$37,Income!$C$5:$EE$5,0)-1)</f>
        <v>0.5990927835051546</v>
      </c>
      <c r="AS43" s="1284">
        <f ca="1">OFFSET(Income!$C$6,MATCH(Charts!$E42,Income!$C$6:$C$117,0)+0,MATCH(Charts!AS$37,Income!$C$5:$EE$5,0)-1)</f>
        <v>0.61509278350515462</v>
      </c>
      <c r="AT43" s="1284">
        <f ca="1">OFFSET(Income!$C$6,MATCH(Charts!$E42,Income!$C$6:$C$117,0)+0,MATCH(Charts!AT$37,Income!$C$5:$EE$5,0)-1)</f>
        <v>0.60075925925925933</v>
      </c>
      <c r="AU43" s="1284">
        <f ca="1">OFFSET(Income!$C$6,MATCH(Charts!$E42,Income!$C$6:$C$117,0)+0,MATCH(Charts!AU$37,Income!$C$5:$EE$5,0)-1)</f>
        <v>0.60981174089068835</v>
      </c>
      <c r="AV43" s="1284">
        <f ca="1">OFFSET(Income!$C$6,MATCH(Charts!$E42,Income!$C$6:$C$117,0)+0,MATCH(Charts!AV$37,Income!$C$5:$EE$5,0)-1)</f>
        <v>0.59859278350515466</v>
      </c>
      <c r="AW43" s="1284">
        <f ca="1">OFFSET(Income!$C$6,MATCH(Charts!$E42,Income!$C$6:$C$117,0)+0,MATCH(Charts!AW$37,Income!$C$5:$EE$5,0)-1)</f>
        <v>0.61459278350515467</v>
      </c>
      <c r="AX43" s="1284">
        <f ca="1">OFFSET(Income!$C$6,MATCH(Charts!$E42,Income!$C$6:$C$117,0)+0,MATCH(Charts!AX$37,Income!$C$5:$EE$5,0)-1)</f>
        <v>0.60025925925925938</v>
      </c>
      <c r="AY43" s="1284">
        <f ca="1">OFFSET(Income!$C$6,MATCH(Charts!$E42,Income!$C$6:$C$117,0)+0,MATCH(Charts!AY$37,Income!$C$5:$EE$5,0)-1)</f>
        <v>0.6093117408906884</v>
      </c>
      <c r="AZ43" s="1284">
        <f ca="1">OFFSET(Income!$C$6,MATCH(Charts!$E42,Income!$C$6:$C$117,0)+0,MATCH(Charts!AZ$37,Income!$C$5:$EE$5,0)-1)</f>
        <v>0.59809278350515471</v>
      </c>
      <c r="BA43" s="1284">
        <f ca="1">OFFSET(Income!$C$6,MATCH(Charts!$E42,Income!$C$6:$C$117,0)+0,MATCH(Charts!BA$37,Income!$C$5:$EE$5,0)-1)</f>
        <v>0.61409278350515473</v>
      </c>
      <c r="BB43" s="1110"/>
      <c r="BC43" s="1110"/>
      <c r="BD43" s="1110"/>
      <c r="BE43" s="1110"/>
      <c r="BF43" s="1110"/>
      <c r="BG43" s="1110"/>
      <c r="BH43" s="1110"/>
      <c r="BI43" s="1110"/>
      <c r="BJ43" s="1110"/>
      <c r="BK43" s="1110"/>
      <c r="BL43" s="1110"/>
      <c r="BM43" s="1110"/>
      <c r="BN43" s="1110"/>
      <c r="BO43" s="1110"/>
      <c r="BP43" s="1110"/>
      <c r="BQ43" s="1110"/>
      <c r="BR43" s="1110"/>
      <c r="BS43" s="1110"/>
      <c r="BT43" s="1110"/>
      <c r="BU43" s="1110"/>
      <c r="BV43" s="1110"/>
      <c r="BW43" s="1110"/>
      <c r="BX43" s="1110"/>
      <c r="BY43" s="1110"/>
      <c r="BZ43" s="1110"/>
      <c r="CA43" s="1110"/>
      <c r="CB43" s="1110"/>
      <c r="CC43" s="1110"/>
      <c r="CD43" s="1110"/>
      <c r="CE43" s="1110"/>
      <c r="CF43" s="1110"/>
      <c r="CG43" s="1110" t="str">
        <f t="shared" si="50"/>
        <v>% of merchant revenue</v>
      </c>
      <c r="CH43" s="1284">
        <f t="shared" ref="CH43:CS43" ca="1" si="52">CH42/CH34</f>
        <v>0.69925370160020728</v>
      </c>
      <c r="CI43" s="1284">
        <f t="shared" ca="1" si="52"/>
        <v>0.63804356503235848</v>
      </c>
      <c r="CJ43" s="1284">
        <f t="shared" ca="1" si="52"/>
        <v>0.61813811483428227</v>
      </c>
      <c r="CK43" s="1284">
        <f t="shared" ca="1" si="52"/>
        <v>0.62437762572494582</v>
      </c>
      <c r="CL43" s="1284">
        <f t="shared" ca="1" si="52"/>
        <v>0.59109165283505893</v>
      </c>
      <c r="CM43" s="1284">
        <f t="shared" ca="1" si="52"/>
        <v>0.5708360426998198</v>
      </c>
      <c r="CN43" s="1284">
        <f t="shared" ca="1" si="52"/>
        <v>0.61157922767049977</v>
      </c>
      <c r="CO43" s="1284">
        <f t="shared" ca="1" si="52"/>
        <v>0.61095156040589704</v>
      </c>
      <c r="CP43" s="1284">
        <f t="shared" ca="1" si="52"/>
        <v>0.60913036424183475</v>
      </c>
      <c r="CQ43" s="1284">
        <f t="shared" ca="1" si="52"/>
        <v>0.60719822797103229</v>
      </c>
      <c r="CR43" s="1284">
        <f t="shared" ca="1" si="52"/>
        <v>0.60669897265640971</v>
      </c>
      <c r="CS43" s="1284">
        <f t="shared" ca="1" si="52"/>
        <v>0.60619947833580334</v>
      </c>
    </row>
    <row r="44" spans="1:130">
      <c r="E44" s="8" t="str">
        <f>Income!C20</f>
        <v>Total Cost of Revenue</v>
      </c>
      <c r="F44" s="1286">
        <f ca="1">-OFFSET(Income!$C$6,MATCH(Charts!$E44,Income!$C$6:$C$117,0)-1,MATCH(Charts!F$37,Income!$C$5:$EE$5,0)-1)</f>
        <v>32.637</v>
      </c>
      <c r="G44" s="1286">
        <f ca="1">-OFFSET(Income!$C$6,MATCH(Charts!$E44,Income!$C$6:$C$117,0)-1,MATCH(Charts!G$37,Income!$C$5:$EE$5,0)-1)</f>
        <v>39.124000000000002</v>
      </c>
      <c r="H44" s="1286">
        <f ca="1">-OFFSET(Income!$C$6,MATCH(Charts!$E44,Income!$C$6:$C$117,0)-1,MATCH(Charts!H$37,Income!$C$5:$EE$5,0)-1)</f>
        <v>45.826000000000001</v>
      </c>
      <c r="I44" s="1286">
        <f ca="1">-OFFSET(Income!$C$6,MATCH(Charts!$E44,Income!$C$6:$C$117,0)-1,MATCH(Charts!I$37,Income!$C$5:$EE$5,0)-1)</f>
        <v>62.248000000000005</v>
      </c>
      <c r="J44" s="1286">
        <f ca="1">-OFFSET(Income!$C$6,MATCH(Charts!$E44,Income!$C$6:$C$117,0)-1,MATCH(Charts!J$37,Income!$C$5:$EE$5,0)-1)</f>
        <v>55.137999999999998</v>
      </c>
      <c r="K44" s="1286">
        <f ca="1">-OFFSET(Income!$C$6,MATCH(Charts!$E44,Income!$C$6:$C$117,0)-1,MATCH(Charts!K$37,Income!$C$5:$EE$5,0)-1)</f>
        <v>64.814999999999998</v>
      </c>
      <c r="L44" s="1286">
        <f ca="1">-OFFSET(Income!$C$6,MATCH(Charts!$E44,Income!$C$6:$C$117,0)-1,MATCH(Charts!L$37,Income!$C$5:$EE$5,0)-1)</f>
        <v>71.429000000000002</v>
      </c>
      <c r="M44" s="1286">
        <f ca="1">-OFFSET(Income!$C$6,MATCH(Charts!$E44,Income!$C$6:$C$117,0)-1,MATCH(Charts!M$37,Income!$C$5:$EE$5,0)-1)</f>
        <v>101.66900000000001</v>
      </c>
      <c r="N44" s="1286">
        <f ca="1">-OFFSET(Income!$C$6,MATCH(Charts!$E44,Income!$C$6:$C$117,0)-1,MATCH(Charts!N$37,Income!$C$5:$EE$5,0)-1)</f>
        <v>90.49799999999999</v>
      </c>
      <c r="O44" s="1286">
        <f ca="1">-OFFSET(Income!$C$6,MATCH(Charts!$E44,Income!$C$6:$C$117,0)-1,MATCH(Charts!O$37,Income!$C$5:$EE$5,0)-1)</f>
        <v>108.008</v>
      </c>
      <c r="P44" s="1286">
        <f ca="1">-OFFSET(Income!$C$6,MATCH(Charts!$E44,Income!$C$6:$C$117,0)-1,MATCH(Charts!P$37,Income!$C$5:$EE$5,0)-1)</f>
        <v>120.33699999999999</v>
      </c>
      <c r="Q44" s="1286">
        <f ca="1">-OFFSET(Income!$C$6,MATCH(Charts!$E44,Income!$C$6:$C$117,0)-1,MATCH(Charts!Q$37,Income!$C$5:$EE$5,0)-1)</f>
        <v>158.119</v>
      </c>
      <c r="R44" s="1286">
        <f ca="1">-OFFSET(Income!$C$6,MATCH(Charts!$E44,Income!$C$6:$C$117,0)-1,MATCH(Charts!R$37,Income!$C$5:$EE$5,0)-1)</f>
        <v>140.191</v>
      </c>
      <c r="S44" s="1286">
        <f ca="1">-OFFSET(Income!$C$6,MATCH(Charts!$E44,Income!$C$6:$C$117,0)-1,MATCH(Charts!S$37,Income!$C$5:$EE$5,0)-1)</f>
        <v>157.214</v>
      </c>
      <c r="T44" s="1286">
        <f ca="1">-OFFSET(Income!$C$6,MATCH(Charts!$E44,Income!$C$6:$C$117,0)-1,MATCH(Charts!T$37,Income!$C$5:$EE$5,0)-1)</f>
        <v>173.85599999999999</v>
      </c>
      <c r="U44" s="1286">
        <f ca="1">-OFFSET(Income!$C$6,MATCH(Charts!$E44,Income!$C$6:$C$117,0)-1,MATCH(Charts!U$37,Income!$C$5:$EE$5,0)-1)</f>
        <v>241.26900000000001</v>
      </c>
      <c r="V44" s="1286">
        <f ca="1">-OFFSET(Income!$C$6,MATCH(Charts!$E44,Income!$C$6:$C$117,0)-1,MATCH(Charts!V$37,Income!$C$5:$EE$5,0)-1)</f>
        <v>213.05099999999999</v>
      </c>
      <c r="W44" s="1286">
        <f ca="1">-OFFSET(Income!$C$6,MATCH(Charts!$E44,Income!$C$6:$C$117,0)-1,MATCH(Charts!W$37,Income!$C$5:$EE$5,0)-1)</f>
        <v>339.30699999999996</v>
      </c>
      <c r="X44" s="1286">
        <f ca="1">-OFFSET(Income!$C$6,MATCH(Charts!$E44,Income!$C$6:$C$117,0)-1,MATCH(Charts!X$37,Income!$C$5:$EE$5,0)-1)</f>
        <v>362.25700000000001</v>
      </c>
      <c r="Y44" s="1286">
        <f ca="1">-OFFSET(Income!$C$6,MATCH(Charts!$E44,Income!$C$6:$C$117,0)-1,MATCH(Charts!Y$37,Income!$C$5:$EE$5,0)-1)</f>
        <v>473.35599999999999</v>
      </c>
      <c r="Z44" s="1286">
        <f ca="1">-OFFSET(Income!$C$6,MATCH(Charts!$E44,Income!$C$6:$C$117,0)-1,MATCH(Charts!Z$37,Income!$C$5:$EE$5,0)-1)</f>
        <v>429.93099999999998</v>
      </c>
      <c r="AA44" s="1286">
        <f ca="1">-OFFSET(Income!$C$6,MATCH(Charts!$E44,Income!$C$6:$C$117,0)-1,MATCH(Charts!AA$37,Income!$C$5:$EE$5,0)-1)</f>
        <v>498.58499999999998</v>
      </c>
      <c r="AB44" s="1286">
        <f ca="1">-OFFSET(Income!$C$6,MATCH(Charts!$E44,Income!$C$6:$C$117,0)-1,MATCH(Charts!AB$37,Income!$C$5:$EE$5,0)-1)</f>
        <v>514.83100000000002</v>
      </c>
      <c r="AC44" s="1286">
        <f ca="1">-OFFSET(Income!$C$6,MATCH(Charts!$E44,Income!$C$6:$C$117,0)-1,MATCH(Charts!AC$37,Income!$C$5:$EE$5,0)-1)</f>
        <v>687.36500000000001</v>
      </c>
      <c r="AD44" s="1286">
        <f ca="1">-OFFSET(Income!$C$6,MATCH(Charts!$E44,Income!$C$6:$C$117,0)-1,MATCH(Charts!AD$37,Income!$C$5:$EE$5,0)-1)</f>
        <v>565.98599999999999</v>
      </c>
      <c r="AE44" s="1286">
        <f ca="1">-OFFSET(Income!$C$6,MATCH(Charts!$E44,Income!$C$6:$C$117,0)-1,MATCH(Charts!AE$37,Income!$C$5:$EE$5,0)-1)</f>
        <v>639.42100000000005</v>
      </c>
      <c r="AF44" s="1286">
        <f ca="1">-OFFSET(Income!$C$6,MATCH(Charts!$E44,Income!$C$6:$C$117,0)-1,MATCH(Charts!AF$37,Income!$C$5:$EE$5,0)-1)</f>
        <v>703.86799999999994</v>
      </c>
      <c r="AG44" s="1286">
        <f ca="1">-OFFSET(Income!$C$6,MATCH(Charts!$E44,Income!$C$6:$C$117,0)-1,MATCH(Charts!AG$37,Income!$C$5:$EE$5,0)-1)</f>
        <v>936.46999999999991</v>
      </c>
      <c r="AH44" s="1286">
        <f ca="1">-OFFSET(Income!$C$6,MATCH(Charts!$E44,Income!$C$6:$C$117,0)-1,MATCH(Charts!AH$37,Income!$C$5:$EE$5,0)-1)</f>
        <v>791</v>
      </c>
      <c r="AI44" s="1286">
        <f ca="1">-OFFSET(Income!$C$6,MATCH(Charts!$E44,Income!$C$6:$C$117,0)-1,MATCH(Charts!AI$37,Income!$C$5:$EE$5,0)-1)</f>
        <v>859</v>
      </c>
      <c r="AJ44" s="1286">
        <f ca="1">-OFFSET(Income!$C$6,MATCH(Charts!$E44,Income!$C$6:$C$117,0)-1,MATCH(Charts!AJ$37,Income!$C$5:$EE$5,0)-1)</f>
        <v>813</v>
      </c>
      <c r="AK44" s="1286">
        <f ca="1">-OFFSET(Income!$C$6,MATCH(Charts!$E44,Income!$C$6:$C$117,0)-1,MATCH(Charts!AK$37,Income!$C$5:$EE$5,0)-1)</f>
        <v>1082</v>
      </c>
      <c r="AL44" s="1286">
        <f ca="1">-OFFSET(Income!$C$6,MATCH(Charts!$E44,Income!$C$6:$C$117,0)-1,MATCH(Charts!AL$37,Income!$C$5:$EE$5,0)-1)</f>
        <v>904</v>
      </c>
      <c r="AM44" s="1286">
        <f ca="1">-OFFSET(Income!$C$6,MATCH(Charts!$E44,Income!$C$6:$C$117,0)-1,MATCH(Charts!AM$37,Income!$C$5:$EE$5,0)-1)</f>
        <v>1000</v>
      </c>
      <c r="AN44" s="1286">
        <f ca="1">-OFFSET(Income!$C$6,MATCH(Charts!$E44,Income!$C$6:$C$117,0)-1,MATCH(Charts!AN$37,Income!$C$5:$EE$5,0)-1)</f>
        <v>1044</v>
      </c>
      <c r="AO44" s="1286">
        <f ca="1">-OFFSET(Income!$C$6,MATCH(Charts!$E44,Income!$C$6:$C$117,0)-1,MATCH(Charts!AO$37,Income!$C$5:$EE$5,0)-1)</f>
        <v>1387.7020210400206</v>
      </c>
      <c r="AP44" s="1286">
        <f ca="1">-OFFSET(Income!$C$6,MATCH(Charts!$E44,Income!$C$6:$C$117,0)-1,MATCH(Charts!AP$37,Income!$C$5:$EE$5,0)-1)</f>
        <v>1152.5811690943294</v>
      </c>
      <c r="AQ44" s="1286">
        <f ca="1">-OFFSET(Income!$C$6,MATCH(Charts!$E44,Income!$C$6:$C$117,0)-1,MATCH(Charts!AQ$37,Income!$C$5:$EE$5,0)-1)</f>
        <v>1236.0936432689925</v>
      </c>
      <c r="AR44" s="1286">
        <f ca="1">-OFFSET(Income!$C$6,MATCH(Charts!$E44,Income!$C$6:$C$117,0)-1,MATCH(Charts!AR$37,Income!$C$5:$EE$5,0)-1)</f>
        <v>1269.0884130581817</v>
      </c>
      <c r="AS44" s="1286">
        <f ca="1">-OFFSET(Income!$C$6,MATCH(Charts!$E44,Income!$C$6:$C$117,0)-1,MATCH(Charts!AS$37,Income!$C$5:$EE$5,0)-1)</f>
        <v>1699.7750689636562</v>
      </c>
      <c r="AT44" s="1286">
        <f ca="1">-OFFSET(Income!$C$6,MATCH(Charts!$E44,Income!$C$6:$C$117,0)-1,MATCH(Charts!AT$37,Income!$C$5:$EE$5,0)-1)</f>
        <v>1386.5668213278907</v>
      </c>
      <c r="AU44" s="1286">
        <f ca="1">-OFFSET(Income!$C$6,MATCH(Charts!$E44,Income!$C$6:$C$117,0)-1,MATCH(Charts!AU$37,Income!$C$5:$EE$5,0)-1)</f>
        <v>1487.5524566504653</v>
      </c>
      <c r="AV44" s="1286">
        <f ca="1">-OFFSET(Income!$C$6,MATCH(Charts!$E44,Income!$C$6:$C$117,0)-1,MATCH(Charts!AV$37,Income!$C$5:$EE$5,0)-1)</f>
        <v>1526.2695970650898</v>
      </c>
      <c r="AW44" s="1286">
        <f ca="1">-OFFSET(Income!$C$6,MATCH(Charts!$E44,Income!$C$6:$C$117,0)-1,MATCH(Charts!AW$37,Income!$C$5:$EE$5,0)-1)</f>
        <v>2046.6761394138107</v>
      </c>
      <c r="AX44" s="1286">
        <f ca="1">-OFFSET(Income!$C$6,MATCH(Charts!$E44,Income!$C$6:$C$117,0)-1,MATCH(Charts!AX$37,Income!$C$5:$EE$5,0)-1)</f>
        <v>1641.1284111157352</v>
      </c>
      <c r="AY44" s="1286">
        <f ca="1">-OFFSET(Income!$C$6,MATCH(Charts!$E44,Income!$C$6:$C$117,0)-1,MATCH(Charts!AY$37,Income!$C$5:$EE$5,0)-1)</f>
        <v>1761.1081927220921</v>
      </c>
      <c r="AZ44" s="1286">
        <f ca="1">-OFFSET(Income!$C$6,MATCH(Charts!$E44,Income!$C$6:$C$117,0)-1,MATCH(Charts!AZ$37,Income!$C$5:$EE$5,0)-1)</f>
        <v>1806.043697330135</v>
      </c>
      <c r="BA44" s="1286">
        <f ca="1">-OFFSET(Income!$C$6,MATCH(Charts!$E44,Income!$C$6:$C$117,0)-1,MATCH(Charts!BA$37,Income!$C$5:$EE$5,0)-1)</f>
        <v>2424.1646615821246</v>
      </c>
      <c r="BB44" s="1110"/>
      <c r="BC44" s="1110"/>
      <c r="BD44" s="1110"/>
      <c r="BE44" s="1110"/>
      <c r="BF44" s="1110"/>
      <c r="BG44" s="1110"/>
      <c r="BH44" s="1110"/>
      <c r="BI44" s="1110"/>
      <c r="BJ44" s="1110"/>
      <c r="BK44" s="1110"/>
      <c r="BL44" s="1110"/>
      <c r="BM44" s="1110"/>
      <c r="BN44" s="1110"/>
      <c r="BO44" s="1110"/>
      <c r="BP44" s="1110"/>
      <c r="BQ44" s="1110"/>
      <c r="BR44" s="1110"/>
      <c r="BS44" s="1110"/>
      <c r="BT44" s="1110"/>
      <c r="BU44" s="1110"/>
      <c r="BV44" s="1110"/>
      <c r="BW44" s="1110"/>
      <c r="BX44" s="1110"/>
      <c r="BY44" s="1110"/>
      <c r="BZ44" s="1110"/>
      <c r="CA44" s="1110"/>
      <c r="CB44" s="1110"/>
      <c r="CC44" s="1110"/>
      <c r="CD44" s="1110"/>
      <c r="CE44" s="1110"/>
      <c r="CF44" s="1110"/>
      <c r="CG44" s="1110" t="str">
        <f t="shared" si="50"/>
        <v>Total Cost of Revenue</v>
      </c>
      <c r="CH44" s="1291">
        <f ca="1">-OFFSET(Income!$C$6,MATCH(Charts!$E44,Income!$C$6:$C$117,0)-1,MATCH(Charts!CH$38,Income!$C$4:$EE$4,0)-1)</f>
        <v>179.83499999999998</v>
      </c>
      <c r="CI44" s="1291">
        <f ca="1">-OFFSET(Income!$C$6,MATCH(Charts!$E44,Income!$C$6:$C$117,0)-1,MATCH(Charts!CI$38,Income!$C$4:$EE$4,0)-1)</f>
        <v>293.05099999999999</v>
      </c>
      <c r="CJ44" s="1291">
        <f ca="1">-OFFSET(Income!$C$6,MATCH(Charts!$E44,Income!$C$6:$C$117,0)-1,MATCH(Charts!CJ$38,Income!$C$4:$EE$4,0)-1)</f>
        <v>476.96199999999999</v>
      </c>
      <c r="CK44" s="1291">
        <f ca="1">-OFFSET(Income!$C$6,MATCH(Charts!$E44,Income!$C$6:$C$117,0)-1,MATCH(Charts!CK$38,Income!$C$4:$EE$4,0)-1)</f>
        <v>712.53</v>
      </c>
      <c r="CL44" s="1291">
        <f ca="1">-OFFSET(Income!$C$6,MATCH(Charts!$E44,Income!$C$6:$C$117,0)-1,MATCH(Charts!CL$38,Income!$C$4:$EE$4,0)-1)</f>
        <v>1387.9709999999998</v>
      </c>
      <c r="CM44" s="1291">
        <f ca="1">-OFFSET(Income!$C$6,MATCH(Charts!$E44,Income!$C$6:$C$117,0)-1,MATCH(Charts!CM$38,Income!$C$4:$EE$4,0)-1)</f>
        <v>2130.712</v>
      </c>
      <c r="CN44" s="1291">
        <f ca="1">-OFFSET(Income!$C$6,MATCH(Charts!$E44,Income!$C$6:$C$117,0)-1,MATCH(Charts!CN$38,Income!$C$4:$EE$4,0)-1)</f>
        <v>2845.7450000000003</v>
      </c>
      <c r="CO44" s="1291">
        <f ca="1">-OFFSET(Income!$C$6,MATCH(Charts!$E44,Income!$C$6:$C$117,0)-1,MATCH(Charts!CO$38,Income!$C$4:$EE$4,0)-1)</f>
        <v>3545</v>
      </c>
      <c r="CP44" s="1291">
        <f ca="1">-OFFSET(Income!$C$6,MATCH(Charts!$E44,Income!$C$6:$C$117,0)-1,MATCH(Charts!CP$38,Income!$C$4:$EE$4,0)-1)</f>
        <v>4335.7020210400206</v>
      </c>
      <c r="CQ44" s="1291">
        <f ca="1">-OFFSET(Income!$C$6,MATCH(Charts!$E44,Income!$C$6:$C$117,0)-1,MATCH(Charts!CQ$38,Income!$C$4:$EE$4,0)-1)</f>
        <v>5357.53829438516</v>
      </c>
      <c r="CR44" s="1291">
        <f ca="1">-OFFSET(Income!$C$6,MATCH(Charts!$E44,Income!$C$6:$C$117,0)-1,MATCH(Charts!CR$38,Income!$C$4:$EE$4,0)-1)</f>
        <v>6447.0650144572564</v>
      </c>
      <c r="CS44" s="1291">
        <f ca="1">-OFFSET(Income!$C$6,MATCH(Charts!$E44,Income!$C$6:$C$117,0)-1,MATCH(Charts!CS$38,Income!$C$4:$EE$4,0)-1)</f>
        <v>7632.4449627500881</v>
      </c>
      <c r="CT44" s="7"/>
    </row>
    <row r="45" spans="1:130">
      <c r="E45" s="791" t="str">
        <f>Income!C21</f>
        <v>% of total revenue</v>
      </c>
      <c r="F45" s="1284">
        <f ca="1">OFFSET(Income!$C$6,MATCH(Charts!$E44,Income!$C$6:$C$117,0)+0,MATCH(Charts!F$37,Income!$C$5:$EE$5,0)-1)</f>
        <v>0.44879128736833418</v>
      </c>
      <c r="G45" s="1284">
        <f ca="1">OFFSET(Income!$C$6,MATCH(Charts!$E44,Income!$C$6:$C$117,0)+0,MATCH(Charts!G$37,Income!$C$5:$EE$5,0)-1)</f>
        <v>0.45153323254123057</v>
      </c>
      <c r="H45" s="1284">
        <f ca="1">OFFSET(Income!$C$6,MATCH(Charts!$E44,Income!$C$6:$C$117,0)+0,MATCH(Charts!H$37,Income!$C$5:$EE$5,0)-1)</f>
        <v>0.46020205266223463</v>
      </c>
      <c r="I45" s="1284">
        <f ca="1">OFFSET(Income!$C$6,MATCH(Charts!$E44,Income!$C$6:$C$117,0)+0,MATCH(Charts!I$37,Income!$C$5:$EE$5,0)-1)</f>
        <v>0.47742420407568481</v>
      </c>
      <c r="J45" s="1284">
        <f ca="1">OFFSET(Income!$C$6,MATCH(Charts!$E44,Income!$C$6:$C$117,0)+0,MATCH(Charts!J$37,Income!$C$5:$EE$5,0)-1)</f>
        <v>0.43286569999764479</v>
      </c>
      <c r="K45" s="1284">
        <f ca="1">OFFSET(Income!$C$6,MATCH(Charts!$E44,Income!$C$6:$C$117,0)+0,MATCH(Charts!K$37,Income!$C$5:$EE$5,0)-1)</f>
        <v>0.42738452408427019</v>
      </c>
      <c r="L45" s="1284">
        <f ca="1">OFFSET(Income!$C$6,MATCH(Charts!$E44,Income!$C$6:$C$117,0)+0,MATCH(Charts!L$37,Income!$C$5:$EE$5,0)-1)</f>
        <v>0.41660251026502421</v>
      </c>
      <c r="M45" s="1284">
        <f ca="1">OFFSET(Income!$C$6,MATCH(Charts!$E44,Income!$C$6:$C$117,0)+0,MATCH(Charts!M$37,Income!$C$5:$EE$5,0)-1)</f>
        <v>0.45629538538870995</v>
      </c>
      <c r="N45" s="1284">
        <f ca="1">OFFSET(Income!$C$6,MATCH(Charts!$E44,Income!$C$6:$C$117,0)+0,MATCH(Charts!N$37,Income!$C$5:$EE$5,0)-1)</f>
        <v>0.42221703835028462</v>
      </c>
      <c r="O45" s="1284">
        <f ca="1">OFFSET(Income!$C$6,MATCH(Charts!$E44,Income!$C$6:$C$117,0)+0,MATCH(Charts!O$37,Income!$C$5:$EE$5,0)-1)</f>
        <v>0.44091556684070654</v>
      </c>
      <c r="P45" s="1284">
        <f ca="1">OFFSET(Income!$C$6,MATCH(Charts!$E44,Income!$C$6:$C$117,0)+0,MATCH(Charts!P$37,Income!$C$5:$EE$5,0)-1)</f>
        <v>0.44558697197701286</v>
      </c>
      <c r="Q45" s="1284">
        <f ca="1">OFFSET(Income!$C$6,MATCH(Charts!$E44,Income!$C$6:$C$117,0)+0,MATCH(Charts!Q$37,Income!$C$5:$EE$5,0)-1)</f>
        <v>0.45983272359260408</v>
      </c>
      <c r="R45" s="1284">
        <f ca="1">OFFSET(Income!$C$6,MATCH(Charts!$E44,Income!$C$6:$C$117,0)+0,MATCH(Charts!R$37,Income!$C$5:$EE$5,0)-1)</f>
        <v>0.43743798403654499</v>
      </c>
      <c r="S45" s="1284">
        <f ca="1">OFFSET(Income!$C$6,MATCH(Charts!$E44,Income!$C$6:$C$117,0)+0,MATCH(Charts!S$37,Income!$C$5:$EE$5,0)-1)</f>
        <v>0.43431801292340166</v>
      </c>
      <c r="T45" s="1284">
        <f ca="1">OFFSET(Income!$C$6,MATCH(Charts!$E44,Income!$C$6:$C$117,0)+0,MATCH(Charts!T$37,Income!$C$5:$EE$5,0)-1)</f>
        <v>0.44515455048239411</v>
      </c>
      <c r="U45" s="1284">
        <f ca="1">OFFSET(Income!$C$6,MATCH(Charts!$E44,Income!$C$6:$C$117,0)+0,MATCH(Charts!U$37,Income!$C$5:$EE$5,0)-1)</f>
        <v>0.47760907435268035</v>
      </c>
      <c r="V45" s="1284">
        <f ca="1">OFFSET(Income!$C$6,MATCH(Charts!$E44,Income!$C$6:$C$117,0)+0,MATCH(Charts!V$37,Income!$C$5:$EE$5,0)-1)</f>
        <v>0.45329903553396694</v>
      </c>
      <c r="W45" s="1284">
        <f ca="1">OFFSET(Income!$C$6,MATCH(Charts!$E44,Income!$C$6:$C$117,0)+0,MATCH(Charts!W$37,Income!$C$5:$EE$5,0)-1)</f>
        <v>0.4749930355390492</v>
      </c>
      <c r="X45" s="1284">
        <f ca="1">OFFSET(Income!$C$6,MATCH(Charts!$E44,Income!$C$6:$C$117,0)+0,MATCH(Charts!X$37,Income!$C$5:$EE$5,0)-1)</f>
        <v>0.47205452140655851</v>
      </c>
      <c r="Y45" s="1284">
        <f ca="1">OFFSET(Income!$C$6,MATCH(Charts!$E44,Income!$C$6:$C$117,0)+0,MATCH(Charts!Y$37,Income!$C$5:$EE$5,0)-1)</f>
        <v>0.48413081542816938</v>
      </c>
      <c r="Z45" s="1284">
        <f ca="1">OFFSET(Income!$C$6,MATCH(Charts!$E44,Income!$C$6:$C$117,0)+0,MATCH(Charts!Z$37,Income!$C$5:$EE$5,0)-1)</f>
        <v>0.43486805705170806</v>
      </c>
      <c r="AA45" s="1284">
        <f ca="1">OFFSET(Income!$C$6,MATCH(Charts!$E44,Income!$C$6:$C$117,0)+0,MATCH(Charts!AA$37,Income!$C$5:$EE$5,0)-1)</f>
        <v>0.44538588318318451</v>
      </c>
      <c r="AB45" s="1284">
        <f ca="1">OFFSET(Income!$C$6,MATCH(Charts!$E44,Income!$C$6:$C$117,0)+0,MATCH(Charts!AB$37,Income!$C$5:$EE$5,0)-1)</f>
        <v>0.45814067310943812</v>
      </c>
      <c r="AC45" s="1284">
        <f ca="1">OFFSET(Income!$C$6,MATCH(Charts!$E44,Income!$C$6:$C$117,0)+0,MATCH(Charts!AC$37,Income!$C$5:$EE$5,0)-1)</f>
        <v>0.49808191741592894</v>
      </c>
      <c r="AD45" s="1284">
        <f ca="1">OFFSET(Income!$C$6,MATCH(Charts!$E44,Income!$C$6:$C$117,0)+0,MATCH(Charts!AD$37,Income!$C$5:$EE$5,0)-1)</f>
        <v>0.47023528131316861</v>
      </c>
      <c r="AE45" s="1284">
        <f ca="1">OFFSET(Income!$C$6,MATCH(Charts!$E44,Income!$C$6:$C$117,0)+0,MATCH(Charts!AE$37,Income!$C$5:$EE$5,0)-1)</f>
        <v>0.49373737030553727</v>
      </c>
      <c r="AF45" s="1284">
        <f ca="1">OFFSET(Income!$C$6,MATCH(Charts!$E44,Income!$C$6:$C$117,0)+0,MATCH(Charts!AF$37,Income!$C$5:$EE$5,0)-1)</f>
        <v>0.51520128824476641</v>
      </c>
      <c r="AG45" s="1284">
        <f ca="1">OFFSET(Income!$C$6,MATCH(Charts!$E44,Income!$C$6:$C$117,0)+0,MATCH(Charts!AG$37,Income!$C$5:$EE$5,0)-1)</f>
        <v>0.53975900558969614</v>
      </c>
      <c r="AH45" s="1284">
        <f ca="1">OFFSET(Income!$C$6,MATCH(Charts!$E44,Income!$C$6:$C$117,0)+0,MATCH(Charts!AH$37,Income!$C$5:$EE$5,0)-1)</f>
        <v>0.52453580901856767</v>
      </c>
      <c r="AI45" s="1284">
        <f ca="1">OFFSET(Income!$C$6,MATCH(Charts!$E44,Income!$C$6:$C$117,0)+0,MATCH(Charts!AI$37,Income!$C$5:$EE$5,0)-1)</f>
        <v>0.50708382526564344</v>
      </c>
      <c r="AJ45" s="1284">
        <f ca="1">OFFSET(Income!$C$6,MATCH(Charts!$E44,Income!$C$6:$C$117,0)+0,MATCH(Charts!AJ$37,Income!$C$5:$EE$5,0)-1)</f>
        <v>0.47432905484247373</v>
      </c>
      <c r="AK45" s="1284">
        <f ca="1">OFFSET(Income!$C$6,MATCH(Charts!$E44,Income!$C$6:$C$117,0)+0,MATCH(Charts!AK$37,Income!$C$5:$EE$5,0)-1)</f>
        <v>0.50466417910447758</v>
      </c>
      <c r="AL45" s="1284">
        <f ca="1">OFFSET(Income!$C$6,MATCH(Charts!$E44,Income!$C$6:$C$117,0)+0,MATCH(Charts!AL$37,Income!$C$5:$EE$5,0)-1)</f>
        <v>0.48576034390112843</v>
      </c>
      <c r="AM45" s="1284">
        <f ca="1">OFFSET(Income!$C$6,MATCH(Charts!$E44,Income!$C$6:$C$117,0)+0,MATCH(Charts!AM$37,Income!$C$5:$EE$5,0)-1)</f>
        <v>0.48899755501222492</v>
      </c>
      <c r="AN45" s="1284">
        <f ca="1">OFFSET(Income!$C$6,MATCH(Charts!$E44,Income!$C$6:$C$117,0)+0,MATCH(Charts!AN$37,Income!$C$5:$EE$5,0)-1)</f>
        <v>0.48288621646623497</v>
      </c>
      <c r="AO45" s="1284">
        <f ca="1">OFFSET(Income!$C$6,MATCH(Charts!$E44,Income!$C$6:$C$117,0)+0,MATCH(Charts!AO$37,Income!$C$5:$EE$5,0)-1)</f>
        <v>0.51328139063179135</v>
      </c>
      <c r="AP45" s="1284">
        <f ca="1">OFFSET(Income!$C$6,MATCH(Charts!$E44,Income!$C$6:$C$117,0)+0,MATCH(Charts!AP$37,Income!$C$5:$EE$5,0)-1)</f>
        <v>0.4927911999227142</v>
      </c>
      <c r="AQ45" s="1284">
        <f ca="1">OFFSET(Income!$C$6,MATCH(Charts!$E44,Income!$C$6:$C$117,0)+0,MATCH(Charts!AQ$37,Income!$C$5:$EE$5,0)-1)</f>
        <v>0.49285472699576749</v>
      </c>
      <c r="AR45" s="1284">
        <f ca="1">OFFSET(Income!$C$6,MATCH(Charts!$E44,Income!$C$6:$C$117,0)+0,MATCH(Charts!AR$37,Income!$C$5:$EE$5,0)-1)</f>
        <v>0.48219373428945816</v>
      </c>
      <c r="AS45" s="1284">
        <f ca="1">OFFSET(Income!$C$6,MATCH(Charts!$E44,Income!$C$6:$C$117,0)+0,MATCH(Charts!AS$37,Income!$C$5:$EE$5,0)-1)</f>
        <v>0.51229846350617525</v>
      </c>
      <c r="AT45" s="1284">
        <f ca="1">OFFSET(Income!$C$6,MATCH(Charts!$E44,Income!$C$6:$C$117,0)+0,MATCH(Charts!AT$37,Income!$C$5:$EE$5,0)-1)</f>
        <v>0.49534303278798147</v>
      </c>
      <c r="AU45" s="1284">
        <f ca="1">OFFSET(Income!$C$6,MATCH(Charts!$E44,Income!$C$6:$C$117,0)+0,MATCH(Charts!AU$37,Income!$C$5:$EE$5,0)-1)</f>
        <v>0.49566145738610384</v>
      </c>
      <c r="AV45" s="1284">
        <f ca="1">OFFSET(Income!$C$6,MATCH(Charts!$E44,Income!$C$6:$C$117,0)+0,MATCH(Charts!AV$37,Income!$C$5:$EE$5,0)-1)</f>
        <v>0.48490490217317106</v>
      </c>
      <c r="AW45" s="1284">
        <f ca="1">OFFSET(Income!$C$6,MATCH(Charts!$E44,Income!$C$6:$C$117,0)+0,MATCH(Charts!AW$37,Income!$C$5:$EE$5,0)-1)</f>
        <v>0.51482043853729831</v>
      </c>
      <c r="AX45" s="1284">
        <f ca="1">OFFSET(Income!$C$6,MATCH(Charts!$E44,Income!$C$6:$C$117,0)+0,MATCH(Charts!AX$37,Income!$C$5:$EE$5,0)-1)</f>
        <v>0.49725619131138254</v>
      </c>
      <c r="AY45" s="1284">
        <f ca="1">OFFSET(Income!$C$6,MATCH(Charts!$E44,Income!$C$6:$C$117,0)+0,MATCH(Charts!AY$37,Income!$C$5:$EE$5,0)-1)</f>
        <v>0.49777813559912798</v>
      </c>
      <c r="AZ45" s="1284">
        <f ca="1">OFFSET(Income!$C$6,MATCH(Charts!$E44,Income!$C$6:$C$117,0)+0,MATCH(Charts!AZ$37,Income!$C$5:$EE$5,0)-1)</f>
        <v>0.48694792164028561</v>
      </c>
      <c r="BA45" s="1284">
        <f ca="1">OFFSET(Income!$C$6,MATCH(Charts!$E44,Income!$C$6:$C$117,0)+0,MATCH(Charts!BA$37,Income!$C$5:$EE$5,0)-1)</f>
        <v>0.5167079048998181</v>
      </c>
      <c r="BB45" s="1110"/>
      <c r="BC45" s="1110"/>
      <c r="BD45" s="1110"/>
      <c r="BE45" s="1110"/>
      <c r="BF45" s="1110"/>
      <c r="BG45" s="1110"/>
      <c r="BH45" s="1110"/>
      <c r="BI45" s="1110"/>
      <c r="BJ45" s="1110"/>
      <c r="BK45" s="1110"/>
      <c r="BL45" s="1110"/>
      <c r="BM45" s="1110"/>
      <c r="BN45" s="1110"/>
      <c r="BO45" s="1110"/>
      <c r="BP45" s="1110"/>
      <c r="BQ45" s="1110"/>
      <c r="BR45" s="1110"/>
      <c r="BS45" s="1110"/>
      <c r="BT45" s="1110"/>
      <c r="BU45" s="1110"/>
      <c r="BV45" s="1110"/>
      <c r="BW45" s="1110"/>
      <c r="BX45" s="1110"/>
      <c r="BY45" s="1110"/>
      <c r="BZ45" s="1110"/>
      <c r="CA45" s="1110"/>
      <c r="CB45" s="1110"/>
      <c r="CC45" s="1110"/>
      <c r="CD45" s="1110"/>
      <c r="CE45" s="1110"/>
      <c r="CF45" s="1110"/>
      <c r="CG45" s="1110" t="str">
        <f t="shared" si="50"/>
        <v>% of total revenue</v>
      </c>
      <c r="CH45" s="1284">
        <f ca="1">OFFSET(Income!$C$6,MATCH(Charts!$E44,Income!$C$6:$C$117,0)+0,MATCH(Charts!CH$38,Income!$C$4:$EE$4,0)-1)</f>
        <v>0.46190892045308601</v>
      </c>
      <c r="CI45" s="1284">
        <f ca="1">OFFSET(Income!$C$6,MATCH(Charts!$E44,Income!$C$6:$C$117,0)+0,MATCH(Charts!CI$38,Income!$C$4:$EE$4,0)-1)</f>
        <v>0.4352432185164502</v>
      </c>
      <c r="CJ45" s="1284">
        <f ca="1">OFFSET(Income!$C$6,MATCH(Charts!$E44,Income!$C$6:$C$117,0)+0,MATCH(Charts!CJ$38,Income!$C$4:$EE$4,0)-1)</f>
        <v>0.44441773377350041</v>
      </c>
      <c r="CK45" s="1284">
        <f ca="1">OFFSET(Income!$C$6,MATCH(Charts!$E44,Income!$C$6:$C$117,0)+0,MATCH(Charts!CK$38,Income!$C$4:$EE$4,0)-1)</f>
        <v>0.45149042595456895</v>
      </c>
      <c r="CL45" s="1284">
        <f ca="1">OFFSET(Income!$C$6,MATCH(Charts!$E44,Income!$C$6:$C$117,0)+0,MATCH(Charts!CL$38,Income!$C$4:$EE$4,0)-1)</f>
        <v>0.47379254621365957</v>
      </c>
      <c r="CM45" s="1284">
        <f ca="1">OFFSET(Income!$C$6,MATCH(Charts!$E44,Income!$C$6:$C$117,0)+0,MATCH(Charts!CM$38,Income!$C$4:$EE$4,0)-1)</f>
        <v>0.46200748679056763</v>
      </c>
      <c r="CN45" s="1284">
        <f ca="1">OFFSET(Income!$C$6,MATCH(Charts!$E44,Income!$C$6:$C$117,0)+0,MATCH(Charts!CN$38,Income!$C$4:$EE$4,0)-1)</f>
        <v>0.5081810915407946</v>
      </c>
      <c r="CO45" s="1284">
        <f ca="1">OFFSET(Income!$C$6,MATCH(Charts!$E44,Income!$C$6:$C$117,0)+0,MATCH(Charts!CO$38,Income!$C$4:$EE$4,0)-1)</f>
        <v>0.50212464589235128</v>
      </c>
      <c r="CP45" s="1284">
        <f ca="1">OFFSET(Income!$C$6,MATCH(Charts!$E44,Income!$C$6:$C$117,0)+0,MATCH(Charts!CP$38,Income!$C$4:$EE$4,0)-1)</f>
        <v>0.49428922459723307</v>
      </c>
      <c r="CQ45" s="1284">
        <f ca="1">OFFSET(Income!$C$6,MATCH(Charts!$E44,Income!$C$6:$C$117,0)+0,MATCH(Charts!CQ$38,Income!$C$4:$EE$4,0)-1)</f>
        <v>0.49621738716370833</v>
      </c>
      <c r="CR45" s="1284">
        <f ca="1">OFFSET(Income!$C$6,MATCH(Charts!$E44,Income!$C$6:$C$117,0)+0,MATCH(Charts!CR$38,Income!$C$4:$EE$4,0)-1)</f>
        <v>0.49886637400927991</v>
      </c>
      <c r="CS45" s="1284">
        <f ca="1">OFFSET(Income!$C$6,MATCH(Charts!$E44,Income!$C$6:$C$117,0)+0,MATCH(Charts!CS$38,Income!$C$4:$EE$4,0)-1)</f>
        <v>0.50085707529340429</v>
      </c>
      <c r="CT45" s="792"/>
    </row>
    <row r="46" spans="1:130">
      <c r="E46" s="791"/>
      <c r="F46" s="792"/>
      <c r="G46" s="792"/>
      <c r="H46" s="792"/>
      <c r="I46" s="792"/>
      <c r="J46" s="792"/>
      <c r="K46" s="792"/>
      <c r="L46" s="792"/>
      <c r="M46" s="792"/>
      <c r="N46" s="792"/>
      <c r="O46" s="792"/>
      <c r="P46" s="792"/>
      <c r="Q46" s="792"/>
      <c r="R46" s="792"/>
      <c r="S46" s="792"/>
      <c r="T46" s="792"/>
      <c r="U46" s="792"/>
      <c r="V46" s="792"/>
      <c r="W46" s="792"/>
      <c r="X46" s="792"/>
      <c r="Y46" s="792"/>
      <c r="Z46" s="792"/>
      <c r="AA46" s="792"/>
      <c r="AB46" s="792"/>
      <c r="AC46" s="792"/>
      <c r="AD46" s="792"/>
      <c r="AE46" s="792"/>
      <c r="AF46" s="792"/>
      <c r="AG46" s="792"/>
      <c r="AH46" s="792"/>
      <c r="AI46" s="792"/>
      <c r="AJ46" s="792"/>
      <c r="AK46" s="792"/>
      <c r="AL46" s="792"/>
      <c r="AM46" s="792"/>
      <c r="AN46" s="792"/>
      <c r="AO46" s="792"/>
      <c r="AP46" s="792"/>
      <c r="AQ46" s="792"/>
      <c r="AR46" s="792"/>
      <c r="AS46" s="792"/>
      <c r="AT46" s="792"/>
      <c r="AU46" s="792"/>
      <c r="AV46" s="792"/>
      <c r="AW46" s="792"/>
      <c r="AX46" s="792"/>
      <c r="AY46" s="792"/>
      <c r="AZ46" s="792"/>
      <c r="BA46" s="792"/>
      <c r="BB46" s="1110"/>
      <c r="BC46" s="1110"/>
      <c r="BD46" s="1110"/>
      <c r="BE46" s="1110"/>
      <c r="BF46" s="1110"/>
      <c r="BG46" s="1110"/>
      <c r="BH46" s="1110"/>
      <c r="BI46" s="1110"/>
      <c r="BJ46" s="1110"/>
      <c r="BK46" s="1110"/>
      <c r="BL46" s="1110"/>
      <c r="BM46" s="1110"/>
      <c r="BN46" s="1110"/>
      <c r="BO46" s="1110"/>
      <c r="BP46" s="1110"/>
      <c r="BQ46" s="1110"/>
      <c r="BR46" s="1110"/>
      <c r="BS46" s="1110"/>
      <c r="BT46" s="1110"/>
      <c r="BU46" s="1110"/>
      <c r="BV46" s="1110"/>
      <c r="BW46" s="1110"/>
      <c r="BX46" s="1110"/>
      <c r="BY46" s="1110"/>
      <c r="BZ46" s="1110"/>
      <c r="CA46" s="1110"/>
      <c r="CB46" s="1110"/>
      <c r="CC46" s="1110"/>
      <c r="CD46" s="1110"/>
      <c r="CE46" s="1110"/>
      <c r="CF46" s="1110"/>
      <c r="CG46" s="1110"/>
      <c r="CH46" s="1284"/>
      <c r="CI46" s="1284"/>
      <c r="CJ46" s="1284"/>
      <c r="CK46" s="1284"/>
      <c r="CL46" s="1284"/>
      <c r="CM46" s="1284"/>
      <c r="CN46" s="1284"/>
      <c r="CO46" s="1284"/>
      <c r="CP46" s="1284"/>
      <c r="CQ46" s="1284"/>
      <c r="CR46" s="1284"/>
      <c r="CS46" s="1284"/>
    </row>
    <row r="47" spans="1:130">
      <c r="E47" s="1547"/>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c r="AN47" s="795"/>
      <c r="AO47" s="795"/>
      <c r="AP47" s="795"/>
      <c r="AQ47" s="795"/>
      <c r="AR47" s="795"/>
      <c r="AS47" s="795"/>
      <c r="AT47" s="795"/>
      <c r="AU47" s="795"/>
      <c r="AV47" s="795"/>
      <c r="AW47" s="795"/>
      <c r="AX47" s="795"/>
      <c r="AY47" s="795"/>
      <c r="AZ47" s="795"/>
      <c r="BA47" s="795"/>
      <c r="BB47" s="1110"/>
      <c r="BC47" s="1110"/>
      <c r="BD47" s="1110"/>
      <c r="BE47" s="1110"/>
      <c r="BF47" s="1110"/>
      <c r="BG47" s="1110"/>
      <c r="BH47" s="1110"/>
      <c r="BI47" s="1110"/>
      <c r="BJ47" s="1110"/>
      <c r="BK47" s="1110"/>
      <c r="BL47" s="1110"/>
      <c r="BM47" s="1110"/>
      <c r="BN47" s="1110"/>
      <c r="BO47" s="1110"/>
      <c r="BP47" s="1110"/>
      <c r="BQ47" s="1110"/>
      <c r="BR47" s="1110"/>
      <c r="BS47" s="1110"/>
      <c r="BT47" s="1110"/>
      <c r="BU47" s="1110"/>
      <c r="BV47" s="1110"/>
      <c r="BW47" s="1110"/>
      <c r="BX47" s="1110"/>
      <c r="BY47" s="1110"/>
      <c r="BZ47" s="1110"/>
      <c r="CA47" s="1110"/>
      <c r="CB47" s="1110"/>
      <c r="CC47" s="1110"/>
      <c r="CD47" s="1110"/>
      <c r="CE47" s="1110"/>
      <c r="CF47" s="1110"/>
      <c r="CG47" s="1110"/>
      <c r="CH47" s="1548" t="str">
        <f>CH38</f>
        <v>2016A</v>
      </c>
      <c r="CI47" s="1548" t="str">
        <f t="shared" ref="CI47:CS47" si="53">CI38</f>
        <v>2017A</v>
      </c>
      <c r="CJ47" s="1548" t="str">
        <f t="shared" si="53"/>
        <v>2018A</v>
      </c>
      <c r="CK47" s="1548" t="str">
        <f t="shared" si="53"/>
        <v>2019A</v>
      </c>
      <c r="CL47" s="1548" t="str">
        <f t="shared" si="53"/>
        <v>2020A</v>
      </c>
      <c r="CM47" s="1548" t="str">
        <f t="shared" si="53"/>
        <v>2021A</v>
      </c>
      <c r="CN47" s="1548" t="str">
        <f t="shared" si="53"/>
        <v>2022A</v>
      </c>
      <c r="CO47" s="1548" t="str">
        <f t="shared" si="53"/>
        <v>2023A</v>
      </c>
      <c r="CP47" s="1548" t="str">
        <f t="shared" si="53"/>
        <v>2024E</v>
      </c>
      <c r="CQ47" s="1548" t="str">
        <f t="shared" si="53"/>
        <v>2025E</v>
      </c>
      <c r="CR47" s="1548" t="str">
        <f t="shared" si="53"/>
        <v>2026E</v>
      </c>
      <c r="CS47" s="1548" t="str">
        <f t="shared" si="53"/>
        <v>2027E</v>
      </c>
    </row>
    <row r="48" spans="1:130" s="1447" customFormat="1">
      <c r="A48" s="1163"/>
      <c r="B48" s="1163"/>
      <c r="C48" s="1163"/>
      <c r="D48" s="1163"/>
      <c r="E48" s="1063" t="str">
        <f>Income!C23</f>
        <v>Subscription Solution Gross Profit</v>
      </c>
      <c r="F48" s="1291">
        <f ca="1">OFFSET(Income!$C$6,MATCH(Charts!$E48,Income!$C$6:$C$117,0)-1,MATCH(Charts!F$37,Income!$C$5:$EE$5,0)-1)</f>
        <v>30.474000000000004</v>
      </c>
      <c r="G48" s="1291">
        <f ca="1">OFFSET(Income!$C$6,MATCH(Charts!$E48,Income!$C$6:$C$117,0)-1,MATCH(Charts!G$37,Income!$C$5:$EE$5,0)-1)</f>
        <v>34.576000000000001</v>
      </c>
      <c r="H48" s="1291">
        <f ca="1">OFFSET(Income!$C$6,MATCH(Charts!$E48,Income!$C$6:$C$117,0)-1,MATCH(Charts!H$37,Income!$C$5:$EE$5,0)-1)</f>
        <v>39.283999999999999</v>
      </c>
      <c r="I48" s="1291">
        <f ca="1">OFFSET(Income!$C$6,MATCH(Charts!$E48,Income!$C$6:$C$117,0)-1,MATCH(Charts!I$37,Income!$C$5:$EE$5,0)-1)</f>
        <v>44.793999999999997</v>
      </c>
      <c r="J48" s="1291">
        <f ca="1">OFFSET(Income!$C$6,MATCH(Charts!$E48,Income!$C$6:$C$117,0)-1,MATCH(Charts!J$37,Income!$C$5:$EE$5,0)-1)</f>
        <v>49.826000000000001</v>
      </c>
      <c r="K48" s="1291">
        <f ca="1">OFFSET(Income!$C$6,MATCH(Charts!$E48,Income!$C$6:$C$117,0)-1,MATCH(Charts!K$37,Income!$C$5:$EE$5,0)-1)</f>
        <v>57.91</v>
      </c>
      <c r="L48" s="1291">
        <f ca="1">OFFSET(Income!$C$6,MATCH(Charts!$E48,Income!$C$6:$C$117,0)-1,MATCH(Charts!L$37,Income!$C$5:$EE$5,0)-1)</f>
        <v>66.977000000000004</v>
      </c>
      <c r="M48" s="1291">
        <f ca="1">OFFSET(Income!$C$6,MATCH(Charts!$E48,Income!$C$6:$C$117,0)-1,MATCH(Charts!M$37,Income!$C$5:$EE$5,0)-1)</f>
        <v>74.051000000000002</v>
      </c>
      <c r="N48" s="1291">
        <f ca="1">OFFSET(Income!$C$6,MATCH(Charts!$E48,Income!$C$6:$C$117,0)-1,MATCH(Charts!N$37,Income!$C$5:$EE$5,0)-1)</f>
        <v>77.037999999999997</v>
      </c>
      <c r="O48" s="1291">
        <f ca="1">OFFSET(Income!$C$6,MATCH(Charts!$E48,Income!$C$6:$C$117,0)-1,MATCH(Charts!O$37,Income!$C$5:$EE$5,0)-1)</f>
        <v>86.197000000000003</v>
      </c>
      <c r="P48" s="1291">
        <f ca="1">OFFSET(Income!$C$6,MATCH(Charts!$E48,Income!$C$6:$C$117,0)-1,MATCH(Charts!P$37,Income!$C$5:$EE$5,0)-1)</f>
        <v>93.917000000000002</v>
      </c>
      <c r="Q48" s="1291">
        <f ca="1">OFFSET(Income!$C$6,MATCH(Charts!$E48,Income!$C$6:$C$117,0)-1,MATCH(Charts!Q$37,Income!$C$5:$EE$5,0)-1)</f>
        <v>106.854</v>
      </c>
      <c r="R48" s="1291">
        <f ca="1">OFFSET(Income!$C$6,MATCH(Charts!$E48,Income!$C$6:$C$117,0)-1,MATCH(Charts!R$37,Income!$C$5:$EE$5,0)-1)</f>
        <v>112.46599999999999</v>
      </c>
      <c r="S48" s="1291">
        <f ca="1">OFFSET(Income!$C$6,MATCH(Charts!$E48,Income!$C$6:$C$117,0)-1,MATCH(Charts!S$37,Income!$C$5:$EE$5,0)-1)</f>
        <v>123.509</v>
      </c>
      <c r="T48" s="1291">
        <f ca="1">OFFSET(Income!$C$6,MATCH(Charts!$E48,Income!$C$6:$C$117,0)-1,MATCH(Charts!T$37,Income!$C$5:$EE$5,0)-1)</f>
        <v>132.31399999999999</v>
      </c>
      <c r="U48" s="1291">
        <f ca="1">OFFSET(Income!$C$6,MATCH(Charts!$E48,Income!$C$6:$C$117,0)-1,MATCH(Charts!U$37,Income!$C$5:$EE$5,0)-1)</f>
        <v>145.797</v>
      </c>
      <c r="V48" s="1291">
        <f ca="1">OFFSET(Income!$C$6,MATCH(Charts!$E48,Income!$C$6:$C$117,0)-1,MATCH(Charts!V$37,Income!$C$5:$EE$5,0)-1)</f>
        <v>149.89699999999999</v>
      </c>
      <c r="W48" s="1291">
        <f ca="1">OFFSET(Income!$C$6,MATCH(Charts!$E48,Income!$C$6:$C$117,0)-1,MATCH(Charts!W$37,Income!$C$5:$EE$5,0)-1)</f>
        <v>152.03399999999999</v>
      </c>
      <c r="X48" s="1291">
        <f ca="1">OFFSET(Income!$C$6,MATCH(Charts!$E48,Income!$C$6:$C$117,0)-1,MATCH(Charts!X$37,Income!$C$5:$EE$5,0)-1)</f>
        <v>193.10399999999998</v>
      </c>
      <c r="Y48" s="1291">
        <f ca="1">OFFSET(Income!$C$6,MATCH(Charts!$E48,Income!$C$6:$C$117,0)-1,MATCH(Charts!Y$37,Income!$C$5:$EE$5,0)-1)</f>
        <v>220.19</v>
      </c>
      <c r="Z48" s="1291">
        <f ca="1">OFFSET(Income!$C$6,MATCH(Charts!$E48,Income!$C$6:$C$117,0)-1,MATCH(Charts!Z$37,Income!$C$5:$EE$5,0)-1)</f>
        <v>262.29899999999998</v>
      </c>
      <c r="AA48" s="1291">
        <f ca="1">OFFSET(Income!$C$6,MATCH(Charts!$E48,Income!$C$6:$C$117,0)-1,MATCH(Charts!AA$37,Income!$C$5:$EE$5,0)-1)</f>
        <v>271.21000000000004</v>
      </c>
      <c r="AB48" s="1291">
        <f ca="1">OFFSET(Income!$C$6,MATCH(Charts!$E48,Income!$C$6:$C$117,0)-1,MATCH(Charts!AB$37,Income!$C$5:$EE$5,0)-1)</f>
        <v>268.85300000000001</v>
      </c>
      <c r="AC48" s="1291">
        <f ca="1">OFFSET(Income!$C$6,MATCH(Charts!$E48,Income!$C$6:$C$117,0)-1,MATCH(Charts!AC$37,Income!$C$5:$EE$5,0)-1)</f>
        <v>275.62100000000004</v>
      </c>
      <c r="AD48" s="1291">
        <f ca="1">OFFSET(Income!$C$6,MATCH(Charts!$E48,Income!$C$6:$C$117,0)-1,MATCH(Charts!AD$37,Income!$C$5:$EE$5,0)-1)</f>
        <v>267.21600000000001</v>
      </c>
      <c r="AE48" s="1291">
        <f ca="1">OFFSET(Income!$C$6,MATCH(Charts!$E48,Income!$C$6:$C$117,0)-1,MATCH(Charts!AE$37,Income!$C$5:$EE$5,0)-1)</f>
        <v>281.20499999999998</v>
      </c>
      <c r="AF48" s="1291">
        <f ca="1">OFFSET(Income!$C$6,MATCH(Charts!$E48,Income!$C$6:$C$117,0)-1,MATCH(Charts!AF$37,Income!$C$5:$EE$5,0)-1)</f>
        <v>293.988</v>
      </c>
      <c r="AG48" s="1291">
        <f ca="1">OFFSET(Income!$C$6,MATCH(Charts!$E48,Income!$C$6:$C$117,0)-1,MATCH(Charts!AG$37,Income!$C$5:$EE$5,0)-1)</f>
        <v>314.483</v>
      </c>
      <c r="AH48" s="1291">
        <f ca="1">OFFSET(Income!$C$6,MATCH(Charts!$E48,Income!$C$6:$C$117,0)-1,MATCH(Charts!AH$37,Income!$C$5:$EE$5,0)-1)</f>
        <v>298</v>
      </c>
      <c r="AI48" s="1291">
        <f ca="1">OFFSET(Income!$C$6,MATCH(Charts!$E48,Income!$C$6:$C$117,0)-1,MATCH(Charts!AI$37,Income!$C$5:$EE$5,0)-1)</f>
        <v>359</v>
      </c>
      <c r="AJ48" s="1291">
        <f ca="1">OFFSET(Income!$C$6,MATCH(Charts!$E48,Income!$C$6:$C$117,0)-1,MATCH(Charts!AJ$37,Income!$C$5:$EE$5,0)-1)</f>
        <v>398</v>
      </c>
      <c r="AK48" s="1291">
        <f ca="1">OFFSET(Income!$C$6,MATCH(Charts!$E48,Income!$C$6:$C$117,0)-1,MATCH(Charts!AK$37,Income!$C$5:$EE$5,0)-1)</f>
        <v>428</v>
      </c>
      <c r="AL48" s="1291">
        <f ca="1">OFFSET(Income!$C$6,MATCH(Charts!$E48,Income!$C$6:$C$117,0)-1,MATCH(Charts!AL$37,Income!$C$5:$EE$5,0)-1)</f>
        <v>416</v>
      </c>
      <c r="AM48" s="1291">
        <f ca="1">OFFSET(Income!$C$6,MATCH(Charts!$E48,Income!$C$6:$C$117,0)-1,MATCH(Charts!AM$37,Income!$C$5:$EE$5,0)-1)</f>
        <v>466</v>
      </c>
      <c r="AN48" s="1291">
        <f ca="1">OFFSET(Income!$C$6,MATCH(Charts!$E48,Income!$C$6:$C$117,0)-1,MATCH(Charts!AN$37,Income!$C$5:$EE$5,0)-1)</f>
        <v>502</v>
      </c>
      <c r="AO48" s="1291">
        <f ca="1">OFFSET(Income!$C$6,MATCH(Charts!$E48,Income!$C$6:$C$117,0)-1,MATCH(Charts!AO$37,Income!$C$5:$EE$5,0)-1)</f>
        <v>538.65221298009408</v>
      </c>
      <c r="AP48" s="1291">
        <f ca="1">OFFSET(Income!$C$6,MATCH(Charts!$E48,Income!$C$6:$C$117,0)-1,MATCH(Charts!AP$37,Income!$C$5:$EE$5,0)-1)</f>
        <v>494.3468527460351</v>
      </c>
      <c r="AQ48" s="1291">
        <f ca="1">OFFSET(Income!$C$6,MATCH(Charts!$E48,Income!$C$6:$C$117,0)-1,MATCH(Charts!AQ$37,Income!$C$5:$EE$5,0)-1)</f>
        <v>553.70792314064443</v>
      </c>
      <c r="AR48" s="1291">
        <f ca="1">OFFSET(Income!$C$6,MATCH(Charts!$E48,Income!$C$6:$C$117,0)-1,MATCH(Charts!AR$37,Income!$C$5:$EE$5,0)-1)</f>
        <v>596.50434943886705</v>
      </c>
      <c r="AS48" s="1291">
        <f ca="1">OFFSET(Income!$C$6,MATCH(Charts!$E48,Income!$C$6:$C$117,0)-1,MATCH(Charts!AS$37,Income!$C$5:$EE$5,0)-1)</f>
        <v>640.07542886075089</v>
      </c>
      <c r="AT48" s="1291">
        <f ca="1">OFFSET(Income!$C$6,MATCH(Charts!$E48,Income!$C$6:$C$117,0)-1,MATCH(Charts!AT$37,Income!$C$5:$EE$5,0)-1)</f>
        <v>574.34874084579076</v>
      </c>
      <c r="AU48" s="1291">
        <f ca="1">OFFSET(Income!$C$6,MATCH(Charts!$E48,Income!$C$6:$C$117,0)-1,MATCH(Charts!AU$37,Income!$C$5:$EE$5,0)-1)</f>
        <v>643.29079435195854</v>
      </c>
      <c r="AV48" s="1291">
        <f ca="1">OFFSET(Income!$C$6,MATCH(Charts!$E48,Income!$C$6:$C$117,0)-1,MATCH(Charts!AV$37,Income!$C$5:$EE$5,0)-1)</f>
        <v>693.02067803525563</v>
      </c>
      <c r="AW48" s="1291">
        <f ca="1">OFFSET(Income!$C$6,MATCH(Charts!$E48,Income!$C$6:$C$117,0)-1,MATCH(Charts!AW$37,Income!$C$5:$EE$5,0)-1)</f>
        <v>743.65039832271077</v>
      </c>
      <c r="AX48" s="1291">
        <f ca="1">OFFSET(Income!$C$6,MATCH(Charts!$E48,Income!$C$6:$C$117,0)-1,MATCH(Charts!AX$37,Income!$C$5:$EE$5,0)-1)</f>
        <v>660.9384787937679</v>
      </c>
      <c r="AY48" s="1291">
        <f ca="1">OFFSET(Income!$C$6,MATCH(Charts!$E48,Income!$C$6:$C$117,0)-1,MATCH(Charts!AY$37,Income!$C$5:$EE$5,0)-1)</f>
        <v>740.24499913205659</v>
      </c>
      <c r="AZ48" s="1291">
        <f ca="1">OFFSET(Income!$C$6,MATCH(Charts!$E48,Income!$C$6:$C$117,0)-1,MATCH(Charts!AZ$37,Income!$C$5:$EE$5,0)-1)</f>
        <v>797.48089891571112</v>
      </c>
      <c r="BA48" s="1291">
        <f ca="1">OFFSET(Income!$C$6,MATCH(Charts!$E48,Income!$C$6:$C$117,0)-1,MATCH(Charts!BA$37,Income!$C$5:$EE$5,0)-1)</f>
        <v>855.75208843047415</v>
      </c>
      <c r="BB48" s="1163"/>
      <c r="BC48" s="1163"/>
      <c r="BD48" s="1163"/>
      <c r="BE48" s="1163"/>
      <c r="BF48" s="1163"/>
      <c r="BG48" s="1163"/>
      <c r="BH48" s="1163"/>
      <c r="BI48" s="1163"/>
      <c r="BJ48" s="1163"/>
      <c r="BK48" s="1163"/>
      <c r="BL48" s="1163"/>
      <c r="BM48" s="1163"/>
      <c r="BN48" s="1163"/>
      <c r="BO48" s="1163"/>
      <c r="BP48" s="1163"/>
      <c r="BQ48" s="1163"/>
      <c r="BR48" s="1163"/>
      <c r="BS48" s="1163"/>
      <c r="BT48" s="1163"/>
      <c r="BU48" s="1163"/>
      <c r="BV48" s="1163"/>
      <c r="BW48" s="1163"/>
      <c r="BX48" s="1163"/>
      <c r="BY48" s="1163"/>
      <c r="BZ48" s="1163"/>
      <c r="CA48" s="1163"/>
      <c r="CB48" s="1163"/>
      <c r="CC48" s="1163"/>
      <c r="CD48" s="1163"/>
      <c r="CE48" s="1163"/>
      <c r="CF48" s="1163"/>
      <c r="CG48" s="1110" t="s">
        <v>655</v>
      </c>
      <c r="CH48" s="1288">
        <f ca="1">OFFSET(Income!$C$6,MATCH(Charts!$E48,Income!$C$6:$C$117,0)-1,MATCH(Charts!CH$38,Income!$C$4:$EE$4,0)-1)</f>
        <v>149.12799999999999</v>
      </c>
      <c r="CI48" s="1288">
        <f ca="1">OFFSET(Income!$C$6,MATCH(Charts!$E48,Income!$C$6:$C$117,0)-1,MATCH(Charts!CI$38,Income!$C$4:$EE$4,0)-1)</f>
        <v>248.76400000000001</v>
      </c>
      <c r="CJ48" s="1288">
        <f ca="1">OFFSET(Income!$C$6,MATCH(Charts!$E48,Income!$C$6:$C$117,0)-1,MATCH(Charts!CJ$38,Income!$C$4:$EE$4,0)-1)</f>
        <v>364.00600000000003</v>
      </c>
      <c r="CK48" s="1288">
        <f ca="1">OFFSET(Income!$C$6,MATCH(Charts!$E48,Income!$C$6:$C$117,0)-1,MATCH(Charts!CK$38,Income!$C$4:$EE$4,0)-1)</f>
        <v>514.08600000000001</v>
      </c>
      <c r="CL48" s="1288">
        <f ca="1">OFFSET(Income!$C$6,MATCH(Charts!$E48,Income!$C$6:$C$117,0)-1,MATCH(Charts!CL$38,Income!$C$4:$EE$4,0)-1)</f>
        <v>715.22499999999991</v>
      </c>
      <c r="CM48" s="1288">
        <f ca="1">OFFSET(Income!$C$6,MATCH(Charts!$E48,Income!$C$6:$C$117,0)-1,MATCH(Charts!CM$38,Income!$C$4:$EE$4,0)-1)</f>
        <v>1077.9830000000002</v>
      </c>
      <c r="CN48" s="1288">
        <f ca="1">OFFSET(Income!$C$6,MATCH(Charts!$E48,Income!$C$6:$C$117,0)-1,MATCH(Charts!CN$38,Income!$C$4:$EE$4,0)-1)</f>
        <v>1156.8920000000001</v>
      </c>
      <c r="CO48" s="1288">
        <f ca="1">OFFSET(Income!$C$6,MATCH(Charts!$E48,Income!$C$6:$C$117,0)-1,MATCH(Charts!CO$38,Income!$C$4:$EE$4,0)-1)</f>
        <v>1483</v>
      </c>
      <c r="CP48" s="1288">
        <f ca="1">OFFSET(Income!$C$6,MATCH(Charts!$E48,Income!$C$6:$C$117,0)-1,MATCH(Charts!CP$38,Income!$C$4:$EE$4,0)-1)</f>
        <v>1922.6522129800942</v>
      </c>
      <c r="CQ48" s="1288">
        <f ca="1">OFFSET(Income!$C$6,MATCH(Charts!$E48,Income!$C$6:$C$117,0)-1,MATCH(Charts!CQ$38,Income!$C$4:$EE$4,0)-1)</f>
        <v>2284.6345541862975</v>
      </c>
      <c r="CR48" s="1288">
        <f ca="1">OFFSET(Income!$C$6,MATCH(Charts!$E48,Income!$C$6:$C$117,0)-1,MATCH(Charts!CR$38,Income!$C$4:$EE$4,0)-1)</f>
        <v>2654.3106115557157</v>
      </c>
      <c r="CS48" s="1288">
        <f ca="1">OFFSET(Income!$C$6,MATCH(Charts!$E48,Income!$C$6:$C$117,0)-1,MATCH(Charts!CS$38,Income!$C$4:$EE$4,0)-1)</f>
        <v>3054.4164652720096</v>
      </c>
    </row>
    <row r="49" spans="1:130" s="1447" customFormat="1">
      <c r="A49" s="1163"/>
      <c r="B49" s="1163"/>
      <c r="C49" s="1163"/>
      <c r="D49" s="1163"/>
      <c r="E49" s="1063" t="str">
        <f>Income!C25</f>
        <v>Merchant Solutions Gross Profit</v>
      </c>
      <c r="F49" s="1291">
        <f ca="1">OFFSET(Income!$C$6,MATCH(Charts!$E49,Income!$C$6:$C$117,0)-1,MATCH(Charts!F$37,Income!$C$5:$EE$5,0)-1)</f>
        <v>9.6109999999999971</v>
      </c>
      <c r="G49" s="1291">
        <f ca="1">OFFSET(Income!$C$6,MATCH(Charts!$E49,Income!$C$6:$C$117,0)-1,MATCH(Charts!G$37,Income!$C$5:$EE$5,0)-1)</f>
        <v>12.946999999999999</v>
      </c>
      <c r="H49" s="1291">
        <f ca="1">OFFSET(Income!$C$6,MATCH(Charts!$E49,Income!$C$6:$C$117,0)-1,MATCH(Charts!H$37,Income!$C$5:$EE$5,0)-1)</f>
        <v>14.467999999999996</v>
      </c>
      <c r="I49" s="1291">
        <f ca="1">OFFSET(Income!$C$6,MATCH(Charts!$E49,Income!$C$6:$C$117,0)-1,MATCH(Charts!I$37,Income!$C$5:$EE$5,0)-1)</f>
        <v>23.340999999999994</v>
      </c>
      <c r="J49" s="1291">
        <f ca="1">OFFSET(Income!$C$6,MATCH(Charts!$E49,Income!$C$6:$C$117,0)-1,MATCH(Charts!J$37,Income!$C$5:$EE$5,0)-1)</f>
        <v>22.415000000000006</v>
      </c>
      <c r="K49" s="1291">
        <f ca="1">OFFSET(Income!$C$6,MATCH(Charts!$E49,Income!$C$6:$C$117,0)-1,MATCH(Charts!K$37,Income!$C$5:$EE$5,0)-1)</f>
        <v>28.93</v>
      </c>
      <c r="L49" s="1291">
        <f ca="1">OFFSET(Income!$C$6,MATCH(Charts!$E49,Income!$C$6:$C$117,0)-1,MATCH(Charts!L$37,Income!$C$5:$EE$5,0)-1)</f>
        <v>33.050000000000004</v>
      </c>
      <c r="M49" s="1291">
        <f ca="1">OFFSET(Income!$C$6,MATCH(Charts!$E49,Income!$C$6:$C$117,0)-1,MATCH(Charts!M$37,Income!$C$5:$EE$5,0)-1)</f>
        <v>47.09399999999998</v>
      </c>
      <c r="N49" s="1291">
        <f ca="1">OFFSET(Income!$C$6,MATCH(Charts!$E49,Income!$C$6:$C$117,0)-1,MATCH(Charts!N$37,Income!$C$5:$EE$5,0)-1)</f>
        <v>46.804000000000002</v>
      </c>
      <c r="O49" s="1291">
        <f ca="1">OFFSET(Income!$C$6,MATCH(Charts!$E49,Income!$C$6:$C$117,0)-1,MATCH(Charts!O$37,Income!$C$5:$EE$5,0)-1)</f>
        <v>50.757999999999996</v>
      </c>
      <c r="P49" s="1291">
        <f ca="1">OFFSET(Income!$C$6,MATCH(Charts!$E49,Income!$C$6:$C$117,0)-1,MATCH(Charts!P$37,Income!$C$5:$EE$5,0)-1)</f>
        <v>55.81</v>
      </c>
      <c r="Q49" s="1291">
        <f ca="1">OFFSET(Income!$C$6,MATCH(Charts!$E49,Income!$C$6:$C$117,0)-1,MATCH(Charts!Q$37,Income!$C$5:$EE$5,0)-1)</f>
        <v>78.888999999999982</v>
      </c>
      <c r="R49" s="1291">
        <f ca="1">OFFSET(Income!$C$6,MATCH(Charts!$E49,Income!$C$6:$C$117,0)-1,MATCH(Charts!R$37,Income!$C$5:$EE$5,0)-1)</f>
        <v>67.825000000000003</v>
      </c>
      <c r="S49" s="1291">
        <f ca="1">OFFSET(Income!$C$6,MATCH(Charts!$E49,Income!$C$6:$C$117,0)-1,MATCH(Charts!S$37,Income!$C$5:$EE$5,0)-1)</f>
        <v>81.255999999999986</v>
      </c>
      <c r="T49" s="1291">
        <f ca="1">OFFSET(Income!$C$6,MATCH(Charts!$E49,Income!$C$6:$C$117,0)-1,MATCH(Charts!T$37,Income!$C$5:$EE$5,0)-1)</f>
        <v>84.382000000000005</v>
      </c>
      <c r="U49" s="1291">
        <f ca="1">OFFSET(Income!$C$6,MATCH(Charts!$E49,Income!$C$6:$C$117,0)-1,MATCH(Charts!U$37,Income!$C$5:$EE$5,0)-1)</f>
        <v>118.09400000000002</v>
      </c>
      <c r="V49" s="1291">
        <f ca="1">OFFSET(Income!$C$6,MATCH(Charts!$E49,Income!$C$6:$C$117,0)-1,MATCH(Charts!V$37,Income!$C$5:$EE$5,0)-1)</f>
        <v>107.053</v>
      </c>
      <c r="W49" s="1291">
        <f ca="1">OFFSET(Income!$C$6,MATCH(Charts!$E49,Income!$C$6:$C$117,0)-1,MATCH(Charts!W$37,Income!$C$5:$EE$5,0)-1)</f>
        <v>223.00000000000006</v>
      </c>
      <c r="X49" s="1291">
        <f ca="1">OFFSET(Income!$C$6,MATCH(Charts!$E49,Income!$C$6:$C$117,0)-1,MATCH(Charts!X$37,Income!$C$5:$EE$5,0)-1)</f>
        <v>212.04399999999998</v>
      </c>
      <c r="Y49" s="1291">
        <f ca="1">OFFSET(Income!$C$6,MATCH(Charts!$E49,Income!$C$6:$C$117,0)-1,MATCH(Charts!Y$37,Income!$C$5:$EE$5,0)-1)</f>
        <v>284.19799999999998</v>
      </c>
      <c r="Z49" s="1291">
        <f ca="1">OFFSET(Income!$C$6,MATCH(Charts!$E49,Income!$C$6:$C$117,0)-1,MATCH(Charts!Z$37,Income!$C$5:$EE$5,0)-1)</f>
        <v>296.41700000000003</v>
      </c>
      <c r="AA49" s="1291">
        <f ca="1">OFFSET(Income!$C$6,MATCH(Charts!$E49,Income!$C$6:$C$117,0)-1,MATCH(Charts!AA$37,Income!$C$5:$EE$5,0)-1)</f>
        <v>349.65</v>
      </c>
      <c r="AB49" s="1291">
        <f ca="1">OFFSET(Income!$C$6,MATCH(Charts!$E49,Income!$C$6:$C$117,0)-1,MATCH(Charts!AB$37,Income!$C$5:$EE$5,0)-1)</f>
        <v>340.05600000000004</v>
      </c>
      <c r="AC49" s="1291">
        <f ca="1">OFFSET(Income!$C$6,MATCH(Charts!$E49,Income!$C$6:$C$117,0)-1,MATCH(Charts!AC$37,Income!$C$5:$EE$5,0)-1)</f>
        <v>417.03800000000001</v>
      </c>
      <c r="AD49" s="1291">
        <f ca="1">OFFSET(Income!$C$6,MATCH(Charts!$E49,Income!$C$6:$C$117,0)-1,MATCH(Charts!AD$37,Income!$C$5:$EE$5,0)-1)</f>
        <v>370.42099999999999</v>
      </c>
      <c r="AE49" s="1291">
        <f ca="1">OFFSET(Income!$C$6,MATCH(Charts!$E49,Income!$C$6:$C$117,0)-1,MATCH(Charts!AE$37,Income!$C$5:$EE$5,0)-1)</f>
        <v>374.43700000000001</v>
      </c>
      <c r="AF49" s="1291">
        <f ca="1">OFFSET(Income!$C$6,MATCH(Charts!$E49,Income!$C$6:$C$117,0)-1,MATCH(Charts!AF$37,Income!$C$5:$EE$5,0)-1)</f>
        <v>368.34400000000005</v>
      </c>
      <c r="AG49" s="1291">
        <f ca="1">OFFSET(Income!$C$6,MATCH(Charts!$E49,Income!$C$6:$C$117,0)-1,MATCH(Charts!AG$37,Income!$C$5:$EE$5,0)-1)</f>
        <v>484.02499999999998</v>
      </c>
      <c r="AH49" s="1291">
        <f ca="1">OFFSET(Income!$C$6,MATCH(Charts!$E49,Income!$C$6:$C$117,0)-1,MATCH(Charts!AH$37,Income!$C$5:$EE$5,0)-1)</f>
        <v>419</v>
      </c>
      <c r="AI49" s="1291">
        <f ca="1">OFFSET(Income!$C$6,MATCH(Charts!$E49,Income!$C$6:$C$117,0)-1,MATCH(Charts!AI$37,Income!$C$5:$EE$5,0)-1)</f>
        <v>476</v>
      </c>
      <c r="AJ49" s="1291">
        <f ca="1">OFFSET(Income!$C$6,MATCH(Charts!$E49,Income!$C$6:$C$117,0)-1,MATCH(Charts!AJ$37,Income!$C$5:$EE$5,0)-1)</f>
        <v>503</v>
      </c>
      <c r="AK49" s="1291">
        <f ca="1">OFFSET(Income!$C$6,MATCH(Charts!$E49,Income!$C$6:$C$117,0)-1,MATCH(Charts!AK$37,Income!$C$5:$EE$5,0)-1)</f>
        <v>634</v>
      </c>
      <c r="AL49" s="1291">
        <f ca="1">OFFSET(Income!$C$6,MATCH(Charts!$E49,Income!$C$6:$C$117,0)-1,MATCH(Charts!AL$37,Income!$C$5:$EE$5,0)-1)</f>
        <v>541</v>
      </c>
      <c r="AM49" s="1291">
        <f ca="1">OFFSET(Income!$C$6,MATCH(Charts!$E49,Income!$C$6:$C$117,0)-1,MATCH(Charts!AM$37,Income!$C$5:$EE$5,0)-1)</f>
        <v>579</v>
      </c>
      <c r="AN49" s="1291">
        <f ca="1">OFFSET(Income!$C$6,MATCH(Charts!$E49,Income!$C$6:$C$117,0)-1,MATCH(Charts!AN$37,Income!$C$5:$EE$5,0)-1)</f>
        <v>616</v>
      </c>
      <c r="AO49" s="1291">
        <f ca="1">OFFSET(Income!$C$6,MATCH(Charts!$E49,Income!$C$6:$C$117,0)-1,MATCH(Charts!AO$37,Income!$C$5:$EE$5,0)-1)</f>
        <v>777.23495968105658</v>
      </c>
      <c r="AP49" s="1291">
        <f ca="1">OFFSET(Income!$C$6,MATCH(Charts!$E49,Income!$C$6:$C$117,0)-1,MATCH(Charts!AP$37,Income!$C$5:$EE$5,0)-1)</f>
        <v>691.95540236666648</v>
      </c>
      <c r="AQ49" s="1291">
        <f ca="1">OFFSET(Income!$C$6,MATCH(Charts!$E49,Income!$C$6:$C$117,0)-1,MATCH(Charts!AQ$37,Income!$C$5:$EE$5,0)-1)</f>
        <v>718.22681510491816</v>
      </c>
      <c r="AR49" s="1291">
        <f ca="1">OFFSET(Income!$C$6,MATCH(Charts!$E49,Income!$C$6:$C$117,0)-1,MATCH(Charts!AR$37,Income!$C$5:$EE$5,0)-1)</f>
        <v>766.31288623200567</v>
      </c>
      <c r="AS49" s="1291">
        <f ca="1">OFFSET(Income!$C$6,MATCH(Charts!$E49,Income!$C$6:$C$117,0)-1,MATCH(Charts!AS$37,Income!$C$5:$EE$5,0)-1)</f>
        <v>978.08853585994257</v>
      </c>
      <c r="AT49" s="1291">
        <f ca="1">OFFSET(Income!$C$6,MATCH(Charts!$E49,Income!$C$6:$C$117,0)-1,MATCH(Charts!AT$37,Income!$C$5:$EE$5,0)-1)</f>
        <v>838.28969468389118</v>
      </c>
      <c r="AU49" s="1291">
        <f ca="1">OFFSET(Income!$C$6,MATCH(Charts!$E49,Income!$C$6:$C$117,0)-1,MATCH(Charts!AU$37,Income!$C$5:$EE$5,0)-1)</f>
        <v>870.30286290998242</v>
      </c>
      <c r="AV49" s="1291">
        <f ca="1">OFFSET(Income!$C$6,MATCH(Charts!$E49,Income!$C$6:$C$117,0)-1,MATCH(Charts!AV$37,Income!$C$5:$EE$5,0)-1)</f>
        <v>928.27451590278338</v>
      </c>
      <c r="AW49" s="1291">
        <f ca="1">OFFSET(Income!$C$6,MATCH(Charts!$E49,Income!$C$6:$C$117,0)-1,MATCH(Charts!AW$37,Income!$C$5:$EE$5,0)-1)</f>
        <v>1185.188003272772</v>
      </c>
      <c r="AX49" s="1291">
        <f ca="1">OFFSET(Income!$C$6,MATCH(Charts!$E49,Income!$C$6:$C$117,0)-1,MATCH(Charts!AX$37,Income!$C$5:$EE$5,0)-1)</f>
        <v>998.30108899426932</v>
      </c>
      <c r="AY49" s="1291">
        <f ca="1">OFFSET(Income!$C$6,MATCH(Charts!$E49,Income!$C$6:$C$117,0)-1,MATCH(Charts!AY$37,Income!$C$5:$EE$5,0)-1)</f>
        <v>1036.5848306795538</v>
      </c>
      <c r="AZ49" s="1291">
        <f ca="1">OFFSET(Income!$C$6,MATCH(Charts!$E49,Income!$C$6:$C$117,0)-1,MATCH(Charts!AZ$37,Income!$C$5:$EE$5,0)-1)</f>
        <v>1105.3806420114013</v>
      </c>
      <c r="BA49" s="1291">
        <f ca="1">OFFSET(Income!$C$6,MATCH(Charts!$E49,Income!$C$6:$C$117,0)-1,MATCH(Charts!BA$37,Income!$C$5:$EE$5,0)-1)</f>
        <v>1411.6403920290609</v>
      </c>
      <c r="BB49" s="1163"/>
      <c r="BC49" s="1163"/>
      <c r="BD49" s="1163"/>
      <c r="BE49" s="1163"/>
      <c r="BF49" s="1163"/>
      <c r="BG49" s="1163"/>
      <c r="BH49" s="1163"/>
      <c r="BI49" s="1163"/>
      <c r="BJ49" s="1163"/>
      <c r="BK49" s="1163"/>
      <c r="BL49" s="1163"/>
      <c r="BM49" s="1163"/>
      <c r="BN49" s="1163"/>
      <c r="BO49" s="1163"/>
      <c r="BP49" s="1163"/>
      <c r="BQ49" s="1163"/>
      <c r="BR49" s="1163"/>
      <c r="BS49" s="1163"/>
      <c r="BT49" s="1163"/>
      <c r="BU49" s="1163"/>
      <c r="BV49" s="1163"/>
      <c r="BW49" s="1163"/>
      <c r="BX49" s="1163"/>
      <c r="BY49" s="1163"/>
      <c r="BZ49" s="1163"/>
      <c r="CA49" s="1163"/>
      <c r="CB49" s="1163"/>
      <c r="CC49" s="1163"/>
      <c r="CD49" s="1163"/>
      <c r="CE49" s="1163"/>
      <c r="CF49" s="1163"/>
      <c r="CG49" s="1110" t="s">
        <v>235</v>
      </c>
      <c r="CH49" s="1288">
        <f ca="1">OFFSET(Income!$C$6,MATCH(Charts!$E49,Income!$C$6:$C$117,0)-1,MATCH(Charts!CH$38,Income!$C$4:$EE$4,0)-1)</f>
        <v>60.36699999999999</v>
      </c>
      <c r="CI49" s="1288">
        <f ca="1">OFFSET(Income!$C$6,MATCH(Charts!$E49,Income!$C$6:$C$117,0)-1,MATCH(Charts!CI$38,Income!$C$4:$EE$4,0)-1)</f>
        <v>131.48899999999998</v>
      </c>
      <c r="CJ49" s="1288">
        <f ca="1">OFFSET(Income!$C$6,MATCH(Charts!$E49,Income!$C$6:$C$117,0)-1,MATCH(Charts!CJ$38,Income!$C$4:$EE$4,0)-1)</f>
        <v>232.261</v>
      </c>
      <c r="CK49" s="1288">
        <f ca="1">OFFSET(Income!$C$6,MATCH(Charts!$E49,Income!$C$6:$C$117,0)-1,MATCH(Charts!CK$38,Income!$C$4:$EE$4,0)-1)</f>
        <v>351.55700000000002</v>
      </c>
      <c r="CL49" s="1288">
        <f ca="1">OFFSET(Income!$C$6,MATCH(Charts!$E49,Income!$C$6:$C$117,0)-1,MATCH(Charts!CL$38,Income!$C$4:$EE$4,0)-1)</f>
        <v>826.29499999999996</v>
      </c>
      <c r="CM49" s="1288">
        <f ca="1">OFFSET(Income!$C$6,MATCH(Charts!$E49,Income!$C$6:$C$117,0)-1,MATCH(Charts!CM$38,Income!$C$4:$EE$4,0)-1)</f>
        <v>1403.1610000000001</v>
      </c>
      <c r="CN49" s="1288">
        <f ca="1">OFFSET(Income!$C$6,MATCH(Charts!$E49,Income!$C$6:$C$117,0)-1,MATCH(Charts!CN$38,Income!$C$4:$EE$4,0)-1)</f>
        <v>1597.2269999999999</v>
      </c>
      <c r="CO49" s="1288">
        <f ca="1">OFFSET(Income!$C$6,MATCH(Charts!$E49,Income!$C$6:$C$117,0)-1,MATCH(Charts!CO$38,Income!$C$4:$EE$4,0)-1)</f>
        <v>2032</v>
      </c>
      <c r="CP49" s="1288">
        <f ca="1">OFFSET(Income!$C$6,MATCH(Charts!$E49,Income!$C$6:$C$117,0)-1,MATCH(Charts!CP$38,Income!$C$4:$EE$4,0)-1)</f>
        <v>2513.2349596810564</v>
      </c>
      <c r="CQ49" s="1288">
        <f ca="1">OFFSET(Income!$C$6,MATCH(Charts!$E49,Income!$C$6:$C$117,0)-1,MATCH(Charts!CQ$38,Income!$C$4:$EE$4,0)-1)</f>
        <v>3154.5836395635329</v>
      </c>
      <c r="CR49" s="1288">
        <f ca="1">OFFSET(Income!$C$6,MATCH(Charts!$E49,Income!$C$6:$C$117,0)-1,MATCH(Charts!CR$38,Income!$C$4:$EE$4,0)-1)</f>
        <v>3822.0550767694294</v>
      </c>
      <c r="CS49" s="1288">
        <f ca="1">OFFSET(Income!$C$6,MATCH(Charts!$E49,Income!$C$6:$C$117,0)-1,MATCH(Charts!CS$38,Income!$C$4:$EE$4,0)-1)</f>
        <v>4551.9069537142859</v>
      </c>
    </row>
    <row r="50" spans="1:130">
      <c r="E50" s="8" t="str">
        <f>Income!C27</f>
        <v>Total Gross Profit</v>
      </c>
      <c r="F50" s="1286">
        <f ca="1">OFFSET(Income!$C$6,MATCH(Charts!$E50,Income!$C$6:$C$117,0)-1,MATCH(Charts!F$37,Income!$C$5:$EE$5,0)-1)</f>
        <v>40.085000000000008</v>
      </c>
      <c r="G50" s="1286">
        <f ca="1">OFFSET(Income!$C$6,MATCH(Charts!$E50,Income!$C$6:$C$117,0)-1,MATCH(Charts!G$37,Income!$C$5:$EE$5,0)-1)</f>
        <v>47.522999999999989</v>
      </c>
      <c r="H50" s="1286">
        <f ca="1">OFFSET(Income!$C$6,MATCH(Charts!$E50,Income!$C$6:$C$117,0)-1,MATCH(Charts!H$37,Income!$C$5:$EE$5,0)-1)</f>
        <v>53.752000000000002</v>
      </c>
      <c r="I50" s="1286">
        <f ca="1">OFFSET(Income!$C$6,MATCH(Charts!$E50,Income!$C$6:$C$117,0)-1,MATCH(Charts!I$37,Income!$C$5:$EE$5,0)-1)</f>
        <v>68.134999999999977</v>
      </c>
      <c r="J50" s="1286">
        <f ca="1">OFFSET(Income!$C$6,MATCH(Charts!$E50,Income!$C$6:$C$117,0)-1,MATCH(Charts!J$37,Income!$C$5:$EE$5,0)-1)</f>
        <v>72.241000000000014</v>
      </c>
      <c r="K50" s="1286">
        <f ca="1">OFFSET(Income!$C$6,MATCH(Charts!$E50,Income!$C$6:$C$117,0)-1,MATCH(Charts!K$37,Income!$C$5:$EE$5,0)-1)</f>
        <v>86.84</v>
      </c>
      <c r="L50" s="1286">
        <f ca="1">OFFSET(Income!$C$6,MATCH(Charts!$E50,Income!$C$6:$C$117,0)-1,MATCH(Charts!L$37,Income!$C$5:$EE$5,0)-1)</f>
        <v>100.02700000000002</v>
      </c>
      <c r="M50" s="1286">
        <f ca="1">OFFSET(Income!$C$6,MATCH(Charts!$E50,Income!$C$6:$C$117,0)-1,MATCH(Charts!M$37,Income!$C$5:$EE$5,0)-1)</f>
        <v>121.14499999999998</v>
      </c>
      <c r="N50" s="1286">
        <f ca="1">OFFSET(Income!$C$6,MATCH(Charts!$E50,Income!$C$6:$C$117,0)-1,MATCH(Charts!N$37,Income!$C$5:$EE$5,0)-1)</f>
        <v>123.84199999999998</v>
      </c>
      <c r="O50" s="1286">
        <f ca="1">OFFSET(Income!$C$6,MATCH(Charts!$E50,Income!$C$6:$C$117,0)-1,MATCH(Charts!O$37,Income!$C$5:$EE$5,0)-1)</f>
        <v>136.95499999999998</v>
      </c>
      <c r="P50" s="1286">
        <f ca="1">OFFSET(Income!$C$6,MATCH(Charts!$E50,Income!$C$6:$C$117,0)-1,MATCH(Charts!P$37,Income!$C$5:$EE$5,0)-1)</f>
        <v>149.72699999999998</v>
      </c>
      <c r="Q50" s="1286">
        <f ca="1">OFFSET(Income!$C$6,MATCH(Charts!$E50,Income!$C$6:$C$117,0)-1,MATCH(Charts!Q$37,Income!$C$5:$EE$5,0)-1)</f>
        <v>185.74299999999997</v>
      </c>
      <c r="R50" s="1286">
        <f ca="1">OFFSET(Income!$C$6,MATCH(Charts!$E50,Income!$C$6:$C$117,0)-1,MATCH(Charts!R$37,Income!$C$5:$EE$5,0)-1)</f>
        <v>180.29099999999997</v>
      </c>
      <c r="S50" s="1286">
        <f ca="1">OFFSET(Income!$C$6,MATCH(Charts!$E50,Income!$C$6:$C$117,0)-1,MATCH(Charts!S$37,Income!$C$5:$EE$5,0)-1)</f>
        <v>204.76499999999999</v>
      </c>
      <c r="T50" s="1286">
        <f ca="1">OFFSET(Income!$C$6,MATCH(Charts!$E50,Income!$C$6:$C$117,0)-1,MATCH(Charts!T$37,Income!$C$5:$EE$5,0)-1)</f>
        <v>216.69600000000003</v>
      </c>
      <c r="U50" s="1286">
        <f ca="1">OFFSET(Income!$C$6,MATCH(Charts!$E50,Income!$C$6:$C$117,0)-1,MATCH(Charts!U$37,Income!$C$5:$EE$5,0)-1)</f>
        <v>263.89100000000002</v>
      </c>
      <c r="V50" s="1286">
        <f ca="1">OFFSET(Income!$C$6,MATCH(Charts!$E50,Income!$C$6:$C$117,0)-1,MATCH(Charts!V$37,Income!$C$5:$EE$5,0)-1)</f>
        <v>256.95</v>
      </c>
      <c r="W50" s="1286">
        <f ca="1">OFFSET(Income!$C$6,MATCH(Charts!$E50,Income!$C$6:$C$117,0)-1,MATCH(Charts!W$37,Income!$C$5:$EE$5,0)-1)</f>
        <v>375.03400000000005</v>
      </c>
      <c r="X50" s="1286">
        <f ca="1">OFFSET(Income!$C$6,MATCH(Charts!$E50,Income!$C$6:$C$117,0)-1,MATCH(Charts!X$37,Income!$C$5:$EE$5,0)-1)</f>
        <v>405.14799999999997</v>
      </c>
      <c r="Y50" s="1286">
        <f ca="1">OFFSET(Income!$C$6,MATCH(Charts!$E50,Income!$C$6:$C$117,0)-1,MATCH(Charts!Y$37,Income!$C$5:$EE$5,0)-1)</f>
        <v>504.38799999999992</v>
      </c>
      <c r="Z50" s="1286">
        <f ca="1">OFFSET(Income!$C$6,MATCH(Charts!$E50,Income!$C$6:$C$117,0)-1,MATCH(Charts!Z$37,Income!$C$5:$EE$5,0)-1)</f>
        <v>558.71599999999989</v>
      </c>
      <c r="AA50" s="1286">
        <f ca="1">OFFSET(Income!$C$6,MATCH(Charts!$E50,Income!$C$6:$C$117,0)-1,MATCH(Charts!AA$37,Income!$C$5:$EE$5,0)-1)</f>
        <v>620.8599999999999</v>
      </c>
      <c r="AB50" s="1286">
        <f ca="1">OFFSET(Income!$C$6,MATCH(Charts!$E50,Income!$C$6:$C$117,0)-1,MATCH(Charts!AB$37,Income!$C$5:$EE$5,0)-1)</f>
        <v>608.90899999999999</v>
      </c>
      <c r="AC50" s="1286">
        <f ca="1">OFFSET(Income!$C$6,MATCH(Charts!$E50,Income!$C$6:$C$117,0)-1,MATCH(Charts!AC$37,Income!$C$5:$EE$5,0)-1)</f>
        <v>692.65900000000011</v>
      </c>
      <c r="AD50" s="1286">
        <f ca="1">OFFSET(Income!$C$6,MATCH(Charts!$E50,Income!$C$6:$C$117,0)-1,MATCH(Charts!AD$37,Income!$C$5:$EE$5,0)-1)</f>
        <v>637.63700000000006</v>
      </c>
      <c r="AE50" s="1286">
        <f ca="1">OFFSET(Income!$C$6,MATCH(Charts!$E50,Income!$C$6:$C$117,0)-1,MATCH(Charts!AE$37,Income!$C$5:$EE$5,0)-1)</f>
        <v>655.64200000000005</v>
      </c>
      <c r="AF50" s="1286">
        <f ca="1">OFFSET(Income!$C$6,MATCH(Charts!$E50,Income!$C$6:$C$117,0)-1,MATCH(Charts!AF$37,Income!$C$5:$EE$5,0)-1)</f>
        <v>662.33200000000011</v>
      </c>
      <c r="AG50" s="1286">
        <f ca="1">OFFSET(Income!$C$6,MATCH(Charts!$E50,Income!$C$6:$C$117,0)-1,MATCH(Charts!AG$37,Income!$C$5:$EE$5,0)-1)</f>
        <v>798.50800000000015</v>
      </c>
      <c r="AH50" s="1286">
        <f ca="1">OFFSET(Income!$C$6,MATCH(Charts!$E50,Income!$C$6:$C$117,0)-1,MATCH(Charts!AH$37,Income!$C$5:$EE$5,0)-1)</f>
        <v>717</v>
      </c>
      <c r="AI50" s="1286">
        <f ca="1">OFFSET(Income!$C$6,MATCH(Charts!$E50,Income!$C$6:$C$117,0)-1,MATCH(Charts!AI$37,Income!$C$5:$EE$5,0)-1)</f>
        <v>835</v>
      </c>
      <c r="AJ50" s="1286">
        <f ca="1">OFFSET(Income!$C$6,MATCH(Charts!$E50,Income!$C$6:$C$117,0)-1,MATCH(Charts!AJ$37,Income!$C$5:$EE$5,0)-1)</f>
        <v>901</v>
      </c>
      <c r="AK50" s="1286">
        <f ca="1">OFFSET(Income!$C$6,MATCH(Charts!$E50,Income!$C$6:$C$117,0)-1,MATCH(Charts!AK$37,Income!$C$5:$EE$5,0)-1)</f>
        <v>1062</v>
      </c>
      <c r="AL50" s="1286">
        <f ca="1">OFFSET(Income!$C$6,MATCH(Charts!$E50,Income!$C$6:$C$117,0)-1,MATCH(Charts!AL$37,Income!$C$5:$EE$5,0)-1)</f>
        <v>957</v>
      </c>
      <c r="AM50" s="1286">
        <f ca="1">OFFSET(Income!$C$6,MATCH(Charts!$E50,Income!$C$6:$C$117,0)-1,MATCH(Charts!AM$37,Income!$C$5:$EE$5,0)-1)</f>
        <v>1045</v>
      </c>
      <c r="AN50" s="1286">
        <f ca="1">OFFSET(Income!$C$6,MATCH(Charts!$E50,Income!$C$6:$C$117,0)-1,MATCH(Charts!AN$37,Income!$C$5:$EE$5,0)-1)</f>
        <v>1118</v>
      </c>
      <c r="AO50" s="1286">
        <f ca="1">OFFSET(Income!$C$6,MATCH(Charts!$E50,Income!$C$6:$C$117,0)-1,MATCH(Charts!AO$37,Income!$C$5:$EE$5,0)-1)</f>
        <v>1315.8871726611505</v>
      </c>
      <c r="AP50" s="1286">
        <f ca="1">OFFSET(Income!$C$6,MATCH(Charts!$E50,Income!$C$6:$C$117,0)-1,MATCH(Charts!AP$37,Income!$C$5:$EE$5,0)-1)</f>
        <v>1186.3022551127017</v>
      </c>
      <c r="AQ50" s="1286">
        <f ca="1">OFFSET(Income!$C$6,MATCH(Charts!$E50,Income!$C$6:$C$117,0)-1,MATCH(Charts!AQ$37,Income!$C$5:$EE$5,0)-1)</f>
        <v>1271.9347382455624</v>
      </c>
      <c r="AR50" s="1286">
        <f ca="1">OFFSET(Income!$C$6,MATCH(Charts!$E50,Income!$C$6:$C$117,0)-1,MATCH(Charts!AR$37,Income!$C$5:$EE$5,0)-1)</f>
        <v>1362.8172356708728</v>
      </c>
      <c r="AS50" s="1286">
        <f ca="1">OFFSET(Income!$C$6,MATCH(Charts!$E50,Income!$C$6:$C$117,0)-1,MATCH(Charts!AS$37,Income!$C$5:$EE$5,0)-1)</f>
        <v>1618.1639647206937</v>
      </c>
      <c r="AT50" s="1286">
        <f ca="1">OFFSET(Income!$C$6,MATCH(Charts!$E50,Income!$C$6:$C$117,0)-1,MATCH(Charts!AT$37,Income!$C$5:$EE$5,0)-1)</f>
        <v>1412.6384355296821</v>
      </c>
      <c r="AU50" s="1286">
        <f ca="1">OFFSET(Income!$C$6,MATCH(Charts!$E50,Income!$C$6:$C$117,0)-1,MATCH(Charts!AU$37,Income!$C$5:$EE$5,0)-1)</f>
        <v>1513.593657261941</v>
      </c>
      <c r="AV50" s="1286">
        <f ca="1">OFFSET(Income!$C$6,MATCH(Charts!$E50,Income!$C$6:$C$117,0)-1,MATCH(Charts!AV$37,Income!$C$5:$EE$5,0)-1)</f>
        <v>1621.2951939380391</v>
      </c>
      <c r="AW50" s="1286">
        <f ca="1">OFFSET(Income!$C$6,MATCH(Charts!$E50,Income!$C$6:$C$117,0)-1,MATCH(Charts!AW$37,Income!$C$5:$EE$5,0)-1)</f>
        <v>1928.838401595483</v>
      </c>
      <c r="AX50" s="1286">
        <f ca="1">OFFSET(Income!$C$6,MATCH(Charts!$E50,Income!$C$6:$C$117,0)-1,MATCH(Charts!AX$37,Income!$C$5:$EE$5,0)-1)</f>
        <v>1659.2395677880372</v>
      </c>
      <c r="AY50" s="1286">
        <f ca="1">OFFSET(Income!$C$6,MATCH(Charts!$E50,Income!$C$6:$C$117,0)-1,MATCH(Charts!AY$37,Income!$C$5:$EE$5,0)-1)</f>
        <v>1776.8298298116106</v>
      </c>
      <c r="AZ50" s="1286">
        <f ca="1">OFFSET(Income!$C$6,MATCH(Charts!$E50,Income!$C$6:$C$117,0)-1,MATCH(Charts!AZ$37,Income!$C$5:$EE$5,0)-1)</f>
        <v>1902.8615409271126</v>
      </c>
      <c r="BA50" s="1286">
        <f ca="1">OFFSET(Income!$C$6,MATCH(Charts!$E50,Income!$C$6:$C$117,0)-1,MATCH(Charts!BA$37,Income!$C$5:$EE$5,0)-1)</f>
        <v>2267.3924804595354</v>
      </c>
      <c r="BB50" s="1110"/>
      <c r="BC50" s="1110"/>
      <c r="BD50" s="1110"/>
      <c r="BE50" s="1110"/>
      <c r="BF50" s="1110"/>
      <c r="BG50" s="1110"/>
      <c r="BH50" s="1110"/>
      <c r="BI50" s="1110"/>
      <c r="BJ50" s="1110"/>
      <c r="BK50" s="1110"/>
      <c r="BL50" s="1110"/>
      <c r="BM50" s="1110"/>
      <c r="BN50" s="1110"/>
      <c r="BO50" s="1110"/>
      <c r="BP50" s="1110"/>
      <c r="BQ50" s="1110"/>
      <c r="BR50" s="1110"/>
      <c r="BS50" s="1110"/>
      <c r="BT50" s="1110"/>
      <c r="BU50" s="1110"/>
      <c r="BV50" s="1110"/>
      <c r="BW50" s="1110"/>
      <c r="BX50" s="1110"/>
      <c r="BY50" s="1110"/>
      <c r="BZ50" s="1110"/>
      <c r="CA50" s="1110"/>
      <c r="CB50" s="1110"/>
      <c r="CC50" s="1110"/>
      <c r="CD50" s="1110"/>
      <c r="CE50" s="1110"/>
      <c r="CF50" s="1110"/>
      <c r="CG50" s="1110" t="s">
        <v>229</v>
      </c>
      <c r="CH50" s="1288">
        <f ca="1">OFFSET(Income!$C$6,MATCH(Charts!$E50,Income!$C$6:$C$117,0)-1,MATCH(Charts!CH$38,Income!$C$4:$EE$4,0)-1)</f>
        <v>209.495</v>
      </c>
      <c r="CI50" s="1288">
        <f ca="1">OFFSET(Income!$C$6,MATCH(Charts!$E50,Income!$C$6:$C$117,0)-1,MATCH(Charts!CI$38,Income!$C$4:$EE$4,0)-1)</f>
        <v>380.25299999999999</v>
      </c>
      <c r="CJ50" s="1288">
        <f ca="1">OFFSET(Income!$C$6,MATCH(Charts!$E50,Income!$C$6:$C$117,0)-1,MATCH(Charts!CJ$38,Income!$C$4:$EE$4,0)-1)</f>
        <v>596.26699999999983</v>
      </c>
      <c r="CK50" s="1288">
        <f ca="1">OFFSET(Income!$C$6,MATCH(Charts!$E50,Income!$C$6:$C$117,0)-1,MATCH(Charts!CK$38,Income!$C$4:$EE$4,0)-1)</f>
        <v>865.64300000000003</v>
      </c>
      <c r="CL50" s="1288">
        <f ca="1">OFFSET(Income!$C$6,MATCH(Charts!$E50,Income!$C$6:$C$117,0)-1,MATCH(Charts!CL$38,Income!$C$4:$EE$4,0)-1)</f>
        <v>1541.5200000000002</v>
      </c>
      <c r="CM50" s="1288">
        <f ca="1">OFFSET(Income!$C$6,MATCH(Charts!$E50,Income!$C$6:$C$117,0)-1,MATCH(Charts!CM$38,Income!$C$4:$EE$4,0)-1)</f>
        <v>2481.1439999999998</v>
      </c>
      <c r="CN50" s="1288">
        <f ca="1">OFFSET(Income!$C$6,MATCH(Charts!$E50,Income!$C$6:$C$117,0)-1,MATCH(Charts!CN$38,Income!$C$4:$EE$4,0)-1)</f>
        <v>2754.1190000000001</v>
      </c>
      <c r="CO50" s="1288">
        <f ca="1">OFFSET(Income!$C$6,MATCH(Charts!$E50,Income!$C$6:$C$117,0)-1,MATCH(Charts!CO$38,Income!$C$4:$EE$4,0)-1)</f>
        <v>3515</v>
      </c>
      <c r="CP50" s="1288">
        <f ca="1">OFFSET(Income!$C$6,MATCH(Charts!$E50,Income!$C$6:$C$117,0)-1,MATCH(Charts!CP$38,Income!$C$4:$EE$4,0)-1)</f>
        <v>4435.8871726611505</v>
      </c>
      <c r="CQ50" s="1288">
        <f ca="1">OFFSET(Income!$C$6,MATCH(Charts!$E50,Income!$C$6:$C$117,0)-1,MATCH(Charts!CQ$38,Income!$C$4:$EE$4,0)-1)</f>
        <v>5439.2181937498299</v>
      </c>
      <c r="CR50" s="1288">
        <f ca="1">OFFSET(Income!$C$6,MATCH(Charts!$E50,Income!$C$6:$C$117,0)-1,MATCH(Charts!CR$38,Income!$C$4:$EE$4,0)-1)</f>
        <v>6476.3656883251451</v>
      </c>
      <c r="CS50" s="1288">
        <f ca="1">OFFSET(Income!$C$6,MATCH(Charts!$E50,Income!$C$6:$C$117,0)-1,MATCH(Charts!CS$38,Income!$C$4:$EE$4,0)-1)</f>
        <v>7606.3234189862951</v>
      </c>
    </row>
    <row r="51" spans="1:130">
      <c r="E51" s="8"/>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c r="AH51" s="1286"/>
      <c r="AI51" s="1286"/>
      <c r="AJ51" s="1286"/>
      <c r="AK51" s="1286"/>
      <c r="AL51" s="1286"/>
      <c r="AM51" s="1286"/>
      <c r="AN51" s="1286"/>
      <c r="AO51" s="1286"/>
      <c r="AP51" s="1286"/>
      <c r="AQ51" s="1286"/>
      <c r="AR51" s="1286"/>
      <c r="AS51" s="1286"/>
      <c r="AT51" s="1286"/>
      <c r="AU51" s="1286"/>
      <c r="AV51" s="1286"/>
      <c r="AW51" s="1286"/>
      <c r="AX51" s="1286"/>
      <c r="AY51" s="1286"/>
      <c r="AZ51" s="1286"/>
      <c r="BA51" s="1286"/>
      <c r="BB51" s="1110"/>
      <c r="BC51" s="1110"/>
      <c r="BD51" s="1110"/>
      <c r="BE51" s="1110"/>
      <c r="BF51" s="1110"/>
      <c r="BG51" s="1110"/>
      <c r="BH51" s="1110"/>
      <c r="BI51" s="1110"/>
      <c r="BJ51" s="1110"/>
      <c r="BK51" s="1110"/>
      <c r="BL51" s="1110"/>
      <c r="BM51" s="1110"/>
      <c r="BN51" s="1110"/>
      <c r="BO51" s="1110"/>
      <c r="BP51" s="1110"/>
      <c r="BQ51" s="1110"/>
      <c r="BR51" s="1110"/>
      <c r="BS51" s="1110"/>
      <c r="BT51" s="1110"/>
      <c r="BU51" s="1110"/>
      <c r="BV51" s="1110"/>
      <c r="BW51" s="1110"/>
      <c r="BX51" s="1110"/>
      <c r="BY51" s="1110"/>
      <c r="BZ51" s="1110"/>
      <c r="CA51" s="1110"/>
      <c r="CB51" s="1110"/>
      <c r="CC51" s="1110"/>
      <c r="CD51" s="1110"/>
      <c r="CE51" s="1110"/>
      <c r="CF51" s="1110"/>
      <c r="CG51" s="1163"/>
      <c r="CH51" s="1288"/>
      <c r="CI51" s="1288"/>
      <c r="CJ51" s="1288"/>
      <c r="CK51" s="1288"/>
      <c r="CL51" s="1288"/>
      <c r="CM51" s="1288"/>
      <c r="CN51" s="1288"/>
      <c r="CO51" s="1288"/>
      <c r="CP51" s="1288"/>
      <c r="CQ51" s="1288"/>
      <c r="CR51" s="1288"/>
      <c r="CS51" s="1288"/>
    </row>
    <row r="52" spans="1:130">
      <c r="E52" s="8"/>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6"/>
      <c r="AK52" s="1286"/>
      <c r="AL52" s="1286"/>
      <c r="AM52" s="1286"/>
      <c r="AN52" s="1286"/>
      <c r="AO52" s="1286"/>
      <c r="AP52" s="1286"/>
      <c r="AQ52" s="1286"/>
      <c r="AR52" s="1286"/>
      <c r="AS52" s="1286"/>
      <c r="AT52" s="1286"/>
      <c r="AU52" s="1286"/>
      <c r="AV52" s="1286"/>
      <c r="AW52" s="1286"/>
      <c r="AX52" s="1286"/>
      <c r="AY52" s="1286"/>
      <c r="AZ52" s="1286"/>
      <c r="BA52" s="1286"/>
      <c r="BB52" s="1110"/>
      <c r="BC52" s="1110"/>
      <c r="BD52" s="1110"/>
      <c r="BE52" s="1110"/>
      <c r="BF52" s="1110"/>
      <c r="BG52" s="1110"/>
      <c r="BH52" s="1110"/>
      <c r="BI52" s="1110"/>
      <c r="BJ52" s="1110"/>
      <c r="BK52" s="1110"/>
      <c r="BL52" s="1110"/>
      <c r="BM52" s="1110"/>
      <c r="BN52" s="1110"/>
      <c r="BO52" s="1110"/>
      <c r="BP52" s="1110"/>
      <c r="BQ52" s="1110"/>
      <c r="BR52" s="1110"/>
      <c r="BS52" s="1110"/>
      <c r="BT52" s="1110"/>
      <c r="BU52" s="1110"/>
      <c r="BV52" s="1110"/>
      <c r="BW52" s="1110"/>
      <c r="BX52" s="1110"/>
      <c r="BY52" s="1110"/>
      <c r="BZ52" s="1110"/>
      <c r="CA52" s="1110"/>
      <c r="CB52" s="1110"/>
      <c r="CC52" s="1110"/>
      <c r="CD52" s="1110"/>
      <c r="CE52" s="1110"/>
      <c r="CF52" s="1110"/>
      <c r="CG52" s="1163"/>
      <c r="CH52" s="1288" t="str">
        <f>CH38</f>
        <v>2016A</v>
      </c>
      <c r="CI52" s="1288" t="str">
        <f t="shared" ref="CI52:CS52" si="54">CI38</f>
        <v>2017A</v>
      </c>
      <c r="CJ52" s="1288" t="str">
        <f t="shared" si="54"/>
        <v>2018A</v>
      </c>
      <c r="CK52" s="1288" t="str">
        <f t="shared" si="54"/>
        <v>2019A</v>
      </c>
      <c r="CL52" s="1288" t="str">
        <f t="shared" si="54"/>
        <v>2020A</v>
      </c>
      <c r="CM52" s="1288" t="str">
        <f t="shared" si="54"/>
        <v>2021A</v>
      </c>
      <c r="CN52" s="1288" t="str">
        <f t="shared" si="54"/>
        <v>2022A</v>
      </c>
      <c r="CO52" s="1288" t="str">
        <f t="shared" si="54"/>
        <v>2023A</v>
      </c>
      <c r="CP52" s="1288" t="str">
        <f t="shared" si="54"/>
        <v>2024E</v>
      </c>
      <c r="CQ52" s="1288" t="str">
        <f t="shared" si="54"/>
        <v>2025E</v>
      </c>
      <c r="CR52" s="1288" t="str">
        <f t="shared" si="54"/>
        <v>2026E</v>
      </c>
      <c r="CS52" s="1288" t="str">
        <f t="shared" si="54"/>
        <v>2027E</v>
      </c>
    </row>
    <row r="53" spans="1:130">
      <c r="E53" s="791" t="str">
        <f>Income!C24</f>
        <v>Subscription Solutions Gross margin</v>
      </c>
      <c r="F53" s="1284">
        <f ca="1">OFFSET(Income!$C$6,MATCH(Charts!$E48,Income!$C$6:$C$117,0)+0,MATCH(Charts!F$37,Income!$C$5:$EE$5,0)-1)</f>
        <v>0.78731979538056118</v>
      </c>
      <c r="G53" s="1284">
        <f ca="1">OFFSET(Income!$C$6,MATCH(Charts!$E48,Income!$C$6:$C$117,0)+0,MATCH(Charts!G$37,Income!$C$5:$EE$5,0)-1)</f>
        <v>0.7916838393552228</v>
      </c>
      <c r="H53" s="1284">
        <f ca="1">OFFSET(Income!$C$6,MATCH(Charts!$E48,Income!$C$6:$C$117,0)+0,MATCH(Charts!H$37,Income!$C$5:$EE$5,0)-1)</f>
        <v>0.78821806216015566</v>
      </c>
      <c r="I53" s="1284">
        <f ca="1">OFFSET(Income!$C$6,MATCH(Charts!$E48,Income!$C$6:$C$117,0)+0,MATCH(Charts!I$37,Income!$C$5:$EE$5,0)-1)</f>
        <v>0.79440296522248033</v>
      </c>
      <c r="J53" s="1284">
        <f ca="1">OFFSET(Income!$C$6,MATCH(Charts!$E48,Income!$C$6:$C$117,0)+0,MATCH(Charts!J$37,Income!$C$5:$EE$5,0)-1)</f>
        <v>0.80260953608247421</v>
      </c>
      <c r="K53" s="1284">
        <f ca="1">OFFSET(Income!$C$6,MATCH(Charts!$E48,Income!$C$6:$C$117,0)+0,MATCH(Charts!K$37,Income!$C$5:$EE$5,0)-1)</f>
        <v>0.80882147546020833</v>
      </c>
      <c r="L53" s="1284">
        <f ca="1">OFFSET(Income!$C$6,MATCH(Charts!$E48,Income!$C$6:$C$117,0)+0,MATCH(Charts!L$37,Income!$C$5:$EE$5,0)-1)</f>
        <v>0.81248256201856006</v>
      </c>
      <c r="M53" s="1284">
        <f ca="1">OFFSET(Income!$C$6,MATCH(Charts!$E48,Income!$C$6:$C$117,0)+0,MATCH(Charts!M$37,Income!$C$5:$EE$5,0)-1)</f>
        <v>0.78846440511935945</v>
      </c>
      <c r="N53" s="1284">
        <f ca="1">OFFSET(Income!$C$6,MATCH(Charts!$E48,Income!$C$6:$C$117,0)+0,MATCH(Charts!N$37,Income!$C$5:$EE$5,0)-1)</f>
        <v>0.76885766182957749</v>
      </c>
      <c r="O53" s="1284">
        <f ca="1">OFFSET(Income!$C$6,MATCH(Charts!$E48,Income!$C$6:$C$117,0)+0,MATCH(Charts!O$37,Income!$C$5:$EE$5,0)-1)</f>
        <v>0.77850633574479999</v>
      </c>
      <c r="P53" s="1284">
        <f ca="1">OFFSET(Income!$C$6,MATCH(Charts!$E48,Income!$C$6:$C$117,0)+0,MATCH(Charts!P$37,Income!$C$5:$EE$5,0)-1)</f>
        <v>0.77928425035472182</v>
      </c>
      <c r="Q53" s="1284">
        <f ca="1">OFFSET(Income!$C$6,MATCH(Charts!$E48,Income!$C$6:$C$117,0)+0,MATCH(Charts!Q$37,Income!$C$5:$EE$5,0)-1)</f>
        <v>0.80004492362982926</v>
      </c>
      <c r="R53" s="1284">
        <f ca="1">OFFSET(Income!$C$6,MATCH(Charts!$E48,Income!$C$6:$C$117,0)+0,MATCH(Charts!R$37,Income!$C$5:$EE$5,0)-1)</f>
        <v>0.8007490156709457</v>
      </c>
      <c r="S53" s="1284">
        <f ca="1">OFFSET(Income!$C$6,MATCH(Charts!$E48,Income!$C$6:$C$117,0)+0,MATCH(Charts!S$37,Income!$C$5:$EE$5,0)-1)</f>
        <v>0.80700046390977942</v>
      </c>
      <c r="T53" s="1284">
        <f ca="1">OFFSET(Income!$C$6,MATCH(Charts!$E48,Income!$C$6:$C$117,0)+0,MATCH(Charts!T$37,Income!$C$5:$EE$5,0)-1)</f>
        <v>0.79910857184270756</v>
      </c>
      <c r="U53" s="1284">
        <f ca="1">OFFSET(Income!$C$6,MATCH(Charts!$E48,Income!$C$6:$C$117,0)+0,MATCH(Charts!U$37,Income!$C$5:$EE$5,0)-1)</f>
        <v>0.79598287891857655</v>
      </c>
      <c r="V53" s="1284">
        <f ca="1">OFFSET(Income!$C$6,MATCH(Charts!$E48,Income!$C$6:$C$117,0)+0,MATCH(Charts!V$37,Income!$C$5:$EE$5,0)-1)</f>
        <v>0.79898618936191756</v>
      </c>
      <c r="W53" s="1284">
        <f ca="1">OFFSET(Income!$C$6,MATCH(Charts!$E48,Income!$C$6:$C$117,0)+0,MATCH(Charts!W$37,Income!$C$5:$EE$5,0)-1)</f>
        <v>0.77396988301414216</v>
      </c>
      <c r="X53" s="1284">
        <f ca="1">OFFSET(Income!$C$6,MATCH(Charts!$E48,Income!$C$6:$C$117,0)+0,MATCH(Charts!X$37,Income!$C$5:$EE$5,0)-1)</f>
        <v>0.78729910222852806</v>
      </c>
      <c r="Y53" s="1284">
        <f ca="1">OFFSET(Income!$C$6,MATCH(Charts!$E48,Income!$C$6:$C$117,0)+0,MATCH(Charts!Y$37,Income!$C$5:$EE$5,0)-1)</f>
        <v>0.78796879473232173</v>
      </c>
      <c r="Z53" s="1284">
        <f ca="1">OFFSET(Income!$C$6,MATCH(Charts!$E48,Income!$C$6:$C$117,0)+0,MATCH(Charts!Z$37,Income!$C$5:$EE$5,0)-1)</f>
        <v>0.81794368858772426</v>
      </c>
      <c r="AA53" s="1284">
        <f ca="1">OFFSET(Income!$C$6,MATCH(Charts!$E48,Income!$C$6:$C$117,0)+0,MATCH(Charts!AA$37,Income!$C$5:$EE$5,0)-1)</f>
        <v>0.81143021269338833</v>
      </c>
      <c r="AB53" s="1284">
        <f ca="1">OFFSET(Income!$C$6,MATCH(Charts!$E48,Income!$C$6:$C$117,0)+0,MATCH(Charts!AB$37,Income!$C$5:$EE$5,0)-1)</f>
        <v>0.79966270879931467</v>
      </c>
      <c r="AC53" s="1284">
        <f ca="1">OFFSET(Income!$C$6,MATCH(Charts!$E48,Income!$C$6:$C$117,0)+0,MATCH(Charts!AC$37,Income!$C$5:$EE$5,0)-1)</f>
        <v>0.78477995945422663</v>
      </c>
      <c r="AD53" s="1284">
        <f ca="1">OFFSET(Income!$C$6,MATCH(Charts!$E48,Income!$C$6:$C$117,0)+0,MATCH(Charts!AD$37,Income!$C$5:$EE$5,0)-1)</f>
        <v>0.77507606718857414</v>
      </c>
      <c r="AE53" s="1284">
        <f ca="1">OFFSET(Income!$C$6,MATCH(Charts!$E48,Income!$C$6:$C$117,0)+0,MATCH(Charts!AE$37,Income!$C$5:$EE$5,0)-1)</f>
        <v>0.76739083568249356</v>
      </c>
      <c r="AF53" s="1284">
        <f ca="1">OFFSET(Income!$C$6,MATCH(Charts!$E48,Income!$C$6:$C$117,0)+0,MATCH(Charts!AF$37,Income!$C$5:$EE$5,0)-1)</f>
        <v>0.78125755711518174</v>
      </c>
      <c r="AG53" s="1284">
        <f ca="1">OFFSET(Income!$C$6,MATCH(Charts!$E48,Income!$C$6:$C$117,0)+0,MATCH(Charts!AG$37,Income!$C$5:$EE$5,0)-1)</f>
        <v>0.78570857505484015</v>
      </c>
      <c r="AH53" s="1284">
        <f ca="1">OFFSET(Income!$C$6,MATCH(Charts!$E48,Income!$C$6:$C$117,0)+0,MATCH(Charts!AH$37,Income!$C$5:$EE$5,0)-1)</f>
        <v>0.78010471204188481</v>
      </c>
      <c r="AI53" s="1284">
        <f ca="1">OFFSET(Income!$C$6,MATCH(Charts!$E48,Income!$C$6:$C$117,0)+0,MATCH(Charts!AI$37,Income!$C$5:$EE$5,0)-1)</f>
        <v>0.80855855855855852</v>
      </c>
      <c r="AJ53" s="1284">
        <f ca="1">OFFSET(Income!$C$6,MATCH(Charts!$E48,Income!$C$6:$C$117,0)+0,MATCH(Charts!AJ$37,Income!$C$5:$EE$5,0)-1)</f>
        <v>0.81893004115226342</v>
      </c>
      <c r="AK53" s="1284">
        <f ca="1">OFFSET(Income!$C$6,MATCH(Charts!$E48,Income!$C$6:$C$117,0)+0,MATCH(Charts!AK$37,Income!$C$5:$EE$5,0)-1)</f>
        <v>0.81523809523809521</v>
      </c>
      <c r="AL53" s="1284">
        <f ca="1">OFFSET(Income!$C$6,MATCH(Charts!$E48,Income!$C$6:$C$117,0)+0,MATCH(Charts!AL$37,Income!$C$5:$EE$5,0)-1)</f>
        <v>0.81409001956947158</v>
      </c>
      <c r="AM53" s="1284">
        <f ca="1">OFFSET(Income!$C$6,MATCH(Charts!$E48,Income!$C$6:$C$117,0)+0,MATCH(Charts!AM$37,Income!$C$5:$EE$5,0)-1)</f>
        <v>0.82770870337477798</v>
      </c>
      <c r="AN53" s="1284">
        <f ca="1">OFFSET(Income!$C$6,MATCH(Charts!$E48,Income!$C$6:$C$117,0)+0,MATCH(Charts!AN$37,Income!$C$5:$EE$5,0)-1)</f>
        <v>0.82295081967213113</v>
      </c>
      <c r="AO53" s="1284">
        <f ca="1">OFFSET(Income!$C$6,MATCH(Charts!$E48,Income!$C$6:$C$117,0)+0,MATCH(Charts!AO$37,Income!$C$5:$EE$5,0)-1)</f>
        <v>0.81895081967213113</v>
      </c>
      <c r="AP53" s="1284">
        <f ca="1">OFFSET(Income!$C$6,MATCH(Charts!$E48,Income!$C$6:$C$117,0)+0,MATCH(Charts!AP$37,Income!$C$5:$EE$5,0)-1)</f>
        <v>0.81909001956947169</v>
      </c>
      <c r="AQ53" s="1284">
        <f ca="1">OFFSET(Income!$C$6,MATCH(Charts!$E48,Income!$C$6:$C$117,0)+0,MATCH(Charts!AQ$37,Income!$C$5:$EE$5,0)-1)</f>
        <v>0.83270870337477798</v>
      </c>
      <c r="AR53" s="1284">
        <f ca="1">OFFSET(Income!$C$6,MATCH(Charts!$E48,Income!$C$6:$C$117,0)+0,MATCH(Charts!AR$37,Income!$C$5:$EE$5,0)-1)</f>
        <v>0.82795081967213113</v>
      </c>
      <c r="AS53" s="1284">
        <f ca="1">OFFSET(Income!$C$6,MATCH(Charts!$E48,Income!$C$6:$C$117,0)+0,MATCH(Charts!AS$37,Income!$C$5:$EE$5,0)-1)</f>
        <v>0.82395081967213124</v>
      </c>
      <c r="AT53" s="1284">
        <f ca="1">OFFSET(Income!$C$6,MATCH(Charts!$E48,Income!$C$6:$C$117,0)+0,MATCH(Charts!AT$37,Income!$C$5:$EE$5,0)-1)</f>
        <v>0.8210900195694717</v>
      </c>
      <c r="AU53" s="1284">
        <f ca="1">OFFSET(Income!$C$6,MATCH(Charts!$E48,Income!$C$6:$C$117,0)+0,MATCH(Charts!AU$37,Income!$C$5:$EE$5,0)-1)</f>
        <v>0.83470870337477787</v>
      </c>
      <c r="AV53" s="1284">
        <f ca="1">OFFSET(Income!$C$6,MATCH(Charts!$E48,Income!$C$6:$C$117,0)+0,MATCH(Charts!AV$37,Income!$C$5:$EE$5,0)-1)</f>
        <v>0.82995081967213113</v>
      </c>
      <c r="AW53" s="1284">
        <f ca="1">OFFSET(Income!$C$6,MATCH(Charts!$E48,Income!$C$6:$C$117,0)+0,MATCH(Charts!AW$37,Income!$C$5:$EE$5,0)-1)</f>
        <v>0.82595081967213113</v>
      </c>
      <c r="AX53" s="1284">
        <f ca="1">OFFSET(Income!$C$6,MATCH(Charts!$E48,Income!$C$6:$C$117,0)+0,MATCH(Charts!AX$37,Income!$C$5:$EE$5,0)-1)</f>
        <v>0.82309001956947159</v>
      </c>
      <c r="AY53" s="1284">
        <f ca="1">OFFSET(Income!$C$6,MATCH(Charts!$E48,Income!$C$6:$C$117,0)+0,MATCH(Charts!AY$37,Income!$C$5:$EE$5,0)-1)</f>
        <v>0.83670870337477798</v>
      </c>
      <c r="AZ53" s="1284">
        <f ca="1">OFFSET(Income!$C$6,MATCH(Charts!$E48,Income!$C$6:$C$117,0)+0,MATCH(Charts!AZ$37,Income!$C$5:$EE$5,0)-1)</f>
        <v>0.83195081967213114</v>
      </c>
      <c r="BA53" s="1284">
        <f ca="1">OFFSET(Income!$C$6,MATCH(Charts!$E48,Income!$C$6:$C$117,0)+0,MATCH(Charts!BA$37,Income!$C$5:$EE$5,0)-1)</f>
        <v>0.82795081967213113</v>
      </c>
      <c r="BB53" s="1110"/>
      <c r="BC53" s="1110"/>
      <c r="BD53" s="1110"/>
      <c r="BE53" s="1110"/>
      <c r="BF53" s="1110"/>
      <c r="BG53" s="1110"/>
      <c r="BH53" s="1110"/>
      <c r="BI53" s="1110"/>
      <c r="BJ53" s="1110"/>
      <c r="BK53" s="1110"/>
      <c r="BL53" s="1110"/>
      <c r="BM53" s="1110"/>
      <c r="BN53" s="1110"/>
      <c r="BO53" s="1110"/>
      <c r="BP53" s="1110"/>
      <c r="BQ53" s="1110"/>
      <c r="BR53" s="1110"/>
      <c r="BS53" s="1110"/>
      <c r="BT53" s="1110"/>
      <c r="BU53" s="1110"/>
      <c r="BV53" s="1110"/>
      <c r="BW53" s="1110"/>
      <c r="BX53" s="1110"/>
      <c r="BY53" s="1110"/>
      <c r="BZ53" s="1110"/>
      <c r="CA53" s="1110"/>
      <c r="CB53" s="1110"/>
      <c r="CC53" s="1110"/>
      <c r="CD53" s="1110"/>
      <c r="CE53" s="1110"/>
      <c r="CF53" s="1110"/>
      <c r="CG53" s="1304" t="str">
        <f>E53</f>
        <v>Subscription Solutions Gross margin</v>
      </c>
      <c r="CH53" s="1284">
        <f ca="1">OFFSET(Income!$C$6,MATCH(Charts!$E48,Income!$C$6:$C$117,0)+0,MATCH(Charts!CH$38,Income!$C$4:$EE$4,0)-1)</f>
        <v>0.79068534405056035</v>
      </c>
      <c r="CI53" s="1284">
        <f ca="1">OFFSET(Income!$C$6,MATCH(Charts!$E48,Income!$C$6:$C$117,0)+0,MATCH(Charts!CI$38,Income!$C$4:$EE$4,0)-1)</f>
        <v>0.80238427770126219</v>
      </c>
      <c r="CJ53" s="1284">
        <f ca="1">OFFSET(Income!$C$6,MATCH(Charts!$E48,Income!$C$6:$C$117,0)+0,MATCH(Charts!CJ$38,Income!$C$4:$EE$4,0)-1)</f>
        <v>0.78281533604590159</v>
      </c>
      <c r="CK53" s="1284">
        <f ca="1">OFFSET(Income!$C$6,MATCH(Charts!$E48,Income!$C$6:$C$117,0)+0,MATCH(Charts!CK$38,Income!$C$4:$EE$4,0)-1)</f>
        <v>0.80045652644412302</v>
      </c>
      <c r="CL53" s="1284">
        <f ca="1">OFFSET(Income!$C$6,MATCH(Charts!$E48,Income!$C$6:$C$117,0)+0,MATCH(Charts!CL$38,Income!$C$4:$EE$4,0)-1)</f>
        <v>0.78703657853529585</v>
      </c>
      <c r="CM53" s="1284">
        <f ca="1">OFFSET(Income!$C$6,MATCH(Charts!$E48,Income!$C$6:$C$117,0)+0,MATCH(Charts!CM$38,Income!$C$4:$EE$4,0)-1)</f>
        <v>0.80306615194132025</v>
      </c>
      <c r="CN53" s="1284">
        <f ca="1">OFFSET(Income!$C$6,MATCH(Charts!$E48,Income!$C$6:$C$117,0)+0,MATCH(Charts!CN$38,Income!$C$4:$EE$4,0)-1)</f>
        <v>0.77760712588530811</v>
      </c>
      <c r="CO53" s="1284">
        <f ca="1">OFFSET(Income!$C$6,MATCH(Charts!$E48,Income!$C$6:$C$117,0)+0,MATCH(Charts!CO$38,Income!$C$4:$EE$4,0)-1)</f>
        <v>0.8072945019052804</v>
      </c>
      <c r="CP53" s="1284">
        <f ca="1">OFFSET(Income!$C$6,MATCH(Charts!$E48,Income!$C$6:$C$117,0)+0,MATCH(Charts!CP$38,Income!$C$4:$EE$4,0)-1)</f>
        <v>0.82103765729577738</v>
      </c>
      <c r="CQ53" s="1284">
        <f ca="1">OFFSET(Income!$C$6,MATCH(Charts!$E48,Income!$C$6:$C$117,0)+0,MATCH(Charts!CQ$38,Income!$C$4:$EE$4,0)-1)</f>
        <v>0.82603765729577738</v>
      </c>
      <c r="CR53" s="1284">
        <f ca="1">OFFSET(Income!$C$6,MATCH(Charts!$E48,Income!$C$6:$C$117,0)+0,MATCH(Charts!CR$38,Income!$C$4:$EE$4,0)-1)</f>
        <v>0.82803765729577727</v>
      </c>
      <c r="CS53" s="1284">
        <f ca="1">OFFSET(Income!$C$6,MATCH(Charts!$E48,Income!$C$6:$C$117,0)+0,MATCH(Charts!CS$38,Income!$C$4:$EE$4,0)-1)</f>
        <v>0.83003765729577716</v>
      </c>
    </row>
    <row r="54" spans="1:130">
      <c r="E54" s="791" t="str">
        <f>Income!C26</f>
        <v>Merchant Solutions Gross margin</v>
      </c>
      <c r="F54" s="1284">
        <f ca="1">OFFSET(Income!$C$6,MATCH(Charts!$E49,Income!$C$6:$C$117,0)+0,MATCH(Charts!F$37,Income!$C$5:$EE$5,0)-1)</f>
        <v>0.28254350893697078</v>
      </c>
      <c r="G54" s="1284">
        <f ca="1">OFFSET(Income!$C$6,MATCH(Charts!$E49,Income!$C$6:$C$117,0)+0,MATCH(Charts!G$37,Income!$C$5:$EE$5,0)-1)</f>
        <v>0.30128220045144627</v>
      </c>
      <c r="H54" s="1284">
        <f ca="1">OFFSET(Income!$C$6,MATCH(Charts!$E49,Income!$C$6:$C$117,0)+0,MATCH(Charts!H$37,Income!$C$5:$EE$5,0)-1)</f>
        <v>0.29087838517059045</v>
      </c>
      <c r="I54" s="1284">
        <f ca="1">OFFSET(Income!$C$6,MATCH(Charts!$E49,Income!$C$6:$C$117,0)+0,MATCH(Charts!I$37,Income!$C$5:$EE$5,0)-1)</f>
        <v>0.31543596951186542</v>
      </c>
      <c r="J54" s="1284">
        <f ca="1">OFFSET(Income!$C$6,MATCH(Charts!$E49,Income!$C$6:$C$117,0)+0,MATCH(Charts!J$37,Income!$C$5:$EE$5,0)-1)</f>
        <v>0.34326712507082807</v>
      </c>
      <c r="K54" s="1284">
        <f ca="1">OFFSET(Income!$C$6,MATCH(Charts!$E49,Income!$C$6:$C$117,0)+0,MATCH(Charts!K$37,Income!$C$5:$EE$5,0)-1)</f>
        <v>0.36136752563798291</v>
      </c>
      <c r="L54" s="1284">
        <f ca="1">OFFSET(Income!$C$6,MATCH(Charts!$E49,Income!$C$6:$C$117,0)+0,MATCH(Charts!L$37,Income!$C$5:$EE$5,0)-1)</f>
        <v>0.37126071376416803</v>
      </c>
      <c r="M54" s="1284">
        <f ca="1">OFFSET(Income!$C$6,MATCH(Charts!$E49,Income!$C$6:$C$117,0)+0,MATCH(Charts!M$37,Income!$C$5:$EE$5,0)-1)</f>
        <v>0.36536432472691149</v>
      </c>
      <c r="N54" s="1284">
        <f ca="1">OFFSET(Income!$C$6,MATCH(Charts!$E49,Income!$C$6:$C$117,0)+0,MATCH(Charts!N$37,Income!$C$5:$EE$5,0)-1)</f>
        <v>0.41005063867813779</v>
      </c>
      <c r="O54" s="1284">
        <f ca="1">OFFSET(Income!$C$6,MATCH(Charts!$E49,Income!$C$6:$C$117,0)+0,MATCH(Charts!O$37,Income!$C$5:$EE$5,0)-1)</f>
        <v>0.37810819266697454</v>
      </c>
      <c r="P54" s="1284">
        <f ca="1">OFFSET(Income!$C$6,MATCH(Charts!$E49,Income!$C$6:$C$117,0)+0,MATCH(Charts!P$37,Income!$C$5:$EE$5,0)-1)</f>
        <v>0.37319371167592802</v>
      </c>
      <c r="Q54" s="1284">
        <f ca="1">OFFSET(Income!$C$6,MATCH(Charts!$E49,Income!$C$6:$C$117,0)+0,MATCH(Charts!Q$37,Income!$C$5:$EE$5,0)-1)</f>
        <v>0.37512244296297698</v>
      </c>
      <c r="R54" s="1284">
        <f ca="1">OFFSET(Income!$C$6,MATCH(Charts!$E49,Income!$C$6:$C$117,0)+0,MATCH(Charts!R$37,Income!$C$5:$EE$5,0)-1)</f>
        <v>0.37674067243974652</v>
      </c>
      <c r="S54" s="1284">
        <f ca="1">OFFSET(Income!$C$6,MATCH(Charts!$E49,Income!$C$6:$C$117,0)+0,MATCH(Charts!S$37,Income!$C$5:$EE$5,0)-1)</f>
        <v>0.38891122470468859</v>
      </c>
      <c r="T54" s="1284">
        <f ca="1">OFFSET(Income!$C$6,MATCH(Charts!$E49,Income!$C$6:$C$117,0)+0,MATCH(Charts!T$37,Income!$C$5:$EE$5,0)-1)</f>
        <v>0.37507278586509618</v>
      </c>
      <c r="U54" s="1284">
        <f ca="1">OFFSET(Income!$C$6,MATCH(Charts!$E49,Income!$C$6:$C$117,0)+0,MATCH(Charts!U$37,Income!$C$5:$EE$5,0)-1)</f>
        <v>0.3667583868022386</v>
      </c>
      <c r="V54" s="1284">
        <f ca="1">OFFSET(Income!$C$6,MATCH(Charts!$E49,Income!$C$6:$C$117,0)+0,MATCH(Charts!V$37,Income!$C$5:$EE$5,0)-1)</f>
        <v>0.37909360038528001</v>
      </c>
      <c r="W54" s="1284">
        <f ca="1">OFFSET(Income!$C$6,MATCH(Charts!$E49,Income!$C$6:$C$117,0)+0,MATCH(Charts!W$37,Income!$C$5:$EE$5,0)-1)</f>
        <v>0.43057923526810804</v>
      </c>
      <c r="X54" s="1284">
        <f ca="1">OFFSET(Income!$C$6,MATCH(Charts!$E49,Income!$C$6:$C$117,0)+0,MATCH(Charts!X$37,Income!$C$5:$EE$5,0)-1)</f>
        <v>0.406112642229632</v>
      </c>
      <c r="Y54" s="1284">
        <f ca="1">OFFSET(Income!$C$6,MATCH(Charts!$E49,Income!$C$6:$C$117,0)+0,MATCH(Charts!Y$37,Income!$C$5:$EE$5,0)-1)</f>
        <v>0.40698320502245439</v>
      </c>
      <c r="Z54" s="1284">
        <f ca="1">OFFSET(Income!$C$6,MATCH(Charts!$E49,Income!$C$6:$C$117,0)+0,MATCH(Charts!Z$37,Income!$C$5:$EE$5,0)-1)</f>
        <v>0.4437606105699991</v>
      </c>
      <c r="AA54" s="1284">
        <f ca="1">OFFSET(Income!$C$6,MATCH(Charts!$E49,Income!$C$6:$C$117,0)+0,MATCH(Charts!AA$37,Income!$C$5:$EE$5,0)-1)</f>
        <v>0.44529602347403491</v>
      </c>
      <c r="AB54" s="1284">
        <f ca="1">OFFSET(Income!$C$6,MATCH(Charts!$E49,Income!$C$6:$C$117,0)+0,MATCH(Charts!AB$37,Income!$C$5:$EE$5,0)-1)</f>
        <v>0.43179959671480017</v>
      </c>
      <c r="AC54" s="1284">
        <f ca="1">OFFSET(Income!$C$6,MATCH(Charts!$E49,Income!$C$6:$C$117,0)+0,MATCH(Charts!AC$37,Income!$C$5:$EE$5,0)-1)</f>
        <v>0.40535722617066611</v>
      </c>
      <c r="AD54" s="1284">
        <f ca="1">OFFSET(Income!$C$6,MATCH(Charts!$E49,Income!$C$6:$C$117,0)+0,MATCH(Charts!AD$37,Income!$C$5:$EE$5,0)-1)</f>
        <v>0.43129280373331225</v>
      </c>
      <c r="AE54" s="1284">
        <f ca="1">OFFSET(Income!$C$6,MATCH(Charts!$E49,Income!$C$6:$C$117,0)+0,MATCH(Charts!AE$37,Income!$C$5:$EE$5,0)-1)</f>
        <v>0.40321875471129204</v>
      </c>
      <c r="AF54" s="1284">
        <f ca="1">OFFSET(Income!$C$6,MATCH(Charts!$E49,Income!$C$6:$C$117,0)+0,MATCH(Charts!AF$37,Income!$C$5:$EE$5,0)-1)</f>
        <v>0.37210260844793264</v>
      </c>
      <c r="AG54" s="1284">
        <f ca="1">OFFSET(Income!$C$6,MATCH(Charts!$E49,Income!$C$6:$C$117,0)+0,MATCH(Charts!AG$37,Income!$C$5:$EE$5,0)-1)</f>
        <v>0.36264051594187263</v>
      </c>
      <c r="AH54" s="1284">
        <f ca="1">OFFSET(Income!$C$6,MATCH(Charts!$E49,Income!$C$6:$C$117,0)+0,MATCH(Charts!AH$37,Income!$C$5:$EE$5,0)-1)</f>
        <v>0.37211367673179396</v>
      </c>
      <c r="AI54" s="1284">
        <f ca="1">OFFSET(Income!$C$6,MATCH(Charts!$E49,Income!$C$6:$C$117,0)+0,MATCH(Charts!AI$37,Income!$C$5:$EE$5,0)-1)</f>
        <v>0.38080000000000003</v>
      </c>
      <c r="AJ54" s="1284">
        <f ca="1">OFFSET(Income!$C$6,MATCH(Charts!$E49,Income!$C$6:$C$117,0)+0,MATCH(Charts!AJ$37,Income!$C$5:$EE$5,0)-1)</f>
        <v>0.40960912052117265</v>
      </c>
      <c r="AK54" s="1284">
        <f ca="1">OFFSET(Income!$C$6,MATCH(Charts!$E49,Income!$C$6:$C$117,0)+0,MATCH(Charts!AK$37,Income!$C$5:$EE$5,0)-1)</f>
        <v>0.39159975293390981</v>
      </c>
      <c r="AL54" s="1284">
        <f ca="1">OFFSET(Income!$C$6,MATCH(Charts!$E49,Income!$C$6:$C$117,0)+0,MATCH(Charts!AL$37,Income!$C$5:$EE$5,0)-1)</f>
        <v>0.40074074074074073</v>
      </c>
      <c r="AM54" s="1284">
        <f ca="1">OFFSET(Income!$C$6,MATCH(Charts!$E49,Income!$C$6:$C$117,0)+0,MATCH(Charts!AM$37,Income!$C$5:$EE$5,0)-1)</f>
        <v>0.39068825910931176</v>
      </c>
      <c r="AN54" s="1284">
        <f ca="1">OFFSET(Income!$C$6,MATCH(Charts!$E49,Income!$C$6:$C$117,0)+0,MATCH(Charts!AN$37,Income!$C$5:$EE$5,0)-1)</f>
        <v>0.39690721649484534</v>
      </c>
      <c r="AO54" s="1284">
        <f ca="1">OFFSET(Income!$C$6,MATCH(Charts!$E49,Income!$C$6:$C$117,0)+0,MATCH(Charts!AO$37,Income!$C$5:$EE$5,0)-1)</f>
        <v>0.37990721649484538</v>
      </c>
      <c r="AP54" s="1284">
        <f ca="1">OFFSET(Income!$C$6,MATCH(Charts!$E49,Income!$C$6:$C$117,0)+0,MATCH(Charts!AP$37,Income!$C$5:$EE$5,0)-1)</f>
        <v>0.39874074074074067</v>
      </c>
      <c r="AQ54" s="1284">
        <f ca="1">OFFSET(Income!$C$6,MATCH(Charts!$E49,Income!$C$6:$C$117,0)+0,MATCH(Charts!AQ$37,Income!$C$5:$EE$5,0)-1)</f>
        <v>0.38968825910931171</v>
      </c>
      <c r="AR54" s="1284">
        <f ca="1">OFFSET(Income!$C$6,MATCH(Charts!$E49,Income!$C$6:$C$117,0)+0,MATCH(Charts!AR$37,Income!$C$5:$EE$5,0)-1)</f>
        <v>0.4009072164948454</v>
      </c>
      <c r="AS54" s="1284">
        <f ca="1">OFFSET(Income!$C$6,MATCH(Charts!$E49,Income!$C$6:$C$117,0)+0,MATCH(Charts!AS$37,Income!$C$5:$EE$5,0)-1)</f>
        <v>0.38490721649484538</v>
      </c>
      <c r="AT54" s="1284">
        <f ca="1">OFFSET(Income!$C$6,MATCH(Charts!$E49,Income!$C$6:$C$117,0)+0,MATCH(Charts!AT$37,Income!$C$5:$EE$5,0)-1)</f>
        <v>0.39924074074074067</v>
      </c>
      <c r="AU54" s="1284">
        <f ca="1">OFFSET(Income!$C$6,MATCH(Charts!$E49,Income!$C$6:$C$117,0)+0,MATCH(Charts!AU$37,Income!$C$5:$EE$5,0)-1)</f>
        <v>0.39018825910931165</v>
      </c>
      <c r="AV54" s="1284">
        <f ca="1">OFFSET(Income!$C$6,MATCH(Charts!$E49,Income!$C$6:$C$117,0)+0,MATCH(Charts!AV$37,Income!$C$5:$EE$5,0)-1)</f>
        <v>0.40140721649484534</v>
      </c>
      <c r="AW54" s="1284">
        <f ca="1">OFFSET(Income!$C$6,MATCH(Charts!$E49,Income!$C$6:$C$117,0)+0,MATCH(Charts!AW$37,Income!$C$5:$EE$5,0)-1)</f>
        <v>0.38540721649484533</v>
      </c>
      <c r="AX54" s="1284">
        <f ca="1">OFFSET(Income!$C$6,MATCH(Charts!$E49,Income!$C$6:$C$117,0)+0,MATCH(Charts!AX$37,Income!$C$5:$EE$5,0)-1)</f>
        <v>0.39974074074074062</v>
      </c>
      <c r="AY54" s="1284">
        <f ca="1">OFFSET(Income!$C$6,MATCH(Charts!$E49,Income!$C$6:$C$117,0)+0,MATCH(Charts!AY$37,Income!$C$5:$EE$5,0)-1)</f>
        <v>0.3906882591093116</v>
      </c>
      <c r="AZ54" s="1284">
        <f ca="1">OFFSET(Income!$C$6,MATCH(Charts!$E49,Income!$C$6:$C$117,0)+0,MATCH(Charts!AZ$37,Income!$C$5:$EE$5,0)-1)</f>
        <v>0.40190721649484529</v>
      </c>
      <c r="BA54" s="1284">
        <f ca="1">OFFSET(Income!$C$6,MATCH(Charts!$E49,Income!$C$6:$C$117,0)+0,MATCH(Charts!BA$37,Income!$C$5:$EE$5,0)-1)</f>
        <v>0.38590721649484522</v>
      </c>
      <c r="BB54" s="1110"/>
      <c r="BC54" s="1110"/>
      <c r="BD54" s="1110"/>
      <c r="BE54" s="1110"/>
      <c r="BF54" s="1110"/>
      <c r="BG54" s="1110"/>
      <c r="BH54" s="1110"/>
      <c r="BI54" s="1110"/>
      <c r="BJ54" s="1110"/>
      <c r="BK54" s="1110"/>
      <c r="BL54" s="1110"/>
      <c r="BM54" s="1110"/>
      <c r="BN54" s="1110"/>
      <c r="BO54" s="1110"/>
      <c r="BP54" s="1110"/>
      <c r="BQ54" s="1110"/>
      <c r="BR54" s="1110"/>
      <c r="BS54" s="1110"/>
      <c r="BT54" s="1110"/>
      <c r="BU54" s="1110"/>
      <c r="BV54" s="1110"/>
      <c r="BW54" s="1110"/>
      <c r="BX54" s="1110"/>
      <c r="BY54" s="1110"/>
      <c r="BZ54" s="1110"/>
      <c r="CA54" s="1110"/>
      <c r="CB54" s="1110"/>
      <c r="CC54" s="1110"/>
      <c r="CD54" s="1110"/>
      <c r="CE54" s="1110"/>
      <c r="CF54" s="1110"/>
      <c r="CG54" s="1304" t="str">
        <f>E54</f>
        <v>Merchant Solutions Gross margin</v>
      </c>
      <c r="CH54" s="1284">
        <f ca="1">OFFSET(Income!$C$6,MATCH(Charts!$E49,Income!$C$6:$C$117,0)+0,MATCH(Charts!CH$38,Income!$C$4:$EE$4,0)-1)</f>
        <v>0.30074629839979272</v>
      </c>
      <c r="CI54" s="1284">
        <f ca="1">OFFSET(Income!$C$6,MATCH(Charts!$E49,Income!$C$6:$C$117,0)+0,MATCH(Charts!CI$38,Income!$C$4:$EE$4,0)-1)</f>
        <v>0.36195643496764135</v>
      </c>
      <c r="CJ54" s="1284">
        <f ca="1">OFFSET(Income!$C$6,MATCH(Charts!$E49,Income!$C$6:$C$117,0)+0,MATCH(Charts!CJ$38,Income!$C$4:$EE$4,0)-1)</f>
        <v>0.38186188516571778</v>
      </c>
      <c r="CK54" s="1284">
        <f ca="1">OFFSET(Income!$C$6,MATCH(Charts!$E49,Income!$C$6:$C$117,0)+0,MATCH(Charts!CK$38,Income!$C$4:$EE$4,0)-1)</f>
        <v>0.37562237427505418</v>
      </c>
      <c r="CL54" s="1284">
        <f ca="1">OFFSET(Income!$C$6,MATCH(Charts!$E49,Income!$C$6:$C$117,0)+0,MATCH(Charts!CL$38,Income!$C$4:$EE$4,0)-1)</f>
        <v>0.40890834716494107</v>
      </c>
      <c r="CM54" s="1284">
        <f ca="1">OFFSET(Income!$C$6,MATCH(Charts!$E49,Income!$C$6:$C$117,0)+0,MATCH(Charts!CM$38,Income!$C$4:$EE$4,0)-1)</f>
        <v>0.42916395730018031</v>
      </c>
      <c r="CN54" s="1284">
        <f ca="1">OFFSET(Income!$C$6,MATCH(Charts!$E49,Income!$C$6:$C$117,0)+0,MATCH(Charts!CN$38,Income!$C$4:$EE$4,0)-1)</f>
        <v>0.38842077232950034</v>
      </c>
      <c r="CO54" s="1284">
        <f ca="1">OFFSET(Income!$C$6,MATCH(Charts!$E49,Income!$C$6:$C$117,0)+0,MATCH(Charts!CO$38,Income!$C$4:$EE$4,0)-1)</f>
        <v>0.38904843959410301</v>
      </c>
      <c r="CP54" s="1284">
        <f ca="1">OFFSET(Income!$C$6,MATCH(Charts!$E49,Income!$C$6:$C$117,0)+0,MATCH(Charts!CP$38,Income!$C$4:$EE$4,0)-1)</f>
        <v>0.3908696357581653</v>
      </c>
      <c r="CQ54" s="1284">
        <f ca="1">OFFSET(Income!$C$6,MATCH(Charts!$E49,Income!$C$6:$C$117,0)+0,MATCH(Charts!CQ$38,Income!$C$4:$EE$4,0)-1)</f>
        <v>0.39280177202896771</v>
      </c>
      <c r="CR54" s="1284">
        <f ca="1">OFFSET(Income!$C$6,MATCH(Charts!$E49,Income!$C$6:$C$117,0)+0,MATCH(Charts!CR$38,Income!$C$4:$EE$4,0)-1)</f>
        <v>0.39330102734359035</v>
      </c>
      <c r="CS54" s="1284">
        <f ca="1">OFFSET(Income!$C$6,MATCH(Charts!$E49,Income!$C$6:$C$117,0)+0,MATCH(Charts!CS$38,Income!$C$4:$EE$4,0)-1)</f>
        <v>0.39380052166419682</v>
      </c>
    </row>
    <row r="55" spans="1:130">
      <c r="E55" s="10" t="s">
        <v>609</v>
      </c>
      <c r="F55" s="1284">
        <f ca="1">OFFSET(Income!$C$6,MATCH(Charts!$E50,Income!$C$6:$C$117,0)+0,MATCH(Charts!F$37,Income!$C$5:$EE$5,0)-1)</f>
        <v>0.55120871263166582</v>
      </c>
      <c r="G55" s="1284">
        <f ca="1">OFFSET(Income!$C$6,MATCH(Charts!$E50,Income!$C$6:$C$117,0)+0,MATCH(Charts!G$37,Income!$C$5:$EE$5,0)-1)</f>
        <v>0.54846676745876943</v>
      </c>
      <c r="H55" s="1284">
        <f ca="1">OFFSET(Income!$C$6,MATCH(Charts!$E50,Income!$C$6:$C$117,0)+0,MATCH(Charts!H$37,Income!$C$5:$EE$5,0)-1)</f>
        <v>0.53979794733776543</v>
      </c>
      <c r="I55" s="1284">
        <f ca="1">OFFSET(Income!$C$6,MATCH(Charts!$E50,Income!$C$6:$C$117,0)+0,MATCH(Charts!I$37,Income!$C$5:$EE$5,0)-1)</f>
        <v>0.52257579592431513</v>
      </c>
      <c r="J55" s="1284">
        <f ca="1">OFFSET(Income!$C$6,MATCH(Charts!$E50,Income!$C$6:$C$117,0)+0,MATCH(Charts!J$37,Income!$C$5:$EE$5,0)-1)</f>
        <v>0.56713430000235532</v>
      </c>
      <c r="K55" s="1284">
        <f ca="1">OFFSET(Income!$C$6,MATCH(Charts!$E50,Income!$C$6:$C$117,0)+0,MATCH(Charts!K$37,Income!$C$5:$EE$5,0)-1)</f>
        <v>0.57261547591572981</v>
      </c>
      <c r="L55" s="1284">
        <f ca="1">OFFSET(Income!$C$6,MATCH(Charts!$E50,Income!$C$6:$C$117,0)+0,MATCH(Charts!L$37,Income!$C$5:$EE$5,0)-1)</f>
        <v>0.58339748973497574</v>
      </c>
      <c r="M55" s="1284">
        <f ca="1">OFFSET(Income!$C$6,MATCH(Charts!$E50,Income!$C$6:$C$117,0)+0,MATCH(Charts!M$37,Income!$C$5:$EE$5,0)-1)</f>
        <v>0.54370461461129005</v>
      </c>
      <c r="N55" s="1284">
        <f ca="1">OFFSET(Income!$C$6,MATCH(Charts!$E50,Income!$C$6:$C$117,0)+0,MATCH(Charts!N$37,Income!$C$5:$EE$5,0)-1)</f>
        <v>0.57778296164971543</v>
      </c>
      <c r="O55" s="1284">
        <f ca="1">OFFSET(Income!$C$6,MATCH(Charts!$E50,Income!$C$6:$C$117,0)+0,MATCH(Charts!O$37,Income!$C$5:$EE$5,0)-1)</f>
        <v>0.55908443315929335</v>
      </c>
      <c r="P55" s="1284">
        <f ca="1">OFFSET(Income!$C$6,MATCH(Charts!$E50,Income!$C$6:$C$117,0)+0,MATCH(Charts!P$37,Income!$C$5:$EE$5,0)-1)</f>
        <v>0.55441302802298709</v>
      </c>
      <c r="Q55" s="1284">
        <f ca="1">OFFSET(Income!$C$6,MATCH(Charts!$E50,Income!$C$6:$C$117,0)+0,MATCH(Charts!Q$37,Income!$C$5:$EE$5,0)-1)</f>
        <v>0.54016727640739592</v>
      </c>
      <c r="R55" s="1284">
        <f ca="1">OFFSET(Income!$C$6,MATCH(Charts!$E50,Income!$C$6:$C$117,0)+0,MATCH(Charts!R$37,Income!$C$5:$EE$5,0)-1)</f>
        <v>0.56256201596345501</v>
      </c>
      <c r="S55" s="1284">
        <f ca="1">OFFSET(Income!$C$6,MATCH(Charts!$E50,Income!$C$6:$C$117,0)+0,MATCH(Charts!S$37,Income!$C$5:$EE$5,0)-1)</f>
        <v>0.56568198707659834</v>
      </c>
      <c r="T55" s="1284">
        <f ca="1">OFFSET(Income!$C$6,MATCH(Charts!$E50,Income!$C$6:$C$117,0)+0,MATCH(Charts!T$37,Income!$C$5:$EE$5,0)-1)</f>
        <v>0.55484544951760584</v>
      </c>
      <c r="U55" s="1284">
        <f ca="1">OFFSET(Income!$C$6,MATCH(Charts!$E50,Income!$C$6:$C$117,0)+0,MATCH(Charts!U$37,Income!$C$5:$EE$5,0)-1)</f>
        <v>0.5223909256473197</v>
      </c>
      <c r="V55" s="1284">
        <f ca="1">OFFSET(Income!$C$6,MATCH(Charts!$E50,Income!$C$6:$C$117,0)+0,MATCH(Charts!V$37,Income!$C$5:$EE$5,0)-1)</f>
        <v>0.546700964466033</v>
      </c>
      <c r="W55" s="1284">
        <f ca="1">OFFSET(Income!$C$6,MATCH(Charts!$E50,Income!$C$6:$C$117,0)+0,MATCH(Charts!W$37,Income!$C$5:$EE$5,0)-1)</f>
        <v>0.52500696446095074</v>
      </c>
      <c r="X55" s="1284">
        <f ca="1">OFFSET(Income!$C$6,MATCH(Charts!$E50,Income!$C$6:$C$117,0)+0,MATCH(Charts!X$37,Income!$C$5:$EE$5,0)-1)</f>
        <v>0.52794547859344154</v>
      </c>
      <c r="Y55" s="1284">
        <f ca="1">OFFSET(Income!$C$6,MATCH(Charts!$E50,Income!$C$6:$C$117,0)+0,MATCH(Charts!Y$37,Income!$C$5:$EE$5,0)-1)</f>
        <v>0.51586918457183062</v>
      </c>
      <c r="Z55" s="1284">
        <f ca="1">OFFSET(Income!$C$6,MATCH(Charts!$E50,Income!$C$6:$C$117,0)+0,MATCH(Charts!Z$37,Income!$C$5:$EE$5,0)-1)</f>
        <v>0.56513194294829194</v>
      </c>
      <c r="AA55" s="1284">
        <f ca="1">OFFSET(Income!$C$6,MATCH(Charts!$E50,Income!$C$6:$C$117,0)+0,MATCH(Charts!AA$37,Income!$C$5:$EE$5,0)-1)</f>
        <v>0.55461411681681538</v>
      </c>
      <c r="AB55" s="1284">
        <f ca="1">OFFSET(Income!$C$6,MATCH(Charts!$E50,Income!$C$6:$C$117,0)+0,MATCH(Charts!AB$37,Income!$C$5:$EE$5,0)-1)</f>
        <v>0.54185932689056182</v>
      </c>
      <c r="AC55" s="1284">
        <f ca="1">OFFSET(Income!$C$6,MATCH(Charts!$E50,Income!$C$6:$C$117,0)+0,MATCH(Charts!AC$37,Income!$C$5:$EE$5,0)-1)</f>
        <v>0.501918082584071</v>
      </c>
      <c r="AD55" s="1284">
        <f ca="1">OFFSET(Income!$C$6,MATCH(Charts!$E50,Income!$C$6:$C$117,0)+0,MATCH(Charts!AD$37,Income!$C$5:$EE$5,0)-1)</f>
        <v>0.52976471868683139</v>
      </c>
      <c r="AE55" s="1284">
        <f ca="1">OFFSET(Income!$C$6,MATCH(Charts!$E50,Income!$C$6:$C$117,0)+0,MATCH(Charts!AE$37,Income!$C$5:$EE$5,0)-1)</f>
        <v>0.50626262969446278</v>
      </c>
      <c r="AF55" s="1284">
        <f ca="1">OFFSET(Income!$C$6,MATCH(Charts!$E50,Income!$C$6:$C$117,0)+0,MATCH(Charts!AF$37,Income!$C$5:$EE$5,0)-1)</f>
        <v>0.48479871175523354</v>
      </c>
      <c r="AG55" s="1284">
        <f ca="1">OFFSET(Income!$C$6,MATCH(Charts!$E50,Income!$C$6:$C$117,0)+0,MATCH(Charts!AG$37,Income!$C$5:$EE$5,0)-1)</f>
        <v>0.46024099441030381</v>
      </c>
      <c r="AH55" s="1284">
        <f ca="1">OFFSET(Income!$C$6,MATCH(Charts!$E50,Income!$C$6:$C$117,0)+0,MATCH(Charts!AH$37,Income!$C$5:$EE$5,0)-1)</f>
        <v>0.47546419098143233</v>
      </c>
      <c r="AI55" s="1284">
        <f ca="1">OFFSET(Income!$C$6,MATCH(Charts!$E50,Income!$C$6:$C$117,0)+0,MATCH(Charts!AI$37,Income!$C$5:$EE$5,0)-1)</f>
        <v>0.49291617473435656</v>
      </c>
      <c r="AJ55" s="1284">
        <f ca="1">OFFSET(Income!$C$6,MATCH(Charts!$E50,Income!$C$6:$C$117,0)+0,MATCH(Charts!AJ$37,Income!$C$5:$EE$5,0)-1)</f>
        <v>0.52567094515752621</v>
      </c>
      <c r="AK55" s="1284">
        <f ca="1">OFFSET(Income!$C$6,MATCH(Charts!$E50,Income!$C$6:$C$117,0)+0,MATCH(Charts!AK$37,Income!$C$5:$EE$5,0)-1)</f>
        <v>0.49533582089552236</v>
      </c>
      <c r="AL55" s="1284">
        <f ca="1">OFFSET(Income!$C$6,MATCH(Charts!$E50,Income!$C$6:$C$117,0)+0,MATCH(Charts!AL$37,Income!$C$5:$EE$5,0)-1)</f>
        <v>0.51423965609887157</v>
      </c>
      <c r="AM55" s="1284">
        <f ca="1">OFFSET(Income!$C$6,MATCH(Charts!$E50,Income!$C$6:$C$117,0)+0,MATCH(Charts!AM$37,Income!$C$5:$EE$5,0)-1)</f>
        <v>0.51100244498777503</v>
      </c>
      <c r="AN55" s="1284">
        <f ca="1">OFFSET(Income!$C$6,MATCH(Charts!$E50,Income!$C$6:$C$117,0)+0,MATCH(Charts!AN$37,Income!$C$5:$EE$5,0)-1)</f>
        <v>0.51711378353376503</v>
      </c>
      <c r="AO55" s="1284">
        <f ca="1">OFFSET(Income!$C$6,MATCH(Charts!$E50,Income!$C$6:$C$117,0)+0,MATCH(Charts!AO$37,Income!$C$5:$EE$5,0)-1)</f>
        <v>0.48671860936820865</v>
      </c>
      <c r="AP55" s="1284">
        <f ca="1">OFFSET(Income!$C$6,MATCH(Charts!$E50,Income!$C$6:$C$117,0)+0,MATCH(Charts!AP$37,Income!$C$5:$EE$5,0)-1)</f>
        <v>0.50720880007728575</v>
      </c>
      <c r="AQ55" s="1284">
        <f ca="1">OFFSET(Income!$C$6,MATCH(Charts!$E50,Income!$C$6:$C$117,0)+0,MATCH(Charts!AQ$37,Income!$C$5:$EE$5,0)-1)</f>
        <v>0.50714527300423251</v>
      </c>
      <c r="AR55" s="1284">
        <f ca="1">OFFSET(Income!$C$6,MATCH(Charts!$E50,Income!$C$6:$C$117,0)+0,MATCH(Charts!AR$37,Income!$C$5:$EE$5,0)-1)</f>
        <v>0.51780626571054189</v>
      </c>
      <c r="AS55" s="1284">
        <f ca="1">OFFSET(Income!$C$6,MATCH(Charts!$E50,Income!$C$6:$C$117,0)+0,MATCH(Charts!AS$37,Income!$C$5:$EE$5,0)-1)</f>
        <v>0.48770153649382481</v>
      </c>
      <c r="AT55" s="1284">
        <f ca="1">OFFSET(Income!$C$6,MATCH(Charts!$E50,Income!$C$6:$C$117,0)+0,MATCH(Charts!AT$37,Income!$C$5:$EE$5,0)-1)</f>
        <v>0.50465696721201858</v>
      </c>
      <c r="AU55" s="1284">
        <f ca="1">OFFSET(Income!$C$6,MATCH(Charts!$E50,Income!$C$6:$C$117,0)+0,MATCH(Charts!AU$37,Income!$C$5:$EE$5,0)-1)</f>
        <v>0.50433854261389621</v>
      </c>
      <c r="AV55" s="1284">
        <f ca="1">OFFSET(Income!$C$6,MATCH(Charts!$E50,Income!$C$6:$C$117,0)+0,MATCH(Charts!AV$37,Income!$C$5:$EE$5,0)-1)</f>
        <v>0.51509509782682894</v>
      </c>
      <c r="AW55" s="1284">
        <f ca="1">OFFSET(Income!$C$6,MATCH(Charts!$E50,Income!$C$6:$C$117,0)+0,MATCH(Charts!AW$37,Income!$C$5:$EE$5,0)-1)</f>
        <v>0.48517956146270169</v>
      </c>
      <c r="AX55" s="1284">
        <f ca="1">OFFSET(Income!$C$6,MATCH(Charts!$E50,Income!$C$6:$C$117,0)+0,MATCH(Charts!AX$37,Income!$C$5:$EE$5,0)-1)</f>
        <v>0.50274380868861746</v>
      </c>
      <c r="AY55" s="1284">
        <f ca="1">OFFSET(Income!$C$6,MATCH(Charts!$E50,Income!$C$6:$C$117,0)+0,MATCH(Charts!AY$37,Income!$C$5:$EE$5,0)-1)</f>
        <v>0.50222186440087202</v>
      </c>
      <c r="AZ55" s="1284">
        <f ca="1">OFFSET(Income!$C$6,MATCH(Charts!$E50,Income!$C$6:$C$117,0)+0,MATCH(Charts!AZ$37,Income!$C$5:$EE$5,0)-1)</f>
        <v>0.51305207835971445</v>
      </c>
      <c r="BA55" s="1284">
        <f ca="1">OFFSET(Income!$C$6,MATCH(Charts!$E50,Income!$C$6:$C$117,0)+0,MATCH(Charts!BA$37,Income!$C$5:$EE$5,0)-1)</f>
        <v>0.48329209510018184</v>
      </c>
      <c r="BB55" s="1110"/>
      <c r="BC55" s="1110"/>
      <c r="BD55" s="1110"/>
      <c r="BE55" s="1110"/>
      <c r="BF55" s="1110"/>
      <c r="BG55" s="1110"/>
      <c r="BH55" s="1110"/>
      <c r="BI55" s="1110"/>
      <c r="BJ55" s="1110"/>
      <c r="BK55" s="1110"/>
      <c r="BL55" s="1110"/>
      <c r="BM55" s="1110"/>
      <c r="BN55" s="1110"/>
      <c r="BO55" s="1110"/>
      <c r="BP55" s="1110"/>
      <c r="BQ55" s="1110"/>
      <c r="BR55" s="1110"/>
      <c r="BS55" s="1110"/>
      <c r="BT55" s="1110"/>
      <c r="BU55" s="1110"/>
      <c r="BV55" s="1110"/>
      <c r="BW55" s="1110"/>
      <c r="BX55" s="1110"/>
      <c r="BY55" s="1110"/>
      <c r="BZ55" s="1110"/>
      <c r="CA55" s="1110"/>
      <c r="CB55" s="1110"/>
      <c r="CC55" s="1110"/>
      <c r="CD55" s="1110"/>
      <c r="CE55" s="1110"/>
      <c r="CF55" s="1110"/>
      <c r="CG55" s="1304" t="str">
        <f>E55</f>
        <v>Total Gross Margin</v>
      </c>
      <c r="CH55" s="1284">
        <f t="shared" ref="CH55:CS55" ca="1" si="55">+CH50/CH5</f>
        <v>0.53809107954691393</v>
      </c>
      <c r="CI55" s="1284">
        <f t="shared" ca="1" si="55"/>
        <v>0.5647567814835498</v>
      </c>
      <c r="CJ55" s="1284">
        <f t="shared" ca="1" si="55"/>
        <v>0.55558226622649964</v>
      </c>
      <c r="CK55" s="1284">
        <f t="shared" ca="1" si="55"/>
        <v>0.54850957404543099</v>
      </c>
      <c r="CL55" s="1284">
        <f t="shared" ca="1" si="55"/>
        <v>0.52620745378634048</v>
      </c>
      <c r="CM55" s="1284">
        <f t="shared" ca="1" si="55"/>
        <v>0.53799251320943231</v>
      </c>
      <c r="CN55" s="1284">
        <f t="shared" ca="1" si="55"/>
        <v>0.4918189084592054</v>
      </c>
      <c r="CO55" s="1284">
        <f t="shared" ca="1" si="55"/>
        <v>0.49787535410764872</v>
      </c>
      <c r="CP55" s="1284">
        <f t="shared" ca="1" si="55"/>
        <v>0.50571077540276699</v>
      </c>
      <c r="CQ55" s="1284">
        <f t="shared" ca="1" si="55"/>
        <v>0.50378261283629167</v>
      </c>
      <c r="CR55" s="1284">
        <f t="shared" ca="1" si="55"/>
        <v>0.50113362599072009</v>
      </c>
      <c r="CS55" s="1284">
        <f t="shared" ca="1" si="55"/>
        <v>0.49914292470659571</v>
      </c>
    </row>
    <row r="56" spans="1:130">
      <c r="E56" s="1451"/>
      <c r="BB56" s="1110"/>
      <c r="BC56" s="1110"/>
      <c r="BD56" s="1110"/>
      <c r="BE56" s="1110"/>
      <c r="BF56" s="1110"/>
      <c r="BG56" s="1110"/>
      <c r="BH56" s="1110"/>
      <c r="BI56" s="1110"/>
      <c r="BJ56" s="1110"/>
      <c r="BK56" s="1110"/>
      <c r="BL56" s="1110"/>
      <c r="BM56" s="1110"/>
      <c r="BN56" s="1110"/>
      <c r="BO56" s="1110"/>
      <c r="BP56" s="1110"/>
      <c r="BQ56" s="1110"/>
      <c r="BR56" s="1110"/>
      <c r="BS56" s="1110"/>
      <c r="BT56" s="1110"/>
      <c r="BU56" s="1110"/>
      <c r="BV56" s="1110"/>
      <c r="BW56" s="1110"/>
      <c r="BX56" s="1110"/>
      <c r="BY56" s="1110"/>
      <c r="BZ56" s="1110"/>
      <c r="CA56" s="1110"/>
      <c r="CB56" s="1110"/>
      <c r="CC56" s="1110"/>
      <c r="CD56" s="1110"/>
      <c r="CE56" s="1110"/>
      <c r="CF56" s="1110"/>
      <c r="CG56" s="1110"/>
    </row>
    <row r="57" spans="1:130">
      <c r="E57" s="11" t="s">
        <v>343</v>
      </c>
      <c r="BB57" s="1110"/>
      <c r="BC57" s="1110"/>
      <c r="BD57" s="1110"/>
      <c r="BE57" s="1110"/>
      <c r="BF57" s="1110"/>
      <c r="BG57" s="1110"/>
      <c r="BH57" s="1110"/>
      <c r="BI57" s="1110"/>
      <c r="BJ57" s="1110"/>
      <c r="BK57" s="1110"/>
      <c r="BL57" s="1110"/>
      <c r="BM57" s="1110"/>
      <c r="BN57" s="1110"/>
      <c r="BO57" s="1110"/>
      <c r="BP57" s="1110"/>
      <c r="BQ57" s="1110"/>
      <c r="BR57" s="1110"/>
      <c r="BS57" s="1110"/>
      <c r="BT57" s="1110"/>
      <c r="BU57" s="1110"/>
      <c r="BV57" s="1110"/>
      <c r="BW57" s="1110"/>
      <c r="BX57" s="1110"/>
      <c r="BY57" s="1110"/>
      <c r="BZ57" s="1110"/>
      <c r="CA57" s="1110"/>
      <c r="CB57" s="1110"/>
      <c r="CC57" s="1110"/>
      <c r="CD57" s="1110"/>
      <c r="CE57" s="1110"/>
      <c r="CF57" s="1110"/>
      <c r="CG57" s="1110"/>
    </row>
    <row r="58" spans="1:130">
      <c r="E58" s="12" t="str">
        <f>Income!C32</f>
        <v xml:space="preserve">Selling and Marketing </v>
      </c>
      <c r="F58" s="1286">
        <f ca="1">-OFFSET(Income!$C$6,MATCH(Charts!$E58,Income!$C$6:$C$117,0)-1,MATCH(Charts!F$37,Income!$C$5:$EE$5,0)-1)</f>
        <v>28.007999999999999</v>
      </c>
      <c r="G58" s="1286">
        <f ca="1">-OFFSET(Income!$C$6,MATCH(Charts!$E58,Income!$C$6:$C$117,0)-1,MATCH(Charts!G$37,Income!$C$5:$EE$5,0)-1)</f>
        <v>29.413</v>
      </c>
      <c r="H58" s="1286">
        <f ca="1">-OFFSET(Income!$C$6,MATCH(Charts!$E58,Income!$C$6:$C$117,0)-1,MATCH(Charts!H$37,Income!$C$5:$EE$5,0)-1)</f>
        <v>32.777000000000001</v>
      </c>
      <c r="I58" s="1286">
        <f ca="1">-OFFSET(Income!$C$6,MATCH(Charts!$E58,Income!$C$6:$C$117,0)-1,MATCH(Charts!I$37,Income!$C$5:$EE$5,0)-1)</f>
        <v>39.015999999999998</v>
      </c>
      <c r="J58" s="1286">
        <f ca="1">-OFFSET(Income!$C$6,MATCH(Charts!$E58,Income!$C$6:$C$117,0)-1,MATCH(Charts!J$37,Income!$C$5:$EE$5,0)-1)</f>
        <v>45.334000000000003</v>
      </c>
      <c r="K58" s="1286">
        <f ca="1">-OFFSET(Income!$C$6,MATCH(Charts!$E58,Income!$C$6:$C$117,0)-1,MATCH(Charts!K$37,Income!$C$5:$EE$5,0)-1)</f>
        <v>54.872</v>
      </c>
      <c r="L58" s="1286">
        <f ca="1">-OFFSET(Income!$C$6,MATCH(Charts!$E58,Income!$C$6:$C$117,0)-1,MATCH(Charts!L$37,Income!$C$5:$EE$5,0)-1)</f>
        <v>58.314</v>
      </c>
      <c r="M58" s="1286">
        <f ca="1">-OFFSET(Income!$C$6,MATCH(Charts!$E58,Income!$C$6:$C$117,0)-1,MATCH(Charts!M$37,Income!$C$5:$EE$5,0)-1)</f>
        <v>67.174000000000007</v>
      </c>
      <c r="N58" s="1286">
        <f ca="1">-OFFSET(Income!$C$6,MATCH(Charts!$E58,Income!$C$6:$C$117,0)-1,MATCH(Charts!N$37,Income!$C$5:$EE$5,0)-1)</f>
        <v>75.784000000000006</v>
      </c>
      <c r="O58" s="1286">
        <f ca="1">-OFFSET(Income!$C$6,MATCH(Charts!$E58,Income!$C$6:$C$117,0)-1,MATCH(Charts!O$37,Income!$C$5:$EE$5,0)-1)</f>
        <v>87.486999999999995</v>
      </c>
      <c r="P58" s="1286">
        <f ca="1">-OFFSET(Income!$C$6,MATCH(Charts!$E58,Income!$C$6:$C$117,0)-1,MATCH(Charts!P$37,Income!$C$5:$EE$5,0)-1)</f>
        <v>91.635000000000005</v>
      </c>
      <c r="Q58" s="1286">
        <f ca="1">-OFFSET(Income!$C$6,MATCH(Charts!$E58,Income!$C$6:$C$117,0)-1,MATCH(Charts!Q$37,Income!$C$5:$EE$5,0)-1)</f>
        <v>95.162999999999997</v>
      </c>
      <c r="R58" s="1286">
        <f ca="1">-OFFSET(Income!$C$6,MATCH(Charts!$E58,Income!$C$6:$C$117,0)-1,MATCH(Charts!R$37,Income!$C$5:$EE$5,0)-1)</f>
        <v>105.02200000000001</v>
      </c>
      <c r="S58" s="1286">
        <f ca="1">-OFFSET(Income!$C$6,MATCH(Charts!$E58,Income!$C$6:$C$117,0)-1,MATCH(Charts!S$37,Income!$C$5:$EE$5,0)-1)</f>
        <v>119.21</v>
      </c>
      <c r="T58" s="1286">
        <f ca="1">-OFFSET(Income!$C$6,MATCH(Charts!$E58,Income!$C$6:$C$117,0)-1,MATCH(Charts!T$37,Income!$C$5:$EE$5,0)-1)</f>
        <v>116.54600000000001</v>
      </c>
      <c r="U58" s="1286">
        <f ca="1">-OFFSET(Income!$C$6,MATCH(Charts!$E58,Income!$C$6:$C$117,0)-1,MATCH(Charts!U$37,Income!$C$5:$EE$5,0)-1)</f>
        <v>132.06299999999999</v>
      </c>
      <c r="V58" s="1286">
        <f ca="1">-OFFSET(Income!$C$6,MATCH(Charts!$E58,Income!$C$6:$C$117,0)-1,MATCH(Charts!V$37,Income!$C$5:$EE$5,0)-1)</f>
        <v>154.86199999999999</v>
      </c>
      <c r="W58" s="1286">
        <f ca="1">-OFFSET(Income!$C$6,MATCH(Charts!$E58,Income!$C$6:$C$117,0)-1,MATCH(Charts!W$37,Income!$C$5:$EE$5,0)-1)</f>
        <v>144.85</v>
      </c>
      <c r="X58" s="1286">
        <f ca="1">-OFFSET(Income!$C$6,MATCH(Charts!$E58,Income!$C$6:$C$117,0)-1,MATCH(Charts!X$37,Income!$C$5:$EE$5,0)-1)</f>
        <v>147.608</v>
      </c>
      <c r="Y58" s="1286">
        <f ca="1">-OFFSET(Income!$C$6,MATCH(Charts!$E58,Income!$C$6:$C$117,0)-1,MATCH(Charts!Y$37,Income!$C$5:$EE$5,0)-1)</f>
        <v>154.72800000000001</v>
      </c>
      <c r="Z58" s="1286">
        <f ca="1">-OFFSET(Income!$C$6,MATCH(Charts!$E58,Income!$C$6:$C$117,0)-1,MATCH(Charts!Z$37,Income!$C$5:$EE$5,0)-1)</f>
        <v>186.22300000000001</v>
      </c>
      <c r="AA58" s="1286">
        <f ca="1">-OFFSET(Income!$C$6,MATCH(Charts!$E58,Income!$C$6:$C$117,0)-1,MATCH(Charts!AA$37,Income!$C$5:$EE$5,0)-1)</f>
        <v>201.91</v>
      </c>
      <c r="AB58" s="1286">
        <f ca="1">-OFFSET(Income!$C$6,MATCH(Charts!$E58,Income!$C$6:$C$117,0)-1,MATCH(Charts!AB$37,Income!$C$5:$EE$5,0)-1)</f>
        <v>237.94900000000001</v>
      </c>
      <c r="AC58" s="1286">
        <f ca="1">-OFFSET(Income!$C$6,MATCH(Charts!$E58,Income!$C$6:$C$117,0)-1,MATCH(Charts!AC$37,Income!$C$5:$EE$5,0)-1)</f>
        <v>275.47500000000002</v>
      </c>
      <c r="AD58" s="1286">
        <f ca="1">-OFFSET(Income!$C$6,MATCH(Charts!$E58,Income!$C$6:$C$117,0)-1,MATCH(Charts!AD$37,Income!$C$5:$EE$5,0)-1)</f>
        <v>303.37099999999998</v>
      </c>
      <c r="AE58" s="1286">
        <f ca="1">-OFFSET(Income!$C$6,MATCH(Charts!$E58,Income!$C$6:$C$117,0)-1,MATCH(Charts!AE$37,Income!$C$5:$EE$5,0)-1)</f>
        <v>326.90199999999999</v>
      </c>
      <c r="AF58" s="1286">
        <f ca="1">-OFFSET(Income!$C$6,MATCH(Charts!$E58,Income!$C$6:$C$117,0)-1,MATCH(Charts!AF$37,Income!$C$5:$EE$5,0)-1)</f>
        <v>302.476</v>
      </c>
      <c r="AG58" s="1286">
        <f ca="1">-OFFSET(Income!$C$6,MATCH(Charts!$E58,Income!$C$6:$C$117,0)-1,MATCH(Charts!AG$37,Income!$C$5:$EE$5,0)-1)</f>
        <v>297.74099999999999</v>
      </c>
      <c r="AH58" s="1286">
        <f ca="1">-OFFSET(Income!$C$6,MATCH(Charts!$E58,Income!$C$6:$C$117,0)-1,MATCH(Charts!AH$37,Income!$C$5:$EE$5,0)-1)</f>
        <v>287</v>
      </c>
      <c r="AI58" s="1286">
        <f ca="1">-OFFSET(Income!$C$6,MATCH(Charts!$E58,Income!$C$6:$C$117,0)-1,MATCH(Charts!AI$37,Income!$C$5:$EE$5,0)-1)</f>
        <v>321</v>
      </c>
      <c r="AJ58" s="1286">
        <f ca="1">-OFFSET(Income!$C$6,MATCH(Charts!$E58,Income!$C$6:$C$117,0)-1,MATCH(Charts!AJ$37,Income!$C$5:$EE$5,0)-1)</f>
        <v>295</v>
      </c>
      <c r="AK58" s="1286">
        <f ca="1">-OFFSET(Income!$C$6,MATCH(Charts!$E58,Income!$C$6:$C$117,0)-1,MATCH(Charts!AK$37,Income!$C$5:$EE$5,0)-1)</f>
        <v>317</v>
      </c>
      <c r="AL58" s="1286">
        <f ca="1">-OFFSET(Income!$C$6,MATCH(Charts!$E58,Income!$C$6:$C$117,0)-1,MATCH(Charts!AL$37,Income!$C$5:$EE$5,0)-1)</f>
        <v>361</v>
      </c>
      <c r="AM58" s="1286">
        <f ca="1">-OFFSET(Income!$C$6,MATCH(Charts!$E58,Income!$C$6:$C$117,0)-1,MATCH(Charts!AM$37,Income!$C$5:$EE$5,0)-1)</f>
        <v>353</v>
      </c>
      <c r="AN58" s="1286">
        <f ca="1">-OFFSET(Income!$C$6,MATCH(Charts!$E58,Income!$C$6:$C$117,0)-1,MATCH(Charts!AN$37,Income!$C$5:$EE$5,0)-1)</f>
        <v>331</v>
      </c>
      <c r="AO58" s="1286">
        <f ca="1">-OFFSET(Income!$C$6,MATCH(Charts!$E58,Income!$C$6:$C$117,0)-1,MATCH(Charts!AO$37,Income!$C$5:$EE$5,0)-1)</f>
        <v>375.40546516866294</v>
      </c>
      <c r="AP58" s="1286">
        <f ca="1">-OFFSET(Income!$C$6,MATCH(Charts!$E58,Income!$C$6:$C$117,0)-1,MATCH(Charts!AP$37,Income!$C$5:$EE$5,0)-1)</f>
        <v>434.9895860930381</v>
      </c>
      <c r="AQ58" s="1286">
        <f ca="1">-OFFSET(Income!$C$6,MATCH(Charts!$E58,Income!$C$6:$C$117,0)-1,MATCH(Charts!AQ$37,Income!$C$5:$EE$5,0)-1)</f>
        <v>412.86194344892897</v>
      </c>
      <c r="AR58" s="1286">
        <f ca="1">-OFFSET(Income!$C$6,MATCH(Charts!$E58,Income!$C$6:$C$117,0)-1,MATCH(Charts!AR$37,Income!$C$5:$EE$5,0)-1)</f>
        <v>381.88683146572583</v>
      </c>
      <c r="AS58" s="1286">
        <f ca="1">-OFFSET(Income!$C$6,MATCH(Charts!$E58,Income!$C$6:$C$117,0)-1,MATCH(Charts!AS$37,Income!$C$5:$EE$5,0)-1)</f>
        <v>434.16717900103151</v>
      </c>
      <c r="AT58" s="1286">
        <f ca="1">-OFFSET(Income!$C$6,MATCH(Charts!$E58,Income!$C$6:$C$117,0)-1,MATCH(Charts!AT$37,Income!$C$5:$EE$5,0)-1)</f>
        <v>501.00660020440864</v>
      </c>
      <c r="AU58" s="1286">
        <f ca="1">-OFFSET(Income!$C$6,MATCH(Charts!$E58,Income!$C$6:$C$117,0)-1,MATCH(Charts!AU$37,Income!$C$5:$EE$5,0)-1)</f>
        <v>473.02905680528914</v>
      </c>
      <c r="AV58" s="1286">
        <f ca="1">-OFFSET(Income!$C$6,MATCH(Charts!$E58,Income!$C$6:$C$117,0)-1,MATCH(Charts!AV$37,Income!$C$5:$EE$5,0)-1)</f>
        <v>434.67549475014067</v>
      </c>
      <c r="AW58" s="1286">
        <f ca="1">-OFFSET(Income!$C$6,MATCH(Charts!$E58,Income!$C$6:$C$117,0)-1,MATCH(Charts!AW$37,Income!$C$5:$EE$5,0)-1)</f>
        <v>492.38527671537855</v>
      </c>
      <c r="AX58" s="1286">
        <f ca="1">-OFFSET(Income!$C$6,MATCH(Charts!$E58,Income!$C$6:$C$117,0)-1,MATCH(Charts!AX$37,Income!$C$5:$EE$5,0)-1)</f>
        <v>564.30262750308623</v>
      </c>
      <c r="AY58" s="1286">
        <f ca="1">-OFFSET(Income!$C$6,MATCH(Charts!$E58,Income!$C$6:$C$117,0)-1,MATCH(Charts!AY$37,Income!$C$5:$EE$5,0)-1)</f>
        <v>529.33261959145443</v>
      </c>
      <c r="AZ58" s="1286">
        <f ca="1">-OFFSET(Income!$C$6,MATCH(Charts!$E58,Income!$C$6:$C$117,0)-1,MATCH(Charts!AZ$37,Income!$C$5:$EE$5,0)-1)</f>
        <v>482.52479740313089</v>
      </c>
      <c r="BA58" s="1286">
        <f ca="1">-OFFSET(Income!$C$6,MATCH(Charts!$E58,Income!$C$6:$C$117,0)-1,MATCH(Charts!BA$37,Income!$C$5:$EE$5,0)-1)</f>
        <v>543.53790187780396</v>
      </c>
      <c r="BB58" s="1110"/>
      <c r="BC58" s="1110"/>
      <c r="BD58" s="1110"/>
      <c r="BE58" s="1110"/>
      <c r="BF58" s="1110"/>
      <c r="BG58" s="1110"/>
      <c r="BH58" s="1110"/>
      <c r="BI58" s="1110"/>
      <c r="BJ58" s="1110"/>
      <c r="BK58" s="1110"/>
      <c r="BL58" s="1110"/>
      <c r="BM58" s="1110"/>
      <c r="BN58" s="1110"/>
      <c r="BO58" s="1110"/>
      <c r="BP58" s="1110"/>
      <c r="BQ58" s="1110"/>
      <c r="BR58" s="1110"/>
      <c r="BS58" s="1110"/>
      <c r="BT58" s="1110"/>
      <c r="BU58" s="1110"/>
      <c r="BV58" s="1110"/>
      <c r="BW58" s="1110"/>
      <c r="BX58" s="1110"/>
      <c r="BY58" s="1110"/>
      <c r="BZ58" s="1110"/>
      <c r="CA58" s="1110"/>
      <c r="CB58" s="1110"/>
      <c r="CC58" s="1110"/>
      <c r="CD58" s="1110"/>
      <c r="CE58" s="1110"/>
      <c r="CF58" s="1110"/>
      <c r="CG58" s="1305" t="str">
        <f>E58</f>
        <v xml:space="preserve">Selling and Marketing </v>
      </c>
      <c r="CH58" s="1474">
        <f ca="1">-OFFSET(Income!$C$6,MATCH(Charts!$E58,Income!$C$6:$C$117,0)-1,MATCH(Charts!CH$38,Income!$C$4:$EE$4,0)-1)</f>
        <v>129.214</v>
      </c>
      <c r="CI58" s="1474">
        <f ca="1">-OFFSET(Income!$C$6,MATCH(Charts!$E58,Income!$C$6:$C$117,0)-1,MATCH(Charts!CI$38,Income!$C$4:$EE$4,0)-1)</f>
        <v>225.69400000000002</v>
      </c>
      <c r="CJ58" s="1474">
        <f ca="1">-OFFSET(Income!$C$6,MATCH(Charts!$E58,Income!$C$6:$C$117,0)-1,MATCH(Charts!CJ$38,Income!$C$4:$EE$4,0)-1)</f>
        <v>350.06900000000002</v>
      </c>
      <c r="CK58" s="1474">
        <f ca="1">-OFFSET(Income!$C$6,MATCH(Charts!$E58,Income!$C$6:$C$117,0)-1,MATCH(Charts!CK$38,Income!$C$4:$EE$4,0)-1)</f>
        <v>472.84100000000001</v>
      </c>
      <c r="CL58" s="1474">
        <f ca="1">-OFFSET(Income!$C$6,MATCH(Charts!$E58,Income!$C$6:$C$117,0)-1,MATCH(Charts!CL$38,Income!$C$4:$EE$4,0)-1)</f>
        <v>602.048</v>
      </c>
      <c r="CM58" s="1474">
        <f ca="1">-OFFSET(Income!$C$6,MATCH(Charts!$E58,Income!$C$6:$C$117,0)-1,MATCH(Charts!CM$38,Income!$C$4:$EE$4,0)-1)</f>
        <v>901.55700000000013</v>
      </c>
      <c r="CN58" s="1474">
        <f ca="1">-OFFSET(Income!$C$6,MATCH(Charts!$E58,Income!$C$6:$C$117,0)-1,MATCH(Charts!CN$38,Income!$C$4:$EE$4,0)-1)</f>
        <v>1230.4899999999998</v>
      </c>
      <c r="CO58" s="1474">
        <f ca="1">-OFFSET(Income!$C$6,MATCH(Charts!$E58,Income!$C$6:$C$117,0)-1,MATCH(Charts!CO$38,Income!$C$4:$EE$4,0)-1)</f>
        <v>1220</v>
      </c>
      <c r="CP58" s="1474">
        <f ca="1">-OFFSET(Income!$C$6,MATCH(Charts!$E58,Income!$C$6:$C$117,0)-1,MATCH(Charts!CP$38,Income!$C$4:$EE$4,0)-1)</f>
        <v>1420.4054651686629</v>
      </c>
      <c r="CQ58" s="1474">
        <f ca="1">-OFFSET(Income!$C$6,MATCH(Charts!$E58,Income!$C$6:$C$117,0)-1,MATCH(Charts!CQ$38,Income!$C$4:$EE$4,0)-1)</f>
        <v>1663.9055400087245</v>
      </c>
      <c r="CR58" s="1474">
        <f ca="1">-OFFSET(Income!$C$6,MATCH(Charts!$E58,Income!$C$6:$C$117,0)-1,MATCH(Charts!CR$38,Income!$C$4:$EE$4,0)-1)</f>
        <v>1901.096428475217</v>
      </c>
      <c r="CS58" s="1474">
        <f ca="1">-OFFSET(Income!$C$6,MATCH(Charts!$E58,Income!$C$6:$C$117,0)-1,MATCH(Charts!CS$38,Income!$C$4:$EE$4,0)-1)</f>
        <v>2119.6979463754756</v>
      </c>
    </row>
    <row r="59" spans="1:130">
      <c r="E59" s="791" t="s">
        <v>210</v>
      </c>
      <c r="F59" s="1284">
        <f ca="1">OFFSET(Income!$C$6,MATCH(Charts!$E58,Income!$C$6:$C$117,0)+0,MATCH(Charts!F$37,Income!$C$5:$EE$5,0)-1)</f>
        <v>0.38513792249938117</v>
      </c>
      <c r="G59" s="1284">
        <f ca="1">OFFSET(Income!$C$6,MATCH(Charts!$E58,Income!$C$6:$C$117,0)+0,MATCH(Charts!G$37,Income!$C$5:$EE$5,0)-1)</f>
        <v>0.3394578000392397</v>
      </c>
      <c r="H59" s="1284">
        <f ca="1">OFFSET(Income!$C$6,MATCH(Charts!$E58,Income!$C$6:$C$117,0)+0,MATCH(Charts!H$37,Income!$C$5:$EE$5,0)-1)</f>
        <v>0.32915905119604733</v>
      </c>
      <c r="I59" s="1284">
        <f ca="1">OFFSET(Income!$C$6,MATCH(Charts!$E58,Income!$C$6:$C$117,0)+0,MATCH(Charts!I$37,Income!$C$5:$EE$5,0)-1)</f>
        <v>0.29924146552848152</v>
      </c>
      <c r="J59" s="1284">
        <f ca="1">OFFSET(Income!$C$6,MATCH(Charts!$E58,Income!$C$6:$C$117,0)+0,MATCH(Charts!J$37,Income!$C$5:$EE$5,0)-1)</f>
        <v>0.35589853900564461</v>
      </c>
      <c r="K59" s="1284">
        <f ca="1">OFFSET(Income!$C$6,MATCH(Charts!$E58,Income!$C$6:$C$117,0)+0,MATCH(Charts!K$37,Income!$C$5:$EE$5,0)-1)</f>
        <v>0.36182123899640634</v>
      </c>
      <c r="L59" s="1284">
        <f ca="1">OFFSET(Income!$C$6,MATCH(Charts!$E58,Income!$C$6:$C$117,0)+0,MATCH(Charts!L$37,Income!$C$5:$EE$5,0)-1)</f>
        <v>0.34011058230683089</v>
      </c>
      <c r="M59" s="1284">
        <f ca="1">OFFSET(Income!$C$6,MATCH(Charts!$E58,Income!$C$6:$C$117,0)+0,MATCH(Charts!M$37,Income!$C$5:$EE$5,0)-1)</f>
        <v>0.30148015833834502</v>
      </c>
      <c r="N59" s="1284">
        <f ca="1">OFFSET(Income!$C$6,MATCH(Charts!$E58,Income!$C$6:$C$117,0)+0,MATCH(Charts!N$37,Income!$C$5:$EE$5,0)-1)</f>
        <v>0.35356909582905671</v>
      </c>
      <c r="O59" s="1284">
        <f ca="1">OFFSET(Income!$C$6,MATCH(Charts!$E58,Income!$C$6:$C$117,0)+0,MATCH(Charts!O$37,Income!$C$5:$EE$5,0)-1)</f>
        <v>0.35714373191053339</v>
      </c>
      <c r="P59" s="1284">
        <f ca="1">OFFSET(Income!$C$6,MATCH(Charts!$E58,Income!$C$6:$C$117,0)+0,MATCH(Charts!P$37,Income!$C$5:$EE$5,0)-1)</f>
        <v>0.33930846021683753</v>
      </c>
      <c r="Q59" s="1284">
        <f ca="1">OFFSET(Income!$C$6,MATCH(Charts!$E58,Income!$C$6:$C$117,0)+0,MATCH(Charts!Q$37,Income!$C$5:$EE$5,0)-1)</f>
        <v>0.27674764876607477</v>
      </c>
      <c r="R59" s="1284">
        <f ca="1">OFFSET(Income!$C$6,MATCH(Charts!$E58,Income!$C$6:$C$117,0)+0,MATCH(Charts!R$37,Income!$C$5:$EE$5,0)-1)</f>
        <v>0.32770015164658239</v>
      </c>
      <c r="S59" s="1284">
        <f ca="1">OFFSET(Income!$C$6,MATCH(Charts!$E58,Income!$C$6:$C$117,0)+0,MATCH(Charts!S$37,Income!$C$5:$EE$5,0)-1)</f>
        <v>0.32932849695700578</v>
      </c>
      <c r="T59" s="1284">
        <f ca="1">OFFSET(Income!$C$6,MATCH(Charts!$E58,Income!$C$6:$C$117,0)+0,MATCH(Charts!T$37,Income!$C$5:$EE$5,0)-1)</f>
        <v>0.29841352752002293</v>
      </c>
      <c r="U59" s="1284">
        <f ca="1">OFFSET(Income!$C$6,MATCH(Charts!$E58,Income!$C$6:$C$117,0)+0,MATCH(Charts!U$37,Income!$C$5:$EE$5,0)-1)</f>
        <v>0.26142806239607247</v>
      </c>
      <c r="V59" s="1284">
        <f ca="1">OFFSET(Income!$C$6,MATCH(Charts!$E58,Income!$C$6:$C$117,0)+0,MATCH(Charts!V$37,Income!$C$5:$EE$5,0)-1)</f>
        <v>0.32949291597251923</v>
      </c>
      <c r="W59" s="1284">
        <f ca="1">OFFSET(Income!$C$6,MATCH(Charts!$E58,Income!$C$6:$C$117,0)+0,MATCH(Charts!W$37,Income!$C$5:$EE$5,0)-1)</f>
        <v>0.20277430526877219</v>
      </c>
      <c r="X59" s="1284">
        <f ca="1">OFFSET(Income!$C$6,MATCH(Charts!$E58,Income!$C$6:$C$117,0)+0,MATCH(Charts!X$37,Income!$C$5:$EE$5,0)-1)</f>
        <v>0.19234693545129367</v>
      </c>
      <c r="Y59" s="1284">
        <f ca="1">OFFSET(Income!$C$6,MATCH(Charts!$E58,Income!$C$6:$C$117,0)+0,MATCH(Charts!Y$37,Income!$C$5:$EE$5,0)-1)</f>
        <v>0.15825001227315127</v>
      </c>
      <c r="Z59" s="1284">
        <f ca="1">OFFSET(Income!$C$6,MATCH(Charts!$E58,Income!$C$6:$C$117,0)+0,MATCH(Charts!Z$37,Income!$C$5:$EE$5,0)-1)</f>
        <v>0.1883614677432896</v>
      </c>
      <c r="AA59" s="1284">
        <f ca="1">OFFSET(Income!$C$6,MATCH(Charts!$E58,Income!$C$6:$C$117,0)+0,MATCH(Charts!AA$37,Income!$C$5:$EE$5,0)-1)</f>
        <v>0.18036616358999327</v>
      </c>
      <c r="AB59" s="1284">
        <f ca="1">OFFSET(Income!$C$6,MATCH(Charts!$E58,Income!$C$6:$C$117,0)+0,MATCH(Charts!AB$37,Income!$C$5:$EE$5,0)-1)</f>
        <v>0.2117473792870237</v>
      </c>
      <c r="AC59" s="1284">
        <f ca="1">OFFSET(Income!$C$6,MATCH(Charts!$E58,Income!$C$6:$C$117,0)+0,MATCH(Charts!AC$37,Income!$C$5:$EE$5,0)-1)</f>
        <v>0.19961609363315422</v>
      </c>
      <c r="AD59" s="1284">
        <f ca="1">OFFSET(Income!$C$6,MATCH(Charts!$E58,Income!$C$6:$C$117,0)+0,MATCH(Charts!AD$37,Income!$C$5:$EE$5,0)-1)</f>
        <v>0.25204819116949406</v>
      </c>
      <c r="AE59" s="1284">
        <f ca="1">OFFSET(Income!$C$6,MATCH(Charts!$E58,Income!$C$6:$C$117,0)+0,MATCH(Charts!AE$37,Income!$C$5:$EE$5,0)-1)</f>
        <v>0.25242169685953497</v>
      </c>
      <c r="AF59" s="1284">
        <f ca="1">OFFSET(Income!$C$6,MATCH(Charts!$E58,Income!$C$6:$C$117,0)+0,MATCH(Charts!AF$37,Income!$C$5:$EE$5,0)-1)</f>
        <v>0.22139950226906749</v>
      </c>
      <c r="AG59" s="1284">
        <f ca="1">OFFSET(Income!$C$6,MATCH(Charts!$E58,Income!$C$6:$C$117,0)+0,MATCH(Charts!AG$37,Income!$C$5:$EE$5,0)-1)</f>
        <v>0.17161082157814103</v>
      </c>
      <c r="AH59" s="1284">
        <f ca="1">OFFSET(Income!$C$6,MATCH(Charts!$E58,Income!$C$6:$C$117,0)+0,MATCH(Charts!AH$37,Income!$C$5:$EE$5,0)-1)</f>
        <v>0.19031830238726791</v>
      </c>
      <c r="AI59" s="1284">
        <f ca="1">OFFSET(Income!$C$6,MATCH(Charts!$E58,Income!$C$6:$C$117,0)+0,MATCH(Charts!AI$37,Income!$C$5:$EE$5,0)-1)</f>
        <v>0.18949232585596221</v>
      </c>
      <c r="AJ59" s="1284">
        <f ca="1">OFFSET(Income!$C$6,MATCH(Charts!$E58,Income!$C$6:$C$117,0)+0,MATCH(Charts!AJ$37,Income!$C$5:$EE$5,0)-1)</f>
        <v>0.17211201866977829</v>
      </c>
      <c r="AK59" s="1284">
        <f ca="1">OFFSET(Income!$C$6,MATCH(Charts!$E58,Income!$C$6:$C$117,0)+0,MATCH(Charts!AK$37,Income!$C$5:$EE$5,0)-1)</f>
        <v>0.14785447761194029</v>
      </c>
      <c r="AL59" s="1284">
        <f ca="1">OFFSET(Income!$C$6,MATCH(Charts!$E58,Income!$C$6:$C$117,0)+0,MATCH(Charts!AL$37,Income!$C$5:$EE$5,0)-1)</f>
        <v>0.19398173025255239</v>
      </c>
      <c r="AM59" s="1284">
        <f ca="1">OFFSET(Income!$C$6,MATCH(Charts!$E58,Income!$C$6:$C$117,0)+0,MATCH(Charts!AM$37,Income!$C$5:$EE$5,0)-1)</f>
        <v>0.1726161369193154</v>
      </c>
      <c r="AN59" s="1284">
        <f ca="1">OFFSET(Income!$C$6,MATCH(Charts!$E58,Income!$C$6:$C$117,0)+0,MATCH(Charts!AN$37,Income!$C$5:$EE$5,0)-1)</f>
        <v>0.15309898242368178</v>
      </c>
      <c r="AO59" s="1284">
        <f ca="1">OFFSET(Income!$C$6,MATCH(Charts!$E58,Income!$C$6:$C$117,0)+0,MATCH(Charts!AO$37,Income!$C$5:$EE$5,0)-1)</f>
        <v>0.13885447761194028</v>
      </c>
      <c r="AP59" s="1284">
        <f ca="1">OFFSET(Income!$C$6,MATCH(Charts!$E58,Income!$C$6:$C$117,0)+0,MATCH(Charts!AP$37,Income!$C$5:$EE$5,0)-1)</f>
        <v>0.18598173025255238</v>
      </c>
      <c r="AQ59" s="1284">
        <f ca="1">OFFSET(Income!$C$6,MATCH(Charts!$E58,Income!$C$6:$C$117,0)+0,MATCH(Charts!AQ$37,Income!$C$5:$EE$5,0)-1)</f>
        <v>0.1646161369193154</v>
      </c>
      <c r="AR59" s="1284">
        <f ca="1">OFFSET(Income!$C$6,MATCH(Charts!$E58,Income!$C$6:$C$117,0)+0,MATCH(Charts!AR$37,Income!$C$5:$EE$5,0)-1)</f>
        <v>0.14509898242368177</v>
      </c>
      <c r="AS59" s="1284">
        <f ca="1">OFFSET(Income!$C$6,MATCH(Charts!$E58,Income!$C$6:$C$117,0)+0,MATCH(Charts!AS$37,Income!$C$5:$EE$5,0)-1)</f>
        <v>0.13085447761194027</v>
      </c>
      <c r="AT59" s="1284">
        <f ca="1">OFFSET(Income!$C$6,MATCH(Charts!$E58,Income!$C$6:$C$117,0)+0,MATCH(Charts!AT$37,Income!$C$5:$EE$5,0)-1)</f>
        <v>0.17898173025255237</v>
      </c>
      <c r="AU59" s="1284">
        <f ca="1">OFFSET(Income!$C$6,MATCH(Charts!$E58,Income!$C$6:$C$117,0)+0,MATCH(Charts!AU$37,Income!$C$5:$EE$5,0)-1)</f>
        <v>0.15761613691931539</v>
      </c>
      <c r="AV59" s="1284">
        <f ca="1">OFFSET(Income!$C$6,MATCH(Charts!$E58,Income!$C$6:$C$117,0)+0,MATCH(Charts!AV$37,Income!$C$5:$EE$5,0)-1)</f>
        <v>0.13809898242368177</v>
      </c>
      <c r="AW59" s="1284">
        <f ca="1">OFFSET(Income!$C$6,MATCH(Charts!$E58,Income!$C$6:$C$117,0)+0,MATCH(Charts!AW$37,Income!$C$5:$EE$5,0)-1)</f>
        <v>0.12385447761194027</v>
      </c>
      <c r="AX59" s="1284">
        <f ca="1">OFFSET(Income!$C$6,MATCH(Charts!$E58,Income!$C$6:$C$117,0)+0,MATCH(Charts!AX$37,Income!$C$5:$EE$5,0)-1)</f>
        <v>0.17098173025255237</v>
      </c>
      <c r="AY59" s="1284">
        <f ca="1">OFFSET(Income!$C$6,MATCH(Charts!$E58,Income!$C$6:$C$117,0)+0,MATCH(Charts!AY$37,Income!$C$5:$EE$5,0)-1)</f>
        <v>0.14961613691931538</v>
      </c>
      <c r="AZ59" s="1284">
        <f ca="1">OFFSET(Income!$C$6,MATCH(Charts!$E58,Income!$C$6:$C$117,0)+0,MATCH(Charts!AZ$37,Income!$C$5:$EE$5,0)-1)</f>
        <v>0.13009898242368176</v>
      </c>
      <c r="BA59" s="1284">
        <f ca="1">OFFSET(Income!$C$6,MATCH(Charts!$E58,Income!$C$6:$C$117,0)+0,MATCH(Charts!BA$37,Income!$C$5:$EE$5,0)-1)</f>
        <v>0.11585447761194026</v>
      </c>
      <c r="BB59" s="1110"/>
      <c r="BC59" s="1110"/>
      <c r="BD59" s="1110"/>
      <c r="BE59" s="1110"/>
      <c r="BF59" s="1110"/>
      <c r="BG59" s="1110"/>
      <c r="BH59" s="1110"/>
      <c r="BI59" s="1110"/>
      <c r="BJ59" s="1110"/>
      <c r="BK59" s="1110"/>
      <c r="BL59" s="1110"/>
      <c r="BM59" s="1110"/>
      <c r="BN59" s="1110"/>
      <c r="BO59" s="1110"/>
      <c r="BP59" s="1110"/>
      <c r="BQ59" s="1110"/>
      <c r="BR59" s="1110"/>
      <c r="BS59" s="1110"/>
      <c r="BT59" s="1110"/>
      <c r="BU59" s="1110"/>
      <c r="BV59" s="1110"/>
      <c r="BW59" s="1110"/>
      <c r="BX59" s="1110"/>
      <c r="BY59" s="1110"/>
      <c r="BZ59" s="1110"/>
      <c r="CA59" s="1110"/>
      <c r="CB59" s="1110"/>
      <c r="CC59" s="1110"/>
      <c r="CD59" s="1110"/>
      <c r="CE59" s="1110"/>
      <c r="CF59" s="1110"/>
      <c r="CG59" s="1305" t="str">
        <f>E59</f>
        <v>% of revenue</v>
      </c>
      <c r="CH59" s="1284">
        <f ca="1">OFFSET(Income!$C$6,MATCH(Charts!$E58,Income!$C$6:$C$117,0)+0,MATCH(Charts!CH$38,Income!$C$4:$EE$4,0)-1)</f>
        <v>0.33188811548044078</v>
      </c>
      <c r="CI59" s="1284">
        <f ca="1">OFFSET(Income!$C$6,MATCH(Charts!$E58,Income!$C$6:$C$117,0)+0,MATCH(Charts!CI$38,Income!$C$4:$EE$4,0)-1)</f>
        <v>0.33520371184487247</v>
      </c>
      <c r="CJ59" s="1284">
        <f ca="1">OFFSET(Income!$C$6,MATCH(Charts!$E58,Income!$C$6:$C$117,0)+0,MATCH(Charts!CJ$38,Income!$C$4:$EE$4,0)-1)</f>
        <v>0.32618294883943694</v>
      </c>
      <c r="CK59" s="1284">
        <f ca="1">OFFSET(Income!$C$6,MATCH(Charts!$E58,Income!$C$6:$C$117,0)+0,MATCH(Charts!CK$38,Income!$C$4:$EE$4,0)-1)</f>
        <v>0.29961290682326969</v>
      </c>
      <c r="CL59" s="1284">
        <f ca="1">OFFSET(Income!$C$6,MATCH(Charts!$E58,Income!$C$6:$C$117,0)+0,MATCH(Charts!CL$38,Income!$C$4:$EE$4,0)-1)</f>
        <v>0.20551283482352395</v>
      </c>
      <c r="CM59" s="1284">
        <f ca="1">OFFSET(Income!$C$6,MATCH(Charts!$E58,Income!$C$6:$C$117,0)+0,MATCH(Charts!CM$38,Income!$C$4:$EE$4,0)-1)</f>
        <v>0.19548680617955116</v>
      </c>
      <c r="CN59" s="1284">
        <f ca="1">OFFSET(Income!$C$6,MATCH(Charts!$E58,Income!$C$6:$C$117,0)+0,MATCH(Charts!CN$38,Income!$C$4:$EE$4,0)-1)</f>
        <v>0.21973569358112977</v>
      </c>
      <c r="CO59" s="1284">
        <f ca="1">OFFSET(Income!$C$6,MATCH(Charts!$E58,Income!$C$6:$C$117,0)+0,MATCH(Charts!CO$38,Income!$C$4:$EE$4,0)-1)</f>
        <v>0.17280453257790368</v>
      </c>
      <c r="CP59" s="1284">
        <f ca="1">OFFSET(Income!$C$6,MATCH(Charts!$E58,Income!$C$6:$C$117,0)+0,MATCH(Charts!CP$38,Income!$C$4:$EE$4,0)-1)</f>
        <v>0.16193251117923399</v>
      </c>
      <c r="CQ59" s="1284">
        <f ca="1">OFFSET(Income!$C$6,MATCH(Charts!$E58,Income!$C$6:$C$117,0)+0,MATCH(Charts!CQ$38,Income!$C$4:$EE$4,0)-1)</f>
        <v>0.15411161137488472</v>
      </c>
      <c r="CR59" s="1284">
        <f ca="1">OFFSET(Income!$C$6,MATCH(Charts!$E58,Income!$C$6:$C$117,0)+0,MATCH(Charts!CR$38,Income!$C$4:$EE$4,0)-1)</f>
        <v>0.14710462509509281</v>
      </c>
      <c r="CS59" s="1284">
        <f ca="1">OFFSET(Income!$C$6,MATCH(Charts!$E58,Income!$C$6:$C$117,0)+0,MATCH(Charts!CS$38,Income!$C$4:$EE$4,0)-1)</f>
        <v>0.13909903302395007</v>
      </c>
    </row>
    <row r="60" spans="1:130">
      <c r="E60" s="12" t="str">
        <f>Income!C34</f>
        <v>Research and Development</v>
      </c>
      <c r="F60" s="1286">
        <f ca="1">-OFFSET(Income!$C$6,MATCH(Charts!$E60,Income!$C$6:$C$117,0)-1,MATCH(Charts!F$37,Income!$C$5:$EE$5,0)-1)</f>
        <v>13.67</v>
      </c>
      <c r="G60" s="1286">
        <f ca="1">-OFFSET(Income!$C$6,MATCH(Charts!$E60,Income!$C$6:$C$117,0)-1,MATCH(Charts!G$37,Income!$C$5:$EE$5,0)-1)</f>
        <v>16.731999999999999</v>
      </c>
      <c r="H60" s="1286">
        <f ca="1">-OFFSET(Income!$C$6,MATCH(Charts!$E60,Income!$C$6:$C$117,0)-1,MATCH(Charts!H$37,Income!$C$5:$EE$5,0)-1)</f>
        <v>19.462</v>
      </c>
      <c r="I60" s="1286">
        <f ca="1">-OFFSET(Income!$C$6,MATCH(Charts!$E60,Income!$C$6:$C$117,0)-1,MATCH(Charts!I$37,Income!$C$5:$EE$5,0)-1)</f>
        <v>24.472000000000001</v>
      </c>
      <c r="J60" s="1286">
        <f ca="1">-OFFSET(Income!$C$6,MATCH(Charts!$E60,Income!$C$6:$C$117,0)-1,MATCH(Charts!J$37,Income!$C$5:$EE$5,0)-1)</f>
        <v>26.594000000000001</v>
      </c>
      <c r="K60" s="1286">
        <f ca="1">-OFFSET(Income!$C$6,MATCH(Charts!$E60,Income!$C$6:$C$117,0)-1,MATCH(Charts!K$37,Income!$C$5:$EE$5,0)-1)</f>
        <v>32.713999999999999</v>
      </c>
      <c r="L60" s="1286">
        <f ca="1">-OFFSET(Income!$C$6,MATCH(Charts!$E60,Income!$C$6:$C$117,0)-1,MATCH(Charts!L$37,Income!$C$5:$EE$5,0)-1)</f>
        <v>36.35</v>
      </c>
      <c r="M60" s="1286">
        <f ca="1">-OFFSET(Income!$C$6,MATCH(Charts!$E60,Income!$C$6:$C$117,0)-1,MATCH(Charts!M$37,Income!$C$5:$EE$5,0)-1)</f>
        <v>40.338999999999999</v>
      </c>
      <c r="N60" s="1286">
        <f ca="1">-OFFSET(Income!$C$6,MATCH(Charts!$E60,Income!$C$6:$C$117,0)-1,MATCH(Charts!N$37,Income!$C$5:$EE$5,0)-1)</f>
        <v>47.716000000000001</v>
      </c>
      <c r="O60" s="1286">
        <f ca="1">-OFFSET(Income!$C$6,MATCH(Charts!$E60,Income!$C$6:$C$117,0)-1,MATCH(Charts!O$37,Income!$C$5:$EE$5,0)-1)</f>
        <v>54.305</v>
      </c>
      <c r="P60" s="1286">
        <f ca="1">-OFFSET(Income!$C$6,MATCH(Charts!$E60,Income!$C$6:$C$117,0)-1,MATCH(Charts!P$37,Income!$C$5:$EE$5,0)-1)</f>
        <v>61.628999999999998</v>
      </c>
      <c r="Q60" s="1286">
        <f ca="1">-OFFSET(Income!$C$6,MATCH(Charts!$E60,Income!$C$6:$C$117,0)-1,MATCH(Charts!Q$37,Income!$C$5:$EE$5,0)-1)</f>
        <v>67.024000000000001</v>
      </c>
      <c r="R60" s="1286">
        <f ca="1">-OFFSET(Income!$C$6,MATCH(Charts!$E60,Income!$C$6:$C$117,0)-1,MATCH(Charts!R$37,Income!$C$5:$EE$5,0)-1)</f>
        <v>76.355000000000004</v>
      </c>
      <c r="S60" s="1286">
        <f ca="1">-OFFSET(Income!$C$6,MATCH(Charts!$E60,Income!$C$6:$C$117,0)-1,MATCH(Charts!S$37,Income!$C$5:$EE$5,0)-1)</f>
        <v>85.52</v>
      </c>
      <c r="T60" s="1286">
        <f ca="1">-OFFSET(Income!$C$6,MATCH(Charts!$E60,Income!$C$6:$C$117,0)-1,MATCH(Charts!T$37,Income!$C$5:$EE$5,0)-1)</f>
        <v>90.387</v>
      </c>
      <c r="U60" s="1286">
        <f ca="1">-OFFSET(Income!$C$6,MATCH(Charts!$E60,Income!$C$6:$C$117,0)-1,MATCH(Charts!U$37,Income!$C$5:$EE$5,0)-1)</f>
        <v>102.753</v>
      </c>
      <c r="V60" s="1286">
        <f ca="1">-OFFSET(Income!$C$6,MATCH(Charts!$E60,Income!$C$6:$C$117,0)-1,MATCH(Charts!V$37,Income!$C$5:$EE$5,0)-1)</f>
        <v>116.396</v>
      </c>
      <c r="W60" s="1286">
        <f ca="1">-OFFSET(Income!$C$6,MATCH(Charts!$E60,Income!$C$6:$C$117,0)-1,MATCH(Charts!W$37,Income!$C$5:$EE$5,0)-1)</f>
        <v>133.227</v>
      </c>
      <c r="X60" s="1286">
        <f ca="1">-OFFSET(Income!$C$6,MATCH(Charts!$E60,Income!$C$6:$C$117,0)-1,MATCH(Charts!X$37,Income!$C$5:$EE$5,0)-1)</f>
        <v>143.42699999999999</v>
      </c>
      <c r="Y60" s="1286">
        <f ca="1">-OFFSET(Income!$C$6,MATCH(Charts!$E60,Income!$C$6:$C$117,0)-1,MATCH(Charts!Y$37,Income!$C$5:$EE$5,0)-1)</f>
        <v>159.077</v>
      </c>
      <c r="Z60" s="1286">
        <f ca="1">-OFFSET(Income!$C$6,MATCH(Charts!$E60,Income!$C$6:$C$117,0)-1,MATCH(Charts!Z$37,Income!$C$5:$EE$5,0)-1)</f>
        <v>175.886</v>
      </c>
      <c r="AA60" s="1286">
        <f ca="1">-OFFSET(Income!$C$6,MATCH(Charts!$E60,Income!$C$6:$C$117,0)-1,MATCH(Charts!AA$37,Income!$C$5:$EE$5,0)-1)</f>
        <v>183.55699999999999</v>
      </c>
      <c r="AB60" s="1286">
        <f ca="1">-OFFSET(Income!$C$6,MATCH(Charts!$E60,Income!$C$6:$C$117,0)-1,MATCH(Charts!AB$37,Income!$C$5:$EE$5,0)-1)</f>
        <v>221.02799999999999</v>
      </c>
      <c r="AC60" s="1286">
        <f ca="1">-OFFSET(Income!$C$6,MATCH(Charts!$E60,Income!$C$6:$C$117,0)-1,MATCH(Charts!AC$37,Income!$C$5:$EE$5,0)-1)</f>
        <v>273.91199999999998</v>
      </c>
      <c r="AD60" s="1286">
        <f ca="1">-OFFSET(Income!$C$6,MATCH(Charts!$E60,Income!$C$6:$C$117,0)-1,MATCH(Charts!AD$37,Income!$C$5:$EE$5,0)-1)</f>
        <v>303.661</v>
      </c>
      <c r="AE60" s="1286">
        <f ca="1">-OFFSET(Income!$C$6,MATCH(Charts!$E60,Income!$C$6:$C$117,0)-1,MATCH(Charts!AE$37,Income!$C$5:$EE$5,0)-1)</f>
        <v>346.66699999999997</v>
      </c>
      <c r="AF60" s="1286">
        <f ca="1">-OFFSET(Income!$C$6,MATCH(Charts!$E60,Income!$C$6:$C$117,0)-1,MATCH(Charts!AF$37,Income!$C$5:$EE$5,0)-1)</f>
        <v>412.35899999999998</v>
      </c>
      <c r="AG60" s="1286">
        <f ca="1">-OFFSET(Income!$C$6,MATCH(Charts!$E60,Income!$C$6:$C$117,0)-1,MATCH(Charts!AG$37,Income!$C$5:$EE$5,0)-1)</f>
        <v>440.54700000000003</v>
      </c>
      <c r="AH60" s="1286">
        <f ca="1">-OFFSET(Income!$C$6,MATCH(Charts!$E60,Income!$C$6:$C$117,0)-1,MATCH(Charts!AH$37,Income!$C$5:$EE$5,0)-1)</f>
        <v>458</v>
      </c>
      <c r="AI60" s="1286">
        <f ca="1">-OFFSET(Income!$C$6,MATCH(Charts!$E60,Income!$C$6:$C$117,0)-1,MATCH(Charts!AI$37,Income!$C$5:$EE$5,0)-1)</f>
        <v>648</v>
      </c>
      <c r="AJ60" s="1286">
        <f ca="1">-OFFSET(Income!$C$6,MATCH(Charts!$E60,Income!$C$6:$C$117,0)-1,MATCH(Charts!AJ$37,Income!$C$5:$EE$5,0)-1)</f>
        <v>313</v>
      </c>
      <c r="AK60" s="1286">
        <f ca="1">-OFFSET(Income!$C$6,MATCH(Charts!$E60,Income!$C$6:$C$117,0)-1,MATCH(Charts!AK$37,Income!$C$5:$EE$5,0)-1)</f>
        <v>311</v>
      </c>
      <c r="AL60" s="1286">
        <f ca="1">-OFFSET(Income!$C$6,MATCH(Charts!$E60,Income!$C$6:$C$117,0)-1,MATCH(Charts!AL$37,Income!$C$5:$EE$5,0)-1)</f>
        <v>335</v>
      </c>
      <c r="AM60" s="1286">
        <f ca="1">-OFFSET(Income!$C$6,MATCH(Charts!$E60,Income!$C$6:$C$117,0)-1,MATCH(Charts!AM$37,Income!$C$5:$EE$5,0)-1)</f>
        <v>349</v>
      </c>
      <c r="AN60" s="1286">
        <f ca="1">-OFFSET(Income!$C$6,MATCH(Charts!$E60,Income!$C$6:$C$117,0)-1,MATCH(Charts!AN$37,Income!$C$5:$EE$5,0)-1)</f>
        <v>332</v>
      </c>
      <c r="AO60" s="1286">
        <f ca="1">-OFFSET(Income!$C$6,MATCH(Charts!$E60,Income!$C$6:$C$117,0)-1,MATCH(Charts!AO$37,Income!$C$5:$EE$5,0)-1)</f>
        <v>340.65223840634758</v>
      </c>
      <c r="AP60" s="1286">
        <f ca="1">-OFFSET(Income!$C$6,MATCH(Charts!$E60,Income!$C$6:$C$117,0)-1,MATCH(Charts!AP$37,Income!$C$5:$EE$5,0)-1)</f>
        <v>397.63531788547158</v>
      </c>
      <c r="AQ60" s="1286">
        <f ca="1">-OFFSET(Income!$C$6,MATCH(Charts!$E60,Income!$C$6:$C$117,0)-1,MATCH(Charts!AQ$37,Income!$C$5:$EE$5,0)-1)</f>
        <v>402.94020770005227</v>
      </c>
      <c r="AR60" s="1286">
        <f ca="1">-OFFSET(Income!$C$6,MATCH(Charts!$E60,Income!$C$6:$C$117,0)-1,MATCH(Charts!AR$37,Income!$C$5:$EE$5,0)-1)</f>
        <v>377.84036783187975</v>
      </c>
      <c r="AS60" s="1286">
        <f ca="1">-OFFSET(Income!$C$6,MATCH(Charts!$E60,Income!$C$6:$C$117,0)-1,MATCH(Charts!AS$37,Income!$C$5:$EE$5,0)-1)</f>
        <v>384.8809279073846</v>
      </c>
      <c r="AT60" s="1286">
        <f ca="1">-OFFSET(Income!$C$6,MATCH(Charts!$E60,Income!$C$6:$C$117,0)-1,MATCH(Charts!AT$37,Income!$C$5:$EE$5,0)-1)</f>
        <v>447.90292390491561</v>
      </c>
      <c r="AU60" s="1286">
        <f ca="1">-OFFSET(Income!$C$6,MATCH(Charts!$E60,Income!$C$6:$C$117,0)-1,MATCH(Charts!AU$37,Income!$C$5:$EE$5,0)-1)</f>
        <v>452.15311378797662</v>
      </c>
      <c r="AV60" s="1286">
        <f ca="1">-OFFSET(Income!$C$6,MATCH(Charts!$E60,Income!$C$6:$C$117,0)-1,MATCH(Charts!AV$37,Income!$C$5:$EE$5,0)-1)</f>
        <v>420.39352870030689</v>
      </c>
      <c r="AW60" s="1286">
        <f ca="1">-OFFSET(Income!$C$6,MATCH(Charts!$E60,Income!$C$6:$C$117,0)-1,MATCH(Charts!AW$37,Income!$C$5:$EE$5,0)-1)</f>
        <v>421.40454134698518</v>
      </c>
      <c r="AX60" s="1286">
        <f ca="1">-OFFSET(Income!$C$6,MATCH(Charts!$E60,Income!$C$6:$C$117,0)-1,MATCH(Charts!AX$37,Income!$C$5:$EE$5,0)-1)</f>
        <v>495.09066559407097</v>
      </c>
      <c r="AY60" s="1286">
        <f ca="1">-OFFSET(Income!$C$6,MATCH(Charts!$E60,Income!$C$6:$C$117,0)-1,MATCH(Charts!AY$37,Income!$C$5:$EE$5,0)-1)</f>
        <v>497.64688126250331</v>
      </c>
      <c r="AZ60" s="1286">
        <f ca="1">-OFFSET(Income!$C$6,MATCH(Charts!$E60,Income!$C$6:$C$117,0)-1,MATCH(Charts!AZ$37,Income!$C$5:$EE$5,0)-1)</f>
        <v>458.2779580703243</v>
      </c>
      <c r="BA60" s="1286">
        <f ca="1">-OFFSET(Income!$C$6,MATCH(Charts!$E60,Income!$C$6:$C$117,0)-1,MATCH(Charts!BA$37,Income!$C$5:$EE$5,0)-1)</f>
        <v>450.38948563599945</v>
      </c>
      <c r="BB60" s="1110"/>
      <c r="BC60" s="1110"/>
      <c r="BD60" s="1110"/>
      <c r="BE60" s="1110"/>
      <c r="BF60" s="1110"/>
      <c r="BG60" s="1110"/>
      <c r="BH60" s="1110"/>
      <c r="BI60" s="1110"/>
      <c r="BJ60" s="1110"/>
      <c r="BK60" s="1110"/>
      <c r="BL60" s="1110"/>
      <c r="BM60" s="1110"/>
      <c r="BN60" s="1110"/>
      <c r="BO60" s="1110"/>
      <c r="BP60" s="1110"/>
      <c r="BQ60" s="1110"/>
      <c r="BR60" s="1110"/>
      <c r="BS60" s="1110"/>
      <c r="BT60" s="1110"/>
      <c r="BU60" s="1110"/>
      <c r="BV60" s="1110"/>
      <c r="BW60" s="1110"/>
      <c r="BX60" s="1110"/>
      <c r="BY60" s="1110"/>
      <c r="BZ60" s="1110"/>
      <c r="CA60" s="1110"/>
      <c r="CB60" s="1110"/>
      <c r="CC60" s="1110"/>
      <c r="CD60" s="1110"/>
      <c r="CE60" s="1110"/>
      <c r="CF60" s="1110"/>
      <c r="CG60" s="1305" t="str">
        <f t="shared" ref="CG60:CG66" si="56">E60</f>
        <v>Research and Development</v>
      </c>
      <c r="CH60" s="1291">
        <f ca="1">-OFFSET(Income!$C$6,MATCH(Charts!$E60,Income!$C$6:$C$117,0)-1,MATCH(Charts!CH$38,Income!$C$4:$EE$4,0)-1)</f>
        <v>74.336000000000013</v>
      </c>
      <c r="CI60" s="1291">
        <f ca="1">-OFFSET(Income!$C$6,MATCH(Charts!$E60,Income!$C$6:$C$117,0)-1,MATCH(Charts!CI$38,Income!$C$4:$EE$4,0)-1)</f>
        <v>135.99700000000001</v>
      </c>
      <c r="CJ60" s="1291">
        <f ca="1">-OFFSET(Income!$C$6,MATCH(Charts!$E60,Income!$C$6:$C$117,0)-1,MATCH(Charts!CJ$38,Income!$C$4:$EE$4,0)-1)</f>
        <v>230.67400000000001</v>
      </c>
      <c r="CK60" s="1291">
        <f ca="1">-OFFSET(Income!$C$6,MATCH(Charts!$E60,Income!$C$6:$C$117,0)-1,MATCH(Charts!CK$38,Income!$C$4:$EE$4,0)-1)</f>
        <v>355.01499999999999</v>
      </c>
      <c r="CL60" s="1291">
        <f ca="1">-OFFSET(Income!$C$6,MATCH(Charts!$E60,Income!$C$6:$C$117,0)-1,MATCH(Charts!CL$38,Income!$C$4:$EE$4,0)-1)</f>
        <v>552.12699999999995</v>
      </c>
      <c r="CM60" s="1291">
        <f ca="1">-OFFSET(Income!$C$6,MATCH(Charts!$E60,Income!$C$6:$C$117,0)-1,MATCH(Charts!CM$38,Income!$C$4:$EE$4,0)-1)</f>
        <v>854.38300000000004</v>
      </c>
      <c r="CN60" s="1291">
        <f ca="1">-OFFSET(Income!$C$6,MATCH(Charts!$E60,Income!$C$6:$C$117,0)-1,MATCH(Charts!CN$38,Income!$C$4:$EE$4,0)-1)</f>
        <v>1503.2339999999999</v>
      </c>
      <c r="CO60" s="1291">
        <f ca="1">-OFFSET(Income!$C$6,MATCH(Charts!$E60,Income!$C$6:$C$117,0)-1,MATCH(Charts!CO$38,Income!$C$4:$EE$4,0)-1)</f>
        <v>1730</v>
      </c>
      <c r="CP60" s="1291">
        <f ca="1">-OFFSET(Income!$C$6,MATCH(Charts!$E60,Income!$C$6:$C$117,0)-1,MATCH(Charts!CP$38,Income!$C$4:$EE$4,0)-1)</f>
        <v>1356.6522384063476</v>
      </c>
      <c r="CQ60" s="1291">
        <f ca="1">-OFFSET(Income!$C$6,MATCH(Charts!$E60,Income!$C$6:$C$117,0)-1,MATCH(Charts!CQ$38,Income!$C$4:$EE$4,0)-1)</f>
        <v>1563.2968213247882</v>
      </c>
      <c r="CR60" s="1291">
        <f ca="1">-OFFSET(Income!$C$6,MATCH(Charts!$E60,Income!$C$6:$C$117,0)-1,MATCH(Charts!CR$38,Income!$C$4:$EE$4,0)-1)</f>
        <v>1741.8541077401842</v>
      </c>
      <c r="CS60" s="1291">
        <f ca="1">-OFFSET(Income!$C$6,MATCH(Charts!$E60,Income!$C$6:$C$117,0)-1,MATCH(Charts!CS$38,Income!$C$4:$EE$4,0)-1)</f>
        <v>1901.4049905628981</v>
      </c>
      <c r="CU60" s="1110"/>
      <c r="CV60" s="1110"/>
      <c r="CW60" s="1110"/>
      <c r="CX60" s="1110"/>
      <c r="CY60" s="1110"/>
      <c r="CZ60" s="1110"/>
      <c r="DA60" s="1110"/>
      <c r="DB60" s="1110"/>
      <c r="DC60" s="1110"/>
      <c r="DD60" s="1110"/>
      <c r="DE60" s="1110"/>
      <c r="DF60" s="1110"/>
      <c r="DG60" s="1110"/>
      <c r="DH60" s="1110"/>
      <c r="DI60" s="1110"/>
      <c r="DJ60" s="1110"/>
      <c r="DK60" s="1110"/>
      <c r="DL60" s="1110"/>
      <c r="DM60" s="1110"/>
      <c r="DN60" s="1110"/>
      <c r="DO60" s="1110"/>
    </row>
    <row r="61" spans="1:130">
      <c r="E61" s="791" t="s">
        <v>210</v>
      </c>
      <c r="F61" s="1284">
        <f ca="1">OFFSET(Income!$C$6,MATCH(Charts!$E60,Income!$C$6:$C$117,0)+0,MATCH(Charts!F$37,Income!$C$5:$EE$5,0)-1)</f>
        <v>0.18797612826929949</v>
      </c>
      <c r="G61" s="1284">
        <f ca="1">OFFSET(Income!$C$6,MATCH(Charts!$E60,Income!$C$6:$C$117,0)+0,MATCH(Charts!G$37,Income!$C$5:$EE$5,0)-1)</f>
        <v>0.193105358523665</v>
      </c>
      <c r="H61" s="1284">
        <f ca="1">OFFSET(Income!$C$6,MATCH(Charts!$E60,Income!$C$6:$C$117,0)+0,MATCH(Charts!H$37,Income!$C$5:$EE$5,0)-1)</f>
        <v>0.195444776958766</v>
      </c>
      <c r="I61" s="1284">
        <f ca="1">OFFSET(Income!$C$6,MATCH(Charts!$E60,Income!$C$6:$C$117,0)+0,MATCH(Charts!I$37,Income!$C$5:$EE$5,0)-1)</f>
        <v>0.1876931808594679</v>
      </c>
      <c r="J61" s="1284">
        <f ca="1">OFFSET(Income!$C$6,MATCH(Charts!$E60,Income!$C$6:$C$117,0)+0,MATCH(Charts!J$37,Income!$C$5:$EE$5,0)-1)</f>
        <v>0.20877852707275141</v>
      </c>
      <c r="K61" s="1284">
        <f ca="1">OFFSET(Income!$C$6,MATCH(Charts!$E60,Income!$C$6:$C$117,0)+0,MATCH(Charts!K$37,Income!$C$5:$EE$5,0)-1)</f>
        <v>0.21571329662721306</v>
      </c>
      <c r="L61" s="1284">
        <f ca="1">OFFSET(Income!$C$6,MATCH(Charts!$E60,Income!$C$6:$C$117,0)+0,MATCH(Charts!L$37,Income!$C$5:$EE$5,0)-1)</f>
        <v>0.21200774542739828</v>
      </c>
      <c r="M61" s="1284">
        <f ca="1">OFFSET(Income!$C$6,MATCH(Charts!$E60,Income!$C$6:$C$117,0)+0,MATCH(Charts!M$37,Income!$C$5:$EE$5,0)-1)</f>
        <v>0.18104338147513171</v>
      </c>
      <c r="N61" s="1284">
        <f ca="1">OFFSET(Income!$C$6,MATCH(Charts!$E60,Income!$C$6:$C$117,0)+0,MATCH(Charts!N$37,Income!$C$5:$EE$5,0)-1)</f>
        <v>0.22261827003825702</v>
      </c>
      <c r="O61" s="1284">
        <f ca="1">OFFSET(Income!$C$6,MATCH(Charts!$E60,Income!$C$6:$C$117,0)+0,MATCH(Charts!O$37,Income!$C$5:$EE$5,0)-1)</f>
        <v>0.22168654041630778</v>
      </c>
      <c r="P61" s="1284">
        <f ca="1">OFFSET(Income!$C$6,MATCH(Charts!$E60,Income!$C$6:$C$117,0)+0,MATCH(Charts!P$37,Income!$C$5:$EE$5,0)-1)</f>
        <v>0.22820146335683394</v>
      </c>
      <c r="Q61" s="1284">
        <f ca="1">OFFSET(Income!$C$6,MATCH(Charts!$E60,Income!$C$6:$C$117,0)+0,MATCH(Charts!Q$37,Income!$C$5:$EE$5,0)-1)</f>
        <v>0.19491540210898561</v>
      </c>
      <c r="R61" s="1284">
        <f ca="1">OFFSET(Income!$C$6,MATCH(Charts!$E60,Income!$C$6:$C$117,0)+0,MATCH(Charts!R$37,Income!$C$5:$EE$5,0)-1)</f>
        <v>0.23825051016905788</v>
      </c>
      <c r="S61" s="1284">
        <f ca="1">OFFSET(Income!$C$6,MATCH(Charts!$E60,Income!$C$6:$C$117,0)+0,MATCH(Charts!S$37,Income!$C$5:$EE$5,0)-1)</f>
        <v>0.23625679942759109</v>
      </c>
      <c r="T61" s="1284">
        <f ca="1">OFFSET(Income!$C$6,MATCH(Charts!$E60,Income!$C$6:$C$117,0)+0,MATCH(Charts!T$37,Income!$C$5:$EE$5,0)-1)</f>
        <v>0.23143397038038468</v>
      </c>
      <c r="U61" s="1284">
        <f ca="1">OFFSET(Income!$C$6,MATCH(Charts!$E60,Income!$C$6:$C$117,0)+0,MATCH(Charts!U$37,Income!$C$5:$EE$5,0)-1)</f>
        <v>0.20340684139678517</v>
      </c>
      <c r="V61" s="1284">
        <f ca="1">OFFSET(Income!$C$6,MATCH(Charts!$E60,Income!$C$6:$C$117,0)+0,MATCH(Charts!V$37,Income!$C$5:$EE$5,0)-1)</f>
        <v>0.24765053691375127</v>
      </c>
      <c r="W61" s="1284">
        <f ca="1">OFFSET(Income!$C$6,MATCH(Charts!$E60,Income!$C$6:$C$117,0)+0,MATCH(Charts!W$37,Income!$C$5:$EE$5,0)-1)</f>
        <v>0.1865033646395769</v>
      </c>
      <c r="X61" s="1284">
        <f ca="1">OFFSET(Income!$C$6,MATCH(Charts!$E60,Income!$C$6:$C$117,0)+0,MATCH(Charts!X$37,Income!$C$5:$EE$5,0)-1)</f>
        <v>0.18689870407411993</v>
      </c>
      <c r="Y61" s="1284">
        <f ca="1">OFFSET(Income!$C$6,MATCH(Charts!$E60,Income!$C$6:$C$117,0)+0,MATCH(Charts!Y$37,Income!$C$5:$EE$5,0)-1)</f>
        <v>0.1626980068402363</v>
      </c>
      <c r="Z61" s="1284">
        <f ca="1">OFFSET(Income!$C$6,MATCH(Charts!$E60,Income!$C$6:$C$117,0)+0,MATCH(Charts!Z$37,Income!$C$5:$EE$5,0)-1)</f>
        <v>0.17790576414028467</v>
      </c>
      <c r="AA61" s="1284">
        <f ca="1">OFFSET(Income!$C$6,MATCH(Charts!$E60,Income!$C$6:$C$117,0)+0,MATCH(Charts!AA$37,Income!$C$5:$EE$5,0)-1)</f>
        <v>0.16397143227224203</v>
      </c>
      <c r="AB61" s="1284">
        <f ca="1">OFFSET(Income!$C$6,MATCH(Charts!$E60,Income!$C$6:$C$117,0)+0,MATCH(Charts!AB$37,Income!$C$5:$EE$5,0)-1)</f>
        <v>0.19668962571413315</v>
      </c>
      <c r="AC61" s="1284">
        <f ca="1">OFFSET(Income!$C$6,MATCH(Charts!$E60,Income!$C$6:$C$117,0)+0,MATCH(Charts!AC$37,Income!$C$5:$EE$5,0)-1)</f>
        <v>0.19848350463470196</v>
      </c>
      <c r="AD61" s="1284">
        <f ca="1">OFFSET(Income!$C$6,MATCH(Charts!$E60,Income!$C$6:$C$117,0)+0,MATCH(Charts!AD$37,Income!$C$5:$EE$5,0)-1)</f>
        <v>0.25228913040046591</v>
      </c>
      <c r="AE61" s="1284">
        <f ca="1">OFFSET(Income!$C$6,MATCH(Charts!$E60,Income!$C$6:$C$117,0)+0,MATCH(Charts!AE$37,Income!$C$5:$EE$5,0)-1)</f>
        <v>0.26768350265585533</v>
      </c>
      <c r="AF61" s="1284">
        <f ca="1">OFFSET(Income!$C$6,MATCH(Charts!$E60,Income!$C$6:$C$117,0)+0,MATCH(Charts!AF$37,Income!$C$5:$EE$5,0)-1)</f>
        <v>0.30182916117698722</v>
      </c>
      <c r="AG61" s="1284">
        <f ca="1">OFFSET(Income!$C$6,MATCH(Charts!$E60,Income!$C$6:$C$117,0)+0,MATCH(Charts!AG$37,Income!$C$5:$EE$5,0)-1)</f>
        <v>0.25392079899572212</v>
      </c>
      <c r="AH61" s="1284">
        <f ca="1">OFFSET(Income!$C$6,MATCH(Charts!$E60,Income!$C$6:$C$117,0)+0,MATCH(Charts!AH$37,Income!$C$5:$EE$5,0)-1)</f>
        <v>0.30371352785145889</v>
      </c>
      <c r="AI61" s="1284">
        <f ca="1">OFFSET(Income!$C$6,MATCH(Charts!$E60,Income!$C$6:$C$117,0)+0,MATCH(Charts!AI$37,Income!$C$5:$EE$5,0)-1)</f>
        <v>0.38252656434474619</v>
      </c>
      <c r="AJ61" s="1284">
        <f ca="1">OFFSET(Income!$C$6,MATCH(Charts!$E60,Income!$C$6:$C$117,0)+0,MATCH(Charts!AJ$37,Income!$C$5:$EE$5,0)-1)</f>
        <v>0.18261376896149359</v>
      </c>
      <c r="AK61" s="1284">
        <f ca="1">OFFSET(Income!$C$6,MATCH(Charts!$E60,Income!$C$6:$C$117,0)+0,MATCH(Charts!AK$37,Income!$C$5:$EE$5,0)-1)</f>
        <v>0.14505597014925373</v>
      </c>
      <c r="AL61" s="1284">
        <f ca="1">OFFSET(Income!$C$6,MATCH(Charts!$E60,Income!$C$6:$C$117,0)+0,MATCH(Charts!AL$37,Income!$C$5:$EE$5,0)-1)</f>
        <v>0.18001074691026331</v>
      </c>
      <c r="AM61" s="1284">
        <f ca="1">OFFSET(Income!$C$6,MATCH(Charts!$E60,Income!$C$6:$C$117,0)+0,MATCH(Charts!AM$37,Income!$C$5:$EE$5,0)-1)</f>
        <v>0.17066014669926649</v>
      </c>
      <c r="AN61" s="1284">
        <f ca="1">OFFSET(Income!$C$6,MATCH(Charts!$E60,Income!$C$6:$C$117,0)+0,MATCH(Charts!AN$37,Income!$C$5:$EE$5,0)-1)</f>
        <v>0.15356151711378355</v>
      </c>
      <c r="AO61" s="1284">
        <f ca="1">OFFSET(Income!$C$6,MATCH(Charts!$E60,Income!$C$6:$C$117,0)+0,MATCH(Charts!AO$37,Income!$C$5:$EE$5,0)-1)</f>
        <v>0.126</v>
      </c>
      <c r="AP61" s="1284">
        <f ca="1">OFFSET(Income!$C$6,MATCH(Charts!$E60,Income!$C$6:$C$117,0)+0,MATCH(Charts!AP$37,Income!$C$5:$EE$5,0)-1)</f>
        <v>0.1700107469102633</v>
      </c>
      <c r="AQ61" s="1284">
        <f ca="1">OFFSET(Income!$C$6,MATCH(Charts!$E60,Income!$C$6:$C$117,0)+0,MATCH(Charts!AQ$37,Income!$C$5:$EE$5,0)-1)</f>
        <v>0.16066014669926648</v>
      </c>
      <c r="AR61" s="1284">
        <f ca="1">OFFSET(Income!$C$6,MATCH(Charts!$E60,Income!$C$6:$C$117,0)+0,MATCH(Charts!AR$37,Income!$C$5:$EE$5,0)-1)</f>
        <v>0.14356151711378354</v>
      </c>
      <c r="AS61" s="1284">
        <f ca="1">OFFSET(Income!$C$6,MATCH(Charts!$E60,Income!$C$6:$C$117,0)+0,MATCH(Charts!AS$37,Income!$C$5:$EE$5,0)-1)</f>
        <v>0.11600000000000001</v>
      </c>
      <c r="AT61" s="1284">
        <f ca="1">OFFSET(Income!$C$6,MATCH(Charts!$E60,Income!$C$6:$C$117,0)+0,MATCH(Charts!AT$37,Income!$C$5:$EE$5,0)-1)</f>
        <v>0.16001074691026329</v>
      </c>
      <c r="AU61" s="1284">
        <f ca="1">OFFSET(Income!$C$6,MATCH(Charts!$E60,Income!$C$6:$C$117,0)+0,MATCH(Charts!AU$37,Income!$C$5:$EE$5,0)-1)</f>
        <v>0.15066014669926647</v>
      </c>
      <c r="AV61" s="1284">
        <f ca="1">OFFSET(Income!$C$6,MATCH(Charts!$E60,Income!$C$6:$C$117,0)+0,MATCH(Charts!AV$37,Income!$C$5:$EE$5,0)-1)</f>
        <v>0.13356151711378353</v>
      </c>
      <c r="AW61" s="1284">
        <f ca="1">OFFSET(Income!$C$6,MATCH(Charts!$E60,Income!$C$6:$C$117,0)+0,MATCH(Charts!AW$37,Income!$C$5:$EE$5,0)-1)</f>
        <v>0.10600000000000001</v>
      </c>
      <c r="AX61" s="1284">
        <f ca="1">OFFSET(Income!$C$6,MATCH(Charts!$E60,Income!$C$6:$C$117,0)+0,MATCH(Charts!AX$37,Income!$C$5:$EE$5,0)-1)</f>
        <v>0.15001074691026328</v>
      </c>
      <c r="AY61" s="1284">
        <f ca="1">OFFSET(Income!$C$6,MATCH(Charts!$E60,Income!$C$6:$C$117,0)+0,MATCH(Charts!AY$37,Income!$C$5:$EE$5,0)-1)</f>
        <v>0.14066014669926646</v>
      </c>
      <c r="AZ61" s="1284">
        <f ca="1">OFFSET(Income!$C$6,MATCH(Charts!$E60,Income!$C$6:$C$117,0)+0,MATCH(Charts!AZ$37,Income!$C$5:$EE$5,0)-1)</f>
        <v>0.12356151711378353</v>
      </c>
      <c r="BA61" s="1284">
        <f ca="1">OFFSET(Income!$C$6,MATCH(Charts!$E60,Income!$C$6:$C$117,0)+0,MATCH(Charts!BA$37,Income!$C$5:$EE$5,0)-1)</f>
        <v>9.6000000000000016E-2</v>
      </c>
      <c r="BB61" s="1110"/>
      <c r="BC61" s="1110"/>
      <c r="BD61" s="1110"/>
      <c r="BE61" s="1110"/>
      <c r="BF61" s="1110"/>
      <c r="BG61" s="1110"/>
      <c r="BH61" s="1110"/>
      <c r="BI61" s="1110"/>
      <c r="BJ61" s="1110"/>
      <c r="BK61" s="1110"/>
      <c r="BL61" s="1110"/>
      <c r="BM61" s="1110"/>
      <c r="BN61" s="1110"/>
      <c r="BO61" s="1110"/>
      <c r="BP61" s="1110"/>
      <c r="BQ61" s="1110"/>
      <c r="BR61" s="1110"/>
      <c r="BS61" s="1110"/>
      <c r="BT61" s="1110"/>
      <c r="BU61" s="1110"/>
      <c r="BV61" s="1110"/>
      <c r="BW61" s="1110"/>
      <c r="BX61" s="1110"/>
      <c r="BY61" s="1110"/>
      <c r="BZ61" s="1110"/>
      <c r="CA61" s="1110"/>
      <c r="CB61" s="1110"/>
      <c r="CC61" s="1110"/>
      <c r="CD61" s="1110"/>
      <c r="CE61" s="1110"/>
      <c r="CF61" s="1110"/>
      <c r="CG61" s="1305" t="str">
        <f t="shared" si="56"/>
        <v>% of revenue</v>
      </c>
      <c r="CH61" s="1284">
        <f ca="1">OFFSET(Income!$C$6,MATCH(Charts!$E60,Income!$C$6:$C$117,0)+0,MATCH(Charts!CH$38,Income!$C$4:$EE$4,0)-1)</f>
        <v>0.19093314155086949</v>
      </c>
      <c r="CI61" s="1284">
        <f ca="1">OFFSET(Income!$C$6,MATCH(Charts!$E60,Income!$C$6:$C$117,0)+0,MATCH(Charts!CI$38,Income!$C$4:$EE$4,0)-1)</f>
        <v>0.20198454190083531</v>
      </c>
      <c r="CJ61" s="1284">
        <f ca="1">OFFSET(Income!$C$6,MATCH(Charts!$E60,Income!$C$6:$C$117,0)+0,MATCH(Charts!CJ$38,Income!$C$4:$EE$4,0)-1)</f>
        <v>0.21493455730324101</v>
      </c>
      <c r="CK61" s="1284">
        <f ca="1">OFFSET(Income!$C$6,MATCH(Charts!$E60,Income!$C$6:$C$117,0)+0,MATCH(Charts!CK$38,Income!$C$4:$EE$4,0)-1)</f>
        <v>0.22495315786038667</v>
      </c>
      <c r="CL61" s="1284">
        <f ca="1">OFFSET(Income!$C$6,MATCH(Charts!$E60,Income!$C$6:$C$117,0)+0,MATCH(Charts!CL$38,Income!$C$4:$EE$4,0)-1)</f>
        <v>0.18847199052668193</v>
      </c>
      <c r="CM61" s="1284">
        <f ca="1">OFFSET(Income!$C$6,MATCH(Charts!$E60,Income!$C$6:$C$117,0)+0,MATCH(Charts!CM$38,Income!$C$4:$EE$4,0)-1)</f>
        <v>0.1852579525466537</v>
      </c>
      <c r="CN61" s="1284">
        <f ca="1">OFFSET(Income!$C$6,MATCH(Charts!$E60,Income!$C$6:$C$117,0)+0,MATCH(Charts!CN$38,Income!$C$4:$EE$4,0)-1)</f>
        <v>0.26844116214250913</v>
      </c>
      <c r="CO61" s="1284">
        <f ca="1">OFFSET(Income!$C$6,MATCH(Charts!$E60,Income!$C$6:$C$117,0)+0,MATCH(Charts!CO$38,Income!$C$4:$EE$4,0)-1)</f>
        <v>0.24504249291784702</v>
      </c>
      <c r="CP61" s="1284">
        <f ca="1">OFFSET(Income!$C$6,MATCH(Charts!$E60,Income!$C$6:$C$117,0)+0,MATCH(Charts!CP$38,Income!$C$4:$EE$4,0)-1)</f>
        <v>0.15466436109212137</v>
      </c>
      <c r="CQ61" s="1284">
        <f ca="1">OFFSET(Income!$C$6,MATCH(Charts!$E60,Income!$C$6:$C$117,0)+0,MATCH(Charts!CQ$38,Income!$C$4:$EE$4,0)-1)</f>
        <v>0.14479319071822735</v>
      </c>
      <c r="CR61" s="1284">
        <f ca="1">OFFSET(Income!$C$6,MATCH(Charts!$E60,Income!$C$6:$C$117,0)+0,MATCH(Charts!CR$38,Income!$C$4:$EE$4,0)-1)</f>
        <v>0.13478263998159287</v>
      </c>
      <c r="CS61" s="1284">
        <f ca="1">OFFSET(Income!$C$6,MATCH(Charts!$E60,Income!$C$6:$C$117,0)+0,MATCH(Charts!CS$38,Income!$C$4:$EE$4,0)-1)</f>
        <v>0.12477419059940081</v>
      </c>
      <c r="CU61" s="1110"/>
      <c r="CV61" s="1110"/>
      <c r="CW61" s="1110"/>
      <c r="CX61" s="1110"/>
      <c r="CY61" s="1110"/>
      <c r="CZ61" s="1110"/>
      <c r="DA61" s="1110"/>
      <c r="DB61" s="1110"/>
      <c r="DC61" s="1110"/>
      <c r="DD61" s="1110"/>
      <c r="DE61" s="1110"/>
      <c r="DF61" s="1110"/>
      <c r="DG61" s="1110"/>
      <c r="DH61" s="1110"/>
      <c r="DI61" s="1110"/>
      <c r="DJ61" s="1110"/>
      <c r="DK61" s="1110"/>
      <c r="DL61" s="1110"/>
      <c r="DM61" s="1110"/>
      <c r="DN61" s="1110"/>
      <c r="DO61" s="1110"/>
      <c r="DQ61" s="1110"/>
      <c r="DR61" s="1110"/>
      <c r="DS61" s="1110"/>
      <c r="DT61" s="1110"/>
      <c r="DU61" s="1110"/>
      <c r="DV61" s="1110"/>
      <c r="DW61" s="1110"/>
      <c r="DX61" s="1110"/>
      <c r="DY61" s="1110"/>
      <c r="DZ61" s="1110"/>
    </row>
    <row r="62" spans="1:130">
      <c r="E62" s="12" t="str">
        <f>Income!C36</f>
        <v>General and Administrative</v>
      </c>
      <c r="F62" s="1286">
        <f ca="1">-OFFSET(Income!$C$6,MATCH(Charts!$E62,Income!$C$6:$C$117,0)-1,MATCH(Charts!F$37,Income!$C$5:$EE$5,0)-1)</f>
        <v>8.1189999999999998</v>
      </c>
      <c r="G62" s="1286">
        <f ca="1">-OFFSET(Income!$C$6,MATCH(Charts!$E62,Income!$C$6:$C$117,0)-1,MATCH(Charts!G$37,Income!$C$5:$EE$5,0)-1)</f>
        <v>10.037000000000001</v>
      </c>
      <c r="H62" s="1286">
        <f ca="1">-OFFSET(Income!$C$6,MATCH(Charts!$E62,Income!$C$6:$C$117,0)-1,MATCH(Charts!H$37,Income!$C$5:$EE$5,0)-1)</f>
        <v>11.002000000000001</v>
      </c>
      <c r="I62" s="1286">
        <f ca="1">-OFFSET(Income!$C$6,MATCH(Charts!$E62,Income!$C$6:$C$117,0)-1,MATCH(Charts!I$37,Income!$C$5:$EE$5,0)-1)</f>
        <v>13.952</v>
      </c>
      <c r="J62" s="1286">
        <f ca="1">-OFFSET(Income!$C$6,MATCH(Charts!$E62,Income!$C$6:$C$117,0)-1,MATCH(Charts!J$37,Income!$C$5:$EE$5,0)-1)</f>
        <v>14.773999999999999</v>
      </c>
      <c r="K62" s="1286">
        <f ca="1">-OFFSET(Income!$C$6,MATCH(Charts!$E62,Income!$C$6:$C$117,0)-1,MATCH(Charts!K$37,Income!$C$5:$EE$5,0)-1)</f>
        <v>15.161</v>
      </c>
      <c r="L62" s="1286">
        <f ca="1">-OFFSET(Income!$C$6,MATCH(Charts!$E62,Income!$C$6:$C$117,0)-1,MATCH(Charts!L$37,Income!$C$5:$EE$5,0)-1)</f>
        <v>18.039000000000001</v>
      </c>
      <c r="M62" s="1286">
        <f ca="1">-OFFSET(Income!$C$6,MATCH(Charts!$E62,Income!$C$6:$C$117,0)-1,MATCH(Charts!M$37,Income!$C$5:$EE$5,0)-1)</f>
        <v>19.745000000000001</v>
      </c>
      <c r="N62" s="1286">
        <f ca="1">-OFFSET(Income!$C$6,MATCH(Charts!$E62,Income!$C$6:$C$117,0)-1,MATCH(Charts!N$37,Income!$C$5:$EE$5,0)-1)</f>
        <v>20.675000000000001</v>
      </c>
      <c r="O62" s="1286">
        <f ca="1">-OFFSET(Income!$C$6,MATCH(Charts!$E62,Income!$C$6:$C$117,0)-1,MATCH(Charts!O$37,Income!$C$5:$EE$5,0)-1)</f>
        <v>25.923999999999999</v>
      </c>
      <c r="P62" s="1286">
        <f ca="1">-OFFSET(Income!$C$6,MATCH(Charts!$E62,Income!$C$6:$C$117,0)-1,MATCH(Charts!P$37,Income!$C$5:$EE$5,0)-1)</f>
        <v>27.831</v>
      </c>
      <c r="Q62" s="1286">
        <f ca="1">-OFFSET(Income!$C$6,MATCH(Charts!$E62,Income!$C$6:$C$117,0)-1,MATCH(Charts!Q$37,Income!$C$5:$EE$5,0)-1)</f>
        <v>33.014000000000003</v>
      </c>
      <c r="R62" s="1286">
        <f ca="1">-OFFSET(Income!$C$6,MATCH(Charts!$E62,Income!$C$6:$C$117,0)-1,MATCH(Charts!R$37,Income!$C$5:$EE$5,0)-1)</f>
        <v>30.303000000000001</v>
      </c>
      <c r="S62" s="1286">
        <f ca="1">-OFFSET(Income!$C$6,MATCH(Charts!$E62,Income!$C$6:$C$117,0)-1,MATCH(Charts!S$37,Income!$C$5:$EE$5,0)-1)</f>
        <v>34.921999999999997</v>
      </c>
      <c r="T62" s="1286">
        <f ca="1">-OFFSET(Income!$C$6,MATCH(Charts!$E62,Income!$C$6:$C$117,0)-1,MATCH(Charts!T$37,Income!$C$5:$EE$5,0)-1)</f>
        <v>38.021999999999998</v>
      </c>
      <c r="U62" s="1286">
        <f ca="1">-OFFSET(Income!$C$6,MATCH(Charts!$E62,Income!$C$6:$C$117,0)-1,MATCH(Charts!U$37,Income!$C$5:$EE$5,0)-1)</f>
        <v>50.518000000000001</v>
      </c>
      <c r="V62" s="1286">
        <f ca="1">-OFFSET(Income!$C$6,MATCH(Charts!$E62,Income!$C$6:$C$117,0)-1,MATCH(Charts!V$37,Income!$C$5:$EE$5,0)-1)</f>
        <v>44.841999999999999</v>
      </c>
      <c r="W62" s="1286">
        <f ca="1">-OFFSET(Income!$C$6,MATCH(Charts!$E62,Income!$C$6:$C$117,0)-1,MATCH(Charts!W$37,Income!$C$5:$EE$5,0)-1)</f>
        <v>83.307000000000002</v>
      </c>
      <c r="X62" s="1286">
        <f ca="1">-OFFSET(Income!$C$6,MATCH(Charts!$E62,Income!$C$6:$C$117,0)-1,MATCH(Charts!X$37,Income!$C$5:$EE$5,0)-1)</f>
        <v>51.798999999999999</v>
      </c>
      <c r="Y62" s="1286">
        <f ca="1">-OFFSET(Income!$C$6,MATCH(Charts!$E62,Income!$C$6:$C$117,0)-1,MATCH(Charts!Y$37,Income!$C$5:$EE$5,0)-1)</f>
        <v>65.394999999999996</v>
      </c>
      <c r="Z62" s="1286">
        <f ca="1">-OFFSET(Income!$C$6,MATCH(Charts!$E62,Income!$C$6:$C$117,0)-1,MATCH(Charts!Z$37,Income!$C$5:$EE$5,0)-1)</f>
        <v>67.102000000000004</v>
      </c>
      <c r="AA62" s="1286">
        <f ca="1">-OFFSET(Income!$C$6,MATCH(Charts!$E62,Income!$C$6:$C$117,0)-1,MATCH(Charts!AA$37,Income!$C$5:$EE$5,0)-1)</f>
        <v>77.965999999999994</v>
      </c>
      <c r="AB62" s="1286">
        <f ca="1">-OFFSET(Income!$C$6,MATCH(Charts!$E62,Income!$C$6:$C$117,0)-1,MATCH(Charts!AB$37,Income!$C$5:$EE$5,0)-1)</f>
        <v>128.72200000000001</v>
      </c>
      <c r="AC62" s="1286">
        <f ca="1">-OFFSET(Income!$C$6,MATCH(Charts!$E62,Income!$C$6:$C$117,0)-1,MATCH(Charts!AC$37,Income!$C$5:$EE$5,0)-1)</f>
        <v>101.054</v>
      </c>
      <c r="AD62" s="1286">
        <f ca="1">-OFFSET(Income!$C$6,MATCH(Charts!$E62,Income!$C$6:$C$117,0)-1,MATCH(Charts!AD$37,Income!$C$5:$EE$5,0)-1)</f>
        <v>108.08799999999999</v>
      </c>
      <c r="AE62" s="1286">
        <f ca="1">-OFFSET(Income!$C$6,MATCH(Charts!$E62,Income!$C$6:$C$117,0)-1,MATCH(Charts!AE$37,Income!$C$5:$EE$5,0)-1)</f>
        <v>129.90100000000001</v>
      </c>
      <c r="AF62" s="1286">
        <f ca="1">-OFFSET(Income!$C$6,MATCH(Charts!$E62,Income!$C$6:$C$117,0)-1,MATCH(Charts!AF$37,Income!$C$5:$EE$5,0)-1)</f>
        <v>255.125</v>
      </c>
      <c r="AG62" s="1286">
        <f ca="1">-OFFSET(Income!$C$6,MATCH(Charts!$E62,Income!$C$6:$C$117,0)-1,MATCH(Charts!AG$37,Income!$C$5:$EE$5,0)-1)</f>
        <v>214.65100000000001</v>
      </c>
      <c r="AH62" s="1286">
        <f ca="1">-OFFSET(Income!$C$6,MATCH(Charts!$E62,Income!$C$6:$C$117,0)-1,MATCH(Charts!AH$37,Income!$C$5:$EE$5,0)-1)</f>
        <v>123</v>
      </c>
      <c r="AI62" s="1286">
        <f ca="1">-OFFSET(Income!$C$6,MATCH(Charts!$E62,Income!$C$6:$C$117,0)-1,MATCH(Charts!AI$37,Income!$C$5:$EE$5,0)-1)</f>
        <v>131</v>
      </c>
      <c r="AJ62" s="1286">
        <f ca="1">-OFFSET(Income!$C$6,MATCH(Charts!$E62,Income!$C$6:$C$117,0)-1,MATCH(Charts!AJ$37,Income!$C$5:$EE$5,0)-1)</f>
        <v>137</v>
      </c>
      <c r="AK62" s="1286">
        <f ca="1">-OFFSET(Income!$C$6,MATCH(Charts!$E62,Income!$C$6:$C$117,0)-1,MATCH(Charts!AK$37,Income!$C$5:$EE$5,0)-1)</f>
        <v>100</v>
      </c>
      <c r="AL62" s="1286">
        <f ca="1">-OFFSET(Income!$C$6,MATCH(Charts!$E62,Income!$C$6:$C$117,0)-1,MATCH(Charts!AL$37,Income!$C$5:$EE$5,0)-1)</f>
        <v>124</v>
      </c>
      <c r="AM62" s="1286">
        <f ca="1">-OFFSET(Income!$C$6,MATCH(Charts!$E62,Income!$C$6:$C$117,0)-1,MATCH(Charts!AM$37,Income!$C$5:$EE$5,0)-1)</f>
        <v>60</v>
      </c>
      <c r="AN62" s="1286">
        <f ca="1">-OFFSET(Income!$C$6,MATCH(Charts!$E62,Income!$C$6:$C$117,0)-1,MATCH(Charts!AN$37,Income!$C$5:$EE$5,0)-1)</f>
        <v>114</v>
      </c>
      <c r="AO62" s="1286">
        <f ca="1">-OFFSET(Income!$C$6,MATCH(Charts!$E62,Income!$C$6:$C$117,0)-1,MATCH(Charts!AO$37,Income!$C$5:$EE$5,0)-1)</f>
        <v>104.4715286939154</v>
      </c>
      <c r="AP62" s="1286">
        <f ca="1">-OFFSET(Income!$C$6,MATCH(Charts!$E62,Income!$C$6:$C$117,0)-1,MATCH(Charts!AP$37,Income!$C$5:$EE$5,0)-1)</f>
        <v>144.147358591846</v>
      </c>
      <c r="AQ62" s="1286">
        <f ca="1">-OFFSET(Income!$C$6,MATCH(Charts!$E62,Income!$C$6:$C$117,0)-1,MATCH(Charts!AQ$37,Income!$C$5:$EE$5,0)-1)</f>
        <v>61.045042880140322</v>
      </c>
      <c r="AR62" s="1286">
        <f ca="1">-OFFSET(Income!$C$6,MATCH(Charts!$E62,Income!$C$6:$C$117,0)-1,MATCH(Charts!AR$37,Income!$C$5:$EE$5,0)-1)</f>
        <v>125.61810540811801</v>
      </c>
      <c r="AS62" s="1286">
        <f ca="1">-OFFSET(Income!$C$6,MATCH(Charts!$E62,Income!$C$6:$C$117,0)-1,MATCH(Charts!AS$37,Income!$C$5:$EE$5,0)-1)</f>
        <v>111.62141167051531</v>
      </c>
      <c r="AT62" s="1286">
        <f ca="1">-OFFSET(Income!$C$6,MATCH(Charts!$E62,Income!$C$6:$C$117,0)-1,MATCH(Charts!AT$37,Income!$C$5:$EE$5,0)-1)</f>
        <v>166.91897096682183</v>
      </c>
      <c r="AU62" s="1286">
        <f ca="1">-OFFSET(Income!$C$6,MATCH(Charts!$E62,Income!$C$6:$C$117,0)-1,MATCH(Charts!AU$37,Income!$C$5:$EE$5,0)-1)</f>
        <v>67.045163918869562</v>
      </c>
      <c r="AV62" s="1286">
        <f ca="1">-OFFSET(Income!$C$6,MATCH(Charts!$E62,Income!$C$6:$C$117,0)-1,MATCH(Charts!AV$37,Income!$C$5:$EE$5,0)-1)</f>
        <v>143.93484765370738</v>
      </c>
      <c r="AW62" s="1286">
        <f ca="1">-OFFSET(Income!$C$6,MATCH(Charts!$E62,Income!$C$6:$C$117,0)-1,MATCH(Charts!AW$37,Income!$C$5:$EE$5,0)-1)</f>
        <v>125.79240040208512</v>
      </c>
      <c r="AX62" s="1286">
        <f ca="1">-OFFSET(Income!$C$6,MATCH(Charts!$E62,Income!$C$6:$C$117,0)-1,MATCH(Charts!AX$37,Income!$C$5:$EE$5,0)-1)</f>
        <v>190.20299092176705</v>
      </c>
      <c r="AY62" s="1286">
        <f ca="1">-OFFSET(Income!$C$6,MATCH(Charts!$E62,Income!$C$6:$C$117,0)-1,MATCH(Charts!AY$37,Income!$C$5:$EE$5,0)-1)</f>
        <v>71.961140365422651</v>
      </c>
      <c r="AZ62" s="1286">
        <f ca="1">-OFFSET(Income!$C$6,MATCH(Charts!$E62,Income!$C$6:$C$117,0)-1,MATCH(Charts!AZ$37,Income!$C$5:$EE$5,0)-1)</f>
        <v>162.18654904501233</v>
      </c>
      <c r="BA62" s="1286">
        <f ca="1">-OFFSET(Income!$C$6,MATCH(Charts!$E62,Income!$C$6:$C$117,0)-1,MATCH(Charts!BA$37,Income!$C$5:$EE$5,0)-1)</f>
        <v>139.06615647902592</v>
      </c>
      <c r="BB62" s="1110"/>
      <c r="BC62" s="1110"/>
      <c r="BD62" s="1110"/>
      <c r="BE62" s="1110"/>
      <c r="BF62" s="1110"/>
      <c r="BG62" s="1110"/>
      <c r="BH62" s="1110"/>
      <c r="BI62" s="1110"/>
      <c r="BJ62" s="1110"/>
      <c r="BK62" s="1110"/>
      <c r="BL62" s="1110"/>
      <c r="BM62" s="1110"/>
      <c r="BN62" s="1110"/>
      <c r="BO62" s="1110"/>
      <c r="BP62" s="1110"/>
      <c r="BQ62" s="1110"/>
      <c r="BR62" s="1110"/>
      <c r="BS62" s="1110"/>
      <c r="BT62" s="1110"/>
      <c r="BU62" s="1110"/>
      <c r="BV62" s="1110"/>
      <c r="BW62" s="1110"/>
      <c r="BX62" s="1110"/>
      <c r="BY62" s="1110"/>
      <c r="BZ62" s="1110"/>
      <c r="CA62" s="1110"/>
      <c r="CB62" s="1110"/>
      <c r="CC62" s="1110"/>
      <c r="CD62" s="1110"/>
      <c r="CE62" s="1110"/>
      <c r="CF62" s="1110"/>
      <c r="CG62" s="1305" t="str">
        <f t="shared" si="56"/>
        <v>General and Administrative</v>
      </c>
      <c r="CH62" s="1291">
        <f ca="1">-OFFSET(Income!$C$6,MATCH(Charts!$E62,Income!$C$6:$C$117,0)-1,MATCH(Charts!CH$38,Income!$C$4:$EE$4,0)-1)</f>
        <v>43.11</v>
      </c>
      <c r="CI62" s="1291">
        <f ca="1">-OFFSET(Income!$C$6,MATCH(Charts!$E62,Income!$C$6:$C$117,0)-1,MATCH(Charts!CI$38,Income!$C$4:$EE$4,0)-1)</f>
        <v>67.719000000000008</v>
      </c>
      <c r="CJ62" s="1291">
        <f ca="1">-OFFSET(Income!$C$6,MATCH(Charts!$E62,Income!$C$6:$C$117,0)-1,MATCH(Charts!CJ$38,Income!$C$4:$EE$4,0)-1)</f>
        <v>107.44400000000002</v>
      </c>
      <c r="CK62" s="1291">
        <f ca="1">-OFFSET(Income!$C$6,MATCH(Charts!$E62,Income!$C$6:$C$117,0)-1,MATCH(Charts!CK$38,Income!$C$4:$EE$4,0)-1)</f>
        <v>153.76499999999999</v>
      </c>
      <c r="CL62" s="1291">
        <f ca="1">-OFFSET(Income!$C$6,MATCH(Charts!$E62,Income!$C$6:$C$117,0)-1,MATCH(Charts!CL$38,Income!$C$4:$EE$4,0)-1)</f>
        <v>245.34300000000002</v>
      </c>
      <c r="CM62" s="1291">
        <f ca="1">-OFFSET(Income!$C$6,MATCH(Charts!$E62,Income!$C$6:$C$117,0)-1,MATCH(Charts!CM$38,Income!$C$4:$EE$4,0)-1)</f>
        <v>374.84399999999994</v>
      </c>
      <c r="CN62" s="1291">
        <f ca="1">-OFFSET(Income!$C$6,MATCH(Charts!$E62,Income!$C$6:$C$117,0)-1,MATCH(Charts!CN$38,Income!$C$4:$EE$4,0)-1)</f>
        <v>707.7650000000001</v>
      </c>
      <c r="CO62" s="1291">
        <f ca="1">-OFFSET(Income!$C$6,MATCH(Charts!$E62,Income!$C$6:$C$117,0)-1,MATCH(Charts!CO$38,Income!$C$4:$EE$4,0)-1)</f>
        <v>491</v>
      </c>
      <c r="CP62" s="1291">
        <f ca="1">-OFFSET(Income!$C$6,MATCH(Charts!$E62,Income!$C$6:$C$117,0)-1,MATCH(Charts!CP$38,Income!$C$4:$EE$4,0)-1)</f>
        <v>402.47152869391539</v>
      </c>
      <c r="CQ62" s="1291">
        <f ca="1">-OFFSET(Income!$C$6,MATCH(Charts!$E62,Income!$C$6:$C$117,0)-1,MATCH(Charts!CQ$38,Income!$C$4:$EE$4,0)-1)</f>
        <v>442.43191855061968</v>
      </c>
      <c r="CR62" s="1291">
        <f ca="1">-OFFSET(Income!$C$6,MATCH(Charts!$E62,Income!$C$6:$C$117,0)-1,MATCH(Charts!CR$38,Income!$C$4:$EE$4,0)-1)</f>
        <v>503.69138294148388</v>
      </c>
      <c r="CS62" s="1291">
        <f ca="1">-OFFSET(Income!$C$6,MATCH(Charts!$E62,Income!$C$6:$C$117,0)-1,MATCH(Charts!CS$38,Income!$C$4:$EE$4,0)-1)</f>
        <v>563.41683681122799</v>
      </c>
      <c r="CU62" s="1110"/>
      <c r="CV62" s="1110"/>
      <c r="CW62" s="1110"/>
      <c r="CX62" s="1110"/>
      <c r="CY62" s="1110"/>
      <c r="CZ62" s="1110"/>
      <c r="DA62" s="1110"/>
      <c r="DB62" s="1110"/>
      <c r="DC62" s="1110"/>
      <c r="DD62" s="1110"/>
      <c r="DE62" s="1110"/>
      <c r="DF62" s="1110"/>
      <c r="DG62" s="1110"/>
      <c r="DH62" s="1110"/>
      <c r="DI62" s="1110"/>
      <c r="DJ62" s="1110"/>
      <c r="DK62" s="1110"/>
      <c r="DL62" s="1110"/>
      <c r="DM62" s="1110"/>
      <c r="DN62" s="1110"/>
      <c r="DO62" s="1110"/>
      <c r="DQ62" s="1110"/>
      <c r="DR62" s="1110"/>
      <c r="DS62" s="1110"/>
      <c r="DT62" s="1110"/>
      <c r="DU62" s="1110"/>
      <c r="DV62" s="1110"/>
      <c r="DW62" s="1110"/>
      <c r="DX62" s="1110"/>
      <c r="DY62" s="1110"/>
      <c r="DZ62" s="1110"/>
    </row>
    <row r="63" spans="1:130">
      <c r="E63" s="791" t="s">
        <v>210</v>
      </c>
      <c r="F63" s="1284">
        <f ca="1">OFFSET(Income!$C$6,MATCH(Charts!$E62,Income!$C$6:$C$117,0)+0,MATCH(Charts!F$37,Income!$C$5:$EE$5,0)-1)</f>
        <v>0.11164434421495557</v>
      </c>
      <c r="G63" s="1284">
        <f ca="1">OFFSET(Income!$C$6,MATCH(Charts!$E62,Income!$C$6:$C$117,0)+0,MATCH(Charts!G$37,Income!$C$5:$EE$5,0)-1)</f>
        <v>0.11583782473715191</v>
      </c>
      <c r="H63" s="1284">
        <f ca="1">OFFSET(Income!$C$6,MATCH(Charts!$E62,Income!$C$6:$C$117,0)+0,MATCH(Charts!H$37,Income!$C$5:$EE$5,0)-1)</f>
        <v>0.11048625198336982</v>
      </c>
      <c r="I63" s="1284">
        <f ca="1">OFFSET(Income!$C$6,MATCH(Charts!$E62,Income!$C$6:$C$117,0)+0,MATCH(Charts!I$37,Income!$C$5:$EE$5,0)-1)</f>
        <v>0.10700781543606147</v>
      </c>
      <c r="J63" s="1284">
        <f ca="1">OFFSET(Income!$C$6,MATCH(Charts!$E62,Income!$C$6:$C$117,0)+0,MATCH(Charts!J$37,Income!$C$5:$EE$5,0)-1)</f>
        <v>0.11598458144592122</v>
      </c>
      <c r="K63" s="1284">
        <f ca="1">OFFSET(Income!$C$6,MATCH(Charts!$E62,Income!$C$6:$C$117,0)+0,MATCH(Charts!K$37,Income!$C$5:$EE$5,0)-1)</f>
        <v>9.9970327387821037E-2</v>
      </c>
      <c r="L63" s="1284">
        <f ca="1">OFFSET(Income!$C$6,MATCH(Charts!$E62,Income!$C$6:$C$117,0)+0,MATCH(Charts!L$37,Income!$C$5:$EE$5,0)-1)</f>
        <v>0.10521066629339305</v>
      </c>
      <c r="M63" s="1284">
        <f ca="1">OFFSET(Income!$C$6,MATCH(Charts!$E62,Income!$C$6:$C$117,0)+0,MATCH(Charts!M$37,Income!$C$5:$EE$5,0)-1)</f>
        <v>8.8616514222625162E-2</v>
      </c>
      <c r="N63" s="1284">
        <f ca="1">OFFSET(Income!$C$6,MATCH(Charts!$E62,Income!$C$6:$C$117,0)+0,MATCH(Charts!N$37,Income!$C$5:$EE$5,0)-1)</f>
        <v>9.6458897079406566E-2</v>
      </c>
      <c r="O63" s="1284">
        <f ca="1">OFFSET(Income!$C$6,MATCH(Charts!$E62,Income!$C$6:$C$117,0)+0,MATCH(Charts!O$37,Income!$C$5:$EE$5,0)-1)</f>
        <v>0.10582822712001404</v>
      </c>
      <c r="P63" s="1284">
        <f ca="1">OFFSET(Income!$C$6,MATCH(Charts!$E62,Income!$C$6:$C$117,0)+0,MATCH(Charts!P$37,Income!$C$5:$EE$5,0)-1)</f>
        <v>0.10305335031696192</v>
      </c>
      <c r="Q63" s="1284">
        <f ca="1">OFFSET(Income!$C$6,MATCH(Charts!$E62,Income!$C$6:$C$117,0)+0,MATCH(Charts!Q$37,Income!$C$5:$EE$5,0)-1)</f>
        <v>9.6009445649708328E-2</v>
      </c>
      <c r="R63" s="1284">
        <f ca="1">OFFSET(Income!$C$6,MATCH(Charts!$E62,Income!$C$6:$C$117,0)+0,MATCH(Charts!R$37,Income!$C$5:$EE$5,0)-1)</f>
        <v>9.4554452356138574E-2</v>
      </c>
      <c r="S63" s="1284">
        <f ca="1">OFFSET(Income!$C$6,MATCH(Charts!$E62,Income!$C$6:$C$117,0)+0,MATCH(Charts!S$37,Income!$C$5:$EE$5,0)-1)</f>
        <v>9.6475209887866425E-2</v>
      </c>
      <c r="T63" s="1284">
        <f ca="1">OFFSET(Income!$C$6,MATCH(Charts!$E62,Income!$C$6:$C$117,0)+0,MATCH(Charts!T$37,Income!$C$5:$EE$5,0)-1)</f>
        <v>9.7354513611503712E-2</v>
      </c>
      <c r="U63" s="1284">
        <f ca="1">OFFSET(Income!$C$6,MATCH(Charts!$E62,Income!$C$6:$C$117,0)+0,MATCH(Charts!U$37,Income!$C$5:$EE$5,0)-1)</f>
        <v>0.10000395914165809</v>
      </c>
      <c r="V63" s="1284">
        <f ca="1">OFFSET(Income!$C$6,MATCH(Charts!$E62,Income!$C$6:$C$117,0)+0,MATCH(Charts!V$37,Income!$C$5:$EE$5,0)-1)</f>
        <v>9.5408307641898643E-2</v>
      </c>
      <c r="W63" s="1284">
        <f ca="1">OFFSET(Income!$C$6,MATCH(Charts!$E62,Income!$C$6:$C$117,0)+0,MATCH(Charts!W$37,Income!$C$5:$EE$5,0)-1)</f>
        <v>0.11662077355212706</v>
      </c>
      <c r="X63" s="1284">
        <f ca="1">OFFSET(Income!$C$6,MATCH(Charts!$E62,Income!$C$6:$C$117,0)+0,MATCH(Charts!X$37,Income!$C$5:$EE$5,0)-1)</f>
        <v>6.7498908659703802E-2</v>
      </c>
      <c r="Y63" s="1284">
        <f ca="1">OFFSET(Income!$C$6,MATCH(Charts!$E62,Income!$C$6:$C$117,0)+0,MATCH(Charts!Y$37,Income!$C$5:$EE$5,0)-1)</f>
        <v>6.6883560522999888E-2</v>
      </c>
      <c r="Z63" s="1284">
        <f ca="1">OFFSET(Income!$C$6,MATCH(Charts!$E62,Income!$C$6:$C$117,0)+0,MATCH(Charts!Z$37,Income!$C$5:$EE$5,0)-1)</f>
        <v>6.7872557141224324E-2</v>
      </c>
      <c r="AA63" s="1284">
        <f ca="1">OFFSET(Income!$C$6,MATCH(Charts!$E62,Income!$C$6:$C$117,0)+0,MATCH(Charts!AA$37,Income!$C$5:$EE$5,0)-1)</f>
        <v>6.9647012582127743E-2</v>
      </c>
      <c r="AB63" s="1284">
        <f ca="1">OFFSET(Income!$C$6,MATCH(Charts!$E62,Income!$C$6:$C$117,0)+0,MATCH(Charts!AB$37,Income!$C$5:$EE$5,0)-1)</f>
        <v>0.11454784914659975</v>
      </c>
      <c r="AC63" s="1284">
        <f ca="1">OFFSET(Income!$C$6,MATCH(Charts!$E62,Income!$C$6:$C$117,0)+0,MATCH(Charts!AC$37,Income!$C$5:$EE$5,0)-1)</f>
        <v>7.3226262731662634E-2</v>
      </c>
      <c r="AD63" s="1284">
        <f ca="1">OFFSET(Income!$C$6,MATCH(Charts!$E62,Income!$C$6:$C$117,0)+0,MATCH(Charts!AD$37,Income!$C$5:$EE$5,0)-1)</f>
        <v>8.9802205507870811E-2</v>
      </c>
      <c r="AE63" s="1284">
        <f ca="1">OFFSET(Income!$C$6,MATCH(Charts!$E62,Income!$C$6:$C$117,0)+0,MATCH(Charts!AE$37,Income!$C$5:$EE$5,0)-1)</f>
        <v>0.1003047728180019</v>
      </c>
      <c r="AF63" s="1284">
        <f ca="1">OFFSET(Income!$C$6,MATCH(Charts!$E62,Income!$C$6:$C$117,0)+0,MATCH(Charts!AF$37,Income!$C$5:$EE$5,0)-1)</f>
        <v>0.18674059434929</v>
      </c>
      <c r="AG63" s="1284">
        <f ca="1">OFFSET(Income!$C$6,MATCH(Charts!$E62,Income!$C$6:$C$117,0)+0,MATCH(Charts!AG$37,Income!$C$5:$EE$5,0)-1)</f>
        <v>0.12371972439996358</v>
      </c>
      <c r="AH63" s="1284">
        <f ca="1">OFFSET(Income!$C$6,MATCH(Charts!$E62,Income!$C$6:$C$117,0)+0,MATCH(Charts!AH$37,Income!$C$5:$EE$5,0)-1)</f>
        <v>8.1564986737400536E-2</v>
      </c>
      <c r="AI63" s="1284">
        <f ca="1">OFFSET(Income!$C$6,MATCH(Charts!$E62,Income!$C$6:$C$117,0)+0,MATCH(Charts!AI$37,Income!$C$5:$EE$5,0)-1)</f>
        <v>7.7331759149940962E-2</v>
      </c>
      <c r="AJ63" s="1284">
        <f ca="1">OFFSET(Income!$C$6,MATCH(Charts!$E62,Income!$C$6:$C$117,0)+0,MATCH(Charts!AJ$37,Income!$C$5:$EE$5,0)-1)</f>
        <v>7.9929988331388563E-2</v>
      </c>
      <c r="AK63" s="1284">
        <f ca="1">OFFSET(Income!$C$6,MATCH(Charts!$E62,Income!$C$6:$C$117,0)+0,MATCH(Charts!AK$37,Income!$C$5:$EE$5,0)-1)</f>
        <v>4.6641791044776122E-2</v>
      </c>
      <c r="AL63" s="1284">
        <f ca="1">OFFSET(Income!$C$6,MATCH(Charts!$E62,Income!$C$6:$C$117,0)+0,MATCH(Charts!AL$37,Income!$C$5:$EE$5,0)-1)</f>
        <v>6.6630843632455666E-2</v>
      </c>
      <c r="AM63" s="1284">
        <f ca="1">OFFSET(Income!$C$6,MATCH(Charts!$E62,Income!$C$6:$C$117,0)+0,MATCH(Charts!AM$37,Income!$C$5:$EE$5,0)-1)</f>
        <v>2.9339853300733496E-2</v>
      </c>
      <c r="AN63" s="1284">
        <f ca="1">OFFSET(Income!$C$6,MATCH(Charts!$E62,Income!$C$6:$C$117,0)+0,MATCH(Charts!AN$37,Income!$C$5:$EE$5,0)-1)</f>
        <v>5.2728954671600367E-2</v>
      </c>
      <c r="AO63" s="1284">
        <f ca="1">OFFSET(Income!$C$6,MATCH(Charts!$E62,Income!$C$6:$C$117,0)+0,MATCH(Charts!AO$37,Income!$C$5:$EE$5,0)-1)</f>
        <v>3.8641791044776122E-2</v>
      </c>
      <c r="AP63" s="1284">
        <f ca="1">OFFSET(Income!$C$6,MATCH(Charts!$E62,Income!$C$6:$C$117,0)+0,MATCH(Charts!AP$37,Income!$C$5:$EE$5,0)-1)</f>
        <v>6.1630843632455669E-2</v>
      </c>
      <c r="AQ63" s="1284">
        <f ca="1">OFFSET(Income!$C$6,MATCH(Charts!$E62,Income!$C$6:$C$117,0)+0,MATCH(Charts!AQ$37,Income!$C$5:$EE$5,0)-1)</f>
        <v>2.4339853300733495E-2</v>
      </c>
      <c r="AR63" s="1284">
        <f ca="1">OFFSET(Income!$C$6,MATCH(Charts!$E62,Income!$C$6:$C$117,0)+0,MATCH(Charts!AR$37,Income!$C$5:$EE$5,0)-1)</f>
        <v>4.772895467160037E-2</v>
      </c>
      <c r="AS63" s="1284">
        <f ca="1">OFFSET(Income!$C$6,MATCH(Charts!$E62,Income!$C$6:$C$117,0)+0,MATCH(Charts!AS$37,Income!$C$5:$EE$5,0)-1)</f>
        <v>3.3641791044776125E-2</v>
      </c>
      <c r="AT63" s="1284">
        <f ca="1">OFFSET(Income!$C$6,MATCH(Charts!$E62,Income!$C$6:$C$117,0)+0,MATCH(Charts!AT$37,Income!$C$5:$EE$5,0)-1)</f>
        <v>5.9630843632455667E-2</v>
      </c>
      <c r="AU63" s="1284">
        <f ca="1">OFFSET(Income!$C$6,MATCH(Charts!$E62,Income!$C$6:$C$117,0)+0,MATCH(Charts!AU$37,Income!$C$5:$EE$5,0)-1)</f>
        <v>2.2339853300733493E-2</v>
      </c>
      <c r="AV63" s="1284">
        <f ca="1">OFFSET(Income!$C$6,MATCH(Charts!$E62,Income!$C$6:$C$117,0)+0,MATCH(Charts!AV$37,Income!$C$5:$EE$5,0)-1)</f>
        <v>4.5728954671600368E-2</v>
      </c>
      <c r="AW63" s="1284">
        <f ca="1">OFFSET(Income!$C$6,MATCH(Charts!$E62,Income!$C$6:$C$117,0)+0,MATCH(Charts!AW$37,Income!$C$5:$EE$5,0)-1)</f>
        <v>3.1641791044776123E-2</v>
      </c>
      <c r="AX63" s="1284">
        <f ca="1">OFFSET(Income!$C$6,MATCH(Charts!$E62,Income!$C$6:$C$117,0)+0,MATCH(Charts!AX$37,Income!$C$5:$EE$5,0)-1)</f>
        <v>5.7630843632455665E-2</v>
      </c>
      <c r="AY63" s="1284">
        <f ca="1">OFFSET(Income!$C$6,MATCH(Charts!$E62,Income!$C$6:$C$117,0)+0,MATCH(Charts!AY$37,Income!$C$5:$EE$5,0)-1)</f>
        <v>2.0339853300733492E-2</v>
      </c>
      <c r="AZ63" s="1284">
        <f ca="1">OFFSET(Income!$C$6,MATCH(Charts!$E62,Income!$C$6:$C$117,0)+0,MATCH(Charts!AZ$37,Income!$C$5:$EE$5,0)-1)</f>
        <v>4.3728954671600366E-2</v>
      </c>
      <c r="BA63" s="1284">
        <f ca="1">OFFSET(Income!$C$6,MATCH(Charts!$E62,Income!$C$6:$C$117,0)+0,MATCH(Charts!BA$37,Income!$C$5:$EE$5,0)-1)</f>
        <v>2.9641791044776121E-2</v>
      </c>
      <c r="BB63" s="1110"/>
      <c r="BC63" s="1110"/>
      <c r="BD63" s="1110"/>
      <c r="BE63" s="1110"/>
      <c r="BF63" s="1110"/>
      <c r="BG63" s="1110"/>
      <c r="BH63" s="1110"/>
      <c r="BI63" s="1110"/>
      <c r="BJ63" s="1110"/>
      <c r="BK63" s="1110"/>
      <c r="BL63" s="1110"/>
      <c r="BM63" s="1110"/>
      <c r="BN63" s="1110"/>
      <c r="BO63" s="1110"/>
      <c r="BP63" s="1110"/>
      <c r="BQ63" s="1110"/>
      <c r="BR63" s="1110"/>
      <c r="BS63" s="1110"/>
      <c r="BT63" s="1110"/>
      <c r="BU63" s="1110"/>
      <c r="BV63" s="1110"/>
      <c r="BW63" s="1110"/>
      <c r="BX63" s="1110"/>
      <c r="BY63" s="1110"/>
      <c r="BZ63" s="1110"/>
      <c r="CA63" s="1110"/>
      <c r="CB63" s="1110"/>
      <c r="CC63" s="1110"/>
      <c r="CD63" s="1110"/>
      <c r="CE63" s="1110"/>
      <c r="CF63" s="1110"/>
      <c r="CG63" s="1305" t="str">
        <f t="shared" si="56"/>
        <v>% of revenue</v>
      </c>
      <c r="CH63" s="1284">
        <f ca="1">OFFSET(Income!$C$6,MATCH(Charts!$E62,Income!$C$6:$C$117,0)+0,MATCH(Charts!CH$38,Income!$C$4:$EE$4,0)-1)</f>
        <v>0.11072868774561426</v>
      </c>
      <c r="CI63" s="1284">
        <f ca="1">OFFSET(Income!$C$6,MATCH(Charts!$E62,Income!$C$6:$C$117,0)+0,MATCH(Charts!CI$38,Income!$C$4:$EE$4,0)-1)</f>
        <v>0.10057715385620761</v>
      </c>
      <c r="CJ63" s="1284">
        <f ca="1">OFFSET(Income!$C$6,MATCH(Charts!$E62,Income!$C$6:$C$117,0)+0,MATCH(Charts!CJ$38,Income!$C$4:$EE$4,0)-1)</f>
        <v>0.10011283705527901</v>
      </c>
      <c r="CK63" s="1284">
        <f ca="1">OFFSET(Income!$C$6,MATCH(Charts!$E62,Income!$C$6:$C$117,0)+0,MATCH(Charts!CK$38,Income!$C$4:$EE$4,0)-1)</f>
        <v>9.7432284039835934E-2</v>
      </c>
      <c r="CL63" s="1284">
        <f ca="1">OFFSET(Income!$C$6,MATCH(Charts!$E62,Income!$C$6:$C$117,0)+0,MATCH(Charts!CL$38,Income!$C$4:$EE$4,0)-1)</f>
        <v>8.37493612371569E-2</v>
      </c>
      <c r="CM63" s="1284">
        <f ca="1">OFFSET(Income!$C$6,MATCH(Charts!$E62,Income!$C$6:$C$117,0)+0,MATCH(Charts!CM$38,Income!$C$4:$EE$4,0)-1)</f>
        <v>8.1278340000208144E-2</v>
      </c>
      <c r="CN63" s="1284">
        <f ca="1">OFFSET(Income!$C$6,MATCH(Charts!$E62,Income!$C$6:$C$117,0)+0,MATCH(Charts!CN$38,Income!$C$4:$EE$4,0)-1)</f>
        <v>0.12638967660643188</v>
      </c>
      <c r="CO63" s="1284">
        <f ca="1">OFFSET(Income!$C$6,MATCH(Charts!$E62,Income!$C$6:$C$117,0)+0,MATCH(Charts!CO$38,Income!$C$4:$EE$4,0)-1)</f>
        <v>6.9546742209631723E-2</v>
      </c>
      <c r="CP63" s="1284">
        <f ca="1">OFFSET(Income!$C$6,MATCH(Charts!$E62,Income!$C$6:$C$117,0)+0,MATCH(Charts!CP$38,Income!$C$4:$EE$4,0)-1)</f>
        <v>4.5883536016817564E-2</v>
      </c>
      <c r="CQ63" s="1284">
        <f ca="1">OFFSET(Income!$C$6,MATCH(Charts!$E62,Income!$C$6:$C$117,0)+0,MATCH(Charts!CQ$38,Income!$C$4:$EE$4,0)-1)</f>
        <v>4.0978225176869248E-2</v>
      </c>
      <c r="CR63" s="1284">
        <f ca="1">OFFSET(Income!$C$6,MATCH(Charts!$E62,Income!$C$6:$C$117,0)+0,MATCH(Charts!CR$38,Income!$C$4:$EE$4,0)-1)</f>
        <v>3.8975051944453082E-2</v>
      </c>
      <c r="CS63" s="1284">
        <f ca="1">OFFSET(Income!$C$6,MATCH(Charts!$E62,Income!$C$6:$C$117,0)+0,MATCH(Charts!CS$38,Income!$C$4:$EE$4,0)-1)</f>
        <v>3.6972596649377604E-2</v>
      </c>
      <c r="CU63" s="1110"/>
      <c r="CV63" s="1110"/>
      <c r="CW63" s="1110"/>
      <c r="CX63" s="1110"/>
      <c r="CY63" s="1110"/>
      <c r="CZ63" s="1110"/>
      <c r="DA63" s="1110"/>
      <c r="DB63" s="1110"/>
      <c r="DC63" s="1110"/>
      <c r="DD63" s="1110"/>
      <c r="DE63" s="1110"/>
      <c r="DF63" s="1110"/>
      <c r="DG63" s="1110"/>
      <c r="DH63" s="1110"/>
      <c r="DI63" s="1110"/>
      <c r="DJ63" s="1110"/>
      <c r="DK63" s="1110"/>
      <c r="DL63" s="1110"/>
      <c r="DM63" s="1110"/>
      <c r="DN63" s="1110"/>
      <c r="DO63" s="1110"/>
    </row>
    <row r="64" spans="1:130">
      <c r="E64" s="13" t="str">
        <f>Income!C38</f>
        <v>Transaction and loan losses</v>
      </c>
      <c r="F64" s="1295">
        <f ca="1">-OFFSET(Income!$C$6,MATCH(Charts!$E64,Income!$C$6:$C$117,0)-1,MATCH(Charts!F$37,Income!$C$5:$EE$5,0)-1)</f>
        <v>0</v>
      </c>
      <c r="G64" s="1286">
        <f ca="1">-OFFSET(Income!$C$6,MATCH(Charts!$E64,Income!$C$6:$C$117,0)-1,MATCH(Charts!G$37,Income!$C$5:$EE$5,0)-1)</f>
        <v>0</v>
      </c>
      <c r="H64" s="1286">
        <f ca="1">-OFFSET(Income!$C$6,MATCH(Charts!$E64,Income!$C$6:$C$117,0)-1,MATCH(Charts!H$37,Income!$C$5:$EE$5,0)-1)</f>
        <v>0</v>
      </c>
      <c r="I64" s="1286">
        <f ca="1">-OFFSET(Income!$C$6,MATCH(Charts!$E64,Income!$C$6:$C$117,0)-1,MATCH(Charts!I$37,Income!$C$5:$EE$5,0)-1)</f>
        <v>0</v>
      </c>
      <c r="J64" s="1286">
        <f ca="1">-OFFSET(Income!$C$6,MATCH(Charts!$E64,Income!$C$6:$C$117,0)-1,MATCH(Charts!J$37,Income!$C$5:$EE$5,0)-1)</f>
        <v>0</v>
      </c>
      <c r="K64" s="1286">
        <f ca="1">-OFFSET(Income!$C$6,MATCH(Charts!$E64,Income!$C$6:$C$117,0)-1,MATCH(Charts!K$37,Income!$C$5:$EE$5,0)-1)</f>
        <v>0</v>
      </c>
      <c r="L64" s="1286">
        <f ca="1">-OFFSET(Income!$C$6,MATCH(Charts!$E64,Income!$C$6:$C$117,0)-1,MATCH(Charts!L$37,Income!$C$5:$EE$5,0)-1)</f>
        <v>0</v>
      </c>
      <c r="M64" s="1286">
        <f ca="1">-OFFSET(Income!$C$6,MATCH(Charts!$E64,Income!$C$6:$C$117,0)-1,MATCH(Charts!M$37,Income!$C$5:$EE$5,0)-1)</f>
        <v>0</v>
      </c>
      <c r="N64" s="1286">
        <f ca="1">-OFFSET(Income!$C$6,MATCH(Charts!$E64,Income!$C$6:$C$117,0)-1,MATCH(Charts!N$37,Income!$C$5:$EE$5,0)-1)</f>
        <v>0</v>
      </c>
      <c r="O64" s="1286">
        <f ca="1">-OFFSET(Income!$C$6,MATCH(Charts!$E64,Income!$C$6:$C$117,0)-1,MATCH(Charts!O$37,Income!$C$5:$EE$5,0)-1)</f>
        <v>0</v>
      </c>
      <c r="P64" s="1286">
        <f ca="1">-OFFSET(Income!$C$6,MATCH(Charts!$E64,Income!$C$6:$C$117,0)-1,MATCH(Charts!P$37,Income!$C$5:$EE$5,0)-1)</f>
        <v>0</v>
      </c>
      <c r="Q64" s="1286">
        <f ca="1">-OFFSET(Income!$C$6,MATCH(Charts!$E64,Income!$C$6:$C$117,0)-1,MATCH(Charts!Q$37,Income!$C$5:$EE$5,0)-1)</f>
        <v>0</v>
      </c>
      <c r="R64" s="1286">
        <f ca="1">-OFFSET(Income!$C$6,MATCH(Charts!$E64,Income!$C$6:$C$117,0)-1,MATCH(Charts!R$37,Income!$C$5:$EE$5,0)-1)</f>
        <v>4.4009999999999998</v>
      </c>
      <c r="S64" s="1286">
        <f ca="1">-OFFSET(Income!$C$6,MATCH(Charts!$E64,Income!$C$6:$C$117,0)-1,MATCH(Charts!S$37,Income!$C$5:$EE$5,0)-1)</f>
        <v>4.7329999999999997</v>
      </c>
      <c r="T64" s="1286">
        <f ca="1">-OFFSET(Income!$C$6,MATCH(Charts!$E64,Income!$C$6:$C$117,0)-1,MATCH(Charts!T$37,Income!$C$5:$EE$5,0)-1)</f>
        <v>7.399</v>
      </c>
      <c r="U64" s="1286">
        <f ca="1">-OFFSET(Income!$C$6,MATCH(Charts!$E64,Income!$C$6:$C$117,0)-1,MATCH(Charts!U$37,Income!$C$5:$EE$5,0)-1)</f>
        <v>8.6359999999999992</v>
      </c>
      <c r="V64" s="1286">
        <f ca="1">-OFFSET(Income!$C$6,MATCH(Charts!$E64,Income!$C$6:$C$117,0)-1,MATCH(Charts!V$37,Income!$C$5:$EE$5,0)-1)</f>
        <v>14.083</v>
      </c>
      <c r="W64" s="1286">
        <f ca="1">-OFFSET(Income!$C$6,MATCH(Charts!$E64,Income!$C$6:$C$117,0)-1,MATCH(Charts!W$37,Income!$C$5:$EE$5,0)-1)</f>
        <v>13.366</v>
      </c>
      <c r="X64" s="1286">
        <f ca="1">-OFFSET(Income!$C$6,MATCH(Charts!$E64,Income!$C$6:$C$117,0)-1,MATCH(Charts!X$37,Income!$C$5:$EE$5,0)-1)</f>
        <v>11.753</v>
      </c>
      <c r="Y64" s="1286">
        <f ca="1">-OFFSET(Income!$C$6,MATCH(Charts!$E64,Income!$C$6:$C$117,0)-1,MATCH(Charts!Y$37,Income!$C$5:$EE$5,0)-1)</f>
        <v>12.647</v>
      </c>
      <c r="Z64" s="1286">
        <f ca="1">-OFFSET(Income!$C$6,MATCH(Charts!$E64,Income!$C$6:$C$117,0)-1,MATCH(Charts!Z$37,Income!$C$5:$EE$5,0)-1)</f>
        <v>10.606</v>
      </c>
      <c r="AA64" s="1286">
        <f ca="1">-OFFSET(Income!$C$6,MATCH(Charts!$E64,Income!$C$6:$C$117,0)-1,MATCH(Charts!AA$37,Income!$C$5:$EE$5,0)-1)</f>
        <v>17.986000000000001</v>
      </c>
      <c r="AB64" s="1286">
        <f ca="1">-OFFSET(Income!$C$6,MATCH(Charts!$E64,Income!$C$6:$C$117,0)-1,MATCH(Charts!AB$37,Income!$C$5:$EE$5,0)-1)</f>
        <v>25.311</v>
      </c>
      <c r="AC64" s="1286">
        <f ca="1">-OFFSET(Income!$C$6,MATCH(Charts!$E64,Income!$C$6:$C$117,0)-1,MATCH(Charts!AC$37,Income!$C$5:$EE$5,0)-1)</f>
        <v>27.814</v>
      </c>
      <c r="AD64" s="1286">
        <f ca="1">-OFFSET(Income!$C$6,MATCH(Charts!$E64,Income!$C$6:$C$117,0)-1,MATCH(Charts!AD$37,Income!$C$5:$EE$5,0)-1)</f>
        <v>20.492999999999999</v>
      </c>
      <c r="AE64" s="1286">
        <f ca="1">-OFFSET(Income!$C$6,MATCH(Charts!$E64,Income!$C$6:$C$117,0)-1,MATCH(Charts!AE$37,Income!$C$5:$EE$5,0)-1)</f>
        <v>42.38</v>
      </c>
      <c r="AF64" s="1286">
        <f ca="1">-OFFSET(Income!$C$6,MATCH(Charts!$E64,Income!$C$6:$C$117,0)-1,MATCH(Charts!AF$37,Income!$C$5:$EE$5,0)-1)</f>
        <v>37.738</v>
      </c>
      <c r="AG64" s="1286">
        <f ca="1">-OFFSET(Income!$C$6,MATCH(Charts!$E64,Income!$C$6:$C$117,0)-1,MATCH(Charts!AG$37,Income!$C$5:$EE$5,0)-1)</f>
        <v>34.317999999999998</v>
      </c>
      <c r="AH64" s="1286">
        <f ca="1">-OFFSET(Income!$C$6,MATCH(Charts!$E64,Income!$C$6:$C$117,0)-1,MATCH(Charts!AH$37,Income!$C$5:$EE$5,0)-1)</f>
        <v>42</v>
      </c>
      <c r="AI64" s="1286">
        <f ca="1">-OFFSET(Income!$C$6,MATCH(Charts!$E64,Income!$C$6:$C$117,0)-1,MATCH(Charts!AI$37,Income!$C$5:$EE$5,0)-1)</f>
        <v>31</v>
      </c>
      <c r="AJ64" s="1286">
        <f ca="1">-OFFSET(Income!$C$6,MATCH(Charts!$E64,Income!$C$6:$C$117,0)-1,MATCH(Charts!AJ$37,Income!$C$5:$EE$5,0)-1)</f>
        <v>34</v>
      </c>
      <c r="AK64" s="1286">
        <f ca="1">-OFFSET(Income!$C$6,MATCH(Charts!$E64,Income!$C$6:$C$117,0)-1,MATCH(Charts!AK$37,Income!$C$5:$EE$5,0)-1)</f>
        <v>45</v>
      </c>
      <c r="AL64" s="1286">
        <f ca="1">-OFFSET(Income!$C$6,MATCH(Charts!$E64,Income!$C$6:$C$117,0)-1,MATCH(Charts!AL$37,Income!$C$5:$EE$5,0)-1)</f>
        <v>51</v>
      </c>
      <c r="AM64" s="1286">
        <f ca="1">-OFFSET(Income!$C$6,MATCH(Charts!$E64,Income!$C$6:$C$117,0)-1,MATCH(Charts!AM$37,Income!$C$5:$EE$5,0)-1)</f>
        <v>42</v>
      </c>
      <c r="AN64" s="1286">
        <f ca="1">-OFFSET(Income!$C$6,MATCH(Charts!$E64,Income!$C$6:$C$117,0)-1,MATCH(Charts!AN$37,Income!$C$5:$EE$5,0)-1)</f>
        <v>58</v>
      </c>
      <c r="AO64" s="1286">
        <f ca="1">-OFFSET(Income!$C$6,MATCH(Charts!$E64,Income!$C$6:$C$117,0)-1,MATCH(Charts!AO$37,Income!$C$5:$EE$5,0)-1)</f>
        <v>72.529219812519855</v>
      </c>
      <c r="AP64" s="1286">
        <f ca="1">-OFFSET(Income!$C$6,MATCH(Charts!$E64,Income!$C$6:$C$117,0)-1,MATCH(Charts!AP$37,Income!$C$5:$EE$5,0)-1)</f>
        <v>62.745253748384734</v>
      </c>
      <c r="AQ64" s="1286">
        <f ca="1">-OFFSET(Income!$C$6,MATCH(Charts!$E64,Income!$C$6:$C$117,0)-1,MATCH(Charts!AQ$37,Income!$C$5:$EE$5,0)-1)</f>
        <v>67.282907552194345</v>
      </c>
      <c r="AR64" s="1286">
        <f ca="1">-OFFSET(Income!$C$6,MATCH(Charts!$E64,Income!$C$6:$C$117,0)-1,MATCH(Charts!AR$37,Income!$C$5:$EE$5,0)-1)</f>
        <v>70.606164489493594</v>
      </c>
      <c r="AS64" s="1286">
        <f ca="1">-OFFSET(Income!$C$6,MATCH(Charts!$E64,Income!$C$6:$C$117,0)-1,MATCH(Charts!AS$37,Income!$C$5:$EE$5,0)-1)</f>
        <v>89.010390357859521</v>
      </c>
      <c r="AT64" s="1286">
        <f ca="1">-OFFSET(Income!$C$6,MATCH(Charts!$E64,Income!$C$6:$C$117,0)-1,MATCH(Charts!AT$37,Income!$C$5:$EE$5,0)-1)</f>
        <v>75.094313088686036</v>
      </c>
      <c r="AU64" s="1286">
        <f ca="1">-OFFSET(Income!$C$6,MATCH(Charts!$E64,Income!$C$6:$C$117,0)-1,MATCH(Charts!AU$37,Income!$C$5:$EE$5,0)-1)</f>
        <v>80.511782889416992</v>
      </c>
      <c r="AV64" s="1286">
        <f ca="1">-OFFSET(Income!$C$6,MATCH(Charts!$E64,Income!$C$6:$C$117,0)-1,MATCH(Charts!AV$37,Income!$C$5:$EE$5,0)-1)</f>
        <v>84.439758500546475</v>
      </c>
      <c r="AW64" s="1286">
        <f ca="1">-OFFSET(Income!$C$6,MATCH(Charts!$E64,Income!$C$6:$C$117,0)-1,MATCH(Charts!AW$37,Income!$C$5:$EE$5,0)-1)</f>
        <v>106.65117640080436</v>
      </c>
      <c r="AX64" s="1286">
        <f ca="1">-OFFSET(Income!$C$6,MATCH(Charts!$E64,Income!$C$6:$C$117,0)-1,MATCH(Charts!AX$37,Income!$C$5:$EE$5,0)-1)</f>
        <v>88.539011459953187</v>
      </c>
      <c r="AY64" s="1286">
        <f ca="1">-OFFSET(Income!$C$6,MATCH(Charts!$E64,Income!$C$6:$C$117,0)-1,MATCH(Charts!AY$37,Income!$C$5:$EE$5,0)-1)</f>
        <v>94.912305877407377</v>
      </c>
      <c r="AZ64" s="1286">
        <f ca="1">-OFFSET(Income!$C$6,MATCH(Charts!$E64,Income!$C$6:$C$117,0)-1,MATCH(Charts!AZ$37,Income!$C$5:$EE$5,0)-1)</f>
        <v>99.498845429657891</v>
      </c>
      <c r="BA64" s="1286">
        <f ca="1">-OFFSET(Income!$C$6,MATCH(Charts!$E64,Income!$C$6:$C$117,0)-1,MATCH(Charts!BA$37,Income!$C$5:$EE$5,0)-1)</f>
        <v>125.86045986975775</v>
      </c>
      <c r="BB64" s="1110"/>
      <c r="BC64" s="1110"/>
      <c r="BD64" s="1110"/>
      <c r="BE64" s="1110"/>
      <c r="BF64" s="1110"/>
      <c r="BG64" s="1110"/>
      <c r="BH64" s="1110"/>
      <c r="BI64" s="1110"/>
      <c r="BJ64" s="1110"/>
      <c r="BK64" s="1110"/>
      <c r="BL64" s="1110"/>
      <c r="BM64" s="1110"/>
      <c r="BN64" s="1110"/>
      <c r="BO64" s="1110"/>
      <c r="BP64" s="1110"/>
      <c r="BQ64" s="1110"/>
      <c r="BR64" s="1110"/>
      <c r="BS64" s="1110"/>
      <c r="BT64" s="1110"/>
      <c r="BU64" s="1110"/>
      <c r="BV64" s="1110"/>
      <c r="BW64" s="1110"/>
      <c r="BX64" s="1110"/>
      <c r="BY64" s="1110"/>
      <c r="BZ64" s="1110"/>
      <c r="CA64" s="1110"/>
      <c r="CB64" s="1110"/>
      <c r="CC64" s="1110"/>
      <c r="CD64" s="1110"/>
      <c r="CE64" s="1110"/>
      <c r="CF64" s="1110"/>
      <c r="CG64" s="1305" t="str">
        <f t="shared" si="56"/>
        <v>Transaction and loan losses</v>
      </c>
      <c r="CH64" s="1291">
        <f ca="1">-OFFSET(Income!$C$6,MATCH(Charts!$E64,Income!$C$6:$C$117,0)-1,MATCH(Charts!CH$38,Income!$C$4:$EE$4,0)-1)</f>
        <v>0</v>
      </c>
      <c r="CI64" s="1291">
        <f ca="1">-OFFSET(Income!$C$6,MATCH(Charts!$E64,Income!$C$6:$C$117,0)-1,MATCH(Charts!CI$38,Income!$C$4:$EE$4,0)-1)</f>
        <v>0</v>
      </c>
      <c r="CJ64" s="1291">
        <f ca="1">-OFFSET(Income!$C$6,MATCH(Charts!$E64,Income!$C$6:$C$117,0)-1,MATCH(Charts!CJ$38,Income!$C$4:$EE$4,0)-1)</f>
        <v>0</v>
      </c>
      <c r="CK64" s="1291">
        <f ca="1">-OFFSET(Income!$C$6,MATCH(Charts!$E64,Income!$C$6:$C$117,0)-1,MATCH(Charts!CK$38,Income!$C$4:$EE$4,0)-1)</f>
        <v>25.169</v>
      </c>
      <c r="CL64" s="1291">
        <f ca="1">-OFFSET(Income!$C$6,MATCH(Charts!$E64,Income!$C$6:$C$117,0)-1,MATCH(Charts!CL$38,Income!$C$4:$EE$4,0)-1)</f>
        <v>51.848999999999997</v>
      </c>
      <c r="CM64" s="1291">
        <f ca="1">-OFFSET(Income!$C$6,MATCH(Charts!$E64,Income!$C$6:$C$117,0)-1,MATCH(Charts!CM$38,Income!$C$4:$EE$4,0)-1)</f>
        <v>81.716999999999999</v>
      </c>
      <c r="CN64" s="1291">
        <f ca="1">-OFFSET(Income!$C$6,MATCH(Charts!$E64,Income!$C$6:$C$117,0)-1,MATCH(Charts!CN$38,Income!$C$4:$EE$4,0)-1)</f>
        <v>134.929</v>
      </c>
      <c r="CO64" s="1291">
        <f ca="1">-OFFSET(Income!$C$6,MATCH(Charts!$E64,Income!$C$6:$C$117,0)-1,MATCH(Charts!CO$38,Income!$C$4:$EE$4,0)-1)</f>
        <v>152</v>
      </c>
      <c r="CP64" s="1291">
        <f ca="1">-OFFSET(Income!$C$6,MATCH(Charts!$E64,Income!$C$6:$C$117,0)-1,MATCH(Charts!CP$38,Income!$C$4:$EE$4,0)-1)</f>
        <v>223.52921981251984</v>
      </c>
      <c r="CQ64" s="1291">
        <f ca="1">-OFFSET(Income!$C$6,MATCH(Charts!$E64,Income!$C$6:$C$117,0)-1,MATCH(Charts!CQ$38,Income!$C$4:$EE$4,0)-1)</f>
        <v>289.64471614793223</v>
      </c>
      <c r="CR64" s="1291">
        <f ca="1">-OFFSET(Income!$C$6,MATCH(Charts!$E64,Income!$C$6:$C$117,0)-1,MATCH(Charts!CR$38,Income!$C$4:$EE$4,0)-1)</f>
        <v>346.69703087945391</v>
      </c>
      <c r="CS64" s="1291">
        <f ca="1">-OFFSET(Income!$C$6,MATCH(Charts!$E64,Income!$C$6:$C$117,0)-1,MATCH(Charts!CS$38,Income!$C$4:$EE$4,0)-1)</f>
        <v>408.8106226367762</v>
      </c>
    </row>
    <row r="65" spans="2:97">
      <c r="E65" s="793" t="s">
        <v>210</v>
      </c>
      <c r="F65" s="1296">
        <f ca="1">OFFSET(Income!$C$6,MATCH(Charts!$E64,Income!$C$6:$C$117,0)+0,MATCH(Charts!F$37,Income!$C$5:$EE$5,0)-1)</f>
        <v>0</v>
      </c>
      <c r="G65" s="1284">
        <f ca="1">OFFSET(Income!$C$6,MATCH(Charts!$E64,Income!$C$6:$C$117,0)+0,MATCH(Charts!G$37,Income!$C$5:$EE$5,0)-1)</f>
        <v>0</v>
      </c>
      <c r="H65" s="1284">
        <f ca="1">OFFSET(Income!$C$6,MATCH(Charts!$E64,Income!$C$6:$C$117,0)+0,MATCH(Charts!H$37,Income!$C$5:$EE$5,0)-1)</f>
        <v>0</v>
      </c>
      <c r="I65" s="1284">
        <f ca="1">OFFSET(Income!$C$6,MATCH(Charts!$E64,Income!$C$6:$C$117,0)+0,MATCH(Charts!I$37,Income!$C$5:$EE$5,0)-1)</f>
        <v>0</v>
      </c>
      <c r="J65" s="1284">
        <f ca="1">OFFSET(Income!$C$6,MATCH(Charts!$E64,Income!$C$6:$C$117,0)+0,MATCH(Charts!J$37,Income!$C$5:$EE$5,0)-1)</f>
        <v>0</v>
      </c>
      <c r="K65" s="1284">
        <f ca="1">OFFSET(Income!$C$6,MATCH(Charts!$E64,Income!$C$6:$C$117,0)+0,MATCH(Charts!K$37,Income!$C$5:$EE$5,0)-1)</f>
        <v>0</v>
      </c>
      <c r="L65" s="1284">
        <f ca="1">OFFSET(Income!$C$6,MATCH(Charts!$E64,Income!$C$6:$C$117,0)+0,MATCH(Charts!L$37,Income!$C$5:$EE$5,0)-1)</f>
        <v>0</v>
      </c>
      <c r="M65" s="1284">
        <f ca="1">OFFSET(Income!$C$6,MATCH(Charts!$E64,Income!$C$6:$C$117,0)+0,MATCH(Charts!M$37,Income!$C$5:$EE$5,0)-1)</f>
        <v>0</v>
      </c>
      <c r="N65" s="1284">
        <f ca="1">OFFSET(Income!$C$6,MATCH(Charts!$E64,Income!$C$6:$C$117,0)+0,MATCH(Charts!N$37,Income!$C$5:$EE$5,0)-1)</f>
        <v>0</v>
      </c>
      <c r="O65" s="1284">
        <f ca="1">OFFSET(Income!$C$6,MATCH(Charts!$E64,Income!$C$6:$C$117,0)+0,MATCH(Charts!O$37,Income!$C$5:$EE$5,0)-1)</f>
        <v>0</v>
      </c>
      <c r="P65" s="1284">
        <f ca="1">OFFSET(Income!$C$6,MATCH(Charts!$E64,Income!$C$6:$C$117,0)+0,MATCH(Charts!P$37,Income!$C$5:$EE$5,0)-1)</f>
        <v>0</v>
      </c>
      <c r="Q65" s="1284">
        <f ca="1">OFFSET(Income!$C$6,MATCH(Charts!$E64,Income!$C$6:$C$117,0)+0,MATCH(Charts!Q$37,Income!$C$5:$EE$5,0)-1)</f>
        <v>0</v>
      </c>
      <c r="R65" s="1284">
        <f ca="1">OFFSET(Income!$C$6,MATCH(Charts!$E64,Income!$C$6:$C$117,0)+0,MATCH(Charts!R$37,Income!$C$5:$EE$5,0)-1)</f>
        <v>1.3732440511479585E-2</v>
      </c>
      <c r="S65" s="1284">
        <f ca="1">OFFSET(Income!$C$6,MATCH(Charts!$E64,Income!$C$6:$C$117,0)+0,MATCH(Charts!S$37,Income!$C$5:$EE$5,0)-1)</f>
        <v>1.3075344149798745E-2</v>
      </c>
      <c r="T65" s="1284">
        <f ca="1">OFFSET(Income!$C$6,MATCH(Charts!$E64,Income!$C$6:$C$117,0)+0,MATCH(Charts!T$37,Income!$C$5:$EE$5,0)-1)</f>
        <v>1.8944980437944244E-2</v>
      </c>
      <c r="U65" s="1284">
        <f ca="1">OFFSET(Income!$C$6,MATCH(Charts!$E64,Income!$C$6:$C$117,0)+0,MATCH(Charts!U$37,Income!$C$5:$EE$5,0)-1)</f>
        <v>1.7095573679626254E-2</v>
      </c>
      <c r="V65" s="1284">
        <f ca="1">OFFSET(Income!$C$6,MATCH(Charts!$E64,Income!$C$6:$C$117,0)+0,MATCH(Charts!V$37,Income!$C$5:$EE$5,0)-1)</f>
        <v>2.9963766034540353E-2</v>
      </c>
      <c r="W65" s="1284">
        <f ca="1">OFFSET(Income!$C$6,MATCH(Charts!$E64,Income!$C$6:$C$117,0)+0,MATCH(Charts!W$37,Income!$C$5:$EE$5,0)-1)</f>
        <v>1.8710951772332819E-2</v>
      </c>
      <c r="X65" s="1284">
        <f ca="1">OFFSET(Income!$C$6,MATCH(Charts!$E64,Income!$C$6:$C$117,0)+0,MATCH(Charts!X$37,Income!$C$5:$EE$5,0)-1)</f>
        <v>1.5315250747649547E-2</v>
      </c>
      <c r="Y65" s="1284">
        <f ca="1">OFFSET(Income!$C$6,MATCH(Charts!$E64,Income!$C$6:$C$117,0)+0,MATCH(Charts!Y$37,Income!$C$5:$EE$5,0)-1)</f>
        <v>1.29348786594446E-2</v>
      </c>
      <c r="Z65" s="1284">
        <f ca="1">OFFSET(Income!$C$6,MATCH(Charts!$E64,Income!$C$6:$C$117,0)+0,MATCH(Charts!Z$37,Income!$C$5:$EE$5,0)-1)</f>
        <v>1.0727792629725272E-2</v>
      </c>
      <c r="AA65" s="1284">
        <f ca="1">OFFSET(Income!$C$6,MATCH(Charts!$E64,Income!$C$6:$C$117,0)+0,MATCH(Charts!AA$37,Income!$C$5:$EE$5,0)-1)</f>
        <v>1.6066890289384472E-2</v>
      </c>
      <c r="AB65" s="1284">
        <f ca="1">OFFSET(Income!$C$6,MATCH(Charts!$E64,Income!$C$6:$C$117,0)+0,MATCH(Charts!AB$37,Income!$C$5:$EE$5,0)-1)</f>
        <v>2.252389342730525E-2</v>
      </c>
      <c r="AC65" s="1284">
        <f ca="1">OFFSET(Income!$C$6,MATCH(Charts!$E64,Income!$C$6:$C$117,0)+0,MATCH(Charts!AC$37,Income!$C$5:$EE$5,0)-1)</f>
        <v>2.0154721946864691E-2</v>
      </c>
      <c r="AD65" s="1284">
        <f ca="1">OFFSET(Income!$C$6,MATCH(Charts!$E64,Income!$C$6:$C$117,0)+0,MATCH(Charts!AD$37,Income!$C$5:$EE$5,0)-1)</f>
        <v>1.7026095380364117E-2</v>
      </c>
      <c r="AE65" s="1284">
        <f ca="1">OFFSET(Income!$C$6,MATCH(Charts!$E64,Income!$C$6:$C$117,0)+0,MATCH(Charts!AE$37,Income!$C$5:$EE$5,0)-1)</f>
        <v>3.2724276734027613E-2</v>
      </c>
      <c r="AF65" s="1284">
        <f ca="1">OFFSET(Income!$C$6,MATCH(Charts!$E64,Income!$C$6:$C$117,0)+0,MATCH(Charts!AF$37,Income!$C$5:$EE$5,0)-1)</f>
        <v>2.7622602839994143E-2</v>
      </c>
      <c r="AG65" s="1284">
        <f ca="1">OFFSET(Income!$C$6,MATCH(Charts!$E64,Income!$C$6:$C$117,0)+0,MATCH(Charts!AG$37,Income!$C$5:$EE$5,0)-1)</f>
        <v>1.9780077903005108E-2</v>
      </c>
      <c r="AH65" s="1284">
        <f ca="1">OFFSET(Income!$C$6,MATCH(Charts!$E64,Income!$C$6:$C$117,0)+0,MATCH(Charts!AH$37,Income!$C$5:$EE$5,0)-1)</f>
        <v>2.7851458885941646E-2</v>
      </c>
      <c r="AI65" s="1284">
        <f ca="1">OFFSET(Income!$C$6,MATCH(Charts!$E64,Income!$C$6:$C$117,0)+0,MATCH(Charts!AI$37,Income!$C$5:$EE$5,0)-1)</f>
        <v>1.8299881936245571E-2</v>
      </c>
      <c r="AJ65" s="1284">
        <f ca="1">OFFSET(Income!$C$6,MATCH(Charts!$E64,Income!$C$6:$C$117,0)+0,MATCH(Charts!AJ$37,Income!$C$5:$EE$5,0)-1)</f>
        <v>1.9836639439906652E-2</v>
      </c>
      <c r="AK65" s="1284">
        <f ca="1">OFFSET(Income!$C$6,MATCH(Charts!$E64,Income!$C$6:$C$117,0)+0,MATCH(Charts!AK$37,Income!$C$5:$EE$5,0)-1)</f>
        <v>2.0988805970149255E-2</v>
      </c>
      <c r="AL65" s="1284">
        <f ca="1">OFFSET(Income!$C$6,MATCH(Charts!$E64,Income!$C$6:$C$117,0)+0,MATCH(Charts!AL$37,Income!$C$5:$EE$5,0)-1)</f>
        <v>2.7404621171413217E-2</v>
      </c>
      <c r="AM65" s="1284">
        <f ca="1">OFFSET(Income!$C$6,MATCH(Charts!$E64,Income!$C$6:$C$117,0)+0,MATCH(Charts!AM$37,Income!$C$5:$EE$5,0)-1)</f>
        <v>2.0537897310513448E-2</v>
      </c>
      <c r="AN65" s="1284">
        <f ca="1">OFFSET(Income!$C$6,MATCH(Charts!$E64,Income!$C$6:$C$117,0)+0,MATCH(Charts!AN$37,Income!$C$5:$EE$5,0)-1)</f>
        <v>2.6827012025901941E-2</v>
      </c>
      <c r="AO65" s="1284">
        <f ca="1">OFFSET(Income!$C$6,MATCH(Charts!$E64,Income!$C$6:$C$117,0)+0,MATCH(Charts!AO$37,Income!$C$5:$EE$5,0)-1)</f>
        <v>2.6827012025901941E-2</v>
      </c>
      <c r="AP65" s="1284">
        <f ca="1">OFFSET(Income!$C$6,MATCH(Charts!$E64,Income!$C$6:$C$117,0)+0,MATCH(Charts!AP$37,Income!$C$5:$EE$5,0)-1)</f>
        <v>2.6827012025901941E-2</v>
      </c>
      <c r="AQ65" s="1284">
        <f ca="1">OFFSET(Income!$C$6,MATCH(Charts!$E64,Income!$C$6:$C$117,0)+0,MATCH(Charts!AQ$37,Income!$C$5:$EE$5,0)-1)</f>
        <v>2.6827012025901941E-2</v>
      </c>
      <c r="AR65" s="1284">
        <f ca="1">OFFSET(Income!$C$6,MATCH(Charts!$E64,Income!$C$6:$C$117,0)+0,MATCH(Charts!AR$37,Income!$C$5:$EE$5,0)-1)</f>
        <v>2.6827012025901941E-2</v>
      </c>
      <c r="AS65" s="1284">
        <f ca="1">OFFSET(Income!$C$6,MATCH(Charts!$E64,Income!$C$6:$C$117,0)+0,MATCH(Charts!AS$37,Income!$C$5:$EE$5,0)-1)</f>
        <v>2.6827012025901941E-2</v>
      </c>
      <c r="AT65" s="1284">
        <f ca="1">OFFSET(Income!$C$6,MATCH(Charts!$E64,Income!$C$6:$C$117,0)+0,MATCH(Charts!AT$37,Income!$C$5:$EE$5,0)-1)</f>
        <v>2.6827012025901941E-2</v>
      </c>
      <c r="AU65" s="1284">
        <f ca="1">OFFSET(Income!$C$6,MATCH(Charts!$E64,Income!$C$6:$C$117,0)+0,MATCH(Charts!AU$37,Income!$C$5:$EE$5,0)-1)</f>
        <v>2.6827012025901941E-2</v>
      </c>
      <c r="AV65" s="1284">
        <f ca="1">OFFSET(Income!$C$6,MATCH(Charts!$E64,Income!$C$6:$C$117,0)+0,MATCH(Charts!AV$37,Income!$C$5:$EE$5,0)-1)</f>
        <v>2.6827012025901941E-2</v>
      </c>
      <c r="AW65" s="1284">
        <f ca="1">OFFSET(Income!$C$6,MATCH(Charts!$E64,Income!$C$6:$C$117,0)+0,MATCH(Charts!AW$37,Income!$C$5:$EE$5,0)-1)</f>
        <v>2.6827012025901941E-2</v>
      </c>
      <c r="AX65" s="1284">
        <f ca="1">OFFSET(Income!$C$6,MATCH(Charts!$E64,Income!$C$6:$C$117,0)+0,MATCH(Charts!AX$37,Income!$C$5:$EE$5,0)-1)</f>
        <v>2.6827012025901941E-2</v>
      </c>
      <c r="AY65" s="1284">
        <f ca="1">OFFSET(Income!$C$6,MATCH(Charts!$E64,Income!$C$6:$C$117,0)+0,MATCH(Charts!AY$37,Income!$C$5:$EE$5,0)-1)</f>
        <v>2.6827012025901941E-2</v>
      </c>
      <c r="AZ65" s="1284">
        <f ca="1">OFFSET(Income!$C$6,MATCH(Charts!$E64,Income!$C$6:$C$117,0)+0,MATCH(Charts!AZ$37,Income!$C$5:$EE$5,0)-1)</f>
        <v>2.6827012025901941E-2</v>
      </c>
      <c r="BA65" s="1284">
        <f ca="1">OFFSET(Income!$C$6,MATCH(Charts!$E64,Income!$C$6:$C$117,0)+0,MATCH(Charts!BA$37,Income!$C$5:$EE$5,0)-1)</f>
        <v>2.6827012025901941E-2</v>
      </c>
      <c r="BB65" s="1110"/>
      <c r="BC65" s="1110"/>
      <c r="BD65" s="1110"/>
      <c r="BE65" s="1110"/>
      <c r="BF65" s="1110"/>
      <c r="BG65" s="1110"/>
      <c r="BH65" s="1110"/>
      <c r="BI65" s="1110"/>
      <c r="BJ65" s="1110"/>
      <c r="BK65" s="1110"/>
      <c r="BL65" s="1110"/>
      <c r="BM65" s="1110"/>
      <c r="BN65" s="1110"/>
      <c r="BO65" s="1110"/>
      <c r="BP65" s="1110"/>
      <c r="BQ65" s="1110"/>
      <c r="BR65" s="1110"/>
      <c r="BS65" s="1110"/>
      <c r="BT65" s="1110"/>
      <c r="BU65" s="1110"/>
      <c r="BV65" s="1110"/>
      <c r="BW65" s="1110"/>
      <c r="BX65" s="1110"/>
      <c r="BY65" s="1110"/>
      <c r="BZ65" s="1110"/>
      <c r="CA65" s="1110"/>
      <c r="CB65" s="1110"/>
      <c r="CC65" s="1110"/>
      <c r="CD65" s="1110"/>
      <c r="CE65" s="1110"/>
      <c r="CF65" s="1110"/>
      <c r="CG65" s="1305" t="str">
        <f t="shared" si="56"/>
        <v>% of revenue</v>
      </c>
      <c r="CH65" s="1284">
        <f ca="1">OFFSET(Income!$C$6,MATCH(Charts!$E64,Income!$C$6:$C$117,0)+0,MATCH(Charts!CH$38,Income!$C$4:$EE$4,0)-1)</f>
        <v>0</v>
      </c>
      <c r="CI65" s="1284">
        <f ca="1">OFFSET(Income!$C$6,MATCH(Charts!$E64,Income!$C$6:$C$117,0)+0,MATCH(Charts!CI$38,Income!$C$4:$EE$4,0)-1)</f>
        <v>0</v>
      </c>
      <c r="CJ65" s="1284">
        <f ca="1">OFFSET(Income!$C$6,MATCH(Charts!$E64,Income!$C$6:$C$117,0)+0,MATCH(Charts!CJ$38,Income!$C$4:$EE$4,0)-1)</f>
        <v>0</v>
      </c>
      <c r="CK65" s="1284">
        <f ca="1">OFFSET(Income!$C$6,MATCH(Charts!$E64,Income!$C$6:$C$117,0)+0,MATCH(Charts!CK$38,Income!$C$4:$EE$4,0)-1)</f>
        <v>1.5948188189761198E-2</v>
      </c>
      <c r="CL65" s="1284">
        <f ca="1">OFFSET(Income!$C$6,MATCH(Charts!$E64,Income!$C$6:$C$117,0)+0,MATCH(Charts!CL$38,Income!$C$4:$EE$4,0)-1)</f>
        <v>1.7698979105926591E-2</v>
      </c>
      <c r="CM65" s="1284">
        <f ca="1">OFFSET(Income!$C$6,MATCH(Charts!$E64,Income!$C$6:$C$117,0)+0,MATCH(Charts!CM$38,Income!$C$4:$EE$4,0)-1)</f>
        <v>1.7718896687147215E-2</v>
      </c>
      <c r="CN65" s="1284">
        <f ca="1">OFFSET(Income!$C$6,MATCH(Charts!$E64,Income!$C$6:$C$117,0)+0,MATCH(Charts!CN$38,Income!$C$4:$EE$4,0)-1)</f>
        <v>2.4095049451200955E-2</v>
      </c>
      <c r="CO65" s="1284">
        <f ca="1">OFFSET(Income!$C$6,MATCH(Charts!$E64,Income!$C$6:$C$117,0)+0,MATCH(Charts!CO$38,Income!$C$4:$EE$4,0)-1)</f>
        <v>2.1529745042492918E-2</v>
      </c>
      <c r="CP65" s="1284">
        <f ca="1">OFFSET(Income!$C$6,MATCH(Charts!$E64,Income!$C$6:$C$117,0)+0,MATCH(Charts!CP$38,Income!$C$4:$EE$4,0)-1)</f>
        <v>2.5483320624845828E-2</v>
      </c>
      <c r="CQ65" s="1284">
        <f ca="1">OFFSET(Income!$C$6,MATCH(Charts!$E64,Income!$C$6:$C$117,0)+0,MATCH(Charts!CQ$38,Income!$C$4:$EE$4,0)-1)</f>
        <v>2.6827012025901945E-2</v>
      </c>
      <c r="CR65" s="1284">
        <f ca="1">OFFSET(Income!$C$6,MATCH(Charts!$E64,Income!$C$6:$C$117,0)+0,MATCH(Charts!CR$38,Income!$C$4:$EE$4,0)-1)</f>
        <v>2.6827012025901945E-2</v>
      </c>
      <c r="CS65" s="1284">
        <f ca="1">OFFSET(Income!$C$6,MATCH(Charts!$E64,Income!$C$6:$C$117,0)+0,MATCH(Charts!CS$38,Income!$C$4:$EE$4,0)-1)</f>
        <v>2.6827012025901941E-2</v>
      </c>
    </row>
    <row r="66" spans="2:97">
      <c r="E66" s="13" t="str">
        <f>Income!C42</f>
        <v>Total operating costs</v>
      </c>
      <c r="F66" s="1295">
        <f ca="1">-OFFSET(Income!$C$6,MATCH(Charts!$E66,Income!$C$6:$C$117,0)-1,MATCH(Charts!F$37,Income!$C$5:$EE$5,0)-1)</f>
        <v>49.796999999999997</v>
      </c>
      <c r="G66" s="1286">
        <f ca="1">-OFFSET(Income!$C$6,MATCH(Charts!$E66,Income!$C$6:$C$117,0)-1,MATCH(Charts!G$37,Income!$C$5:$EE$5,0)-1)</f>
        <v>56.181999999999995</v>
      </c>
      <c r="H66" s="1286">
        <f ca="1">-OFFSET(Income!$C$6,MATCH(Charts!$E66,Income!$C$6:$C$117,0)-1,MATCH(Charts!H$37,Income!$C$5:$EE$5,0)-1)</f>
        <v>63.241000000000007</v>
      </c>
      <c r="I66" s="1286">
        <f ca="1">-OFFSET(Income!$C$6,MATCH(Charts!$E66,Income!$C$6:$C$117,0)-1,MATCH(Charts!I$37,Income!$C$5:$EE$5,0)-1)</f>
        <v>77.44</v>
      </c>
      <c r="J66" s="1286">
        <f ca="1">-OFFSET(Income!$C$6,MATCH(Charts!$E66,Income!$C$6:$C$117,0)-1,MATCH(Charts!J$37,Income!$C$5:$EE$5,0)-1)</f>
        <v>86.701999999999998</v>
      </c>
      <c r="K66" s="1286">
        <f ca="1">-OFFSET(Income!$C$6,MATCH(Charts!$E66,Income!$C$6:$C$117,0)-1,MATCH(Charts!K$37,Income!$C$5:$EE$5,0)-1)</f>
        <v>102.747</v>
      </c>
      <c r="L66" s="1286">
        <f ca="1">-OFFSET(Income!$C$6,MATCH(Charts!$E66,Income!$C$6:$C$117,0)-1,MATCH(Charts!L$37,Income!$C$5:$EE$5,0)-1)</f>
        <v>112.703</v>
      </c>
      <c r="M66" s="1286">
        <f ca="1">-OFFSET(Income!$C$6,MATCH(Charts!$E66,Income!$C$6:$C$117,0)-1,MATCH(Charts!M$37,Income!$C$5:$EE$5,0)-1)</f>
        <v>127.25800000000001</v>
      </c>
      <c r="N66" s="1286">
        <f ca="1">-OFFSET(Income!$C$6,MATCH(Charts!$E66,Income!$C$6:$C$117,0)-1,MATCH(Charts!N$37,Income!$C$5:$EE$5,0)-1)</f>
        <v>144.17500000000001</v>
      </c>
      <c r="O66" s="1286">
        <f ca="1">-OFFSET(Income!$C$6,MATCH(Charts!$E66,Income!$C$6:$C$117,0)-1,MATCH(Charts!O$37,Income!$C$5:$EE$5,0)-1)</f>
        <v>167.71600000000001</v>
      </c>
      <c r="P66" s="1286">
        <f ca="1">-OFFSET(Income!$C$6,MATCH(Charts!$E66,Income!$C$6:$C$117,0)-1,MATCH(Charts!P$37,Income!$C$5:$EE$5,0)-1)</f>
        <v>181.095</v>
      </c>
      <c r="Q66" s="1286">
        <f ca="1">-OFFSET(Income!$C$6,MATCH(Charts!$E66,Income!$C$6:$C$117,0)-1,MATCH(Charts!Q$37,Income!$C$5:$EE$5,0)-1)</f>
        <v>195.20100000000002</v>
      </c>
      <c r="R66" s="1286">
        <f ca="1">-OFFSET(Income!$C$6,MATCH(Charts!$E66,Income!$C$6:$C$117,0)-1,MATCH(Charts!R$37,Income!$C$5:$EE$5,0)-1)</f>
        <v>216.08100000000002</v>
      </c>
      <c r="S66" s="1286">
        <f ca="1">-OFFSET(Income!$C$6,MATCH(Charts!$E66,Income!$C$6:$C$117,0)-1,MATCH(Charts!S$37,Income!$C$5:$EE$5,0)-1)</f>
        <v>244.38499999999999</v>
      </c>
      <c r="T66" s="1286">
        <f ca="1">-OFFSET(Income!$C$6,MATCH(Charts!$E66,Income!$C$6:$C$117,0)-1,MATCH(Charts!T$37,Income!$C$5:$EE$5,0)-1)</f>
        <v>252.35399999999998</v>
      </c>
      <c r="U66" s="1286">
        <f ca="1">-OFFSET(Income!$C$6,MATCH(Charts!$E66,Income!$C$6:$C$117,0)-1,MATCH(Charts!U$37,Income!$C$5:$EE$5,0)-1)</f>
        <v>293.96999999999997</v>
      </c>
      <c r="V66" s="1286">
        <f ca="1">-OFFSET(Income!$C$6,MATCH(Charts!$E66,Income!$C$6:$C$117,0)-1,MATCH(Charts!V$37,Income!$C$5:$EE$5,0)-1)</f>
        <v>330.18299999999999</v>
      </c>
      <c r="W66" s="1286">
        <f ca="1">-OFFSET(Income!$C$6,MATCH(Charts!$E66,Income!$C$6:$C$117,0)-1,MATCH(Charts!W$37,Income!$C$5:$EE$5,0)-1)</f>
        <v>374.75</v>
      </c>
      <c r="X66" s="1286">
        <f ca="1">-OFFSET(Income!$C$6,MATCH(Charts!$E66,Income!$C$6:$C$117,0)-1,MATCH(Charts!X$37,Income!$C$5:$EE$5,0)-1)</f>
        <v>354.58699999999993</v>
      </c>
      <c r="Y66" s="1286">
        <f ca="1">-OFFSET(Income!$C$6,MATCH(Charts!$E66,Income!$C$6:$C$117,0)-1,MATCH(Charts!Y$37,Income!$C$5:$EE$5,0)-1)</f>
        <v>391.84699999999998</v>
      </c>
      <c r="Z66" s="1286">
        <f ca="1">-OFFSET(Income!$C$6,MATCH(Charts!$E66,Income!$C$6:$C$117,0)-1,MATCH(Charts!Z$37,Income!$C$5:$EE$5,0)-1)</f>
        <v>439.81700000000001</v>
      </c>
      <c r="AA66" s="1286">
        <f ca="1">-OFFSET(Income!$C$6,MATCH(Charts!$E66,Income!$C$6:$C$117,0)-1,MATCH(Charts!AA$37,Income!$C$5:$EE$5,0)-1)</f>
        <v>481.41899999999998</v>
      </c>
      <c r="AB66" s="1286">
        <f ca="1">-OFFSET(Income!$C$6,MATCH(Charts!$E66,Income!$C$6:$C$117,0)-1,MATCH(Charts!AB$37,Income!$C$5:$EE$5,0)-1)</f>
        <v>613.01</v>
      </c>
      <c r="AC66" s="1286">
        <f ca="1">-OFFSET(Income!$C$6,MATCH(Charts!$E66,Income!$C$6:$C$117,0)-1,MATCH(Charts!AC$37,Income!$C$5:$EE$5,0)-1)</f>
        <v>678.25499999999988</v>
      </c>
      <c r="AD66" s="1286">
        <f ca="1">-OFFSET(Income!$C$6,MATCH(Charts!$E66,Income!$C$6:$C$117,0)-1,MATCH(Charts!AD$37,Income!$C$5:$EE$5,0)-1)</f>
        <v>735.61299999999994</v>
      </c>
      <c r="AE66" s="1286">
        <f ca="1">-OFFSET(Income!$C$6,MATCH(Charts!$E66,Income!$C$6:$C$117,0)-1,MATCH(Charts!AE$37,Income!$C$5:$EE$5,0)-1)</f>
        <v>845.85</v>
      </c>
      <c r="AF66" s="1286">
        <f ca="1">-OFFSET(Income!$C$6,MATCH(Charts!$E66,Income!$C$6:$C$117,0)-1,MATCH(Charts!AF$37,Income!$C$5:$EE$5,0)-1)</f>
        <v>1007.6980000000001</v>
      </c>
      <c r="AG66" s="1286">
        <f ca="1">-OFFSET(Income!$C$6,MATCH(Charts!$E66,Income!$C$6:$C$117,0)-1,MATCH(Charts!AG$37,Income!$C$5:$EE$5,0)-1)</f>
        <v>987.25700000000006</v>
      </c>
      <c r="AH66" s="1286">
        <f ca="1">-OFFSET(Income!$C$6,MATCH(Charts!$E66,Income!$C$6:$C$117,0)-1,MATCH(Charts!AH$37,Income!$C$5:$EE$5,0)-1)</f>
        <v>910</v>
      </c>
      <c r="AI66" s="1286">
        <f ca="1">-OFFSET(Income!$C$6,MATCH(Charts!$E66,Income!$C$6:$C$117,0)-1,MATCH(Charts!AI$37,Income!$C$5:$EE$5,0)-1)</f>
        <v>2471</v>
      </c>
      <c r="AJ66" s="1286">
        <f ca="1">-OFFSET(Income!$C$6,MATCH(Charts!$E66,Income!$C$6:$C$117,0)-1,MATCH(Charts!AJ$37,Income!$C$5:$EE$5,0)-1)</f>
        <v>779</v>
      </c>
      <c r="AK66" s="1286">
        <f ca="1">-OFFSET(Income!$C$6,MATCH(Charts!$E66,Income!$C$6:$C$117,0)-1,MATCH(Charts!AK$37,Income!$C$5:$EE$5,0)-1)</f>
        <v>773</v>
      </c>
      <c r="AL66" s="1286">
        <f ca="1">-OFFSET(Income!$C$6,MATCH(Charts!$E66,Income!$C$6:$C$117,0)-1,MATCH(Charts!AL$37,Income!$C$5:$EE$5,0)-1)</f>
        <v>871</v>
      </c>
      <c r="AM66" s="1286">
        <f ca="1">-OFFSET(Income!$C$6,MATCH(Charts!$E66,Income!$C$6:$C$117,0)-1,MATCH(Charts!AM$37,Income!$C$5:$EE$5,0)-1)</f>
        <v>804</v>
      </c>
      <c r="AN66" s="1286">
        <f ca="1">-OFFSET(Income!$C$6,MATCH(Charts!$E66,Income!$C$6:$C$117,0)-1,MATCH(Charts!AN$37,Income!$C$5:$EE$5,0)-1)</f>
        <v>835</v>
      </c>
      <c r="AO66" s="1286">
        <f ca="1">-OFFSET(Income!$C$6,MATCH(Charts!$E66,Income!$C$6:$C$117,0)-1,MATCH(Charts!AO$37,Income!$C$5:$EE$5,0)-1)</f>
        <v>893.05845208144569</v>
      </c>
      <c r="AP66" s="1286">
        <f ca="1">-OFFSET(Income!$C$6,MATCH(Charts!$E66,Income!$C$6:$C$117,0)-1,MATCH(Charts!AP$37,Income!$C$5:$EE$5,0)-1)</f>
        <v>1039.5175163187405</v>
      </c>
      <c r="AQ66" s="1286">
        <f ca="1">-OFFSET(Income!$C$6,MATCH(Charts!$E66,Income!$C$6:$C$117,0)-1,MATCH(Charts!AQ$37,Income!$C$5:$EE$5,0)-1)</f>
        <v>944.1301015813159</v>
      </c>
      <c r="AR66" s="1286">
        <f ca="1">-OFFSET(Income!$C$6,MATCH(Charts!$E66,Income!$C$6:$C$117,0)-1,MATCH(Charts!AR$37,Income!$C$5:$EE$5,0)-1)</f>
        <v>955.95146919521721</v>
      </c>
      <c r="AS66" s="1286">
        <f ca="1">-OFFSET(Income!$C$6,MATCH(Charts!$E66,Income!$C$6:$C$117,0)-1,MATCH(Charts!AS$37,Income!$C$5:$EE$5,0)-1)</f>
        <v>1019.6799089367909</v>
      </c>
      <c r="AT66" s="1286">
        <f ca="1">-OFFSET(Income!$C$6,MATCH(Charts!$E66,Income!$C$6:$C$117,0)-1,MATCH(Charts!AT$37,Income!$C$5:$EE$5,0)-1)</f>
        <v>1190.9228081648321</v>
      </c>
      <c r="AU66" s="1286">
        <f ca="1">-OFFSET(Income!$C$6,MATCH(Charts!$E66,Income!$C$6:$C$117,0)-1,MATCH(Charts!AU$37,Income!$C$5:$EE$5,0)-1)</f>
        <v>1072.7391174015522</v>
      </c>
      <c r="AV66" s="1286">
        <f ca="1">-OFFSET(Income!$C$6,MATCH(Charts!$E66,Income!$C$6:$C$117,0)-1,MATCH(Charts!AV$37,Income!$C$5:$EE$5,0)-1)</f>
        <v>1083.4436296047013</v>
      </c>
      <c r="AW66" s="1286">
        <f ca="1">-OFFSET(Income!$C$6,MATCH(Charts!$E66,Income!$C$6:$C$117,0)-1,MATCH(Charts!AW$37,Income!$C$5:$EE$5,0)-1)</f>
        <v>1146.2333948652533</v>
      </c>
      <c r="AX66" s="1286">
        <f ca="1">-OFFSET(Income!$C$6,MATCH(Charts!$E66,Income!$C$6:$C$117,0)-1,MATCH(Charts!AX$37,Income!$C$5:$EE$5,0)-1)</f>
        <v>1338.1352954788774</v>
      </c>
      <c r="AY66" s="1286">
        <f ca="1">-OFFSET(Income!$C$6,MATCH(Charts!$E66,Income!$C$6:$C$117,0)-1,MATCH(Charts!AY$37,Income!$C$5:$EE$5,0)-1)</f>
        <v>1193.8529470967876</v>
      </c>
      <c r="AZ66" s="1286">
        <f ca="1">-OFFSET(Income!$C$6,MATCH(Charts!$E66,Income!$C$6:$C$117,0)-1,MATCH(Charts!AZ$37,Income!$C$5:$EE$5,0)-1)</f>
        <v>1202.4881499481253</v>
      </c>
      <c r="BA66" s="1286">
        <f ca="1">-OFFSET(Income!$C$6,MATCH(Charts!$E66,Income!$C$6:$C$117,0)-1,MATCH(Charts!BA$37,Income!$C$5:$EE$5,0)-1)</f>
        <v>1258.854003862587</v>
      </c>
      <c r="BB66" s="1110"/>
      <c r="BC66" s="1110"/>
      <c r="BD66" s="1110"/>
      <c r="BE66" s="1110"/>
      <c r="BF66" s="1110"/>
      <c r="BG66" s="1110"/>
      <c r="BH66" s="1110"/>
      <c r="BI66" s="1110"/>
      <c r="BJ66" s="1110"/>
      <c r="BK66" s="1110"/>
      <c r="BL66" s="1110"/>
      <c r="BM66" s="1110"/>
      <c r="BN66" s="1110"/>
      <c r="BO66" s="1110"/>
      <c r="BP66" s="1110"/>
      <c r="BQ66" s="1110"/>
      <c r="BR66" s="1110"/>
      <c r="BS66" s="1110"/>
      <c r="BT66" s="1110"/>
      <c r="BU66" s="1110"/>
      <c r="BV66" s="1110"/>
      <c r="BW66" s="1110"/>
      <c r="BX66" s="1110"/>
      <c r="BY66" s="1110"/>
      <c r="BZ66" s="1110"/>
      <c r="CA66" s="1110"/>
      <c r="CB66" s="1110"/>
      <c r="CC66" s="1110"/>
      <c r="CD66" s="1110"/>
      <c r="CE66" s="1110"/>
      <c r="CF66" s="1110"/>
      <c r="CG66" s="1305" t="str">
        <f t="shared" si="56"/>
        <v>Total operating costs</v>
      </c>
      <c r="CH66" s="1291">
        <f ca="1">-OFFSET(Income!$C$6,MATCH(Charts!$E66,Income!$C$6:$C$117,0)-1,MATCH(Charts!CH$38,Income!$C$4:$EE$4,0)-1)</f>
        <v>246.66</v>
      </c>
      <c r="CI66" s="1291">
        <f ca="1">-OFFSET(Income!$C$6,MATCH(Charts!$E66,Income!$C$6:$C$117,0)-1,MATCH(Charts!CI$38,Income!$C$4:$EE$4,0)-1)</f>
        <v>429.41000000000008</v>
      </c>
      <c r="CJ66" s="1291">
        <f ca="1">-OFFSET(Income!$C$6,MATCH(Charts!$E66,Income!$C$6:$C$117,0)-1,MATCH(Charts!CJ$38,Income!$C$4:$EE$4,0)-1)</f>
        <v>688.18700000000001</v>
      </c>
      <c r="CK66" s="1291">
        <f ca="1">-OFFSET(Income!$C$6,MATCH(Charts!$E66,Income!$C$6:$C$117,0)-1,MATCH(Charts!CK$38,Income!$C$4:$EE$4,0)-1)</f>
        <v>1006.79</v>
      </c>
      <c r="CL66" s="1291">
        <f ca="1">-OFFSET(Income!$C$6,MATCH(Charts!$E66,Income!$C$6:$C$117,0)-1,MATCH(Charts!CL$38,Income!$C$4:$EE$4,0)-1)</f>
        <v>1451.367</v>
      </c>
      <c r="CM66" s="1291">
        <f ca="1">-OFFSET(Income!$C$6,MATCH(Charts!$E66,Income!$C$6:$C$117,0)-1,MATCH(Charts!CM$38,Income!$C$4:$EE$4,0)-1)</f>
        <v>2212.5010000000002</v>
      </c>
      <c r="CN66" s="1291">
        <f ca="1">-OFFSET(Income!$C$6,MATCH(Charts!$E66,Income!$C$6:$C$117,0)-1,MATCH(Charts!CN$38,Income!$C$4:$EE$4,0)-1)</f>
        <v>3576.4180000000001</v>
      </c>
      <c r="CO66" s="1291">
        <f ca="1">-OFFSET(Income!$C$6,MATCH(Charts!$E66,Income!$C$6:$C$117,0)-1,MATCH(Charts!CO$38,Income!$C$4:$EE$4,0)-1)</f>
        <v>4933</v>
      </c>
      <c r="CP66" s="1291">
        <f ca="1">-OFFSET(Income!$C$6,MATCH(Charts!$E66,Income!$C$6:$C$117,0)-1,MATCH(Charts!CP$38,Income!$C$4:$EE$4,0)-1)</f>
        <v>3403.0584520814455</v>
      </c>
      <c r="CQ66" s="1291">
        <f ca="1">-OFFSET(Income!$C$6,MATCH(Charts!$E66,Income!$C$6:$C$117,0)-1,MATCH(Charts!CQ$38,Income!$C$4:$EE$4,0)-1)</f>
        <v>3959.2789960320647</v>
      </c>
      <c r="CR66" s="1291">
        <f ca="1">-OFFSET(Income!$C$6,MATCH(Charts!$E66,Income!$C$6:$C$117,0)-1,MATCH(Charts!CR$38,Income!$C$4:$EE$4,0)-1)</f>
        <v>4493.3389500363392</v>
      </c>
      <c r="CS66" s="1291">
        <f ca="1">-OFFSET(Income!$C$6,MATCH(Charts!$E66,Income!$C$6:$C$117,0)-1,MATCH(Charts!CS$38,Income!$C$4:$EE$4,0)-1)</f>
        <v>4993.3303963863773</v>
      </c>
    </row>
    <row r="67" spans="2:97">
      <c r="E67" s="13"/>
      <c r="F67" s="1296"/>
      <c r="G67" s="1284"/>
      <c r="H67" s="1284"/>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c r="AG67" s="1284"/>
      <c r="AH67" s="1284"/>
      <c r="AI67" s="1284"/>
      <c r="AJ67" s="1284"/>
      <c r="AK67" s="1284"/>
      <c r="AL67" s="1284"/>
      <c r="AM67" s="1284"/>
      <c r="AN67" s="1284"/>
      <c r="AO67" s="1284"/>
      <c r="AP67" s="1284"/>
      <c r="AQ67" s="1284"/>
      <c r="AR67" s="1284"/>
      <c r="AS67" s="1284"/>
      <c r="AT67" s="1284"/>
      <c r="AU67" s="1284"/>
      <c r="AV67" s="1284"/>
      <c r="AW67" s="1284"/>
      <c r="AX67" s="1284"/>
      <c r="AY67" s="1284"/>
      <c r="AZ67" s="1284"/>
      <c r="BA67" s="1284"/>
      <c r="BB67" s="1110"/>
      <c r="BC67" s="1110"/>
      <c r="BD67" s="1110"/>
      <c r="BE67" s="1110"/>
      <c r="BF67" s="1110"/>
      <c r="BG67" s="1110"/>
      <c r="BH67" s="1110"/>
      <c r="BI67" s="1110"/>
      <c r="BJ67" s="1110"/>
      <c r="BK67" s="1110"/>
      <c r="BL67" s="1110"/>
      <c r="BM67" s="1110"/>
      <c r="BN67" s="1110"/>
      <c r="BO67" s="1110"/>
      <c r="BP67" s="1110"/>
      <c r="BQ67" s="1110"/>
      <c r="BR67" s="1110"/>
      <c r="BS67" s="1110"/>
      <c r="BT67" s="1110"/>
      <c r="BU67" s="1110"/>
      <c r="BV67" s="1110"/>
      <c r="BW67" s="1110"/>
      <c r="BX67" s="1110"/>
      <c r="BY67" s="1110"/>
      <c r="BZ67" s="1110"/>
      <c r="CA67" s="1110"/>
      <c r="CB67" s="1110"/>
      <c r="CC67" s="1110"/>
      <c r="CD67" s="1110"/>
      <c r="CE67" s="1110"/>
      <c r="CF67" s="1110"/>
      <c r="CG67" s="1110" t="s">
        <v>733</v>
      </c>
      <c r="CH67" s="1284">
        <f t="shared" ref="CH67:CS67" ca="1" si="57">CH59+CH61+CH63+CH65</f>
        <v>0.6335499447769245</v>
      </c>
      <c r="CI67" s="1284">
        <f t="shared" ca="1" si="57"/>
        <v>0.63776540760191536</v>
      </c>
      <c r="CJ67" s="1284">
        <f t="shared" ca="1" si="57"/>
        <v>0.64123034319795691</v>
      </c>
      <c r="CK67" s="1284">
        <f t="shared" ca="1" si="57"/>
        <v>0.63794653691325343</v>
      </c>
      <c r="CL67" s="1284">
        <f t="shared" ca="1" si="57"/>
        <v>0.49543316569328938</v>
      </c>
      <c r="CM67" s="1284">
        <f t="shared" ca="1" si="57"/>
        <v>0.47974199541356022</v>
      </c>
      <c r="CN67" s="1284">
        <f t="shared" ca="1" si="57"/>
        <v>0.63866158178127175</v>
      </c>
      <c r="CO67" s="1284">
        <f t="shared" ca="1" si="57"/>
        <v>0.5089235127478754</v>
      </c>
      <c r="CP67" s="1284">
        <f t="shared" ca="1" si="57"/>
        <v>0.38796372891301872</v>
      </c>
      <c r="CQ67" s="1284">
        <f t="shared" ca="1" si="57"/>
        <v>0.36671003929588325</v>
      </c>
      <c r="CR67" s="1284">
        <f t="shared" ca="1" si="57"/>
        <v>0.3476893290470407</v>
      </c>
      <c r="CS67" s="1284">
        <f t="shared" ca="1" si="57"/>
        <v>0.32767283229863037</v>
      </c>
    </row>
    <row r="68" spans="2:97">
      <c r="E68" s="13"/>
      <c r="F68" s="1296"/>
      <c r="G68" s="1284"/>
      <c r="H68" s="1284"/>
      <c r="I68" s="1284"/>
      <c r="J68" s="1284"/>
      <c r="K68" s="1284"/>
      <c r="L68" s="1284"/>
      <c r="M68" s="1284"/>
      <c r="N68" s="1284"/>
      <c r="O68" s="1284"/>
      <c r="P68" s="1284"/>
      <c r="Q68" s="1284"/>
      <c r="R68" s="1284"/>
      <c r="S68" s="1284"/>
      <c r="T68" s="1284"/>
      <c r="U68" s="1284"/>
      <c r="V68" s="1284"/>
      <c r="W68" s="1284"/>
      <c r="X68" s="1284"/>
      <c r="Y68" s="1284"/>
      <c r="Z68" s="1284"/>
      <c r="AA68" s="1284"/>
      <c r="AB68" s="1284"/>
      <c r="AC68" s="1284"/>
      <c r="AD68" s="1284"/>
      <c r="AE68" s="1284"/>
      <c r="AF68" s="1284"/>
      <c r="AG68" s="1284"/>
      <c r="AH68" s="1284"/>
      <c r="AI68" s="1284"/>
      <c r="AJ68" s="1284"/>
      <c r="AK68" s="1284"/>
      <c r="AL68" s="1284"/>
      <c r="AM68" s="1284"/>
      <c r="AN68" s="1284"/>
      <c r="AO68" s="1284"/>
      <c r="AP68" s="1284"/>
      <c r="AQ68" s="1284"/>
      <c r="AR68" s="1284"/>
      <c r="AS68" s="1284"/>
      <c r="AT68" s="1284"/>
      <c r="AU68" s="1284"/>
      <c r="AV68" s="1284"/>
      <c r="AW68" s="1284"/>
      <c r="AX68" s="1284"/>
      <c r="AY68" s="1284"/>
      <c r="AZ68" s="1284"/>
      <c r="BA68" s="1284"/>
      <c r="BB68" s="1110"/>
      <c r="BC68" s="1110"/>
      <c r="BD68" s="1110"/>
      <c r="BE68" s="1110"/>
      <c r="BF68" s="1110"/>
      <c r="BG68" s="1110"/>
      <c r="BH68" s="1110"/>
      <c r="BI68" s="1110"/>
      <c r="BJ68" s="1110"/>
      <c r="BK68" s="1110"/>
      <c r="BL68" s="1110"/>
      <c r="BM68" s="1110"/>
      <c r="BN68" s="1110"/>
      <c r="BO68" s="1110"/>
      <c r="BP68" s="1110"/>
      <c r="BQ68" s="1110"/>
      <c r="BR68" s="1110"/>
      <c r="BS68" s="1110"/>
      <c r="BT68" s="1110"/>
      <c r="BU68" s="1110"/>
      <c r="BV68" s="1110"/>
      <c r="BW68" s="1110"/>
      <c r="BX68" s="1110"/>
      <c r="BY68" s="1110"/>
      <c r="BZ68" s="1110"/>
      <c r="CA68" s="1110"/>
      <c r="CB68" s="1110"/>
      <c r="CC68" s="1110"/>
      <c r="CD68" s="1110"/>
      <c r="CE68" s="1110"/>
      <c r="CF68" s="1110"/>
      <c r="CG68" s="1110"/>
      <c r="CH68" s="1284" t="str">
        <f>CH38</f>
        <v>2016A</v>
      </c>
      <c r="CI68" s="1284" t="str">
        <f t="shared" ref="CI68:CS68" si="58">CI38</f>
        <v>2017A</v>
      </c>
      <c r="CJ68" s="1284" t="str">
        <f t="shared" si="58"/>
        <v>2018A</v>
      </c>
      <c r="CK68" s="1284" t="str">
        <f t="shared" si="58"/>
        <v>2019A</v>
      </c>
      <c r="CL68" s="1284" t="str">
        <f t="shared" si="58"/>
        <v>2020A</v>
      </c>
      <c r="CM68" s="1284" t="str">
        <f t="shared" si="58"/>
        <v>2021A</v>
      </c>
      <c r="CN68" s="1284" t="str">
        <f t="shared" si="58"/>
        <v>2022A</v>
      </c>
      <c r="CO68" s="1284" t="str">
        <f t="shared" si="58"/>
        <v>2023A</v>
      </c>
      <c r="CP68" s="1284" t="str">
        <f t="shared" si="58"/>
        <v>2024E</v>
      </c>
      <c r="CQ68" s="1284" t="str">
        <f t="shared" si="58"/>
        <v>2025E</v>
      </c>
      <c r="CR68" s="1284" t="str">
        <f t="shared" si="58"/>
        <v>2026E</v>
      </c>
      <c r="CS68" s="1284" t="str">
        <f t="shared" si="58"/>
        <v>2027E</v>
      </c>
    </row>
    <row r="69" spans="2:97">
      <c r="E69" s="13" t="s">
        <v>97</v>
      </c>
      <c r="F69" s="1306">
        <f ca="1">OFFSET(Income!$C$4,MATCH(Charts!$E69,Income!$C$4:$C$127,0)-1,MATCH(Charts!F$37,Income!$C$5:$EE$5,0)-1)</f>
        <v>-2.8619999999999894</v>
      </c>
      <c r="G69" s="1288">
        <f ca="1">OFFSET(Income!$C$4,MATCH(Charts!$E69,Income!$C$4:$C$127,0)-1,MATCH(Charts!G$37,Income!$C$5:$EE$5,0)-1)</f>
        <v>-0.43500000000000594</v>
      </c>
      <c r="H69" s="1288">
        <f ca="1">OFFSET(Income!$C$4,MATCH(Charts!$E69,Income!$C$4:$C$127,0)-1,MATCH(Charts!H$37,Income!$C$5:$EE$5,0)-1)</f>
        <v>1.4869999999999954</v>
      </c>
      <c r="I69" s="1288">
        <f ca="1">OFFSET(Income!$C$4,MATCH(Charts!$E69,Income!$C$4:$C$127,0)-1,MATCH(Charts!I$37,Income!$C$5:$EE$5,0)-1)</f>
        <v>3.6329999999999814</v>
      </c>
      <c r="J69" s="1288">
        <f ca="1">OFFSET(Income!$C$4,MATCH(Charts!$E69,Income!$C$4:$C$127,0)-1,MATCH(Charts!J$37,Income!$C$5:$EE$5,0)-1)</f>
        <v>0.22000000000001529</v>
      </c>
      <c r="K69" s="1288">
        <f ca="1">OFFSET(Income!$C$4,MATCH(Charts!$E69,Income!$C$4:$C$127,0)-1,MATCH(Charts!K$37,Income!$C$5:$EE$5,0)-1)</f>
        <v>2.415000000000004</v>
      </c>
      <c r="L69" s="1288">
        <f ca="1">OFFSET(Income!$C$4,MATCH(Charts!$E69,Income!$C$4:$C$127,0)-1,MATCH(Charts!L$37,Income!$C$5:$EE$5,0)-1)</f>
        <v>7.4500000000000144</v>
      </c>
      <c r="M69" s="1288">
        <f ca="1">OFFSET(Income!$C$4,MATCH(Charts!$E69,Income!$C$4:$C$127,0)-1,MATCH(Charts!M$37,Income!$C$5:$EE$5,0)-1)</f>
        <v>19.34199999999997</v>
      </c>
      <c r="N69" s="1288">
        <f ca="1">OFFSET(Income!$C$4,MATCH(Charts!$E69,Income!$C$4:$C$127,0)-1,MATCH(Charts!N$37,Income!$C$5:$EE$5,0)-1)</f>
        <v>7.3639999999999741</v>
      </c>
      <c r="O69" s="1288">
        <f ca="1">OFFSET(Income!$C$4,MATCH(Charts!$E69,Income!$C$4:$C$127,0)-1,MATCH(Charts!O$37,Income!$C$5:$EE$5,0)-1)</f>
        <v>3.1579999999999768</v>
      </c>
      <c r="P69" s="1288">
        <f ca="1">OFFSET(Income!$C$4,MATCH(Charts!$E69,Income!$C$4:$C$127,0)-1,MATCH(Charts!P$37,Income!$C$5:$EE$5,0)-1)</f>
        <v>3.7969999999999802</v>
      </c>
      <c r="Q69" s="1288">
        <f ca="1">OFFSET(Income!$C$4,MATCH(Charts!$E69,Income!$C$4:$C$127,0)-1,MATCH(Charts!Q$37,Income!$C$5:$EE$5,0)-1)</f>
        <v>27.262999999999941</v>
      </c>
      <c r="R69" s="1288">
        <f ca="1">OFFSET(Income!$C$4,MATCH(Charts!$E69,Income!$C$4:$C$127,0)-1,MATCH(Charts!R$37,Income!$C$5:$EE$5,0)-1)</f>
        <v>7.1379999999999502</v>
      </c>
      <c r="S69" s="1288">
        <f ca="1">OFFSET(Income!$C$4,MATCH(Charts!$E69,Income!$C$4:$C$127,0)-1,MATCH(Charts!S$37,Income!$C$5:$EE$5,0)-1)</f>
        <v>13.771999999999997</v>
      </c>
      <c r="T69" s="1288">
        <f ca="1">OFFSET(Income!$C$4,MATCH(Charts!$E69,Income!$C$4:$C$127,0)-1,MATCH(Charts!T$37,Income!$C$5:$EE$5,0)-1)</f>
        <v>19.291000000000043</v>
      </c>
      <c r="U69" s="1288">
        <f ca="1">OFFSET(Income!$C$4,MATCH(Charts!$E69,Income!$C$4:$C$127,0)-1,MATCH(Charts!U$37,Income!$C$5:$EE$5,0)-1)</f>
        <v>41.205000000000048</v>
      </c>
      <c r="V69" s="1288">
        <f ca="1">OFFSET(Income!$C$4,MATCH(Charts!$E69,Income!$C$4:$C$127,0)-1,MATCH(Charts!V$37,Income!$C$5:$EE$5,0)-1)</f>
        <v>7.0939999999999985</v>
      </c>
      <c r="W69" s="1288">
        <f ca="1">OFFSET(Income!$C$4,MATCH(Charts!$E69,Income!$C$4:$C$127,0)-1,MATCH(Charts!W$37,Income!$C$5:$EE$5,0)-1)</f>
        <v>133.60700000000003</v>
      </c>
      <c r="X69" s="1288">
        <f ca="1">OFFSET(Income!$C$4,MATCH(Charts!$E69,Income!$C$4:$C$127,0)-1,MATCH(Charts!X$37,Income!$C$5:$EE$5,0)-1)</f>
        <v>148.81000000000003</v>
      </c>
      <c r="Y69" s="1288">
        <f ca="1">OFFSET(Income!$C$4,MATCH(Charts!$E69,Income!$C$4:$C$127,0)-1,MATCH(Charts!Y$37,Income!$C$5:$EE$5,0)-1)</f>
        <v>217.89999999999992</v>
      </c>
      <c r="Z69" s="1288">
        <f ca="1">OFFSET(Income!$C$4,MATCH(Charts!$E69,Income!$C$4:$C$127,0)-1,MATCH(Charts!Z$37,Income!$C$5:$EE$5,0)-1)</f>
        <v>226.64199999999991</v>
      </c>
      <c r="AA69" s="1288">
        <f ca="1">OFFSET(Income!$C$4,MATCH(Charts!$E69,Income!$C$4:$C$127,0)-1,MATCH(Charts!AA$37,Income!$C$5:$EE$5,0)-1)</f>
        <v>251.46599999999992</v>
      </c>
      <c r="AB69" s="1288">
        <f ca="1">OFFSET(Income!$C$4,MATCH(Charts!$E69,Income!$C$4:$C$127,0)-1,MATCH(Charts!AB$37,Income!$C$5:$EE$5,0)-1)</f>
        <v>153.76600000000002</v>
      </c>
      <c r="AC69" s="1288">
        <f ca="1">OFFSET(Income!$C$4,MATCH(Charts!$E69,Income!$C$4:$C$127,0)-1,MATCH(Charts!AC$37,Income!$C$5:$EE$5,0)-1)</f>
        <v>134.95930000000024</v>
      </c>
      <c r="AD69" s="1288">
        <f ca="1">OFFSET(Income!$C$4,MATCH(Charts!$E69,Income!$C$4:$C$127,0)-1,MATCH(Charts!AD$37,Income!$C$5:$EE$5,0)-1)</f>
        <v>36.683000000000106</v>
      </c>
      <c r="AE69" s="1288">
        <f ca="1">OFFSET(Income!$C$4,MATCH(Charts!$E69,Income!$C$4:$C$127,0)-1,MATCH(Charts!AE$37,Income!$C$5:$EE$5,0)-1)</f>
        <v>-34.385999999999967</v>
      </c>
      <c r="AF69" s="1288">
        <f ca="1">OFFSET(Income!$C$4,MATCH(Charts!$E69,Income!$C$4:$C$127,0)-1,MATCH(Charts!AF$37,Income!$C$5:$EE$5,0)-1)</f>
        <v>-40.27000000000001</v>
      </c>
      <c r="AG69" s="1288">
        <f ca="1">OFFSET(Income!$C$4,MATCH(Charts!$E69,Income!$C$4:$C$127,0)-1,MATCH(Charts!AG$37,Income!$C$5:$EE$5,0)-1)</f>
        <v>67.131000000000085</v>
      </c>
      <c r="AH69" s="1288">
        <f ca="1">OFFSET(Income!$C$4,MATCH(Charts!$E69,Income!$C$4:$C$127,0)-1,MATCH(Charts!AH$37,Income!$C$5:$EE$5,0)-1)</f>
        <v>-29</v>
      </c>
      <c r="AI69" s="1288">
        <f ca="1">OFFSET(Income!$C$4,MATCH(Charts!$E69,Income!$C$4:$C$127,0)-1,MATCH(Charts!AI$37,Income!$C$5:$EE$5,0)-1)</f>
        <v>148</v>
      </c>
      <c r="AJ69" s="1288">
        <f ca="1">OFFSET(Income!$C$4,MATCH(Charts!$E69,Income!$C$4:$C$127,0)-1,MATCH(Charts!AJ$37,Income!$C$5:$EE$5,0)-1)</f>
        <v>280</v>
      </c>
      <c r="AK69" s="1288">
        <f ca="1">OFFSET(Income!$C$4,MATCH(Charts!$E69,Income!$C$4:$C$127,0)-1,MATCH(Charts!AK$37,Income!$C$5:$EE$5,0)-1)</f>
        <v>402</v>
      </c>
      <c r="AL69" s="1288">
        <f ca="1">OFFSET(Income!$C$4,MATCH(Charts!$E69,Income!$C$4:$C$127,0)-1,MATCH(Charts!AL$37,Income!$C$5:$EE$5,0)-1)</f>
        <v>207</v>
      </c>
      <c r="AM69" s="1288">
        <f ca="1">OFFSET(Income!$C$4,MATCH(Charts!$E69,Income!$C$4:$C$127,0)-1,MATCH(Charts!AM$37,Income!$C$5:$EE$5,0)-1)</f>
        <v>305</v>
      </c>
      <c r="AN69" s="1288">
        <f ca="1">OFFSET(Income!$C$4,MATCH(Charts!$E69,Income!$C$4:$C$127,0)-1,MATCH(Charts!AN$37,Income!$C$5:$EE$5,0)-1)</f>
        <v>401</v>
      </c>
      <c r="AO69" s="1288">
        <f ca="1">OFFSET(Income!$C$4,MATCH(Charts!$E69,Income!$C$4:$C$127,0)-1,MATCH(Charts!AO$37,Income!$C$5:$EE$5,0)-1)</f>
        <v>549.27709980785721</v>
      </c>
      <c r="AP69" s="1288">
        <f ca="1">OFFSET(Income!$C$4,MATCH(Charts!$E69,Income!$C$4:$C$127,0)-1,MATCH(Charts!AP$37,Income!$C$5:$EE$5,0)-1)</f>
        <v>282.68689269859328</v>
      </c>
      <c r="AQ69" s="1288">
        <f ca="1">OFFSET(Income!$C$4,MATCH(Charts!$E69,Income!$C$4:$C$127,0)-1,MATCH(Charts!AQ$37,Income!$C$5:$EE$5,0)-1)</f>
        <v>457.3332967886696</v>
      </c>
      <c r="AR69" s="1288">
        <f ca="1">OFFSET(Income!$C$4,MATCH(Charts!$E69,Income!$C$4:$C$127,0)-1,MATCH(Charts!AR$37,Income!$C$5:$EE$5,0)-1)</f>
        <v>536.22031611460159</v>
      </c>
      <c r="AS69" s="1288">
        <f ca="1">OFFSET(Income!$C$4,MATCH(Charts!$E69,Income!$C$4:$C$127,0)-1,MATCH(Charts!AS$37,Income!$C$5:$EE$5,0)-1)</f>
        <v>738.65574022977648</v>
      </c>
      <c r="AT69" s="1288">
        <f ca="1">OFFSET(Income!$C$4,MATCH(Charts!$E69,Income!$C$4:$C$127,0)-1,MATCH(Charts!AT$37,Income!$C$5:$EE$5,0)-1)</f>
        <v>373.08077332406918</v>
      </c>
      <c r="AU69" s="1288">
        <f ca="1">OFFSET(Income!$C$4,MATCH(Charts!$E69,Income!$C$4:$C$127,0)-1,MATCH(Charts!AU$37,Income!$C$5:$EE$5,0)-1)</f>
        <v>583.80980626420114</v>
      </c>
      <c r="AV69" s="1288">
        <f ca="1">OFFSET(Income!$C$4,MATCH(Charts!$E69,Income!$C$4:$C$127,0)-1,MATCH(Charts!AV$37,Income!$C$5:$EE$5,0)-1)</f>
        <v>679.96298036631788</v>
      </c>
      <c r="AW69" s="1288">
        <f ca="1">OFFSET(Income!$C$4,MATCH(Charts!$E69,Income!$C$4:$C$127,0)-1,MATCH(Charts!AW$37,Income!$C$5:$EE$5,0)-1)</f>
        <v>934.85609748712091</v>
      </c>
      <c r="AX69" s="1288">
        <f ca="1">OFFSET(Income!$C$4,MATCH(Charts!$E69,Income!$C$4:$C$127,0)-1,MATCH(Charts!AX$37,Income!$C$5:$EE$5,0)-1)</f>
        <v>486.47692623950076</v>
      </c>
      <c r="AY69" s="1288">
        <f ca="1">OFFSET(Income!$C$4,MATCH(Charts!$E69,Income!$C$4:$C$127,0)-1,MATCH(Charts!AY$37,Income!$C$5:$EE$5,0)-1)</f>
        <v>737.51874063819628</v>
      </c>
      <c r="AZ69" s="1288">
        <f ca="1">OFFSET(Income!$C$4,MATCH(Charts!$E69,Income!$C$4:$C$127,0)-1,MATCH(Charts!AZ$37,Income!$C$5:$EE$5,0)-1)</f>
        <v>853.20736651707318</v>
      </c>
      <c r="BA69" s="1288">
        <f ca="1">OFFSET(Income!$C$4,MATCH(Charts!$E69,Income!$C$4:$C$127,0)-1,MATCH(Charts!BA$37,Income!$C$5:$EE$5,0)-1)</f>
        <v>1169.8982047678903</v>
      </c>
      <c r="BB69" s="1110"/>
      <c r="BC69" s="1110"/>
      <c r="BD69" s="1110"/>
      <c r="BE69" s="1110"/>
      <c r="BF69" s="1110"/>
      <c r="BG69" s="1110"/>
      <c r="BH69" s="1110"/>
      <c r="BI69" s="1110"/>
      <c r="BJ69" s="1110"/>
      <c r="BK69" s="1110"/>
      <c r="BL69" s="1110"/>
      <c r="BM69" s="1110"/>
      <c r="BN69" s="1110"/>
      <c r="BO69" s="1110"/>
      <c r="BP69" s="1110"/>
      <c r="BQ69" s="1110"/>
      <c r="BR69" s="1110"/>
      <c r="BS69" s="1110"/>
      <c r="BT69" s="1110"/>
      <c r="BU69" s="1110"/>
      <c r="BV69" s="1110"/>
      <c r="BW69" s="1110"/>
      <c r="BX69" s="1110"/>
      <c r="BY69" s="1110"/>
      <c r="BZ69" s="1110"/>
      <c r="CA69" s="1110"/>
      <c r="CB69" s="1110"/>
      <c r="CC69" s="1110"/>
      <c r="CD69" s="1110"/>
      <c r="CE69" s="1110"/>
      <c r="CF69" s="1110"/>
      <c r="CG69" s="1305" t="str">
        <f>E69</f>
        <v>Adjusted EBITDA</v>
      </c>
      <c r="CH69" s="1288">
        <f ca="1">OFFSET(Income!$C$4,MATCH(Charts!$E69,Income!$C$4:$C$127,0)-1,MATCH(Charts!CH$38,Income!$C$4:$EE$4,0)-1)</f>
        <v>1.8229999999999815</v>
      </c>
      <c r="CI69" s="1288">
        <f ca="1">OFFSET(Income!$C$4,MATCH(Charts!$E69,Income!$C$4:$C$127,0)-1,MATCH(Charts!CI$38,Income!$C$4:$EE$4,0)-1)</f>
        <v>29.427000000000003</v>
      </c>
      <c r="CJ69" s="1288">
        <f ca="1">OFFSET(Income!$C$4,MATCH(Charts!$E69,Income!$C$4:$C$127,0)-1,MATCH(Charts!CJ$38,Income!$C$4:$EE$4,0)-1)</f>
        <v>41.581999999999873</v>
      </c>
      <c r="CK69" s="1288">
        <f ca="1">OFFSET(Income!$C$4,MATCH(Charts!$E69,Income!$C$4:$C$127,0)-1,MATCH(Charts!CK$38,Income!$C$4:$EE$4,0)-1)</f>
        <v>81.406000000000034</v>
      </c>
      <c r="CL69" s="1288">
        <f ca="1">OFFSET(Income!$C$4,MATCH(Charts!$E69,Income!$C$4:$C$127,0)-1,MATCH(Charts!CL$38,Income!$C$4:$EE$4,0)-1)</f>
        <v>507.411</v>
      </c>
      <c r="CM69" s="1288">
        <f ca="1">OFFSET(Income!$C$4,MATCH(Charts!$E69,Income!$C$4:$C$127,0)-1,MATCH(Charts!CM$38,Income!$C$4:$EE$4,0)-1)</f>
        <v>766.83330000000001</v>
      </c>
      <c r="CN69" s="1288">
        <f ca="1">OFFSET(Income!$C$4,MATCH(Charts!$E69,Income!$C$4:$C$127,0)-1,MATCH(Charts!CN$38,Income!$C$4:$EE$4,0)-1)</f>
        <v>29.158000000000214</v>
      </c>
      <c r="CO69" s="1288">
        <f ca="1">OFFSET(Income!$C$4,MATCH(Charts!$E69,Income!$C$4:$C$127,0)-1,MATCH(Charts!CO$38,Income!$C$4:$EE$4,0)-1)</f>
        <v>801</v>
      </c>
      <c r="CP69" s="1288">
        <f ca="1">OFFSET(Income!$C$4,MATCH(Charts!$E69,Income!$C$4:$C$127,0)-1,MATCH(Charts!CP$38,Income!$C$4:$EE$4,0)-1)</f>
        <v>1462.2770998078572</v>
      </c>
      <c r="CQ69" s="1288">
        <f ca="1">OFFSET(Income!$C$4,MATCH(Charts!$E69,Income!$C$4:$C$127,0)-1,MATCH(Charts!CQ$38,Income!$C$4:$EE$4,0)-1)</f>
        <v>2014.896245831641</v>
      </c>
      <c r="CR69" s="1288">
        <f ca="1">OFFSET(Income!$C$4,MATCH(Charts!$E69,Income!$C$4:$C$127,0)-1,MATCH(Charts!CR$38,Income!$C$4:$EE$4,0)-1)</f>
        <v>2571.7096574417092</v>
      </c>
      <c r="CS69" s="1288">
        <f ca="1">OFFSET(Income!$C$4,MATCH(Charts!$E69,Income!$C$4:$C$127,0)-1,MATCH(Charts!CS$38,Income!$C$4:$EE$4,0)-1)</f>
        <v>3247.1012381626606</v>
      </c>
    </row>
    <row r="70" spans="2:97">
      <c r="E70" s="9" t="s">
        <v>172</v>
      </c>
      <c r="F70" s="1296">
        <f ca="1">OFFSET(Income!$C$4,MATCH(Charts!$E69,Income!$C$4:$C$127,0)+2,MATCH(Charts!F$37,Income!$C$5:$EE$5,0)-1)</f>
        <v>-3.9355353263111424E-2</v>
      </c>
      <c r="G70" s="1284">
        <f ca="1">OFFSET(Income!$C$4,MATCH(Charts!$E69,Income!$C$4:$C$127,0)+2,MATCH(Charts!G$37,Income!$C$5:$EE$5,0)-1)</f>
        <v>-5.0203700070401277E-3</v>
      </c>
      <c r="H70" s="1284">
        <f ca="1">OFFSET(Income!$C$4,MATCH(Charts!$E69,Income!$C$4:$C$127,0)+2,MATCH(Charts!H$37,Income!$C$5:$EE$5,0)-1)</f>
        <v>1.493301733314583E-2</v>
      </c>
      <c r="I70" s="1284">
        <f ca="1">OFFSET(Income!$C$4,MATCH(Charts!$E69,Income!$C$4:$C$127,0)+2,MATCH(Charts!I$37,Income!$C$5:$EE$5,0)-1)</f>
        <v>2.7864062032626813E-2</v>
      </c>
      <c r="J70" s="1284">
        <f ca="1">OFFSET(Income!$C$4,MATCH(Charts!$E69,Income!$C$4:$C$127,0)+2,MATCH(Charts!J$37,Income!$C$5:$EE$5,0)-1)</f>
        <v>1.7271292756264006E-3</v>
      </c>
      <c r="K70" s="1284">
        <f ca="1">OFFSET(Income!$C$4,MATCH(Charts!$E69,Income!$C$4:$C$127,0)+2,MATCH(Charts!K$37,Income!$C$5:$EE$5,0)-1)</f>
        <v>1.5924301869374595E-2</v>
      </c>
      <c r="L70" s="1284">
        <f ca="1">OFFSET(Income!$C$4,MATCH(Charts!$E69,Income!$C$4:$C$127,0)+2,MATCH(Charts!L$37,Income!$C$5:$EE$5,0)-1)</f>
        <v>4.3451381112355435E-2</v>
      </c>
      <c r="M70" s="1284">
        <f ca="1">OFFSET(Income!$C$4,MATCH(Charts!$E69,Income!$C$4:$C$127,0)+2,MATCH(Charts!M$37,Income!$C$5:$EE$5,0)-1)</f>
        <v>8.6807830746721354E-2</v>
      </c>
      <c r="N70" s="1284">
        <f ca="1">OFFSET(Income!$C$4,MATCH(Charts!$E69,Income!$C$4:$C$127,0)+2,MATCH(Charts!N$37,Income!$C$5:$EE$5,0)-1)</f>
        <v>3.4356629653820914E-2</v>
      </c>
      <c r="O70" s="1284">
        <f ca="1">OFFSET(Income!$C$4,MATCH(Charts!$E69,Income!$C$4:$C$127,0)+2,MATCH(Charts!O$37,Income!$C$5:$EE$5,0)-1)</f>
        <v>1.2891742834632075E-2</v>
      </c>
      <c r="P70" s="1284">
        <f ca="1">OFFSET(Income!$C$4,MATCH(Charts!$E69,Income!$C$4:$C$127,0)+2,MATCH(Charts!P$37,Income!$C$5:$EE$5,0)-1)</f>
        <v>1.4059630309852408E-2</v>
      </c>
      <c r="Q70" s="1284">
        <f ca="1">OFFSET(Income!$C$4,MATCH(Charts!$E69,Income!$C$4:$C$127,0)+2,MATCH(Charts!Q$37,Income!$C$5:$EE$5,0)-1)</f>
        <v>7.9284713053492231E-2</v>
      </c>
      <c r="R70" s="1284">
        <f ca="1">OFFSET(Income!$C$4,MATCH(Charts!$E69,Income!$C$4:$C$127,0)+2,MATCH(Charts!R$37,Income!$C$5:$EE$5,0)-1)</f>
        <v>2.2272701742999453E-2</v>
      </c>
      <c r="S70" s="1284">
        <f ca="1">OFFSET(Income!$C$4,MATCH(Charts!$E69,Income!$C$4:$C$127,0)+2,MATCH(Charts!S$37,Income!$C$5:$EE$5,0)-1)</f>
        <v>3.8046406006978298E-2</v>
      </c>
      <c r="T70" s="1284">
        <f ca="1">OFFSET(Income!$C$4,MATCH(Charts!$E69,Income!$C$4:$C$127,0)+2,MATCH(Charts!T$37,Income!$C$5:$EE$5,0)-1)</f>
        <v>4.9394190786374262E-2</v>
      </c>
      <c r="U70" s="1284">
        <f ca="1">OFFSET(Income!$C$4,MATCH(Charts!$E69,Income!$C$4:$C$127,0)+2,MATCH(Charts!U$37,Income!$C$5:$EE$5,0)-1)</f>
        <v>8.1568216010768954E-2</v>
      </c>
      <c r="V70" s="1284">
        <f ca="1">OFFSET(Income!$C$4,MATCH(Charts!$E69,Income!$C$4:$C$127,0)+2,MATCH(Charts!V$37,Income!$C$5:$EE$5,0)-1)</f>
        <v>1.5093584907266153E-2</v>
      </c>
      <c r="W70" s="1284">
        <f ca="1">OFFSET(Income!$C$4,MATCH(Charts!$E69,Income!$C$4:$C$127,0)+2,MATCH(Charts!W$37,Income!$C$5:$EE$5,0)-1)</f>
        <v>0.18703532346596377</v>
      </c>
      <c r="X70" s="1284">
        <f ca="1">OFFSET(Income!$C$4,MATCH(Charts!$E69,Income!$C$4:$C$127,0)+2,MATCH(Charts!X$37,Income!$C$5:$EE$5,0)-1)</f>
        <v>0.19391325310624771</v>
      </c>
      <c r="Y70" s="1284">
        <f ca="1">OFFSET(Income!$C$4,MATCH(Charts!$E69,Income!$C$4:$C$127,0)+2,MATCH(Charts!Y$37,Income!$C$5:$EE$5,0)-1)</f>
        <v>0.22285997152628903</v>
      </c>
      <c r="Z70" s="1284">
        <f ca="1">OFFSET(Income!$C$4,MATCH(Charts!$E69,Income!$C$4:$C$127,0)+2,MATCH(Charts!Z$37,Income!$C$5:$EE$5,0)-1)</f>
        <v>0.22924461410392175</v>
      </c>
      <c r="AA70" s="1284">
        <f ca="1">OFFSET(Income!$C$4,MATCH(Charts!$E69,Income!$C$4:$C$127,0)+2,MATCH(Charts!AA$37,Income!$C$5:$EE$5,0)-1)</f>
        <v>0.22463452871735543</v>
      </c>
      <c r="AB70" s="1284">
        <f ca="1">OFFSET(Income!$C$4,MATCH(Charts!$E69,Income!$C$4:$C$127,0)+2,MATCH(Charts!AB$37,Income!$C$5:$EE$5,0)-1)</f>
        <v>0.13683414312919359</v>
      </c>
      <c r="AC70" s="1284">
        <f ca="1">OFFSET(Income!$C$4,MATCH(Charts!$E69,Income!$C$4:$C$127,0)+2,MATCH(Charts!AC$37,Income!$C$5:$EE$5,0)-1)</f>
        <v>9.779489342214355E-2</v>
      </c>
      <c r="AD70" s="1284">
        <f ca="1">OFFSET(Income!$C$4,MATCH(Charts!$E69,Income!$C$4:$C$127,0)+2,MATCH(Charts!AD$37,Income!$C$5:$EE$5,0)-1)</f>
        <v>3.0477151068067081E-2</v>
      </c>
      <c r="AE70" s="1284">
        <f ca="1">OFFSET(Income!$C$4,MATCH(Charts!$E69,Income!$C$4:$C$127,0)+2,MATCH(Charts!AE$37,Income!$C$5:$EE$5,0)-1)</f>
        <v>-2.6551604053239083E-2</v>
      </c>
      <c r="AF70" s="1284">
        <f ca="1">OFFSET(Income!$C$4,MATCH(Charts!$E69,Income!$C$4:$C$127,0)+2,MATCH(Charts!AF$37,Income!$C$5:$EE$5,0)-1)</f>
        <v>-2.9475918606353395E-2</v>
      </c>
      <c r="AG70" s="1284">
        <f ca="1">OFFSET(Income!$C$4,MATCH(Charts!$E69,Income!$C$4:$C$127,0)+2,MATCH(Charts!AG$37,Income!$C$5:$EE$5,0)-1)</f>
        <v>3.8692709648191555E-2</v>
      </c>
      <c r="AH70" s="1284">
        <f ca="1">OFFSET(Income!$C$4,MATCH(Charts!$E69,Income!$C$4:$C$127,0)+2,MATCH(Charts!AH$37,Income!$C$5:$EE$5,0)-1)</f>
        <v>-1.9230769230769232E-2</v>
      </c>
      <c r="AI70" s="1284">
        <f ca="1">OFFSET(Income!$C$4,MATCH(Charts!$E69,Income!$C$4:$C$127,0)+2,MATCH(Charts!AI$37,Income!$C$5:$EE$5,0)-1)</f>
        <v>8.7367178276269192E-2</v>
      </c>
      <c r="AJ70" s="1284">
        <f ca="1">OFFSET(Income!$C$4,MATCH(Charts!$E69,Income!$C$4:$C$127,0)+2,MATCH(Charts!AJ$37,Income!$C$5:$EE$5,0)-1)</f>
        <v>0.1633605600933489</v>
      </c>
      <c r="AK70" s="1284">
        <f ca="1">OFFSET(Income!$C$4,MATCH(Charts!$E69,Income!$C$4:$C$127,0)+2,MATCH(Charts!AK$37,Income!$C$5:$EE$5,0)-1)</f>
        <v>0.1875</v>
      </c>
      <c r="AL70" s="1284">
        <f ca="1">OFFSET(Income!$C$4,MATCH(Charts!$E69,Income!$C$4:$C$127,0)+2,MATCH(Charts!AL$37,Income!$C$5:$EE$5,0)-1)</f>
        <v>0.11123052122514777</v>
      </c>
      <c r="AM70" s="1284">
        <f ca="1">OFFSET(Income!$C$4,MATCH(Charts!$E69,Income!$C$4:$C$127,0)+2,MATCH(Charts!AM$37,Income!$C$5:$EE$5,0)-1)</f>
        <v>0.1491442542787286</v>
      </c>
      <c r="AN70" s="1284">
        <f ca="1">OFFSET(Income!$C$4,MATCH(Charts!$E69,Income!$C$4:$C$127,0)+2,MATCH(Charts!AN$37,Income!$C$5:$EE$5,0)-1)</f>
        <v>0.18547641073080481</v>
      </c>
      <c r="AO70" s="1284">
        <f ca="1">OFFSET(Income!$C$4,MATCH(Charts!$E69,Income!$C$4:$C$127,0)+2,MATCH(Charts!AO$37,Income!$C$5:$EE$5,0)-1)</f>
        <v>0.20316588817841275</v>
      </c>
      <c r="AP70" s="1284">
        <f ca="1">OFFSET(Income!$C$4,MATCH(Charts!$E69,Income!$C$4:$C$127,0)+2,MATCH(Charts!AP$37,Income!$C$5:$EE$5,0)-1)</f>
        <v>0.12086403698997299</v>
      </c>
      <c r="AQ70" s="1284">
        <f ca="1">OFFSET(Income!$C$4,MATCH(Charts!$E69,Income!$C$4:$C$127,0)+2,MATCH(Charts!AQ$37,Income!$C$5:$EE$5,0)-1)</f>
        <v>0.18234773583881611</v>
      </c>
      <c r="AR70" s="1284">
        <f ca="1">OFFSET(Income!$C$4,MATCH(Charts!$E69,Income!$C$4:$C$127,0)+2,MATCH(Charts!AR$37,Income!$C$5:$EE$5,0)-1)</f>
        <v>0.20373842670748551</v>
      </c>
      <c r="AS70" s="1284">
        <f ca="1">OFFSET(Income!$C$4,MATCH(Charts!$E69,Income!$C$4:$C$127,0)+2,MATCH(Charts!AS$37,Income!$C$5:$EE$5,0)-1)</f>
        <v>0.22262486824827177</v>
      </c>
      <c r="AT70" s="1284">
        <f ca="1">OFFSET(Income!$C$4,MATCH(Charts!$E69,Income!$C$4:$C$127,0)+2,MATCH(Charts!AT$37,Income!$C$5:$EE$5,0)-1)</f>
        <v>0.13328096337704615</v>
      </c>
      <c r="AU70" s="1284">
        <f ca="1">OFFSET(Income!$C$4,MATCH(Charts!$E69,Income!$C$4:$C$127,0)+2,MATCH(Charts!AU$37,Income!$C$5:$EE$5,0)-1)</f>
        <v>0.1945289513089134</v>
      </c>
      <c r="AV70" s="1284">
        <f ca="1">OFFSET(Income!$C$4,MATCH(Charts!$E69,Income!$C$4:$C$127,0)+2,MATCH(Charts!AV$37,Income!$C$5:$EE$5,0)-1)</f>
        <v>0.21602827122412108</v>
      </c>
      <c r="AW70" s="1284">
        <f ca="1">OFFSET(Income!$C$4,MATCH(Charts!$E69,Income!$C$4:$C$127,0)+2,MATCH(Charts!AW$37,Income!$C$5:$EE$5,0)-1)</f>
        <v>0.2351534846228438</v>
      </c>
      <c r="AX70" s="1284">
        <f ca="1">OFFSET(Income!$C$4,MATCH(Charts!$E69,Income!$C$4:$C$127,0)+2,MATCH(Charts!AX$37,Income!$C$5:$EE$5,0)-1)</f>
        <v>0.14740081389381485</v>
      </c>
      <c r="AY70" s="1284">
        <f ca="1">OFFSET(Income!$C$4,MATCH(Charts!$E69,Income!$C$4:$C$127,0)+2,MATCH(Charts!AY$37,Income!$C$5:$EE$5,0)-1)</f>
        <v>0.20846005100734369</v>
      </c>
      <c r="AZ70" s="1284">
        <f ca="1">OFFSET(Income!$C$4,MATCH(Charts!$E69,Income!$C$4:$C$127,0)+2,MATCH(Charts!AZ$37,Income!$C$5:$EE$5,0)-1)</f>
        <v>0.23004291339564692</v>
      </c>
      <c r="BA70" s="1284">
        <f ca="1">OFFSET(Income!$C$4,MATCH(Charts!$E69,Income!$C$4:$C$127,0)+2,MATCH(Charts!BA$37,Income!$C$5:$EE$5,0)-1)</f>
        <v>0.24936245458555301</v>
      </c>
      <c r="BB70" s="1110"/>
      <c r="BC70" s="1110"/>
      <c r="BD70" s="1110"/>
      <c r="BE70" s="1110"/>
      <c r="BF70" s="1110"/>
      <c r="BG70" s="1110"/>
      <c r="BH70" s="1110"/>
      <c r="BI70" s="1110"/>
      <c r="BJ70" s="1110"/>
      <c r="BK70" s="1110"/>
      <c r="BL70" s="1110"/>
      <c r="BM70" s="1110"/>
      <c r="BN70" s="1110"/>
      <c r="BO70" s="1110"/>
      <c r="BP70" s="1110"/>
      <c r="BQ70" s="1110"/>
      <c r="BR70" s="1110"/>
      <c r="BS70" s="1110"/>
      <c r="BT70" s="1110"/>
      <c r="BU70" s="1110"/>
      <c r="BV70" s="1110"/>
      <c r="BW70" s="1110"/>
      <c r="BX70" s="1110"/>
      <c r="BY70" s="1110"/>
      <c r="BZ70" s="1110"/>
      <c r="CA70" s="1110"/>
      <c r="CB70" s="1110"/>
      <c r="CC70" s="1110"/>
      <c r="CD70" s="1110"/>
      <c r="CE70" s="1110"/>
      <c r="CF70" s="1110"/>
      <c r="CG70" s="1305" t="str">
        <f>E70</f>
        <v>Adjusted EBITDA margin</v>
      </c>
      <c r="CH70" s="1284">
        <f ca="1">OFFSET(Income!$C$4,MATCH(Charts!$E69,Income!$C$4:$C$127,0)+2,MATCH(Charts!CH$38,Income!$C$4:$EE$4,0)-1)</f>
        <v>4.6824031027662433E-3</v>
      </c>
      <c r="CI70" s="1284">
        <f ca="1">OFFSET(Income!$C$4,MATCH(Charts!$E69,Income!$C$4:$C$127,0)+2,MATCH(Charts!CI$38,Income!$C$4:$EE$4,0)-1)</f>
        <v>4.3705369342822861E-2</v>
      </c>
      <c r="CJ70" s="1284">
        <f ca="1">OFFSET(Income!$C$4,MATCH(Charts!$E69,Income!$C$4:$C$127,0)+2,MATCH(Charts!CJ$38,Income!$C$4:$EE$4,0)-1)</f>
        <v>3.8744759972009588E-2</v>
      </c>
      <c r="CK70" s="1284">
        <f ca="1">OFFSET(Income!$C$4,MATCH(Charts!$E69,Income!$C$4:$C$127,0)+2,MATCH(Charts!CK$38,Income!$C$4:$EE$4,0)-1)</f>
        <v>5.1582431076947863E-2</v>
      </c>
      <c r="CL70" s="1284">
        <f ca="1">OFFSET(Income!$C$4,MATCH(Charts!$E69,Income!$C$4:$C$127,0)+2,MATCH(Charts!CL$38,Income!$C$4:$EE$4,0)-1)</f>
        <v>0.17320790540063102</v>
      </c>
      <c r="CM70" s="1284">
        <f ca="1">OFFSET(Income!$C$4,MATCH(Charts!$E69,Income!$C$4:$C$127,0)+2,MATCH(Charts!CM$38,Income!$C$4:$EE$4,0)-1)</f>
        <v>0.16627433727332339</v>
      </c>
      <c r="CN70" s="1284">
        <f ca="1">OFFSET(Income!$C$4,MATCH(Charts!$E69,Income!$C$4:$C$127,0)+2,MATCH(Charts!CN$38,Income!$C$4:$EE$4,0)-1)</f>
        <v>5.2069121678669714E-3</v>
      </c>
      <c r="CO70" s="1284">
        <f ca="1">OFFSET(Income!$C$4,MATCH(Charts!$E69,Income!$C$4:$C$127,0)+2,MATCH(Charts!CO$38,Income!$C$4:$EE$4,0)-1)</f>
        <v>0.11345609065155807</v>
      </c>
      <c r="CP70" s="1284">
        <f ca="1">OFFSET(Income!$C$4,MATCH(Charts!$E69,Income!$C$4:$C$127,0)+2,MATCH(Charts!CP$38,Income!$C$4:$EE$4,0)-1)</f>
        <v>0.16670606289427123</v>
      </c>
      <c r="CQ70" s="1284">
        <f ca="1">OFFSET(Income!$C$4,MATCH(Charts!$E69,Income!$C$4:$C$127,0)+2,MATCH(Charts!CQ$38,Income!$C$4:$EE$4,0)-1)</f>
        <v>0.18662051404474067</v>
      </c>
      <c r="CR70" s="1284">
        <f ca="1">OFFSET(Income!$C$4,MATCH(Charts!$E69,Income!$C$4:$C$127,0)+2,MATCH(Charts!CR$38,Income!$C$4:$EE$4,0)-1)</f>
        <v>0.19899589486621558</v>
      </c>
      <c r="CS70" s="1284">
        <f ca="1">OFFSET(Income!$C$4,MATCH(Charts!$E69,Income!$C$4:$C$127,0)+2,MATCH(Charts!CS$38,Income!$C$4:$EE$4,0)-1)</f>
        <v>0.21308160586352251</v>
      </c>
    </row>
    <row r="71" spans="2:97">
      <c r="E71" s="13"/>
      <c r="F71" s="1296"/>
      <c r="G71" s="1284"/>
      <c r="H71" s="1284"/>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1284"/>
      <c r="AI71" s="1284"/>
      <c r="AJ71" s="1284"/>
      <c r="AK71" s="1284"/>
      <c r="AL71" s="1284"/>
      <c r="AM71" s="1284"/>
      <c r="AN71" s="1284"/>
      <c r="AO71" s="1284"/>
      <c r="AP71" s="1284"/>
      <c r="AQ71" s="1284"/>
      <c r="AR71" s="1284"/>
      <c r="AS71" s="1284"/>
      <c r="AT71" s="1284"/>
      <c r="AU71" s="1284"/>
      <c r="AV71" s="1284"/>
      <c r="AW71" s="1284"/>
      <c r="AX71" s="1284"/>
      <c r="AY71" s="1284"/>
      <c r="AZ71" s="1284"/>
      <c r="BA71" s="1284"/>
      <c r="BB71" s="1110"/>
      <c r="BC71" s="1110"/>
      <c r="BD71" s="1110"/>
      <c r="BE71" s="1110"/>
      <c r="BF71" s="1110"/>
      <c r="BG71" s="1110"/>
      <c r="BH71" s="1110"/>
      <c r="BI71" s="1110"/>
      <c r="BJ71" s="1110"/>
      <c r="BK71" s="1110"/>
      <c r="BL71" s="1110"/>
      <c r="BM71" s="1110"/>
      <c r="BN71" s="1110"/>
      <c r="BO71" s="1110"/>
      <c r="BP71" s="1110"/>
      <c r="BQ71" s="1110"/>
      <c r="BR71" s="1110"/>
      <c r="BS71" s="1110"/>
      <c r="BT71" s="1110"/>
      <c r="BU71" s="1110"/>
      <c r="BV71" s="1110"/>
      <c r="BW71" s="1110"/>
      <c r="BX71" s="1110"/>
      <c r="BY71" s="1110"/>
      <c r="BZ71" s="1110"/>
      <c r="CA71" s="1110"/>
      <c r="CB71" s="1110"/>
      <c r="CC71" s="1110"/>
      <c r="CD71" s="1110"/>
      <c r="CE71" s="1110"/>
      <c r="CF71" s="1110"/>
      <c r="CG71" s="1110"/>
      <c r="CH71" s="1284"/>
      <c r="CI71" s="1284"/>
      <c r="CJ71" s="1284"/>
      <c r="CK71" s="1284"/>
      <c r="CL71" s="1284"/>
      <c r="CM71" s="1284"/>
      <c r="CN71" s="1284"/>
      <c r="CO71" s="1284"/>
      <c r="CP71" s="1284"/>
      <c r="CQ71" s="1284"/>
      <c r="CR71" s="1284"/>
      <c r="CS71" s="1284"/>
    </row>
    <row r="72" spans="2:97">
      <c r="E72" s="13" t="str">
        <f>Income!C88</f>
        <v>Total stock-based compensation and related payroll taxes</v>
      </c>
      <c r="F72" s="1306">
        <f ca="1">OFFSET(Income!$C$4,MATCH(Charts!$E72,Income!$C$4:$C$127,0)-1,MATCH(Charts!F$37,Income!$C$5:$EE$5,0)-1)</f>
        <v>3.46</v>
      </c>
      <c r="G72" s="1288">
        <f ca="1">OFFSET(Income!$C$4,MATCH(Charts!$E72,Income!$C$4:$C$127,0)-1,MATCH(Charts!G$37,Income!$C$5:$EE$5,0)-1)</f>
        <v>5.0860000000000003</v>
      </c>
      <c r="H72" s="1288">
        <f ca="1">OFFSET(Income!$C$4,MATCH(Charts!$E72,Income!$C$4:$C$127,0)-1,MATCH(Charts!H$37,Income!$C$5:$EE$5,0)-1)</f>
        <v>6.4870000000000001</v>
      </c>
      <c r="I72" s="1288">
        <f ca="1">OFFSET(Income!$C$4,MATCH(Charts!$E72,Income!$C$4:$C$127,0)-1,MATCH(Charts!I$37,Income!$C$5:$EE$5,0)-1)</f>
        <v>8.0620000000000012</v>
      </c>
      <c r="J72" s="1288">
        <f ca="1">OFFSET(Income!$C$4,MATCH(Charts!$E72,Income!$C$4:$C$127,0)-1,MATCH(Charts!J$37,Income!$C$5:$EE$5,0)-1)</f>
        <v>9.2070000000000007</v>
      </c>
      <c r="K72" s="1288">
        <f ca="1">OFFSET(Income!$C$4,MATCH(Charts!$E72,Income!$C$4:$C$127,0)-1,MATCH(Charts!K$37,Income!$C$5:$EE$5,0)-1)</f>
        <v>11.600999999999999</v>
      </c>
      <c r="L72" s="1288">
        <f ca="1">OFFSET(Income!$C$4,MATCH(Charts!$E72,Income!$C$4:$C$127,0)-1,MATCH(Charts!L$37,Income!$C$5:$EE$5,0)-1)</f>
        <v>13.376000000000001</v>
      </c>
      <c r="M72" s="1288">
        <f ca="1">OFFSET(Income!$C$4,MATCH(Charts!$E72,Income!$C$4:$C$127,0)-1,MATCH(Charts!M$37,Income!$C$5:$EE$5,0)-1)</f>
        <v>14.978</v>
      </c>
      <c r="N72" s="1288">
        <f ca="1">OFFSET(Income!$C$4,MATCH(Charts!$E72,Income!$C$4:$C$127,0)-1,MATCH(Charts!N$37,Income!$C$5:$EE$5,0)-1)</f>
        <v>17.925000000000001</v>
      </c>
      <c r="O72" s="1288">
        <f ca="1">OFFSET(Income!$C$4,MATCH(Charts!$E72,Income!$C$4:$C$127,0)-1,MATCH(Charts!O$37,Income!$C$5:$EE$5,0)-1)</f>
        <v>24.191000000000003</v>
      </c>
      <c r="P72" s="1288">
        <f ca="1">OFFSET(Income!$C$4,MATCH(Charts!$E72,Income!$C$4:$C$127,0)-1,MATCH(Charts!P$37,Income!$C$5:$EE$5,0)-1)</f>
        <v>26.185000000000002</v>
      </c>
      <c r="Q72" s="1288">
        <f ca="1">OFFSET(Income!$C$4,MATCH(Charts!$E72,Income!$C$4:$C$127,0)-1,MATCH(Charts!Q$37,Income!$C$5:$EE$5,0)-1)</f>
        <v>27.419</v>
      </c>
      <c r="R72" s="1288">
        <f ca="1">OFFSET(Income!$C$4,MATCH(Charts!$E72,Income!$C$4:$C$127,0)-1,MATCH(Charts!R$37,Income!$C$5:$EE$5,0)-1)</f>
        <v>31.163999999999998</v>
      </c>
      <c r="S72" s="1288">
        <f ca="1">OFFSET(Income!$C$4,MATCH(Charts!$E72,Income!$C$4:$C$127,0)-1,MATCH(Charts!S$37,Income!$C$5:$EE$5,0)-1)</f>
        <v>39.268000000000001</v>
      </c>
      <c r="T72" s="1288">
        <f ca="1">OFFSET(Income!$C$4,MATCH(Charts!$E72,Income!$C$4:$C$127,0)-1,MATCH(Charts!T$37,Income!$C$5:$EE$5,0)-1)</f>
        <v>40.032000000000004</v>
      </c>
      <c r="U72" s="1288">
        <f ca="1">OFFSET(Income!$C$4,MATCH(Charts!$E72,Income!$C$4:$C$127,0)-1,MATCH(Charts!U$37,Income!$C$5:$EE$5,0)-1)</f>
        <v>47.991999999999997</v>
      </c>
      <c r="V72" s="1288">
        <f ca="1">OFFSET(Income!$C$4,MATCH(Charts!$E72,Income!$C$4:$C$127,0)-1,MATCH(Charts!V$37,Income!$C$5:$EE$5,0)-1)</f>
        <v>53.752000000000002</v>
      </c>
      <c r="W72" s="1288">
        <f ca="1">OFFSET(Income!$C$4,MATCH(Charts!$E72,Income!$C$4:$C$127,0)-1,MATCH(Charts!W$37,Income!$C$5:$EE$5,0)-1)</f>
        <v>62.323999999999998</v>
      </c>
      <c r="X72" s="1288">
        <f ca="1">OFFSET(Income!$C$4,MATCH(Charts!$E72,Income!$C$4:$C$127,0)-1,MATCH(Charts!X$37,Income!$C$5:$EE$5,0)-1)</f>
        <v>63.806999999999988</v>
      </c>
      <c r="Y72" s="1288">
        <f ca="1">OFFSET(Income!$C$4,MATCH(Charts!$E72,Income!$C$4:$C$127,0)-1,MATCH(Charts!Y$37,Income!$C$5:$EE$5,0)-1)</f>
        <v>67.057000000000002</v>
      </c>
      <c r="Z72" s="1288">
        <f ca="1">OFFSET(Income!$C$4,MATCH(Charts!$E72,Income!$C$4:$C$127,0)-1,MATCH(Charts!Z$37,Income!$C$5:$EE$5,0)-1)</f>
        <v>69.156000000000006</v>
      </c>
      <c r="AA72" s="1288">
        <f ca="1">OFFSET(Income!$C$4,MATCH(Charts!$E72,Income!$C$4:$C$127,0)-1,MATCH(Charts!AA$37,Income!$C$5:$EE$5,0)-1)</f>
        <v>81.957999999999998</v>
      </c>
      <c r="AB72" s="1288">
        <f ca="1">OFFSET(Income!$C$4,MATCH(Charts!$E72,Income!$C$4:$C$127,0)-1,MATCH(Charts!AB$37,Income!$C$5:$EE$5,0)-1)</f>
        <v>81.34</v>
      </c>
      <c r="AC72" s="1288">
        <f ca="1">OFFSET(Income!$C$4,MATCH(Charts!$E72,Income!$C$4:$C$127,0)-1,MATCH(Charts!AC$37,Income!$C$5:$EE$5,0)-1)</f>
        <v>98.314300000000003</v>
      </c>
      <c r="AD72" s="1288">
        <f ca="1">OFFSET(Income!$C$4,MATCH(Charts!$E72,Income!$C$4:$C$127,0)-1,MATCH(Charts!AD$37,Income!$C$5:$EE$5,0)-1)</f>
        <v>117.98899999999999</v>
      </c>
      <c r="AE72" s="1288">
        <f ca="1">OFFSET(Income!$C$4,MATCH(Charts!$E72,Income!$C$4:$C$127,0)-1,MATCH(Charts!AE$37,Income!$C$5:$EE$5,0)-1)</f>
        <v>139.41900000000001</v>
      </c>
      <c r="AF72" s="1288">
        <f ca="1">OFFSET(Income!$C$4,MATCH(Charts!$E72,Income!$C$4:$C$127,0)-1,MATCH(Charts!AF$37,Income!$C$5:$EE$5,0)-1)</f>
        <v>149.98999999999998</v>
      </c>
      <c r="AG72" s="1288">
        <f ca="1">OFFSET(Income!$C$4,MATCH(Charts!$E72,Income!$C$4:$C$127,0)-1,MATCH(Charts!AG$37,Income!$C$5:$EE$5,0)-1)</f>
        <v>141.744</v>
      </c>
      <c r="AH72" s="1288">
        <f ca="1">OFFSET(Income!$C$4,MATCH(Charts!$E72,Income!$C$4:$C$127,0)-1,MATCH(Charts!AH$37,Income!$C$5:$EE$5,0)-1)</f>
        <v>135</v>
      </c>
      <c r="AI72" s="1288">
        <f ca="1">OFFSET(Income!$C$4,MATCH(Charts!$E72,Income!$C$4:$C$127,0)-1,MATCH(Charts!AI$37,Income!$C$5:$EE$5,0)-1)</f>
        <v>115</v>
      </c>
      <c r="AJ72" s="1288">
        <f ca="1">OFFSET(Income!$C$4,MATCH(Charts!$E72,Income!$C$4:$C$127,0)-1,MATCH(Charts!AJ$37,Income!$C$5:$EE$5,0)-1)</f>
        <v>103</v>
      </c>
      <c r="AK72" s="1288">
        <f ca="1">OFFSET(Income!$C$4,MATCH(Charts!$E72,Income!$C$4:$C$127,0)-1,MATCH(Charts!AK$37,Income!$C$5:$EE$5,0)-1)</f>
        <v>103</v>
      </c>
      <c r="AL72" s="1288">
        <f ca="1">OFFSET(Income!$C$4,MATCH(Charts!$E72,Income!$C$4:$C$127,0)-1,MATCH(Charts!AL$37,Income!$C$5:$EE$5,0)-1)</f>
        <v>111</v>
      </c>
      <c r="AM72" s="1288">
        <f ca="1">OFFSET(Income!$C$4,MATCH(Charts!$E72,Income!$C$4:$C$127,0)-1,MATCH(Charts!AM$37,Income!$C$5:$EE$5,0)-1)</f>
        <v>109</v>
      </c>
      <c r="AN72" s="1288">
        <f ca="1">OFFSET(Income!$C$4,MATCH(Charts!$E72,Income!$C$4:$C$127,0)-1,MATCH(Charts!AN$37,Income!$C$5:$EE$5,0)-1)</f>
        <v>110</v>
      </c>
      <c r="AO72" s="1288">
        <f ca="1">OFFSET(Income!$C$4,MATCH(Charts!$E72,Income!$C$4:$C$127,0)-1,MATCH(Charts!AO$37,Income!$C$5:$EE$5,0)-1)</f>
        <v>119.74479003445113</v>
      </c>
      <c r="AP72" s="1288">
        <f ca="1">OFFSET(Income!$C$4,MATCH(Charts!$E72,Income!$C$4:$C$127,0)-1,MATCH(Charts!AP$37,Income!$C$5:$EE$5,0)-1)</f>
        <v>130.73271219252854</v>
      </c>
      <c r="AQ72" s="1288">
        <f ca="1">OFFSET(Income!$C$4,MATCH(Charts!$E72,Income!$C$4:$C$127,0)-1,MATCH(Charts!AQ$37,Income!$C$5:$EE$5,0)-1)</f>
        <v>124.27464593366588</v>
      </c>
      <c r="AR72" s="1288">
        <f ca="1">OFFSET(Income!$C$4,MATCH(Charts!$E72,Income!$C$4:$C$127,0)-1,MATCH(Charts!AR$37,Income!$C$5:$EE$5,0)-1)</f>
        <v>124.0385968145815</v>
      </c>
      <c r="AS72" s="1288">
        <f ca="1">OFFSET(Income!$C$4,MATCH(Charts!$E72,Income!$C$4:$C$127,0)-1,MATCH(Charts!AS$37,Income!$C$5:$EE$5,0)-1)</f>
        <v>134.51271492903157</v>
      </c>
      <c r="AT72" s="1288">
        <f ca="1">OFFSET(Income!$C$4,MATCH(Charts!$E72,Income!$C$4:$C$127,0)-1,MATCH(Charts!AT$37,Income!$C$5:$EE$5,0)-1)</f>
        <v>145.96554333079041</v>
      </c>
      <c r="AU72" s="1288">
        <f ca="1">OFFSET(Income!$C$4,MATCH(Charts!$E72,Income!$C$4:$C$127,0)-1,MATCH(Charts!AU$37,Income!$C$5:$EE$5,0)-1)</f>
        <v>137.45469334685612</v>
      </c>
      <c r="AV72" s="1288">
        <f ca="1">OFFSET(Income!$C$4,MATCH(Charts!$E72,Income!$C$4:$C$127,0)-1,MATCH(Charts!AV$37,Income!$C$5:$EE$5,0)-1)</f>
        <v>136.53763363747845</v>
      </c>
      <c r="AW72" s="1288">
        <f ca="1">OFFSET(Income!$C$4,MATCH(Charts!$E72,Income!$C$4:$C$127,0)-1,MATCH(Charts!AW$37,Income!$C$5:$EE$5,0)-1)</f>
        <v>146.26333348638667</v>
      </c>
      <c r="AX72" s="1288">
        <f ca="1">OFFSET(Income!$C$4,MATCH(Charts!$E72,Income!$C$4:$C$127,0)-1,MATCH(Charts!AX$37,Income!$C$5:$EE$5,0)-1)</f>
        <v>159.72246994088908</v>
      </c>
      <c r="AY72" s="1288">
        <f ca="1">OFFSET(Income!$C$4,MATCH(Charts!$E72,Income!$C$4:$C$127,0)-1,MATCH(Charts!AY$37,Income!$C$5:$EE$5,0)-1)</f>
        <v>148.7728889121064</v>
      </c>
      <c r="AZ72" s="1288">
        <f ca="1">OFFSET(Income!$C$4,MATCH(Charts!$E72,Income!$C$4:$C$127,0)-1,MATCH(Charts!AZ$37,Income!$C$5:$EE$5,0)-1)</f>
        <v>146.97952291895714</v>
      </c>
      <c r="BA72" s="1288">
        <f ca="1">OFFSET(Income!$C$4,MATCH(Charts!$E72,Income!$C$4:$C$127,0)-1,MATCH(Charts!BA$37,Income!$C$5:$EE$5,0)-1)</f>
        <v>155.01394959992123</v>
      </c>
      <c r="BB72" s="1110"/>
      <c r="BC72" s="1110"/>
      <c r="BD72" s="1110"/>
      <c r="BE72" s="1110"/>
      <c r="BF72" s="1110"/>
      <c r="BG72" s="1110"/>
      <c r="BH72" s="1110"/>
      <c r="BI72" s="1110"/>
      <c r="BJ72" s="1110"/>
      <c r="BK72" s="1110"/>
      <c r="BL72" s="1110"/>
      <c r="BM72" s="1110"/>
      <c r="BN72" s="1110"/>
      <c r="BO72" s="1110"/>
      <c r="BP72" s="1110"/>
      <c r="BQ72" s="1110"/>
      <c r="BR72" s="1110"/>
      <c r="BS72" s="1110"/>
      <c r="BT72" s="1110"/>
      <c r="BU72" s="1110"/>
      <c r="BV72" s="1110"/>
      <c r="BW72" s="1110"/>
      <c r="BX72" s="1110"/>
      <c r="BY72" s="1110"/>
      <c r="BZ72" s="1110"/>
      <c r="CA72" s="1110"/>
      <c r="CB72" s="1110"/>
      <c r="CC72" s="1110"/>
      <c r="CD72" s="1110"/>
      <c r="CE72" s="1110"/>
      <c r="CF72" s="1110"/>
      <c r="CG72" s="1110"/>
      <c r="CH72" s="1284"/>
      <c r="CI72" s="1284"/>
      <c r="CJ72" s="1284"/>
      <c r="CK72" s="1284"/>
      <c r="CL72" s="1284"/>
      <c r="CM72" s="1284"/>
      <c r="CN72" s="1284"/>
      <c r="CO72" s="1284"/>
      <c r="CP72" s="1284"/>
      <c r="CQ72" s="1284"/>
      <c r="CR72" s="1284"/>
      <c r="CS72" s="1284"/>
    </row>
    <row r="73" spans="2:97">
      <c r="E73" s="9" t="s">
        <v>344</v>
      </c>
      <c r="F73" s="1296">
        <f t="shared" ref="F73:BA73" ca="1" si="59">F72/F69</f>
        <v>-1.2089447938504587</v>
      </c>
      <c r="G73" s="1284">
        <f t="shared" ca="1" si="59"/>
        <v>-11.691954022988346</v>
      </c>
      <c r="H73" s="1284">
        <f t="shared" ca="1" si="59"/>
        <v>4.3624747814391522</v>
      </c>
      <c r="I73" s="1284">
        <f t="shared" ca="1" si="59"/>
        <v>2.2191026699697338</v>
      </c>
      <c r="J73" s="1284">
        <f t="shared" ca="1" si="59"/>
        <v>41.849999999997095</v>
      </c>
      <c r="K73" s="1284">
        <f t="shared" ca="1" si="59"/>
        <v>4.8037267080745254</v>
      </c>
      <c r="L73" s="1284">
        <f t="shared" ca="1" si="59"/>
        <v>1.795436241610735</v>
      </c>
      <c r="M73" s="1284">
        <f t="shared" ca="1" si="59"/>
        <v>0.77437700341226468</v>
      </c>
      <c r="N73" s="1284">
        <f t="shared" ca="1" si="59"/>
        <v>2.4341390548614972</v>
      </c>
      <c r="O73" s="1284">
        <f t="shared" ca="1" si="59"/>
        <v>7.6602279924003103</v>
      </c>
      <c r="P73" s="1284">
        <f t="shared" ca="1" si="59"/>
        <v>6.8962338688438605</v>
      </c>
      <c r="Q73" s="1284">
        <f t="shared" ca="1" si="59"/>
        <v>1.0057220408612426</v>
      </c>
      <c r="R73" s="1284">
        <f t="shared" ca="1" si="59"/>
        <v>4.3659288316055216</v>
      </c>
      <c r="S73" s="1284">
        <f t="shared" ca="1" si="59"/>
        <v>2.8512924774905613</v>
      </c>
      <c r="T73" s="1284">
        <f t="shared" ca="1" si="59"/>
        <v>2.0751645845212749</v>
      </c>
      <c r="U73" s="1284">
        <f t="shared" ca="1" si="59"/>
        <v>1.1647130202645295</v>
      </c>
      <c r="V73" s="1284">
        <f t="shared" ca="1" si="59"/>
        <v>7.5771074147166635</v>
      </c>
      <c r="W73" s="1284">
        <f t="shared" ca="1" si="59"/>
        <v>0.46647256506021378</v>
      </c>
      <c r="X73" s="1284">
        <f t="shared" ca="1" si="59"/>
        <v>0.42878166789866257</v>
      </c>
      <c r="Y73" s="1284">
        <f t="shared" ca="1" si="59"/>
        <v>0.30774208352455268</v>
      </c>
      <c r="Z73" s="1284">
        <f t="shared" ca="1" si="59"/>
        <v>0.30513320567238217</v>
      </c>
      <c r="AA73" s="1284">
        <f t="shared" ca="1" si="59"/>
        <v>0.32592080042630028</v>
      </c>
      <c r="AB73" s="1284">
        <f t="shared" ca="1" si="59"/>
        <v>0.52898560149838059</v>
      </c>
      <c r="AC73" s="1284">
        <f t="shared" ca="1" si="59"/>
        <v>0.72847369540298312</v>
      </c>
      <c r="AD73" s="1284">
        <f t="shared" ca="1" si="59"/>
        <v>3.2164490363383487</v>
      </c>
      <c r="AE73" s="1284">
        <f t="shared" ca="1" si="59"/>
        <v>-4.0545280055836717</v>
      </c>
      <c r="AF73" s="1284">
        <f t="shared" ca="1" si="59"/>
        <v>-3.7246088899925489</v>
      </c>
      <c r="AG73" s="1284">
        <f t="shared" ca="1" si="59"/>
        <v>2.1114537248067187</v>
      </c>
      <c r="AH73" s="1284">
        <f t="shared" ca="1" si="59"/>
        <v>-4.6551724137931032</v>
      </c>
      <c r="AI73" s="1284">
        <f t="shared" ca="1" si="59"/>
        <v>0.77702702702702697</v>
      </c>
      <c r="AJ73" s="1284">
        <f t="shared" ca="1" si="59"/>
        <v>0.36785714285714288</v>
      </c>
      <c r="AK73" s="1284">
        <f t="shared" ca="1" si="59"/>
        <v>0.25621890547263682</v>
      </c>
      <c r="AL73" s="1284">
        <f t="shared" ca="1" si="59"/>
        <v>0.53623188405797106</v>
      </c>
      <c r="AM73" s="1284">
        <f t="shared" ca="1" si="59"/>
        <v>0.35737704918032787</v>
      </c>
      <c r="AN73" s="1284">
        <f t="shared" ca="1" si="59"/>
        <v>0.27431421446384041</v>
      </c>
      <c r="AO73" s="1284">
        <f t="shared" ca="1" si="59"/>
        <v>0.21800433711206801</v>
      </c>
      <c r="AP73" s="1284">
        <f t="shared" ca="1" si="59"/>
        <v>0.46246471120229304</v>
      </c>
      <c r="AQ73" s="1284">
        <f t="shared" ca="1" si="59"/>
        <v>0.27173758570894585</v>
      </c>
      <c r="AR73" s="1284">
        <f t="shared" ca="1" si="59"/>
        <v>0.23132021127687344</v>
      </c>
      <c r="AS73" s="1284">
        <f t="shared" ca="1" si="59"/>
        <v>0.18210474460969894</v>
      </c>
      <c r="AT73" s="1284">
        <f t="shared" ca="1" si="59"/>
        <v>0.39124381036918338</v>
      </c>
      <c r="AU73" s="1284">
        <f t="shared" ca="1" si="59"/>
        <v>0.23544430373040268</v>
      </c>
      <c r="AV73" s="1284">
        <f t="shared" ca="1" si="59"/>
        <v>0.2008015694676808</v>
      </c>
      <c r="AW73" s="1284">
        <f t="shared" ca="1" si="59"/>
        <v>0.15645545221295587</v>
      </c>
      <c r="AX73" s="1284">
        <f t="shared" ca="1" si="59"/>
        <v>0.32832486254909249</v>
      </c>
      <c r="AY73" s="1284">
        <f t="shared" ca="1" si="59"/>
        <v>0.20172082513234704</v>
      </c>
      <c r="AZ73" s="1284">
        <f t="shared" ca="1" si="59"/>
        <v>0.17226705802945735</v>
      </c>
      <c r="BA73" s="1284">
        <f t="shared" ca="1" si="59"/>
        <v>0.13250208348740586</v>
      </c>
      <c r="BB73" s="1110"/>
      <c r="BC73" s="1110"/>
      <c r="BD73" s="1110"/>
      <c r="BE73" s="1110"/>
      <c r="BF73" s="1110"/>
      <c r="BG73" s="1110"/>
      <c r="BH73" s="1110"/>
      <c r="BI73" s="1110"/>
      <c r="BJ73" s="1110"/>
      <c r="BK73" s="1110"/>
      <c r="BL73" s="1110"/>
      <c r="BM73" s="1110"/>
      <c r="BN73" s="1110"/>
      <c r="BO73" s="1110"/>
      <c r="BP73" s="1110"/>
      <c r="BQ73" s="1110"/>
      <c r="BR73" s="1110"/>
      <c r="BS73" s="1110"/>
      <c r="BT73" s="1110"/>
      <c r="BU73" s="1110"/>
      <c r="BV73" s="1110"/>
      <c r="BW73" s="1110"/>
      <c r="BX73" s="1110"/>
      <c r="BY73" s="1110"/>
      <c r="BZ73" s="1110"/>
      <c r="CA73" s="1110"/>
      <c r="CB73" s="1110"/>
      <c r="CC73" s="1110"/>
      <c r="CD73" s="1110"/>
      <c r="CE73" s="1110"/>
      <c r="CF73" s="1110"/>
      <c r="CG73" s="1110"/>
    </row>
    <row r="74" spans="2:97">
      <c r="E74" s="9"/>
      <c r="F74" s="794"/>
      <c r="G74" s="792"/>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BB74" s="1110"/>
      <c r="BC74" s="1110"/>
      <c r="BD74" s="1110"/>
      <c r="BE74" s="1110"/>
      <c r="BF74" s="1110"/>
      <c r="BG74" s="1110"/>
      <c r="BH74" s="1110"/>
      <c r="BI74" s="1110"/>
      <c r="BJ74" s="1110"/>
      <c r="BK74" s="1110"/>
      <c r="BL74" s="1110"/>
      <c r="BM74" s="1110"/>
      <c r="BN74" s="1110"/>
      <c r="BO74" s="1110"/>
      <c r="BP74" s="1110"/>
      <c r="BQ74" s="1110"/>
      <c r="BR74" s="1110"/>
      <c r="BS74" s="1110"/>
      <c r="BT74" s="1110"/>
      <c r="BU74" s="1110"/>
      <c r="BV74" s="1110"/>
      <c r="BW74" s="1110"/>
      <c r="BX74" s="1110"/>
      <c r="BY74" s="1110"/>
      <c r="BZ74" s="1110"/>
      <c r="CA74" s="1110"/>
      <c r="CB74" s="1110"/>
      <c r="CC74" s="1110"/>
      <c r="CD74" s="1110"/>
      <c r="CE74" s="1110"/>
      <c r="CF74" s="1110"/>
      <c r="CG74" s="1110"/>
      <c r="CH74" s="1284" t="str">
        <f>CH68</f>
        <v>2016A</v>
      </c>
      <c r="CI74" s="1284" t="str">
        <f t="shared" ref="CI74:CS74" si="60">CI68</f>
        <v>2017A</v>
      </c>
      <c r="CJ74" s="1284" t="str">
        <f t="shared" si="60"/>
        <v>2018A</v>
      </c>
      <c r="CK74" s="1284" t="str">
        <f t="shared" si="60"/>
        <v>2019A</v>
      </c>
      <c r="CL74" s="1284" t="str">
        <f t="shared" si="60"/>
        <v>2020A</v>
      </c>
      <c r="CM74" s="1284" t="str">
        <f t="shared" si="60"/>
        <v>2021A</v>
      </c>
      <c r="CN74" s="1284" t="str">
        <f t="shared" si="60"/>
        <v>2022A</v>
      </c>
      <c r="CO74" s="1284" t="str">
        <f t="shared" si="60"/>
        <v>2023A</v>
      </c>
      <c r="CP74" s="1284" t="str">
        <f t="shared" si="60"/>
        <v>2024E</v>
      </c>
      <c r="CQ74" s="1284" t="str">
        <f t="shared" si="60"/>
        <v>2025E</v>
      </c>
      <c r="CR74" s="1284" t="str">
        <f t="shared" si="60"/>
        <v>2026E</v>
      </c>
      <c r="CS74" s="1284" t="str">
        <f t="shared" si="60"/>
        <v>2027E</v>
      </c>
    </row>
    <row r="75" spans="2:97">
      <c r="B75" s="13"/>
      <c r="C75" s="13"/>
      <c r="D75" s="13"/>
      <c r="E75" s="558" t="s">
        <v>39</v>
      </c>
      <c r="F75" s="14"/>
      <c r="G75" s="13"/>
      <c r="H75" s="13"/>
      <c r="I75" s="13"/>
      <c r="J75" s="13"/>
      <c r="K75" s="13"/>
      <c r="L75" s="13"/>
      <c r="M75" s="13"/>
      <c r="N75" s="13"/>
      <c r="O75" s="13"/>
      <c r="P75" s="13"/>
      <c r="Q75" s="13"/>
      <c r="R75" s="15"/>
      <c r="S75" s="15"/>
      <c r="T75" s="15"/>
      <c r="U75" s="15"/>
      <c r="V75" s="15"/>
      <c r="W75" s="15"/>
      <c r="X75" s="795"/>
      <c r="Y75" s="15"/>
      <c r="Z75" s="15"/>
      <c r="AA75" s="15"/>
      <c r="AB75" s="15"/>
      <c r="AC75" s="15"/>
      <c r="AD75" s="15"/>
      <c r="AE75" s="15"/>
      <c r="AF75" s="15"/>
      <c r="AG75" s="15"/>
      <c r="AH75" s="15"/>
      <c r="AI75" s="15"/>
      <c r="AJ75" s="15"/>
      <c r="AK75" s="15"/>
      <c r="BB75" s="1110"/>
      <c r="BC75" s="1110"/>
      <c r="BD75" s="1110"/>
      <c r="BE75" s="1110"/>
      <c r="BF75" s="1110"/>
      <c r="BG75" s="1110"/>
      <c r="BH75" s="1110"/>
      <c r="BI75" s="1110"/>
      <c r="BJ75" s="1110"/>
      <c r="BK75" s="1110"/>
      <c r="BL75" s="1110"/>
      <c r="BM75" s="1110"/>
      <c r="BN75" s="1110"/>
      <c r="BO75" s="1110"/>
      <c r="BP75" s="1110"/>
      <c r="BQ75" s="1110"/>
      <c r="BR75" s="1110"/>
      <c r="BS75" s="1110"/>
      <c r="BT75" s="1110"/>
      <c r="BU75" s="1110"/>
      <c r="BV75" s="1110"/>
      <c r="BW75" s="1110"/>
      <c r="BX75" s="1110"/>
      <c r="BY75" s="1110"/>
      <c r="BZ75" s="1110"/>
      <c r="CA75" s="1110"/>
      <c r="CB75" s="1110"/>
      <c r="CC75" s="1110"/>
      <c r="CD75" s="1110"/>
      <c r="CE75" s="1110"/>
      <c r="CF75" s="1110"/>
      <c r="CG75" s="1475" t="s">
        <v>39</v>
      </c>
      <c r="CH75" s="1476" cm="1">
        <f t="array" aca="1" ref="CH75" ca="1">INDIRECT("'Cash Flow'!"&amp;CH1&amp;"64")</f>
        <v>0</v>
      </c>
      <c r="CI75" s="1476" cm="1">
        <f t="array" aca="1" ref="CI75" ca="1">INDIRECT("'Cash Flow'!"&amp;CI1&amp;"64")</f>
        <v>0</v>
      </c>
      <c r="CJ75" s="1476" cm="1">
        <f t="array" aca="1" ref="CJ75" ca="1">INDIRECT("'Cash Flow'!"&amp;CJ1&amp;"64")</f>
        <v>0</v>
      </c>
      <c r="CK75" s="1476" cm="1">
        <f t="array" aca="1" ref="CK75" ca="1">INDIRECT("'Cash Flow'!"&amp;CK1&amp;"64")</f>
        <v>0</v>
      </c>
      <c r="CL75" s="1476" cm="1">
        <f t="array" aca="1" ref="CL75" ca="1">INDIRECT("'Cash Flow'!"&amp;CL1&amp;"64")</f>
        <v>0</v>
      </c>
      <c r="CM75" s="1476" cm="1">
        <f t="array" aca="1" ref="CM75" ca="1">INDIRECT("'Cash Flow'!"&amp;CM1&amp;"64")</f>
        <v>0</v>
      </c>
      <c r="CN75" s="1476" cm="1">
        <f t="array" aca="1" ref="CN75" ca="1">INDIRECT("'Cash Flow'!"&amp;CN1&amp;"64")</f>
        <v>0</v>
      </c>
      <c r="CO75" s="1476" cm="1">
        <f t="array" aca="1" ref="CO75" ca="1">INDIRECT("'Cash Flow'!"&amp;CO1&amp;"64")</f>
        <v>0</v>
      </c>
      <c r="CP75" s="1476" cm="1">
        <f t="array" aca="1" ref="CP75" ca="1">INDIRECT("'Cash Flow'!"&amp;CP1&amp;"64")</f>
        <v>0</v>
      </c>
      <c r="CQ75" s="1476" cm="1">
        <f t="array" aca="1" ref="CQ75" ca="1">INDIRECT("'Cash Flow'!"&amp;CQ1&amp;"64")</f>
        <v>0</v>
      </c>
      <c r="CR75" s="1476" cm="1">
        <f t="array" aca="1" ref="CR75" ca="1">INDIRECT("'Cash Flow'!"&amp;CR1&amp;"64")</f>
        <v>0</v>
      </c>
      <c r="CS75" s="1476" cm="1">
        <f t="array" aca="1" ref="CS75" ca="1">INDIRECT("'Cash Flow'!"&amp;CS1&amp;"64")</f>
        <v>0</v>
      </c>
    </row>
    <row r="76" spans="2:97">
      <c r="B76" s="13"/>
      <c r="C76" s="13"/>
      <c r="D76" s="13"/>
      <c r="E76" s="9" t="s">
        <v>345</v>
      </c>
      <c r="F76" s="14"/>
      <c r="G76" s="13"/>
      <c r="H76" s="13"/>
      <c r="I76" s="13"/>
      <c r="J76" s="13"/>
      <c r="K76" s="13"/>
      <c r="L76" s="13"/>
      <c r="M76" s="13"/>
      <c r="N76" s="13"/>
      <c r="O76" s="13"/>
      <c r="P76" s="13"/>
      <c r="Q76" s="13"/>
      <c r="R76" s="15"/>
      <c r="S76" s="15"/>
      <c r="T76" s="15"/>
      <c r="U76" s="15"/>
      <c r="V76" s="15"/>
      <c r="W76" s="15"/>
      <c r="X76" s="795"/>
      <c r="Y76" s="15"/>
      <c r="Z76" s="15"/>
      <c r="AA76" s="15"/>
      <c r="AB76" s="15"/>
      <c r="AC76" s="15"/>
      <c r="AD76" s="15"/>
      <c r="AE76" s="15"/>
      <c r="AF76" s="15"/>
      <c r="AG76" s="15"/>
      <c r="AH76" s="15"/>
      <c r="AI76" s="15"/>
      <c r="AJ76" s="15"/>
      <c r="AK76" s="15"/>
      <c r="BB76" s="1110"/>
      <c r="BC76" s="1110"/>
      <c r="BD76" s="1110"/>
      <c r="BE76" s="1110"/>
      <c r="BF76" s="1110"/>
      <c r="BG76" s="1110"/>
      <c r="BH76" s="1110"/>
      <c r="BI76" s="1110"/>
      <c r="BJ76" s="1110"/>
      <c r="BK76" s="1110"/>
      <c r="BL76" s="1110"/>
      <c r="BM76" s="1110"/>
      <c r="BN76" s="1110"/>
      <c r="BO76" s="1110"/>
      <c r="BP76" s="1110"/>
      <c r="BQ76" s="1110"/>
      <c r="BR76" s="1110"/>
      <c r="BS76" s="1110"/>
      <c r="BT76" s="1110"/>
      <c r="BU76" s="1110"/>
      <c r="BV76" s="1110"/>
      <c r="BW76" s="1110"/>
      <c r="BX76" s="1110"/>
      <c r="BY76" s="1110"/>
      <c r="BZ76" s="1110"/>
      <c r="CA76" s="1110"/>
      <c r="CB76" s="1110"/>
      <c r="CC76" s="1110"/>
      <c r="CD76" s="1110"/>
      <c r="CE76" s="1110"/>
      <c r="CF76" s="1110"/>
      <c r="CG76" s="1305" t="str">
        <f>E76</f>
        <v>FCF Margin</v>
      </c>
      <c r="CH76" s="1284">
        <f t="shared" ref="CH76:CS76" ca="1" si="61">CH75/CH5</f>
        <v>0</v>
      </c>
      <c r="CI76" s="1284">
        <f t="shared" ca="1" si="61"/>
        <v>0</v>
      </c>
      <c r="CJ76" s="1284">
        <f t="shared" ca="1" si="61"/>
        <v>0</v>
      </c>
      <c r="CK76" s="1284">
        <f t="shared" ca="1" si="61"/>
        <v>0</v>
      </c>
      <c r="CL76" s="1284">
        <f t="shared" ca="1" si="61"/>
        <v>0</v>
      </c>
      <c r="CM76" s="1284">
        <f t="shared" ca="1" si="61"/>
        <v>0</v>
      </c>
      <c r="CN76" s="1284">
        <f t="shared" ca="1" si="61"/>
        <v>0</v>
      </c>
      <c r="CO76" s="1284">
        <f t="shared" ca="1" si="61"/>
        <v>0</v>
      </c>
      <c r="CP76" s="1284">
        <f t="shared" ca="1" si="61"/>
        <v>0</v>
      </c>
      <c r="CQ76" s="1284">
        <f t="shared" ca="1" si="61"/>
        <v>0</v>
      </c>
      <c r="CR76" s="1284">
        <f t="shared" ca="1" si="61"/>
        <v>0</v>
      </c>
      <c r="CS76" s="1284">
        <f t="shared" ca="1" si="61"/>
        <v>0</v>
      </c>
    </row>
    <row r="77" spans="2:97">
      <c r="E77" s="9"/>
      <c r="F77" s="794"/>
      <c r="G77" s="792"/>
      <c r="H77" s="792"/>
      <c r="I77" s="792"/>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BB77" s="1110"/>
      <c r="BC77" s="1110"/>
      <c r="BD77" s="1110"/>
      <c r="BE77" s="1110"/>
      <c r="BF77" s="1110"/>
      <c r="BG77" s="1110"/>
      <c r="BH77" s="1110"/>
      <c r="BI77" s="1110"/>
      <c r="BJ77" s="1110"/>
      <c r="BK77" s="1110"/>
      <c r="BL77" s="1110"/>
      <c r="BM77" s="1110"/>
      <c r="BN77" s="1110"/>
      <c r="BO77" s="1110"/>
      <c r="BP77" s="1110"/>
      <c r="BQ77" s="1110"/>
      <c r="BR77" s="1110"/>
      <c r="BS77" s="1110"/>
      <c r="BT77" s="1110"/>
      <c r="BU77" s="1110"/>
      <c r="BV77" s="1110"/>
      <c r="BW77" s="1110"/>
      <c r="BX77" s="1110"/>
      <c r="BY77" s="1110"/>
      <c r="BZ77" s="1110"/>
      <c r="CA77" s="1110"/>
      <c r="CB77" s="1110"/>
      <c r="CC77" s="1110"/>
      <c r="CD77" s="1110"/>
      <c r="CE77" s="1110"/>
      <c r="CF77" s="1110"/>
      <c r="CG77" s="1110"/>
      <c r="CH77" s="1284"/>
      <c r="CI77" s="1284"/>
      <c r="CJ77" s="1284"/>
      <c r="CK77" s="1284"/>
      <c r="CL77" s="1284"/>
      <c r="CM77" s="1284"/>
      <c r="CN77" s="1284"/>
      <c r="CO77" s="1284"/>
      <c r="CP77" s="1284"/>
      <c r="CQ77" s="1284"/>
      <c r="CR77" s="1284"/>
      <c r="CS77" s="1284"/>
    </row>
    <row r="78" spans="2:97">
      <c r="F78" s="1453"/>
      <c r="BB78" s="1110"/>
      <c r="BC78" s="1110"/>
      <c r="BD78" s="1110"/>
      <c r="BE78" s="1110"/>
      <c r="BF78" s="1110"/>
      <c r="BG78" s="1110"/>
      <c r="BH78" s="1110"/>
      <c r="BI78" s="1110"/>
      <c r="BJ78" s="1110"/>
      <c r="BK78" s="1110"/>
      <c r="BL78" s="1110"/>
      <c r="BM78" s="1110"/>
      <c r="BN78" s="1110"/>
      <c r="BO78" s="1110"/>
      <c r="BP78" s="1110"/>
      <c r="BQ78" s="1110"/>
      <c r="BR78" s="1110"/>
      <c r="BS78" s="1110"/>
      <c r="BT78" s="1110"/>
      <c r="BU78" s="1110"/>
      <c r="BV78" s="1110"/>
      <c r="BW78" s="1110"/>
      <c r="BX78" s="1110"/>
      <c r="BY78" s="1110"/>
      <c r="BZ78" s="1110"/>
      <c r="CA78" s="1110"/>
      <c r="CB78" s="1110"/>
      <c r="CC78" s="1110"/>
      <c r="CD78" s="1110"/>
      <c r="CE78" s="1110"/>
      <c r="CF78" s="1110"/>
      <c r="CG78" s="1110"/>
    </row>
    <row r="79" spans="2:97">
      <c r="E79" s="1455"/>
      <c r="F79" s="1455"/>
      <c r="G79" s="1455"/>
      <c r="H79" s="1455"/>
      <c r="I79" s="1455"/>
      <c r="J79" s="1455"/>
      <c r="K79" s="1455"/>
      <c r="L79" s="1455"/>
      <c r="M79" s="1455"/>
      <c r="P79" s="1456" t="str">
        <f>'Revenue Build'!CH4</f>
        <v>3Q18A</v>
      </c>
      <c r="Q79" s="1456" t="str">
        <f>'Revenue Build'!CI4</f>
        <v>4Q18A</v>
      </c>
      <c r="R79" s="1456" t="str">
        <f>'Revenue Build'!CK4</f>
        <v>1Q19A</v>
      </c>
      <c r="S79" s="1456" t="str">
        <f>'Revenue Build'!CL4</f>
        <v>2Q19A</v>
      </c>
      <c r="T79" s="1456" t="str">
        <f>'Revenue Build'!CM4</f>
        <v>3Q19A</v>
      </c>
      <c r="U79" s="1456" t="str">
        <f>'Revenue Build'!CN4</f>
        <v>4Q19A</v>
      </c>
      <c r="V79" s="1456" t="str">
        <f>'Revenue Build'!CP4</f>
        <v>1Q20A</v>
      </c>
      <c r="W79" s="1456" t="str">
        <f>'Revenue Build'!CQ4</f>
        <v>2Q20A</v>
      </c>
      <c r="X79" s="1456" t="str">
        <f>'Revenue Build'!CR4</f>
        <v>3Q20A</v>
      </c>
      <c r="Y79" s="1456" t="str">
        <f>'Revenue Build'!CS4</f>
        <v>4Q20A</v>
      </c>
      <c r="Z79" s="1456" t="str">
        <f>'Revenue Build'!CU4</f>
        <v>1Q21A</v>
      </c>
      <c r="AA79" s="1456" t="str">
        <f>'Revenue Build'!CV4</f>
        <v>2Q21A</v>
      </c>
      <c r="AB79" s="1456" t="str">
        <f>'Revenue Build'!CW4</f>
        <v>3Q21A</v>
      </c>
      <c r="AC79" s="1456" t="str">
        <f>'Revenue Build'!CX4</f>
        <v>4Q21A</v>
      </c>
      <c r="AD79" s="1456" t="str">
        <f>'Revenue Build'!CZ4</f>
        <v>1Q22A</v>
      </c>
      <c r="AE79" s="1456" t="str">
        <f>'Revenue Build'!DA4</f>
        <v>2Q22A</v>
      </c>
      <c r="AF79" s="1456" t="str">
        <f>'Revenue Build'!DB4</f>
        <v>3Q22A</v>
      </c>
      <c r="AG79" s="1456" t="str">
        <f>'Revenue Build'!DC4</f>
        <v>4Q22A</v>
      </c>
      <c r="AH79" s="1456" t="str">
        <f>'Revenue Build'!DE4</f>
        <v>1Q23A</v>
      </c>
      <c r="AI79" s="1456" t="str">
        <f>'Revenue Build'!DF4</f>
        <v>2Q23A</v>
      </c>
      <c r="AJ79" s="1456" t="str">
        <f>'Revenue Build'!DG4</f>
        <v>3Q23A</v>
      </c>
      <c r="AK79" s="1456" t="str">
        <f>'Revenue Build'!DH4</f>
        <v>4Q23A</v>
      </c>
      <c r="AL79" s="1456" t="str">
        <f>'Revenue Build'!DJ4</f>
        <v>1Q24A</v>
      </c>
      <c r="AM79" s="1456" t="str">
        <f>'Revenue Build'!DK4</f>
        <v>2Q24A</v>
      </c>
      <c r="AN79" s="1456" t="str">
        <f>'Revenue Build'!DL4</f>
        <v>3Q24A</v>
      </c>
      <c r="AO79" s="1456" t="str">
        <f>'Revenue Build'!DM4</f>
        <v>4Q24E</v>
      </c>
      <c r="AP79" s="1456" t="str">
        <f>'Revenue Build'!DO4</f>
        <v>1Q25E</v>
      </c>
      <c r="AQ79" s="1456" t="str">
        <f>'Revenue Build'!DP4</f>
        <v>2Q25E</v>
      </c>
      <c r="AR79" s="1456" t="str">
        <f>'Revenue Build'!DQ4</f>
        <v>3Q25E</v>
      </c>
      <c r="AS79" s="1456" t="str">
        <f>'Revenue Build'!DR4</f>
        <v>4Q25E</v>
      </c>
      <c r="AT79" s="1456" t="str">
        <f>'Revenue Build'!DT4</f>
        <v>1Q26E</v>
      </c>
      <c r="AU79" s="1456" t="str">
        <f>'Revenue Build'!DU4</f>
        <v>2Q26E</v>
      </c>
      <c r="AV79" s="1456" t="str">
        <f>'Revenue Build'!DV4</f>
        <v>3Q26E</v>
      </c>
      <c r="AW79" s="1456" t="str">
        <f>'Revenue Build'!DW4</f>
        <v>4Q26E</v>
      </c>
      <c r="AX79" s="1456" t="str">
        <f>'Revenue Build'!DY4</f>
        <v>1Q27E</v>
      </c>
      <c r="AY79" s="1456" t="str">
        <f>'Revenue Build'!DZ4</f>
        <v>2Q27E</v>
      </c>
      <c r="AZ79" s="1456" t="str">
        <f>'Revenue Build'!EA4</f>
        <v>3Q27E</v>
      </c>
      <c r="BA79" s="1456" t="str">
        <f>'Revenue Build'!EB4</f>
        <v>4Q27E</v>
      </c>
      <c r="BB79" s="1110"/>
      <c r="BC79" s="1110"/>
      <c r="BD79" s="1110"/>
      <c r="BE79" s="1110"/>
      <c r="BF79" s="1110"/>
      <c r="BG79" s="1110"/>
      <c r="BH79" s="1110"/>
      <c r="BI79" s="1110"/>
      <c r="BJ79" s="1110"/>
      <c r="BK79" s="1110"/>
      <c r="BL79" s="1110"/>
      <c r="BM79" s="1110"/>
      <c r="BN79" s="1110"/>
      <c r="BO79" s="1110"/>
      <c r="BP79" s="1110"/>
      <c r="BQ79" s="1110"/>
      <c r="BR79" s="1110"/>
      <c r="BS79" s="1110"/>
      <c r="BT79" s="1110"/>
      <c r="BU79" s="1110"/>
      <c r="BV79" s="1110"/>
      <c r="BW79" s="1110"/>
      <c r="BX79" s="1110"/>
      <c r="BY79" s="1110"/>
      <c r="BZ79" s="1110"/>
      <c r="CA79" s="1110"/>
      <c r="CB79" s="1110"/>
      <c r="CC79" s="1110"/>
      <c r="CD79" s="1110"/>
      <c r="CE79" s="1110"/>
      <c r="CF79" s="1110"/>
      <c r="CG79" s="1110"/>
    </row>
    <row r="80" spans="2:97">
      <c r="E80" s="1457" t="str">
        <f>'Revenue Build'!C13</f>
        <v>MRR - Shopify Plus as %</v>
      </c>
      <c r="F80" s="1457"/>
      <c r="G80" s="1457"/>
      <c r="H80" s="1457"/>
      <c r="I80" s="1457"/>
      <c r="J80" s="1457"/>
      <c r="K80" s="1457"/>
      <c r="L80" s="1457"/>
      <c r="M80" s="1457"/>
      <c r="P80" s="1458">
        <f>'Revenue Build'!CH13</f>
        <v>0.22</v>
      </c>
      <c r="Q80" s="1458">
        <f>'Revenue Build'!CI13</f>
        <v>0.22</v>
      </c>
      <c r="R80" s="1458">
        <f>'Revenue Build'!CK13</f>
        <v>0.23</v>
      </c>
      <c r="S80" s="1458">
        <f>'Revenue Build'!CL13</f>
        <v>0.23</v>
      </c>
      <c r="T80" s="1458">
        <f>'Revenue Build'!CM13</f>
        <v>0.23</v>
      </c>
      <c r="U80" s="1458">
        <f>'Revenue Build'!CN13</f>
        <v>0.23</v>
      </c>
      <c r="V80" s="1458">
        <f>'Revenue Build'!CP13</f>
        <v>0.24</v>
      </c>
      <c r="W80" s="1458">
        <f>'Revenue Build'!CQ13</f>
        <v>0.24</v>
      </c>
      <c r="X80" s="1458">
        <f>'Revenue Build'!CR13</f>
        <v>0.22</v>
      </c>
      <c r="Y80" s="1458">
        <f>'Revenue Build'!CS13</f>
        <v>0.21</v>
      </c>
      <c r="Z80" s="1458">
        <f>'Revenue Build'!CU13</f>
        <v>0.21</v>
      </c>
      <c r="AA80" s="1458">
        <f>'Revenue Build'!CV13</f>
        <v>0.22</v>
      </c>
      <c r="AB80" s="1458">
        <f>'Revenue Build'!CW13</f>
        <v>0.23</v>
      </c>
      <c r="AC80" s="1458">
        <f>'Revenue Build'!CX13</f>
        <v>0.24</v>
      </c>
      <c r="AD80" s="1458">
        <f>'Revenue Build'!CZ13</f>
        <v>0.3</v>
      </c>
      <c r="AE80" s="1458">
        <f>'Revenue Build'!DA13</f>
        <v>0.31</v>
      </c>
      <c r="AF80" s="1458">
        <f>'Revenue Build'!DB13</f>
        <v>0.33</v>
      </c>
      <c r="AG80" s="1458">
        <f>'Revenue Build'!DC13</f>
        <v>0.34</v>
      </c>
      <c r="AH80" s="1458">
        <f>'Revenue Build'!DE13</f>
        <v>0.34</v>
      </c>
      <c r="AI80" s="1458">
        <f>'Revenue Build'!DF13</f>
        <v>0.28999999999999998</v>
      </c>
      <c r="AJ80" s="1458">
        <f>'Revenue Build'!DG13</f>
        <v>0.31</v>
      </c>
      <c r="AK80" s="1458">
        <f>'Revenue Build'!DH13</f>
        <v>0.31</v>
      </c>
      <c r="AL80" s="1458">
        <f>'Revenue Build'!DJ13</f>
        <v>0.32</v>
      </c>
      <c r="AM80" s="1458">
        <f>'Revenue Build'!DK13</f>
        <v>0.31</v>
      </c>
      <c r="AN80" s="1458">
        <f>'Revenue Build'!DL13</f>
        <v>0.31</v>
      </c>
      <c r="AO80" s="1458">
        <f>'Revenue Build'!DM13</f>
        <v>0.31</v>
      </c>
      <c r="AP80" s="1458">
        <f>'Revenue Build'!DO13</f>
        <v>0.31</v>
      </c>
      <c r="AQ80" s="1458">
        <f>'Revenue Build'!DP13</f>
        <v>0.31</v>
      </c>
      <c r="AR80" s="1458">
        <f>'Revenue Build'!DQ13</f>
        <v>0.31</v>
      </c>
      <c r="AS80" s="1458">
        <f>'Revenue Build'!DR13</f>
        <v>0.31</v>
      </c>
      <c r="AT80" s="1458">
        <f>'Revenue Build'!DT13</f>
        <v>0.31</v>
      </c>
      <c r="AU80" s="1458">
        <f>'Revenue Build'!DU13</f>
        <v>0.31</v>
      </c>
      <c r="AV80" s="1458">
        <f>'Revenue Build'!DV13</f>
        <v>0.31</v>
      </c>
      <c r="AW80" s="1458">
        <f>'Revenue Build'!DW13</f>
        <v>0.31</v>
      </c>
      <c r="AX80" s="1458">
        <f>'Revenue Build'!DY13</f>
        <v>0.31</v>
      </c>
      <c r="AY80" s="1458">
        <f>'Revenue Build'!DZ13</f>
        <v>0.31</v>
      </c>
      <c r="AZ80" s="1458">
        <f>'Revenue Build'!EA13</f>
        <v>0.31</v>
      </c>
      <c r="BA80" s="1458">
        <f>'Revenue Build'!EB13</f>
        <v>0.31</v>
      </c>
      <c r="BB80" s="1110"/>
      <c r="BC80" s="1110"/>
      <c r="BD80" s="1110"/>
      <c r="BE80" s="1110"/>
      <c r="BF80" s="1110"/>
      <c r="BG80" s="1110"/>
      <c r="BH80" s="1110"/>
      <c r="BI80" s="1110"/>
      <c r="BJ80" s="1110"/>
      <c r="BK80" s="1110"/>
      <c r="BL80" s="1110"/>
      <c r="BM80" s="1110"/>
      <c r="BN80" s="1110"/>
      <c r="BO80" s="1110"/>
      <c r="BP80" s="1110"/>
      <c r="BQ80" s="1110"/>
      <c r="BR80" s="1110"/>
      <c r="BS80" s="1110"/>
      <c r="BT80" s="1110"/>
      <c r="BU80" s="1110"/>
      <c r="BV80" s="1110"/>
      <c r="BW80" s="1110"/>
      <c r="BX80" s="1110"/>
      <c r="BY80" s="1110"/>
      <c r="BZ80" s="1110"/>
      <c r="CA80" s="1110"/>
      <c r="CB80" s="1110"/>
      <c r="CC80" s="1110"/>
      <c r="CD80" s="1110"/>
      <c r="CE80" s="1110"/>
      <c r="CF80" s="1110"/>
    </row>
    <row r="81" spans="5:126" ht="12" thickBot="1">
      <c r="F81" s="1110"/>
      <c r="G81" s="1110"/>
      <c r="H81" s="1110"/>
      <c r="I81" s="1110"/>
      <c r="J81" s="1110"/>
      <c r="K81" s="1110"/>
      <c r="L81" s="1110"/>
      <c r="M81" s="1110"/>
      <c r="N81" s="1110"/>
      <c r="O81" s="1110"/>
      <c r="P81" s="1110"/>
      <c r="Q81" s="1110"/>
      <c r="R81" s="1110"/>
      <c r="S81" s="1110"/>
      <c r="T81" s="1110"/>
      <c r="U81" s="1110"/>
      <c r="V81" s="1110"/>
      <c r="W81" s="1110"/>
      <c r="X81" s="1110"/>
      <c r="Y81" s="1110"/>
      <c r="Z81" s="1110"/>
      <c r="AA81" s="1110"/>
      <c r="AB81" s="1110"/>
      <c r="AC81" s="1110"/>
      <c r="AD81" s="1110"/>
      <c r="AE81" s="1110"/>
      <c r="AF81" s="1110"/>
      <c r="AG81" s="1110"/>
      <c r="AH81" s="1110"/>
      <c r="AI81" s="1110"/>
      <c r="AJ81" s="1110"/>
      <c r="AK81" s="1110"/>
      <c r="AL81" s="1110"/>
      <c r="BB81" s="1110"/>
      <c r="BC81" s="1110"/>
      <c r="BD81" s="1110"/>
      <c r="BE81" s="1110"/>
      <c r="BF81" s="1110"/>
      <c r="BG81" s="1110"/>
      <c r="BH81" s="1110"/>
      <c r="BI81" s="1110"/>
      <c r="BJ81" s="1110"/>
      <c r="BK81" s="1110"/>
      <c r="BL81" s="1110"/>
      <c r="BM81" s="1110"/>
      <c r="BN81" s="1110"/>
      <c r="BO81" s="1110"/>
      <c r="BP81" s="1110"/>
      <c r="BQ81" s="1110"/>
      <c r="BR81" s="1110"/>
      <c r="BS81" s="1110"/>
      <c r="BT81" s="1110"/>
      <c r="BU81" s="1110"/>
      <c r="BV81" s="1110"/>
      <c r="BW81" s="1110"/>
      <c r="BX81" s="1110"/>
      <c r="BY81" s="1110"/>
      <c r="BZ81" s="1110"/>
      <c r="CA81" s="1110"/>
      <c r="CB81" s="1110"/>
      <c r="CC81" s="1110"/>
      <c r="CD81" s="1110"/>
      <c r="CE81" s="1110"/>
      <c r="CF81" s="1110"/>
    </row>
    <row r="82" spans="5:126">
      <c r="F82" s="1110"/>
      <c r="G82" s="1110"/>
      <c r="H82" s="1110"/>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486" t="str">
        <f t="shared" ref="AD82:AN82" si="62">AD4</f>
        <v>1Q22A</v>
      </c>
      <c r="AE82" s="1486" t="str">
        <f t="shared" si="62"/>
        <v>2Q22A</v>
      </c>
      <c r="AF82" s="1486" t="str">
        <f t="shared" si="62"/>
        <v>3Q22A</v>
      </c>
      <c r="AG82" s="1486" t="str">
        <f t="shared" si="62"/>
        <v>4Q22A</v>
      </c>
      <c r="AH82" s="1486" t="str">
        <f t="shared" si="62"/>
        <v>1Q23A</v>
      </c>
      <c r="AI82" s="1486" t="str">
        <f t="shared" si="62"/>
        <v>2Q23A</v>
      </c>
      <c r="AJ82" s="1486" t="str">
        <f t="shared" si="62"/>
        <v>3Q23A</v>
      </c>
      <c r="AK82" s="1486" t="str">
        <f t="shared" si="62"/>
        <v>4Q23A</v>
      </c>
      <c r="AL82" s="1486" t="str">
        <f t="shared" si="62"/>
        <v>1Q24A</v>
      </c>
      <c r="AM82" s="1486" t="str">
        <f t="shared" si="62"/>
        <v>2Q24A</v>
      </c>
      <c r="AN82" s="1486" t="str">
        <f t="shared" si="62"/>
        <v>3Q24A</v>
      </c>
      <c r="BB82" s="1110"/>
      <c r="BC82" s="1110"/>
      <c r="BD82" s="1110"/>
      <c r="BE82" s="1110"/>
      <c r="BF82" s="1110"/>
      <c r="BG82" s="1110"/>
      <c r="BH82" s="1110"/>
      <c r="BI82" s="1110"/>
      <c r="BJ82" s="1110"/>
      <c r="BK82" s="1110"/>
      <c r="BL82" s="1110"/>
      <c r="BM82" s="1110"/>
      <c r="BN82" s="1110"/>
      <c r="BO82" s="1110"/>
      <c r="BP82" s="1110"/>
      <c r="BQ82" s="1110"/>
      <c r="BR82" s="1110"/>
      <c r="BS82" s="1110"/>
      <c r="BT82" s="1110"/>
      <c r="BU82" s="1110"/>
      <c r="BV82" s="1110"/>
      <c r="BW82" s="1110"/>
      <c r="BX82" s="1110"/>
      <c r="BY82" s="1110"/>
      <c r="BZ82" s="1110"/>
      <c r="CA82" s="1110"/>
      <c r="CB82" s="1110"/>
      <c r="CC82" s="1110"/>
      <c r="CD82" s="1110"/>
      <c r="CE82" s="1110"/>
      <c r="CF82" s="1110"/>
      <c r="CG82" s="1597" t="s">
        <v>736</v>
      </c>
      <c r="CH82" s="1598"/>
      <c r="CI82" s="1598"/>
      <c r="CJ82" s="1598"/>
      <c r="CK82" s="1598"/>
      <c r="CL82" s="1598"/>
      <c r="CM82" s="1598"/>
      <c r="CN82" s="1598"/>
      <c r="CO82" s="1598"/>
      <c r="CP82" s="1598"/>
      <c r="CQ82" s="1598"/>
      <c r="CR82" s="1598"/>
      <c r="CS82" s="1599"/>
      <c r="CW82" s="1110"/>
      <c r="CX82" s="1110"/>
      <c r="CY82" s="1110"/>
      <c r="CZ82" s="1110"/>
      <c r="DA82" s="1110"/>
      <c r="DB82" s="1110"/>
      <c r="DC82" s="1110"/>
      <c r="DD82" s="1110"/>
      <c r="DE82" s="1110"/>
      <c r="DF82" s="1110"/>
      <c r="DG82" s="1110"/>
      <c r="DH82" s="1110"/>
      <c r="DI82" s="1110"/>
      <c r="DJ82" s="1110"/>
      <c r="DK82" s="1110"/>
      <c r="DL82" s="1110"/>
      <c r="DM82" s="1110"/>
      <c r="DN82" s="1110"/>
      <c r="DO82" s="1110"/>
      <c r="DP82" s="1110"/>
      <c r="DQ82" s="1110"/>
      <c r="DR82" s="1110"/>
      <c r="DS82" s="1110"/>
      <c r="DT82" s="1110"/>
      <c r="DU82" s="1110"/>
      <c r="DV82" s="1110"/>
    </row>
    <row r="83" spans="5:126">
      <c r="E83" s="6" t="s">
        <v>753</v>
      </c>
      <c r="F83" s="1110"/>
      <c r="G83" s="1110"/>
      <c r="H83" s="1110"/>
      <c r="I83" s="1110"/>
      <c r="J83" s="1110"/>
      <c r="K83" s="1110"/>
      <c r="L83" s="1110"/>
      <c r="M83" s="1110"/>
      <c r="N83" s="1110"/>
      <c r="O83" s="1110"/>
      <c r="P83" s="1110"/>
      <c r="Q83" s="1110"/>
      <c r="R83" s="1110"/>
      <c r="S83" s="1110"/>
      <c r="T83" s="1110"/>
      <c r="U83" s="1110"/>
      <c r="V83" s="1110"/>
      <c r="W83" s="1110"/>
      <c r="X83" s="1110"/>
      <c r="Y83" s="1110"/>
      <c r="Z83" s="1110"/>
      <c r="AA83" s="1110"/>
      <c r="AB83" s="1110"/>
      <c r="AC83" s="1110"/>
      <c r="AD83" s="1482">
        <f t="shared" ref="AD83:AN83" si="63">AD8</f>
        <v>0.15672166080995353</v>
      </c>
      <c r="AE83" s="1482">
        <f t="shared" si="63"/>
        <v>0.11036918571877075</v>
      </c>
      <c r="AF83" s="1482">
        <f t="shared" si="63"/>
        <v>0.10618947249056432</v>
      </c>
      <c r="AG83" s="1482">
        <f t="shared" si="63"/>
        <v>0.12844768516531557</v>
      </c>
      <c r="AH83" s="1482">
        <f t="shared" si="63"/>
        <v>0.14814942386973029</v>
      </c>
      <c r="AI83" s="1482">
        <f t="shared" si="63"/>
        <v>0.17395395739772312</v>
      </c>
      <c r="AJ83" s="1482">
        <f t="shared" si="63"/>
        <v>0.21645021645021645</v>
      </c>
      <c r="AK83" s="1482">
        <f t="shared" si="63"/>
        <v>0.23155737704918034</v>
      </c>
      <c r="AL83" s="1482">
        <f t="shared" si="63"/>
        <v>0.22691532258064506</v>
      </c>
      <c r="AM83" s="1482">
        <f t="shared" si="63"/>
        <v>0.22263636363636374</v>
      </c>
      <c r="AN83" s="1482">
        <f t="shared" si="63"/>
        <v>0.24048042704626327</v>
      </c>
      <c r="BB83" s="1110"/>
      <c r="BC83" s="1110"/>
      <c r="BD83" s="1110"/>
      <c r="BE83" s="1110"/>
      <c r="BF83" s="1110"/>
      <c r="BG83" s="1110"/>
      <c r="BH83" s="1110"/>
      <c r="BI83" s="1110"/>
      <c r="BJ83" s="1110"/>
      <c r="BK83" s="1110"/>
      <c r="BL83" s="1110"/>
      <c r="BM83" s="1110"/>
      <c r="BN83" s="1110"/>
      <c r="BO83" s="1110"/>
      <c r="BP83" s="1110"/>
      <c r="BQ83" s="1110"/>
      <c r="BR83" s="1110"/>
      <c r="BS83" s="1110"/>
      <c r="BT83" s="1110"/>
      <c r="BU83" s="1110"/>
      <c r="BV83" s="1110"/>
      <c r="BW83" s="1110"/>
      <c r="BX83" s="1110"/>
      <c r="BY83" s="1110"/>
      <c r="BZ83" s="1110"/>
      <c r="CA83" s="1110"/>
      <c r="CB83" s="1110"/>
      <c r="CC83" s="1110"/>
      <c r="CD83" s="1110"/>
      <c r="CE83" s="1110"/>
      <c r="CF83" s="1110"/>
      <c r="CG83" s="1600"/>
      <c r="CH83" s="1601"/>
      <c r="CI83" s="1601"/>
      <c r="CJ83" s="1601"/>
      <c r="CK83" s="1601"/>
      <c r="CL83" s="1601"/>
      <c r="CM83" s="1601"/>
      <c r="CN83" s="1601"/>
      <c r="CO83" s="1601"/>
      <c r="CP83" s="1601"/>
      <c r="CQ83" s="1601"/>
      <c r="CR83" s="1601"/>
      <c r="CS83" s="1602"/>
      <c r="CW83" s="1110"/>
      <c r="CX83" s="1110"/>
      <c r="CY83" s="1110"/>
      <c r="CZ83" s="1110"/>
      <c r="DA83" s="1110"/>
      <c r="DB83" s="1110"/>
      <c r="DC83" s="1110"/>
      <c r="DD83" s="1110"/>
      <c r="DE83" s="1110"/>
      <c r="DF83" s="1110"/>
      <c r="DG83" s="1110"/>
      <c r="DH83" s="1110"/>
      <c r="DI83" s="1110"/>
      <c r="DJ83" s="1110"/>
      <c r="DK83" s="1110"/>
      <c r="DL83" s="1110"/>
      <c r="DM83" s="1110"/>
      <c r="DN83" s="1110"/>
      <c r="DO83" s="1110"/>
      <c r="DP83" s="1110"/>
      <c r="DQ83" s="1110"/>
      <c r="DR83" s="1110"/>
      <c r="DS83" s="1110"/>
      <c r="DT83" s="1110"/>
      <c r="DU83" s="1110"/>
      <c r="DV83" s="1110"/>
    </row>
    <row r="84" spans="5:126">
      <c r="E84" s="6" t="s">
        <v>752</v>
      </c>
      <c r="F84" s="1110"/>
      <c r="G84" s="1110"/>
      <c r="H84" s="1110"/>
      <c r="I84" s="1110"/>
      <c r="J84" s="1110"/>
      <c r="K84" s="1110"/>
      <c r="L84" s="1110"/>
      <c r="M84" s="1110"/>
      <c r="N84" s="1110"/>
      <c r="O84" s="1110"/>
      <c r="P84" s="1110"/>
      <c r="Q84" s="1110"/>
      <c r="R84" s="1110"/>
      <c r="S84" s="1110"/>
      <c r="T84" s="1110"/>
      <c r="U84" s="1110"/>
      <c r="V84" s="1110"/>
      <c r="W84" s="1110"/>
      <c r="X84" s="1110"/>
      <c r="Y84" s="1110"/>
      <c r="Z84" s="1110"/>
      <c r="AA84" s="1110"/>
      <c r="AB84" s="1110"/>
      <c r="AC84" s="1110"/>
      <c r="AD84" s="1482">
        <f>'Revenue Build'!CZ205</f>
        <v>0.8</v>
      </c>
      <c r="AE84" s="1482">
        <f>'Revenue Build'!DA205</f>
        <v>0.47</v>
      </c>
      <c r="AF84" s="1482">
        <f>'Revenue Build'!DB205</f>
        <v>0.35</v>
      </c>
      <c r="AG84" s="1482">
        <f>'Revenue Build'!DC205</f>
        <v>0.25</v>
      </c>
      <c r="AH84" s="1482">
        <f>'Revenue Build'!DE205</f>
        <v>0.31</v>
      </c>
      <c r="AI84" s="1482">
        <f>'Revenue Build'!DF205</f>
        <v>0.23</v>
      </c>
      <c r="AJ84" s="1482">
        <f>'Revenue Build'!DG205</f>
        <v>0.26</v>
      </c>
      <c r="AK84" s="1482">
        <f>'Revenue Build'!DH205</f>
        <v>0.28000000000000003</v>
      </c>
      <c r="AL84" s="1482">
        <f>'Revenue Build'!DJ205</f>
        <v>0.32</v>
      </c>
      <c r="AM84" s="1471">
        <f>'Revenue Build'!DK205</f>
        <v>0.27</v>
      </c>
      <c r="AN84" s="1471">
        <f>'Revenue Build'!DL205</f>
        <v>0.27</v>
      </c>
      <c r="BB84" s="1110"/>
      <c r="BC84" s="1110"/>
      <c r="BD84" s="1110"/>
      <c r="BE84" s="1110"/>
      <c r="BF84" s="1110"/>
      <c r="BG84" s="1110"/>
      <c r="BH84" s="1110"/>
      <c r="BI84" s="1110"/>
      <c r="BJ84" s="1110"/>
      <c r="BK84" s="1110"/>
      <c r="BL84" s="1110"/>
      <c r="BM84" s="1110"/>
      <c r="BN84" s="1110"/>
      <c r="BO84" s="1110"/>
      <c r="BP84" s="1110"/>
      <c r="BQ84" s="1110"/>
      <c r="BR84" s="1110"/>
      <c r="BS84" s="1110"/>
      <c r="BT84" s="1110"/>
      <c r="BU84" s="1110"/>
      <c r="BV84" s="1110"/>
      <c r="BW84" s="1110"/>
      <c r="BX84" s="1110"/>
      <c r="BY84" s="1110"/>
      <c r="BZ84" s="1110"/>
      <c r="CA84" s="1110"/>
      <c r="CB84" s="1110"/>
      <c r="CC84" s="1110"/>
      <c r="CD84" s="1110"/>
      <c r="CE84" s="1110"/>
      <c r="CF84" s="1110"/>
      <c r="CG84" s="1600"/>
      <c r="CH84" s="1601"/>
      <c r="CI84" s="1601"/>
      <c r="CJ84" s="1601"/>
      <c r="CK84" s="1601"/>
      <c r="CL84" s="1601"/>
      <c r="CM84" s="1601"/>
      <c r="CN84" s="1601"/>
      <c r="CO84" s="1601"/>
      <c r="CP84" s="1601"/>
      <c r="CQ84" s="1601"/>
      <c r="CR84" s="1601"/>
      <c r="CS84" s="1602"/>
      <c r="CW84" s="1110"/>
      <c r="CX84" s="1110"/>
      <c r="CY84" s="1110"/>
      <c r="CZ84" s="1110"/>
      <c r="DA84" s="1110"/>
      <c r="DB84" s="1110"/>
      <c r="DC84" s="1110"/>
      <c r="DD84" s="1110"/>
      <c r="DE84" s="1110"/>
      <c r="DF84" s="1110"/>
      <c r="DG84" s="1110"/>
      <c r="DH84" s="1110"/>
      <c r="DI84" s="1110"/>
      <c r="DJ84" s="1110"/>
      <c r="DK84" s="1110"/>
      <c r="DL84" s="1110"/>
      <c r="DM84" s="1110"/>
      <c r="DN84" s="1110"/>
      <c r="DO84" s="1110"/>
      <c r="DP84" s="1110"/>
      <c r="DQ84" s="1110"/>
      <c r="DR84" s="1110"/>
      <c r="DS84" s="1110"/>
      <c r="DT84" s="1110"/>
      <c r="DU84" s="1110"/>
      <c r="DV84" s="1110"/>
    </row>
    <row r="85" spans="5:126">
      <c r="F85" s="1110"/>
      <c r="G85" s="1110"/>
      <c r="H85" s="1110"/>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BB85" s="1110"/>
      <c r="BC85" s="1110"/>
      <c r="BD85" s="1110"/>
      <c r="BE85" s="1110"/>
      <c r="BF85" s="1110"/>
      <c r="BG85" s="1110"/>
      <c r="BH85" s="1110"/>
      <c r="BI85" s="1110"/>
      <c r="BJ85" s="1110"/>
      <c r="BK85" s="1110"/>
      <c r="BL85" s="1110"/>
      <c r="BM85" s="1110"/>
      <c r="BN85" s="1110"/>
      <c r="BO85" s="1110"/>
      <c r="BP85" s="1110"/>
      <c r="BQ85" s="1110"/>
      <c r="BR85" s="1110"/>
      <c r="BS85" s="1110"/>
      <c r="BT85" s="1110"/>
      <c r="BU85" s="1110"/>
      <c r="BV85" s="1110"/>
      <c r="BW85" s="1110"/>
      <c r="BX85" s="1110"/>
      <c r="BY85" s="1110"/>
      <c r="BZ85" s="1110"/>
      <c r="CA85" s="1110"/>
      <c r="CB85" s="1110"/>
      <c r="CC85" s="1110"/>
      <c r="CD85" s="1110"/>
      <c r="CE85" s="1110"/>
      <c r="CF85" s="1110"/>
      <c r="CG85" s="1600"/>
      <c r="CH85" s="1601"/>
      <c r="CI85" s="1601"/>
      <c r="CJ85" s="1601"/>
      <c r="CK85" s="1601"/>
      <c r="CL85" s="1601"/>
      <c r="CM85" s="1601"/>
      <c r="CN85" s="1601"/>
      <c r="CO85" s="1601"/>
      <c r="CP85" s="1601"/>
      <c r="CQ85" s="1601"/>
      <c r="CR85" s="1601"/>
      <c r="CS85" s="1602"/>
      <c r="CW85" s="1110"/>
      <c r="CX85" s="1110"/>
      <c r="CY85" s="1110"/>
      <c r="CZ85" s="1110"/>
      <c r="DA85" s="1110"/>
      <c r="DB85" s="1110"/>
      <c r="DC85" s="1110"/>
      <c r="DD85" s="1110"/>
      <c r="DE85" s="1110"/>
      <c r="DF85" s="1110"/>
      <c r="DG85" s="1110"/>
      <c r="DH85" s="1110"/>
      <c r="DI85" s="1110"/>
      <c r="DJ85" s="1110"/>
      <c r="DK85" s="1110"/>
      <c r="DL85" s="1110"/>
      <c r="DM85" s="1110"/>
      <c r="DN85" s="1110"/>
      <c r="DO85" s="1110"/>
      <c r="DP85" s="1110"/>
      <c r="DQ85" s="1110"/>
      <c r="DR85" s="1110"/>
      <c r="DS85" s="1110"/>
      <c r="DT85" s="1110"/>
      <c r="DU85" s="1110"/>
      <c r="DV85" s="1110"/>
    </row>
    <row r="86" spans="5:126">
      <c r="F86" s="1110"/>
      <c r="G86" s="1110"/>
      <c r="H86" s="1110"/>
      <c r="I86" s="1110"/>
      <c r="J86" s="1110"/>
      <c r="K86" s="1110"/>
      <c r="L86" s="1110"/>
      <c r="M86" s="1110"/>
      <c r="N86" s="1110"/>
      <c r="O86" s="1110"/>
      <c r="P86" s="1110"/>
      <c r="Q86" s="1110"/>
      <c r="R86" s="1110"/>
      <c r="S86" s="1110"/>
      <c r="T86" s="1110"/>
      <c r="U86" s="1110"/>
      <c r="V86" s="1110"/>
      <c r="W86" s="1110"/>
      <c r="X86" s="1110"/>
      <c r="Y86" s="1110"/>
      <c r="Z86" s="1110"/>
      <c r="AA86" s="1110"/>
      <c r="AB86" s="1110"/>
      <c r="AC86" s="1110"/>
      <c r="AD86" s="1110"/>
      <c r="AE86" s="1110"/>
      <c r="AF86" s="1110"/>
      <c r="AG86" s="1110"/>
      <c r="AH86" s="1110"/>
      <c r="AI86" s="1282" t="str">
        <f>+AI82</f>
        <v>2Q23A</v>
      </c>
      <c r="AJ86" s="1282" t="str">
        <f t="shared" ref="AJ86:AN86" si="64">+AJ82</f>
        <v>3Q23A</v>
      </c>
      <c r="AK86" s="1282" t="str">
        <f t="shared" si="64"/>
        <v>4Q23A</v>
      </c>
      <c r="AL86" s="1282" t="str">
        <f t="shared" si="64"/>
        <v>1Q24A</v>
      </c>
      <c r="AM86" s="1282" t="str">
        <f t="shared" si="64"/>
        <v>2Q24A</v>
      </c>
      <c r="AN86" s="1282" t="str">
        <f t="shared" si="64"/>
        <v>3Q24A</v>
      </c>
      <c r="BB86" s="1110"/>
      <c r="BC86" s="1110"/>
      <c r="BD86" s="1110"/>
      <c r="BE86" s="1110"/>
      <c r="BF86" s="1110"/>
      <c r="BG86" s="1110"/>
      <c r="BH86" s="1110"/>
      <c r="BI86" s="1110"/>
      <c r="BJ86" s="1110"/>
      <c r="BK86" s="1110"/>
      <c r="BL86" s="1110"/>
      <c r="BM86" s="1110"/>
      <c r="BN86" s="1110"/>
      <c r="BO86" s="1110"/>
      <c r="BP86" s="1110"/>
      <c r="BQ86" s="1110"/>
      <c r="BR86" s="1110"/>
      <c r="BS86" s="1110"/>
      <c r="BT86" s="1110"/>
      <c r="BU86" s="1110"/>
      <c r="BV86" s="1110"/>
      <c r="BW86" s="1110"/>
      <c r="BX86" s="1110"/>
      <c r="BY86" s="1110"/>
      <c r="BZ86" s="1110"/>
      <c r="CA86" s="1110"/>
      <c r="CB86" s="1110"/>
      <c r="CC86" s="1110"/>
      <c r="CD86" s="1110"/>
      <c r="CE86" s="1110"/>
      <c r="CF86" s="1110"/>
      <c r="CG86" s="1600"/>
      <c r="CH86" s="1601"/>
      <c r="CI86" s="1601"/>
      <c r="CJ86" s="1601"/>
      <c r="CK86" s="1601"/>
      <c r="CL86" s="1601"/>
      <c r="CM86" s="1601"/>
      <c r="CN86" s="1601"/>
      <c r="CO86" s="1601"/>
      <c r="CP86" s="1601"/>
      <c r="CQ86" s="1601"/>
      <c r="CR86" s="1601"/>
      <c r="CS86" s="1602"/>
      <c r="CW86" s="1110"/>
      <c r="CX86" s="1110"/>
      <c r="CY86" s="1110"/>
      <c r="CZ86" s="1110"/>
      <c r="DA86" s="1110"/>
      <c r="DB86" s="1110"/>
      <c r="DC86" s="1110"/>
      <c r="DD86" s="1110"/>
      <c r="DE86" s="1110"/>
      <c r="DF86" s="1110"/>
      <c r="DG86" s="1110"/>
      <c r="DH86" s="1110"/>
      <c r="DI86" s="1110"/>
      <c r="DJ86" s="1110"/>
      <c r="DK86" s="1110"/>
      <c r="DL86" s="1110"/>
      <c r="DM86" s="1110"/>
      <c r="DN86" s="1110"/>
      <c r="DO86" s="1110"/>
      <c r="DP86" s="1110"/>
      <c r="DQ86" s="1110"/>
      <c r="DR86" s="1110"/>
      <c r="DS86" s="1110"/>
      <c r="DT86" s="1110"/>
      <c r="DU86" s="1110"/>
      <c r="DV86" s="1110"/>
    </row>
    <row r="87" spans="5:126">
      <c r="E87" s="1110" t="s">
        <v>767</v>
      </c>
      <c r="F87" s="1110"/>
      <c r="G87" s="1110"/>
      <c r="H87" s="1110"/>
      <c r="I87" s="1110"/>
      <c r="J87" s="1110"/>
      <c r="K87" s="1110"/>
      <c r="L87" s="1110"/>
      <c r="M87" s="1110"/>
      <c r="N87" s="1110"/>
      <c r="O87" s="1110"/>
      <c r="P87" s="1110"/>
      <c r="Q87" s="1110"/>
      <c r="R87" s="1110"/>
      <c r="S87" s="1110"/>
      <c r="T87" s="1110"/>
      <c r="U87" s="1110"/>
      <c r="V87" s="1110"/>
      <c r="W87" s="1110"/>
      <c r="X87" s="1110"/>
      <c r="Y87" s="1110"/>
      <c r="Z87" s="1110"/>
      <c r="AA87" s="1110"/>
      <c r="AB87" s="1110"/>
      <c r="AC87" s="1110"/>
      <c r="AD87" s="1110"/>
      <c r="AE87" s="1110"/>
      <c r="AF87" s="1110"/>
      <c r="AG87" s="1110"/>
      <c r="AI87" s="1491">
        <f>'Revenue Build'!DF210</f>
        <v>0.61</v>
      </c>
      <c r="AJ87" s="1491">
        <f>'Revenue Build'!DG210</f>
        <v>1</v>
      </c>
      <c r="AK87" s="1491">
        <f>'Revenue Build'!DH210</f>
        <v>1.5</v>
      </c>
      <c r="AL87" s="1492">
        <f>'Revenue Build'!DJ210</f>
        <v>1.3</v>
      </c>
      <c r="AM87" s="1492">
        <f>'Revenue Build'!DK210</f>
        <v>1.4</v>
      </c>
      <c r="AN87" s="1492">
        <f>'Revenue Build'!DL210</f>
        <v>1.45</v>
      </c>
      <c r="BB87" s="1110"/>
      <c r="BC87" s="1110"/>
      <c r="BD87" s="1110"/>
      <c r="BE87" s="1110"/>
      <c r="BF87" s="1110"/>
      <c r="BG87" s="1110"/>
      <c r="BH87" s="1110"/>
      <c r="BI87" s="1110"/>
      <c r="BJ87" s="1110"/>
      <c r="BK87" s="1110"/>
      <c r="BL87" s="1110"/>
      <c r="BM87" s="1110"/>
      <c r="BN87" s="1110"/>
      <c r="BO87" s="1110"/>
      <c r="BP87" s="1110"/>
      <c r="BQ87" s="1110"/>
      <c r="BR87" s="1110"/>
      <c r="BS87" s="1110"/>
      <c r="BT87" s="1110"/>
      <c r="BU87" s="1110"/>
      <c r="BV87" s="1110"/>
      <c r="BW87" s="1110"/>
      <c r="BX87" s="1110"/>
      <c r="BY87" s="1110"/>
      <c r="BZ87" s="1110"/>
      <c r="CA87" s="1110"/>
      <c r="CB87" s="1110"/>
      <c r="CC87" s="1110"/>
      <c r="CD87" s="1110"/>
      <c r="CE87" s="1110"/>
      <c r="CF87" s="1110"/>
      <c r="CG87" s="1600"/>
      <c r="CH87" s="1601"/>
      <c r="CI87" s="1601"/>
      <c r="CJ87" s="1601"/>
      <c r="CK87" s="1601"/>
      <c r="CL87" s="1601"/>
      <c r="CM87" s="1601"/>
      <c r="CN87" s="1601"/>
      <c r="CO87" s="1601"/>
      <c r="CP87" s="1601"/>
      <c r="CQ87" s="1601"/>
      <c r="CR87" s="1601"/>
      <c r="CS87" s="1602"/>
      <c r="CW87" s="1110"/>
      <c r="CX87" s="1110"/>
      <c r="CY87" s="1110"/>
      <c r="CZ87" s="1110"/>
      <c r="DA87" s="1110"/>
      <c r="DB87" s="1110"/>
      <c r="DC87" s="1110"/>
      <c r="DD87" s="1110"/>
      <c r="DE87" s="1110"/>
      <c r="DF87" s="1110"/>
      <c r="DG87" s="1110"/>
      <c r="DH87" s="1110"/>
      <c r="DI87" s="1110"/>
      <c r="DJ87" s="1110"/>
      <c r="DK87" s="1110"/>
      <c r="DL87" s="1110"/>
      <c r="DM87" s="1110"/>
      <c r="DN87" s="1110"/>
      <c r="DO87" s="1110"/>
      <c r="DP87" s="1110"/>
      <c r="DQ87" s="1110"/>
      <c r="DR87" s="1110"/>
      <c r="DS87" s="1110"/>
      <c r="DT87" s="1110"/>
      <c r="DU87" s="1110"/>
      <c r="DV87" s="1110"/>
    </row>
    <row r="88" spans="5:126">
      <c r="E88" s="1110" t="s">
        <v>768</v>
      </c>
      <c r="F88" s="1110"/>
      <c r="G88" s="1110"/>
      <c r="H88" s="1110"/>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I88" s="1493">
        <f>AI83</f>
        <v>0.17395395739772312</v>
      </c>
      <c r="AJ88" s="1493">
        <f t="shared" ref="AJ88:AN88" si="65">AJ83</f>
        <v>0.21645021645021645</v>
      </c>
      <c r="AK88" s="1493">
        <f t="shared" si="65"/>
        <v>0.23155737704918034</v>
      </c>
      <c r="AL88" s="1479">
        <f t="shared" si="65"/>
        <v>0.22691532258064506</v>
      </c>
      <c r="AM88" s="1479">
        <f t="shared" si="65"/>
        <v>0.22263636363636374</v>
      </c>
      <c r="AN88" s="1479">
        <f t="shared" si="65"/>
        <v>0.24048042704626327</v>
      </c>
      <c r="BB88" s="1110"/>
      <c r="BC88" s="1110"/>
      <c r="BD88" s="1110"/>
      <c r="BE88" s="1110"/>
      <c r="BF88" s="1110"/>
      <c r="BG88" s="1110"/>
      <c r="BH88" s="1110"/>
      <c r="BI88" s="1110"/>
      <c r="BJ88" s="1110"/>
      <c r="BK88" s="1110"/>
      <c r="BL88" s="1110"/>
      <c r="BM88" s="1110"/>
      <c r="BN88" s="1110"/>
      <c r="BO88" s="1110"/>
      <c r="BP88" s="1110"/>
      <c r="BQ88" s="1110"/>
      <c r="BR88" s="1110"/>
      <c r="BS88" s="1110"/>
      <c r="BT88" s="1110"/>
      <c r="BU88" s="1110"/>
      <c r="BV88" s="1110"/>
      <c r="BW88" s="1110"/>
      <c r="BX88" s="1110"/>
      <c r="BY88" s="1110"/>
      <c r="BZ88" s="1110"/>
      <c r="CA88" s="1110"/>
      <c r="CB88" s="1110"/>
      <c r="CC88" s="1110"/>
      <c r="CD88" s="1110"/>
      <c r="CE88" s="1110"/>
      <c r="CF88" s="1110"/>
      <c r="CG88" s="1600"/>
      <c r="CH88" s="1601"/>
      <c r="CI88" s="1601"/>
      <c r="CJ88" s="1601"/>
      <c r="CK88" s="1601"/>
      <c r="CL88" s="1601"/>
      <c r="CM88" s="1601"/>
      <c r="CN88" s="1601"/>
      <c r="CO88" s="1601"/>
      <c r="CP88" s="1601"/>
      <c r="CQ88" s="1601"/>
      <c r="CR88" s="1601"/>
      <c r="CS88" s="1602"/>
      <c r="CW88" s="1110"/>
      <c r="CX88" s="1110"/>
      <c r="CY88" s="1110"/>
      <c r="CZ88" s="1110"/>
      <c r="DA88" s="1110"/>
      <c r="DB88" s="1110"/>
      <c r="DC88" s="1110"/>
      <c r="DD88" s="1110"/>
      <c r="DE88" s="1110"/>
      <c r="DF88" s="1110"/>
      <c r="DG88" s="1110"/>
      <c r="DH88" s="1110"/>
      <c r="DI88" s="1110"/>
      <c r="DJ88" s="1110"/>
      <c r="DK88" s="1110"/>
      <c r="DL88" s="1110"/>
      <c r="DM88" s="1110"/>
      <c r="DN88" s="1110"/>
      <c r="DO88" s="1110"/>
      <c r="DP88" s="1110"/>
      <c r="DQ88" s="1110"/>
      <c r="DR88" s="1110"/>
      <c r="DS88" s="1110"/>
      <c r="DT88" s="1110"/>
      <c r="DU88" s="1110"/>
      <c r="DV88" s="1110"/>
    </row>
    <row r="89" spans="5:126">
      <c r="F89" s="1110"/>
      <c r="G89" s="1110"/>
      <c r="H89" s="1110"/>
      <c r="I89" s="1110"/>
      <c r="J89" s="1110"/>
      <c r="K89" s="1110"/>
      <c r="L89" s="1110"/>
      <c r="M89" s="1110"/>
      <c r="N89" s="1110"/>
      <c r="O89" s="1110"/>
      <c r="P89" s="1110"/>
      <c r="Q89" s="1110"/>
      <c r="R89" s="1110"/>
      <c r="S89" s="1110"/>
      <c r="T89" s="1110"/>
      <c r="U89" s="1110"/>
      <c r="V89" s="1110"/>
      <c r="W89" s="1110"/>
      <c r="X89" s="1110"/>
      <c r="Y89" s="1110"/>
      <c r="Z89" s="1110"/>
      <c r="AA89" s="1110"/>
      <c r="AB89" s="1110"/>
      <c r="AC89" s="1110"/>
      <c r="AD89" s="1110"/>
      <c r="AE89" s="1110"/>
      <c r="AF89" s="1110"/>
      <c r="AG89" s="1110"/>
      <c r="AH89" s="1110"/>
      <c r="AI89" s="1110"/>
      <c r="AJ89" s="1110"/>
      <c r="AK89" s="1110"/>
      <c r="AL89" s="1110"/>
      <c r="BB89" s="1110"/>
      <c r="BC89" s="1110"/>
      <c r="BD89" s="1110"/>
      <c r="BE89" s="1110"/>
      <c r="BF89" s="1110"/>
      <c r="BG89" s="1110"/>
      <c r="BH89" s="1110"/>
      <c r="BI89" s="1110"/>
      <c r="BJ89" s="1110"/>
      <c r="BK89" s="1110"/>
      <c r="BL89" s="1110"/>
      <c r="BM89" s="1110"/>
      <c r="BN89" s="1110"/>
      <c r="BO89" s="1110"/>
      <c r="BP89" s="1110"/>
      <c r="BQ89" s="1110"/>
      <c r="BR89" s="1110"/>
      <c r="BS89" s="1110"/>
      <c r="BT89" s="1110"/>
      <c r="BU89" s="1110"/>
      <c r="BV89" s="1110"/>
      <c r="BW89" s="1110"/>
      <c r="BX89" s="1110"/>
      <c r="BY89" s="1110"/>
      <c r="BZ89" s="1110"/>
      <c r="CA89" s="1110"/>
      <c r="CB89" s="1110"/>
      <c r="CC89" s="1110"/>
      <c r="CD89" s="1110"/>
      <c r="CE89" s="1110"/>
      <c r="CF89" s="1110"/>
      <c r="CG89" s="1600"/>
      <c r="CH89" s="1601"/>
      <c r="CI89" s="1601"/>
      <c r="CJ89" s="1601"/>
      <c r="CK89" s="1601"/>
      <c r="CL89" s="1601"/>
      <c r="CM89" s="1601"/>
      <c r="CN89" s="1601"/>
      <c r="CO89" s="1601"/>
      <c r="CP89" s="1601"/>
      <c r="CQ89" s="1601"/>
      <c r="CR89" s="1601"/>
      <c r="CS89" s="1602"/>
      <c r="CW89" s="1110"/>
      <c r="CX89" s="1110"/>
      <c r="CY89" s="1110"/>
      <c r="CZ89" s="1110"/>
      <c r="DA89" s="1110"/>
      <c r="DB89" s="1110"/>
      <c r="DC89" s="1110"/>
      <c r="DD89" s="1110"/>
      <c r="DE89" s="1110"/>
      <c r="DF89" s="1110"/>
      <c r="DG89" s="1110"/>
      <c r="DH89" s="1110"/>
      <c r="DI89" s="1110"/>
      <c r="DJ89" s="1110"/>
      <c r="DK89" s="1110"/>
      <c r="DL89" s="1110"/>
      <c r="DM89" s="1110"/>
      <c r="DN89" s="1110"/>
      <c r="DO89" s="1110"/>
      <c r="DP89" s="1110"/>
      <c r="DQ89" s="1110"/>
      <c r="DR89" s="1110"/>
      <c r="DS89" s="1110"/>
      <c r="DT89" s="1110"/>
      <c r="DU89" s="1110"/>
      <c r="DV89" s="1110"/>
    </row>
    <row r="90" spans="5:126">
      <c r="F90" s="1110"/>
      <c r="G90" s="1110"/>
      <c r="H90" s="1110"/>
      <c r="I90" s="1110"/>
      <c r="J90" s="1110"/>
      <c r="K90" s="1110"/>
      <c r="L90" s="1110"/>
      <c r="M90" s="1110"/>
      <c r="N90" s="1110"/>
      <c r="O90" s="1110"/>
      <c r="P90" s="1110"/>
      <c r="Q90" s="1110"/>
      <c r="R90" s="1110"/>
      <c r="S90" s="1110"/>
      <c r="T90" s="1110"/>
      <c r="U90" s="1110"/>
      <c r="V90" s="1110"/>
      <c r="W90" s="1110"/>
      <c r="X90" s="1110"/>
      <c r="Y90" s="1110"/>
      <c r="Z90" s="1110"/>
      <c r="AA90" s="1110"/>
      <c r="AB90" s="1110"/>
      <c r="AC90" s="1110"/>
      <c r="AD90" s="1110"/>
      <c r="AE90" s="1494" t="str">
        <f>'Revenue Build'!C222</f>
        <v>Subscription solutions revenue components</v>
      </c>
      <c r="AF90" s="1486" t="str">
        <f>+AF82</f>
        <v>3Q22A</v>
      </c>
      <c r="AG90" s="1486" t="str">
        <f t="shared" ref="AG90:AN90" si="66">+AG82</f>
        <v>4Q22A</v>
      </c>
      <c r="AH90" s="1486" t="str">
        <f t="shared" si="66"/>
        <v>1Q23A</v>
      </c>
      <c r="AI90" s="1486" t="str">
        <f t="shared" si="66"/>
        <v>2Q23A</v>
      </c>
      <c r="AJ90" s="1486" t="str">
        <f t="shared" si="66"/>
        <v>3Q23A</v>
      </c>
      <c r="AK90" s="1486" t="str">
        <f t="shared" si="66"/>
        <v>4Q23A</v>
      </c>
      <c r="AL90" s="1486" t="str">
        <f t="shared" si="66"/>
        <v>1Q24A</v>
      </c>
      <c r="AM90" s="1486" t="str">
        <f t="shared" si="66"/>
        <v>2Q24A</v>
      </c>
      <c r="AN90" s="1486" t="str">
        <f t="shared" si="66"/>
        <v>3Q24A</v>
      </c>
      <c r="BB90" s="1110"/>
      <c r="BC90" s="1110"/>
      <c r="BD90" s="1110"/>
      <c r="BE90" s="1110"/>
      <c r="BF90" s="1110"/>
      <c r="BG90" s="1110"/>
      <c r="BH90" s="1110"/>
      <c r="BI90" s="1110"/>
      <c r="BJ90" s="1110"/>
      <c r="BK90" s="1110"/>
      <c r="BL90" s="1110"/>
      <c r="BM90" s="1110"/>
      <c r="BN90" s="1110"/>
      <c r="BO90" s="1110"/>
      <c r="BP90" s="1110"/>
      <c r="BQ90" s="1110"/>
      <c r="BR90" s="1110"/>
      <c r="BS90" s="1110"/>
      <c r="BT90" s="1110"/>
      <c r="BU90" s="1110"/>
      <c r="BV90" s="1110"/>
      <c r="BW90" s="1110"/>
      <c r="BX90" s="1110"/>
      <c r="BY90" s="1110"/>
      <c r="BZ90" s="1110"/>
      <c r="CA90" s="1110"/>
      <c r="CB90" s="1110"/>
      <c r="CC90" s="1110"/>
      <c r="CD90" s="1110"/>
      <c r="CE90" s="1110"/>
      <c r="CF90" s="1110"/>
      <c r="CG90" s="1600"/>
      <c r="CH90" s="1601"/>
      <c r="CI90" s="1601"/>
      <c r="CJ90" s="1601"/>
      <c r="CK90" s="1601"/>
      <c r="CL90" s="1601"/>
      <c r="CM90" s="1601"/>
      <c r="CN90" s="1601"/>
      <c r="CO90" s="1601"/>
      <c r="CP90" s="1601"/>
      <c r="CQ90" s="1601"/>
      <c r="CR90" s="1601"/>
      <c r="CS90" s="1602"/>
      <c r="CW90" s="1110"/>
      <c r="CX90" s="1110"/>
      <c r="CY90" s="1110"/>
      <c r="CZ90" s="1110"/>
      <c r="DA90" s="1110"/>
      <c r="DB90" s="1110"/>
      <c r="DC90" s="1110"/>
      <c r="DD90" s="1110"/>
      <c r="DE90" s="1110"/>
      <c r="DF90" s="1110"/>
      <c r="DG90" s="1110"/>
      <c r="DH90" s="1110"/>
      <c r="DI90" s="1110"/>
      <c r="DJ90" s="1110"/>
      <c r="DK90" s="1110"/>
      <c r="DL90" s="1110"/>
      <c r="DM90" s="1110"/>
      <c r="DN90" s="1110"/>
      <c r="DO90" s="1110"/>
      <c r="DP90" s="1110"/>
      <c r="DQ90" s="1110"/>
      <c r="DR90" s="1110"/>
      <c r="DS90" s="1110"/>
      <c r="DT90" s="1110"/>
      <c r="DU90" s="1110"/>
      <c r="DV90" s="1110"/>
    </row>
    <row r="91" spans="5:126">
      <c r="F91" s="1110"/>
      <c r="G91" s="1110"/>
      <c r="H91" s="1110"/>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494" t="str">
        <f>'Revenue Build'!C227</f>
        <v>Standard revenue % subscription solutions revenue</v>
      </c>
      <c r="AF91" s="1495">
        <f>'Revenue Build'!DB227</f>
        <v>0.57999999999999996</v>
      </c>
      <c r="AG91" s="1495">
        <f>'Revenue Build'!DC227</f>
        <v>0.54</v>
      </c>
      <c r="AH91" s="1495">
        <f>'Revenue Build'!DE227</f>
        <v>0.59</v>
      </c>
      <c r="AI91" s="1495">
        <f>'Revenue Build'!DF227</f>
        <v>0.59</v>
      </c>
      <c r="AJ91" s="1495">
        <f>'Revenue Build'!DG227</f>
        <v>0.6</v>
      </c>
      <c r="AK91" s="1495">
        <f>'Revenue Build'!DH227</f>
        <v>0.56000000000000005</v>
      </c>
      <c r="AL91" s="1495">
        <f>'Revenue Build'!DJ227</f>
        <v>0.6</v>
      </c>
      <c r="AM91" s="1495">
        <f>'Revenue Build'!DK227</f>
        <v>0.6</v>
      </c>
      <c r="AN91" s="1496">
        <v>0.58660000000000001</v>
      </c>
      <c r="BB91" s="1110"/>
      <c r="BC91" s="1110"/>
      <c r="BD91" s="1110"/>
      <c r="BE91" s="1110"/>
      <c r="BF91" s="1110"/>
      <c r="BG91" s="1110"/>
      <c r="BH91" s="1110"/>
      <c r="BI91" s="1110"/>
      <c r="BJ91" s="1110"/>
      <c r="BK91" s="1110"/>
      <c r="BL91" s="1110"/>
      <c r="BM91" s="1110"/>
      <c r="BN91" s="1110"/>
      <c r="BO91" s="1110"/>
      <c r="BP91" s="1110"/>
      <c r="BQ91" s="1110"/>
      <c r="BR91" s="1110"/>
      <c r="BS91" s="1110"/>
      <c r="BT91" s="1110"/>
      <c r="BU91" s="1110"/>
      <c r="BV91" s="1110"/>
      <c r="BW91" s="1110"/>
      <c r="BX91" s="1110"/>
      <c r="BY91" s="1110"/>
      <c r="BZ91" s="1110"/>
      <c r="CA91" s="1110"/>
      <c r="CB91" s="1110"/>
      <c r="CC91" s="1110"/>
      <c r="CD91" s="1110"/>
      <c r="CE91" s="1110"/>
      <c r="CF91" s="1110"/>
      <c r="CG91" s="1600"/>
      <c r="CH91" s="1601"/>
      <c r="CI91" s="1601"/>
      <c r="CJ91" s="1601"/>
      <c r="CK91" s="1601"/>
      <c r="CL91" s="1601"/>
      <c r="CM91" s="1601"/>
      <c r="CN91" s="1601"/>
      <c r="CO91" s="1601"/>
      <c r="CP91" s="1601"/>
      <c r="CQ91" s="1601"/>
      <c r="CR91" s="1601"/>
      <c r="CS91" s="1602"/>
      <c r="CW91" s="1110"/>
      <c r="CX91" s="1110"/>
      <c r="CY91" s="1110"/>
      <c r="CZ91" s="1110"/>
      <c r="DA91" s="1110"/>
      <c r="DB91" s="1110"/>
      <c r="DC91" s="1110"/>
      <c r="DD91" s="1110"/>
      <c r="DE91" s="1110"/>
      <c r="DF91" s="1110"/>
      <c r="DG91" s="1110"/>
      <c r="DH91" s="1110"/>
      <c r="DI91" s="1110"/>
      <c r="DJ91" s="1110"/>
      <c r="DK91" s="1110"/>
      <c r="DL91" s="1110"/>
      <c r="DM91" s="1110"/>
      <c r="DN91" s="1110"/>
      <c r="DO91" s="1110"/>
      <c r="DP91" s="1110"/>
      <c r="DQ91" s="1110"/>
      <c r="DR91" s="1110"/>
      <c r="DS91" s="1110"/>
      <c r="DT91" s="1110"/>
      <c r="DU91" s="1110"/>
      <c r="DV91" s="1110"/>
    </row>
    <row r="92" spans="5:126">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494" t="str">
        <f>'Revenue Build'!C225</f>
        <v>Plus revenue % subscription solutions revenue</v>
      </c>
      <c r="AF92" s="1495">
        <f>'Revenue Build'!DB225</f>
        <v>0.27</v>
      </c>
      <c r="AG92" s="1495">
        <f>'Revenue Build'!DC225</f>
        <v>0.27</v>
      </c>
      <c r="AH92" s="1495">
        <f>'Revenue Build'!DE225</f>
        <v>0.3</v>
      </c>
      <c r="AI92" s="1495">
        <f>'Revenue Build'!DF225</f>
        <v>0.27</v>
      </c>
      <c r="AJ92" s="1495">
        <f>'Revenue Build'!DG225</f>
        <v>0.26</v>
      </c>
      <c r="AK92" s="1495">
        <f>'Revenue Build'!DH225</f>
        <v>0.25</v>
      </c>
      <c r="AL92" s="1495">
        <f>'Revenue Build'!DJ225</f>
        <v>0.27</v>
      </c>
      <c r="AM92" s="1495">
        <f>'Revenue Build'!DK225</f>
        <v>0.26</v>
      </c>
      <c r="AN92" s="1496">
        <v>0.2666</v>
      </c>
      <c r="BB92" s="1110"/>
      <c r="BC92" s="1110"/>
      <c r="BD92" s="1110"/>
      <c r="BE92" s="1110"/>
      <c r="BF92" s="1110"/>
      <c r="BG92" s="1110"/>
      <c r="BH92" s="1110"/>
      <c r="BI92" s="1110"/>
      <c r="BJ92" s="1110"/>
      <c r="BK92" s="1110"/>
      <c r="BL92" s="1110"/>
      <c r="BM92" s="1110"/>
      <c r="BN92" s="1110"/>
      <c r="BO92" s="1110"/>
      <c r="BP92" s="1110"/>
      <c r="BQ92" s="1110"/>
      <c r="BR92" s="1110"/>
      <c r="BS92" s="1110"/>
      <c r="BT92" s="1110"/>
      <c r="BU92" s="1110"/>
      <c r="BV92" s="1110"/>
      <c r="BW92" s="1110"/>
      <c r="BX92" s="1110"/>
      <c r="BY92" s="1110"/>
      <c r="BZ92" s="1110"/>
      <c r="CA92" s="1110"/>
      <c r="CB92" s="1110"/>
      <c r="CC92" s="1110"/>
      <c r="CD92" s="1110"/>
      <c r="CE92" s="1110"/>
      <c r="CF92" s="1110"/>
      <c r="CG92" s="1600"/>
      <c r="CH92" s="1601"/>
      <c r="CI92" s="1601"/>
      <c r="CJ92" s="1601"/>
      <c r="CK92" s="1601"/>
      <c r="CL92" s="1601"/>
      <c r="CM92" s="1601"/>
      <c r="CN92" s="1601"/>
      <c r="CO92" s="1601"/>
      <c r="CP92" s="1601"/>
      <c r="CQ92" s="1601"/>
      <c r="CR92" s="1601"/>
      <c r="CS92" s="1602"/>
      <c r="CW92" s="1110"/>
      <c r="CX92" s="1110"/>
      <c r="CY92" s="1110"/>
      <c r="CZ92" s="1110"/>
      <c r="DA92" s="1110"/>
      <c r="DB92" s="1110"/>
      <c r="DC92" s="1110"/>
      <c r="DD92" s="1110"/>
      <c r="DE92" s="1110"/>
      <c r="DF92" s="1110"/>
      <c r="DG92" s="1110"/>
      <c r="DH92" s="1110"/>
      <c r="DI92" s="1110"/>
      <c r="DJ92" s="1110"/>
      <c r="DK92" s="1110"/>
      <c r="DL92" s="1110"/>
      <c r="DM92" s="1110"/>
      <c r="DN92" s="1110"/>
      <c r="DO92" s="1110"/>
      <c r="DP92" s="1110"/>
      <c r="DQ92" s="1110"/>
      <c r="DR92" s="1110"/>
      <c r="DS92" s="1110"/>
      <c r="DT92" s="1110"/>
      <c r="DU92" s="1110"/>
      <c r="DV92" s="1110"/>
    </row>
    <row r="93" spans="5:126">
      <c r="F93" s="1110"/>
      <c r="G93" s="1110"/>
      <c r="H93" s="1110"/>
      <c r="I93" s="1110"/>
      <c r="J93" s="1110"/>
      <c r="K93" s="1110"/>
      <c r="L93" s="1110"/>
      <c r="M93" s="1110"/>
      <c r="N93" s="1110"/>
      <c r="O93" s="1110"/>
      <c r="P93" s="1110"/>
      <c r="Q93" s="1110"/>
      <c r="R93" s="1110"/>
      <c r="S93" s="1110"/>
      <c r="T93" s="1110"/>
      <c r="U93" s="1110"/>
      <c r="V93" s="1110"/>
      <c r="W93" s="1110"/>
      <c r="X93" s="1110"/>
      <c r="Y93" s="1110"/>
      <c r="Z93" s="1110"/>
      <c r="AA93" s="1110"/>
      <c r="AB93" s="1110"/>
      <c r="AC93" s="1110"/>
      <c r="AD93" s="1110"/>
      <c r="AE93" s="1494" t="str">
        <f>'Revenue Build'!C223</f>
        <v>Apps, Themes, Domains, Plus Platform Fees % SS revenue</v>
      </c>
      <c r="AF93" s="1495">
        <f>'Revenue Build'!DB223</f>
        <v>0.15</v>
      </c>
      <c r="AG93" s="1495">
        <f>'Revenue Build'!DC223</f>
        <v>0.19</v>
      </c>
      <c r="AH93" s="1495">
        <f>'Revenue Build'!DE223</f>
        <v>0.11</v>
      </c>
      <c r="AI93" s="1495">
        <f>'Revenue Build'!DF223</f>
        <v>0.14000000000000001</v>
      </c>
      <c r="AJ93" s="1495">
        <f>'Revenue Build'!DG223</f>
        <v>0.14000000000000001</v>
      </c>
      <c r="AK93" s="1495">
        <f>'Revenue Build'!DH223</f>
        <v>0.18</v>
      </c>
      <c r="AL93" s="1495">
        <f>'Revenue Build'!DJ223</f>
        <v>0.13</v>
      </c>
      <c r="AM93" s="1495">
        <f>'Revenue Build'!DK223</f>
        <v>0.14000000000000001</v>
      </c>
      <c r="AN93" s="1496">
        <v>0.14660000000000001</v>
      </c>
      <c r="BB93" s="1110"/>
      <c r="BC93" s="1110"/>
      <c r="BD93" s="1110"/>
      <c r="BE93" s="1110"/>
      <c r="BF93" s="1110"/>
      <c r="BG93" s="1110"/>
      <c r="BH93" s="1110"/>
      <c r="BI93" s="1110"/>
      <c r="BJ93" s="1110"/>
      <c r="BK93" s="1110"/>
      <c r="BL93" s="1110"/>
      <c r="BM93" s="1110"/>
      <c r="BN93" s="1110"/>
      <c r="BO93" s="1110"/>
      <c r="BP93" s="1110"/>
      <c r="BQ93" s="1110"/>
      <c r="BR93" s="1110"/>
      <c r="BS93" s="1110"/>
      <c r="BT93" s="1110"/>
      <c r="BU93" s="1110"/>
      <c r="BV93" s="1110"/>
      <c r="BW93" s="1110"/>
      <c r="BX93" s="1110"/>
      <c r="BY93" s="1110"/>
      <c r="BZ93" s="1110"/>
      <c r="CA93" s="1110"/>
      <c r="CB93" s="1110"/>
      <c r="CC93" s="1110"/>
      <c r="CD93" s="1110"/>
      <c r="CE93" s="1110"/>
      <c r="CF93" s="1110"/>
      <c r="CG93" s="1600"/>
      <c r="CH93" s="1601"/>
      <c r="CI93" s="1601"/>
      <c r="CJ93" s="1601"/>
      <c r="CK93" s="1601"/>
      <c r="CL93" s="1601"/>
      <c r="CM93" s="1601"/>
      <c r="CN93" s="1601"/>
      <c r="CO93" s="1601"/>
      <c r="CP93" s="1601"/>
      <c r="CQ93" s="1601"/>
      <c r="CR93" s="1601"/>
      <c r="CS93" s="1602"/>
      <c r="CW93" s="1110"/>
      <c r="CX93" s="1110"/>
      <c r="CY93" s="1110"/>
      <c r="CZ93" s="1110"/>
      <c r="DA93" s="1110"/>
      <c r="DB93" s="1110"/>
      <c r="DC93" s="1110"/>
      <c r="DD93" s="1110"/>
      <c r="DE93" s="1110"/>
      <c r="DF93" s="1110"/>
      <c r="DG93" s="1110"/>
      <c r="DH93" s="1110"/>
      <c r="DI93" s="1110"/>
      <c r="DJ93" s="1110"/>
      <c r="DK93" s="1110"/>
      <c r="DL93" s="1110"/>
      <c r="DM93" s="1110"/>
      <c r="DN93" s="1110"/>
      <c r="DO93" s="1110"/>
      <c r="DP93" s="1110"/>
      <c r="DQ93" s="1110"/>
      <c r="DR93" s="1110"/>
      <c r="DS93" s="1110"/>
      <c r="DT93" s="1110"/>
      <c r="DU93" s="1110"/>
      <c r="DV93" s="1110"/>
    </row>
    <row r="94" spans="5:126">
      <c r="F94" s="1110"/>
      <c r="G94" s="1110"/>
      <c r="H94" s="1110"/>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BB94" s="1110"/>
      <c r="BC94" s="1110"/>
      <c r="BD94" s="1110"/>
      <c r="BE94" s="1110"/>
      <c r="BF94" s="1110"/>
      <c r="BG94" s="1110"/>
      <c r="BH94" s="1110"/>
      <c r="BI94" s="1110"/>
      <c r="BJ94" s="1110"/>
      <c r="BK94" s="1110"/>
      <c r="BL94" s="1110"/>
      <c r="BM94" s="1110"/>
      <c r="BN94" s="1110"/>
      <c r="BO94" s="1110"/>
      <c r="BP94" s="1110"/>
      <c r="BQ94" s="1110"/>
      <c r="BR94" s="1110"/>
      <c r="BS94" s="1110"/>
      <c r="BT94" s="1110"/>
      <c r="BU94" s="1110"/>
      <c r="BV94" s="1110"/>
      <c r="BW94" s="1110"/>
      <c r="BX94" s="1110"/>
      <c r="BY94" s="1110"/>
      <c r="BZ94" s="1110"/>
      <c r="CA94" s="1110"/>
      <c r="CB94" s="1110"/>
      <c r="CC94" s="1110"/>
      <c r="CD94" s="1110"/>
      <c r="CE94" s="1110"/>
      <c r="CF94" s="1110"/>
      <c r="CG94" s="1600"/>
      <c r="CH94" s="1601"/>
      <c r="CI94" s="1601"/>
      <c r="CJ94" s="1601"/>
      <c r="CK94" s="1601"/>
      <c r="CL94" s="1601"/>
      <c r="CM94" s="1601"/>
      <c r="CN94" s="1601"/>
      <c r="CO94" s="1601"/>
      <c r="CP94" s="1601"/>
      <c r="CQ94" s="1601"/>
      <c r="CR94" s="1601"/>
      <c r="CS94" s="1602"/>
      <c r="CW94" s="1110"/>
      <c r="CX94" s="1110"/>
      <c r="CY94" s="1110"/>
      <c r="CZ94" s="1110"/>
      <c r="DA94" s="1110"/>
      <c r="DB94" s="1110"/>
      <c r="DC94" s="1110"/>
      <c r="DD94" s="1110"/>
      <c r="DE94" s="1110"/>
      <c r="DF94" s="1110"/>
      <c r="DG94" s="1110"/>
      <c r="DH94" s="1110"/>
      <c r="DI94" s="1110"/>
      <c r="DJ94" s="1110"/>
      <c r="DK94" s="1110"/>
      <c r="DL94" s="1110"/>
      <c r="DM94" s="1110"/>
      <c r="DN94" s="1110"/>
      <c r="DO94" s="1110"/>
      <c r="DP94" s="1110"/>
      <c r="DQ94" s="1110"/>
      <c r="DR94" s="1110"/>
      <c r="DS94" s="1110"/>
      <c r="DT94" s="1110"/>
      <c r="DU94" s="1110"/>
      <c r="DV94" s="1110"/>
    </row>
    <row r="95" spans="5:126">
      <c r="F95" s="1110"/>
      <c r="G95" s="1110"/>
      <c r="H95" s="1110"/>
      <c r="I95" s="1110"/>
      <c r="J95" s="1110"/>
      <c r="K95" s="1110"/>
      <c r="L95" s="1110"/>
      <c r="M95" s="1110"/>
      <c r="N95" s="1110"/>
      <c r="O95" s="1110"/>
      <c r="P95" s="1110"/>
      <c r="Q95" s="1110"/>
      <c r="R95" s="1110"/>
      <c r="S95" s="1110"/>
      <c r="T95" s="1110"/>
      <c r="U95" s="1110"/>
      <c r="V95" s="1110"/>
      <c r="W95" s="1110"/>
      <c r="X95" s="1110"/>
      <c r="Y95" s="1110"/>
      <c r="Z95" s="1110"/>
      <c r="AA95" s="1110"/>
      <c r="AB95" s="1110"/>
      <c r="AC95" s="1110"/>
      <c r="AD95" s="1110"/>
      <c r="AE95" s="1110"/>
      <c r="AF95" s="1486" t="str">
        <f>+AF90</f>
        <v>3Q22A</v>
      </c>
      <c r="AG95" s="1486" t="str">
        <f t="shared" ref="AG95:AN95" si="67">+AG90</f>
        <v>4Q22A</v>
      </c>
      <c r="AH95" s="1486" t="str">
        <f t="shared" si="67"/>
        <v>1Q23A</v>
      </c>
      <c r="AI95" s="1486" t="str">
        <f t="shared" si="67"/>
        <v>2Q23A</v>
      </c>
      <c r="AJ95" s="1486" t="str">
        <f t="shared" si="67"/>
        <v>3Q23A</v>
      </c>
      <c r="AK95" s="1486" t="str">
        <f t="shared" si="67"/>
        <v>4Q23A</v>
      </c>
      <c r="AL95" s="1486" t="str">
        <f t="shared" si="67"/>
        <v>1Q24A</v>
      </c>
      <c r="AM95" s="1486" t="str">
        <f t="shared" si="67"/>
        <v>2Q24A</v>
      </c>
      <c r="AN95" s="1486" t="str">
        <f t="shared" si="67"/>
        <v>3Q24A</v>
      </c>
      <c r="BB95" s="1110"/>
      <c r="BC95" s="1110"/>
      <c r="BD95" s="1110"/>
      <c r="BE95" s="1110"/>
      <c r="BF95" s="1110"/>
      <c r="BG95" s="1110"/>
      <c r="BH95" s="1110"/>
      <c r="BI95" s="1110"/>
      <c r="BJ95" s="1110"/>
      <c r="BK95" s="1110"/>
      <c r="BL95" s="1110"/>
      <c r="BM95" s="1110"/>
      <c r="BN95" s="1110"/>
      <c r="BO95" s="1110"/>
      <c r="BP95" s="1110"/>
      <c r="BQ95" s="1110"/>
      <c r="BR95" s="1110"/>
      <c r="BS95" s="1110"/>
      <c r="BT95" s="1110"/>
      <c r="BU95" s="1110"/>
      <c r="BV95" s="1110"/>
      <c r="BW95" s="1110"/>
      <c r="BX95" s="1110"/>
      <c r="BY95" s="1110"/>
      <c r="BZ95" s="1110"/>
      <c r="CA95" s="1110"/>
      <c r="CB95" s="1110"/>
      <c r="CC95" s="1110"/>
      <c r="CD95" s="1110"/>
      <c r="CE95" s="1110"/>
      <c r="CF95" s="1110"/>
      <c r="CG95" s="1600"/>
      <c r="CH95" s="1601"/>
      <c r="CI95" s="1601"/>
      <c r="CJ95" s="1601"/>
      <c r="CK95" s="1601"/>
      <c r="CL95" s="1601"/>
      <c r="CM95" s="1601"/>
      <c r="CN95" s="1601"/>
      <c r="CO95" s="1601"/>
      <c r="CP95" s="1601"/>
      <c r="CQ95" s="1601"/>
      <c r="CR95" s="1601"/>
      <c r="CS95" s="1602"/>
      <c r="CW95" s="1110"/>
      <c r="CX95" s="1110"/>
      <c r="CY95" s="1110"/>
      <c r="CZ95" s="1110"/>
      <c r="DA95" s="1110"/>
      <c r="DB95" s="1110"/>
      <c r="DC95" s="1110"/>
      <c r="DD95" s="1110"/>
      <c r="DE95" s="1110"/>
      <c r="DF95" s="1110"/>
      <c r="DG95" s="1110"/>
      <c r="DH95" s="1110"/>
      <c r="DI95" s="1110"/>
      <c r="DJ95" s="1110"/>
      <c r="DK95" s="1110"/>
      <c r="DL95" s="1110"/>
      <c r="DM95" s="1110"/>
      <c r="DN95" s="1110"/>
      <c r="DO95" s="1110"/>
      <c r="DP95" s="1110"/>
      <c r="DQ95" s="1110"/>
      <c r="DR95" s="1110"/>
      <c r="DS95" s="1110"/>
      <c r="DT95" s="1110"/>
      <c r="DU95" s="1110"/>
      <c r="DV95" s="1110"/>
    </row>
    <row r="96" spans="5:126">
      <c r="F96" s="1110"/>
      <c r="G96" s="1110"/>
      <c r="H96" s="1110"/>
      <c r="I96" s="1110"/>
      <c r="J96" s="1110"/>
      <c r="K96" s="1110"/>
      <c r="L96" s="1110"/>
      <c r="M96" s="1110"/>
      <c r="N96" s="1110"/>
      <c r="O96" s="1110"/>
      <c r="P96" s="1110"/>
      <c r="Q96" s="1110"/>
      <c r="R96" s="1110"/>
      <c r="S96" s="1110"/>
      <c r="T96" s="1110"/>
      <c r="U96" s="1110"/>
      <c r="V96" s="1110"/>
      <c r="W96" s="1110"/>
      <c r="X96" s="1110"/>
      <c r="Y96" s="1110"/>
      <c r="Z96" s="1110"/>
      <c r="AA96" s="1110"/>
      <c r="AB96" s="1110"/>
      <c r="AC96" s="1110"/>
      <c r="AD96" s="1110"/>
      <c r="AE96" s="1494" t="str">
        <f>+'Revenue Build'!C231</f>
        <v>Standard revenue</v>
      </c>
      <c r="AF96" s="1498">
        <f>'Revenue Build'!DB231</f>
        <v>218.25457999999998</v>
      </c>
      <c r="AG96" s="1498">
        <f>'Revenue Build'!DC231</f>
        <v>216.13716000000002</v>
      </c>
      <c r="AH96" s="1498">
        <f>'Revenue Build'!DE231</f>
        <v>225.38</v>
      </c>
      <c r="AI96" s="1498">
        <f>'Revenue Build'!DF231</f>
        <v>261.95999999999998</v>
      </c>
      <c r="AJ96" s="1498">
        <f>'Revenue Build'!DG231</f>
        <v>291.59999999999997</v>
      </c>
      <c r="AK96" s="1498">
        <f>'Revenue Build'!DH231</f>
        <v>294</v>
      </c>
      <c r="AL96" s="1499">
        <f>'Revenue Build'!DJ231</f>
        <v>306.59999999999997</v>
      </c>
      <c r="AM96" s="1499">
        <f>'Revenue Build'!DK231</f>
        <v>337.8</v>
      </c>
      <c r="AN96" s="1499">
        <f>'Revenue Build'!DL231</f>
        <v>358.54397</v>
      </c>
      <c r="BB96" s="1110"/>
      <c r="BC96" s="1110"/>
      <c r="BD96" s="1110"/>
      <c r="BE96" s="1110"/>
      <c r="BF96" s="1110"/>
      <c r="BG96" s="1110"/>
      <c r="BH96" s="1110"/>
      <c r="BI96" s="1110"/>
      <c r="BJ96" s="1110"/>
      <c r="BK96" s="1110"/>
      <c r="BL96" s="1110"/>
      <c r="BM96" s="1110"/>
      <c r="BN96" s="1110"/>
      <c r="BO96" s="1110"/>
      <c r="BP96" s="1110"/>
      <c r="BQ96" s="1110"/>
      <c r="BR96" s="1110"/>
      <c r="BS96" s="1110"/>
      <c r="BT96" s="1110"/>
      <c r="BU96" s="1110"/>
      <c r="BV96" s="1110"/>
      <c r="BW96" s="1110"/>
      <c r="BX96" s="1110"/>
      <c r="BY96" s="1110"/>
      <c r="BZ96" s="1110"/>
      <c r="CA96" s="1110"/>
      <c r="CB96" s="1110"/>
      <c r="CC96" s="1110"/>
      <c r="CD96" s="1110"/>
      <c r="CE96" s="1110"/>
      <c r="CF96" s="1110"/>
      <c r="CG96" s="1600"/>
      <c r="CH96" s="1601"/>
      <c r="CI96" s="1601"/>
      <c r="CJ96" s="1601"/>
      <c r="CK96" s="1601"/>
      <c r="CL96" s="1601"/>
      <c r="CM96" s="1601"/>
      <c r="CN96" s="1601"/>
      <c r="CO96" s="1601"/>
      <c r="CP96" s="1601"/>
      <c r="CQ96" s="1601"/>
      <c r="CR96" s="1601"/>
      <c r="CS96" s="1602"/>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row>
    <row r="97" spans="5:153">
      <c r="F97" s="1110"/>
      <c r="G97" s="1110"/>
      <c r="H97" s="1110"/>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494" t="str">
        <f>+'Revenue Build'!C233</f>
        <v>Plus revenue</v>
      </c>
      <c r="AF97" s="1498">
        <f>'Revenue Build'!DB233</f>
        <v>101.60127</v>
      </c>
      <c r="AG97" s="1498">
        <f>'Revenue Build'!DC233</f>
        <v>108.06858000000001</v>
      </c>
      <c r="AH97" s="1498">
        <f>'Revenue Build'!DE233</f>
        <v>114.6</v>
      </c>
      <c r="AI97" s="1498">
        <f>'Revenue Build'!DF233</f>
        <v>119.88000000000001</v>
      </c>
      <c r="AJ97" s="1498">
        <f>'Revenue Build'!DG233</f>
        <v>126.36</v>
      </c>
      <c r="AK97" s="1498">
        <f>'Revenue Build'!DH233</f>
        <v>131.25</v>
      </c>
      <c r="AL97" s="1499">
        <f>'Revenue Build'!DJ233</f>
        <v>137.97</v>
      </c>
      <c r="AM97" s="1499">
        <f>'Revenue Build'!DK233</f>
        <v>146.38</v>
      </c>
      <c r="AN97" s="1499">
        <f>'Revenue Build'!DL233</f>
        <v>163.34396999999998</v>
      </c>
      <c r="BB97" s="1110"/>
      <c r="BC97" s="1110"/>
      <c r="BD97" s="1110"/>
      <c r="BE97" s="1110"/>
      <c r="BF97" s="1110"/>
      <c r="BG97" s="1110"/>
      <c r="BH97" s="1110"/>
      <c r="BI97" s="1110"/>
      <c r="BJ97" s="1110"/>
      <c r="BK97" s="1110"/>
      <c r="BL97" s="1110"/>
      <c r="BM97" s="1110"/>
      <c r="BN97" s="1110"/>
      <c r="BO97" s="1110"/>
      <c r="BP97" s="1110"/>
      <c r="BQ97" s="1110"/>
      <c r="BR97" s="1110"/>
      <c r="BS97" s="1110"/>
      <c r="BT97" s="1110"/>
      <c r="BU97" s="1110"/>
      <c r="BV97" s="1110"/>
      <c r="BW97" s="1110"/>
      <c r="BX97" s="1110"/>
      <c r="BY97" s="1110"/>
      <c r="BZ97" s="1110"/>
      <c r="CA97" s="1110"/>
      <c r="CB97" s="1110"/>
      <c r="CC97" s="1110"/>
      <c r="CD97" s="1110"/>
      <c r="CE97" s="1110"/>
      <c r="CF97" s="1110"/>
      <c r="CG97" s="1600"/>
      <c r="CH97" s="1601"/>
      <c r="CI97" s="1601"/>
      <c r="CJ97" s="1601"/>
      <c r="CK97" s="1601"/>
      <c r="CL97" s="1601"/>
      <c r="CM97" s="1601"/>
      <c r="CN97" s="1601"/>
      <c r="CO97" s="1601"/>
      <c r="CP97" s="1601"/>
      <c r="CQ97" s="1601"/>
      <c r="CR97" s="1601"/>
      <c r="CS97" s="1602"/>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row>
    <row r="98" spans="5:153">
      <c r="E98" s="1110"/>
      <c r="F98" s="1110"/>
      <c r="G98" s="1110"/>
      <c r="H98" s="1110"/>
      <c r="I98" s="1110"/>
      <c r="J98" s="1110"/>
      <c r="K98" s="1110"/>
      <c r="L98" s="1110"/>
      <c r="M98" s="1110"/>
      <c r="N98" s="1110"/>
      <c r="O98" s="1110"/>
      <c r="P98" s="1110"/>
      <c r="Q98" s="1110"/>
      <c r="R98" s="1110"/>
      <c r="S98" s="1110"/>
      <c r="T98" s="1110"/>
      <c r="U98" s="1110"/>
      <c r="V98" s="1110"/>
      <c r="W98" s="1110"/>
      <c r="X98" s="1110"/>
      <c r="Y98" s="1110"/>
      <c r="Z98" s="1110"/>
      <c r="AA98" s="1110"/>
      <c r="AB98" s="1110"/>
      <c r="AC98" s="1110"/>
      <c r="AD98" s="1110"/>
      <c r="AE98" s="1494" t="str">
        <f>+'Revenue Build'!C235</f>
        <v>Apps, Themes, Domains, and Plus Platform Fees</v>
      </c>
      <c r="AF98" s="1498">
        <f>'Revenue Build'!DB235</f>
        <v>56.445149999999998</v>
      </c>
      <c r="AG98" s="1498">
        <f>'Revenue Build'!DC235</f>
        <v>76.048259999999999</v>
      </c>
      <c r="AH98" s="1498">
        <f>'Revenue Build'!DE235</f>
        <v>42.02</v>
      </c>
      <c r="AI98" s="1498">
        <f>'Revenue Build'!DF235</f>
        <v>62.160000000000004</v>
      </c>
      <c r="AJ98" s="1498">
        <f>'Revenue Build'!DG235</f>
        <v>68.040000000000006</v>
      </c>
      <c r="AK98" s="1498">
        <f>'Revenue Build'!DH235</f>
        <v>94.5</v>
      </c>
      <c r="AL98" s="1498">
        <f>'Revenue Build'!DJ235</f>
        <v>66.430000000000007</v>
      </c>
      <c r="AM98" s="1498">
        <f>'Revenue Build'!DK235</f>
        <v>78.820000000000007</v>
      </c>
      <c r="AN98" s="1498">
        <f>'Revenue Build'!DL235</f>
        <v>90.144397000000012</v>
      </c>
      <c r="AQ98" s="1110"/>
      <c r="AR98" s="1110"/>
      <c r="AS98" s="1110"/>
      <c r="AT98" s="1110"/>
      <c r="AU98" s="1110"/>
      <c r="AV98" s="1110"/>
      <c r="AW98" s="1110"/>
      <c r="AX98" s="1110"/>
      <c r="AY98" s="1110"/>
      <c r="AZ98" s="1110"/>
      <c r="BA98" s="1110"/>
      <c r="BB98" s="1110"/>
      <c r="BC98" s="1110"/>
      <c r="BD98" s="1110"/>
      <c r="BE98" s="1110"/>
      <c r="BF98" s="1110"/>
      <c r="BG98" s="1110"/>
      <c r="BH98" s="1110"/>
      <c r="BI98" s="1110"/>
      <c r="BJ98" s="1110"/>
      <c r="BK98" s="1110"/>
      <c r="BL98" s="1110"/>
      <c r="BM98" s="1110"/>
      <c r="BN98" s="1110"/>
      <c r="BO98" s="1110"/>
      <c r="BP98" s="1110"/>
      <c r="BQ98" s="1110"/>
      <c r="BR98" s="1110"/>
      <c r="BS98" s="1110"/>
      <c r="BT98" s="1110"/>
      <c r="BU98" s="1110"/>
      <c r="BV98" s="1110"/>
      <c r="BW98" s="1110"/>
      <c r="BX98" s="1110"/>
      <c r="BY98" s="1110"/>
      <c r="BZ98" s="1110"/>
      <c r="CA98" s="1110"/>
      <c r="CB98" s="1110"/>
      <c r="CC98" s="1110"/>
      <c r="CD98" s="1110"/>
      <c r="CE98" s="1110"/>
      <c r="CF98" s="1110"/>
      <c r="CG98" s="1600"/>
      <c r="CH98" s="1601"/>
      <c r="CI98" s="1601"/>
      <c r="CJ98" s="1601"/>
      <c r="CK98" s="1601"/>
      <c r="CL98" s="1601"/>
      <c r="CM98" s="1601"/>
      <c r="CN98" s="1601"/>
      <c r="CO98" s="1601"/>
      <c r="CP98" s="1601"/>
      <c r="CQ98" s="1601"/>
      <c r="CR98" s="1601"/>
      <c r="CS98" s="1602"/>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row>
    <row r="99" spans="5:153">
      <c r="E99" s="1110"/>
      <c r="F99" s="1110"/>
      <c r="G99" s="1110"/>
      <c r="H99" s="1110"/>
      <c r="I99" s="1110"/>
      <c r="J99" s="1110"/>
      <c r="K99" s="1110"/>
      <c r="L99" s="1110"/>
      <c r="M99" s="1110"/>
      <c r="N99" s="1110"/>
      <c r="O99" s="1110"/>
      <c r="P99" s="1110"/>
      <c r="Q99" s="1110"/>
      <c r="R99" s="1110"/>
      <c r="S99" s="1110"/>
      <c r="T99" s="1110"/>
      <c r="U99" s="1110"/>
      <c r="V99" s="1110"/>
      <c r="W99" s="1110"/>
      <c r="X99" s="1110"/>
      <c r="Y99" s="1110"/>
      <c r="Z99" s="1110"/>
      <c r="AA99" s="1110"/>
      <c r="AB99" s="1110"/>
      <c r="AC99" s="1110"/>
      <c r="AD99" s="1110"/>
      <c r="AE99" s="1494" t="str">
        <f>+'Revenue Build'!C237</f>
        <v>Subscription solutions revenue</v>
      </c>
      <c r="AF99" s="1498">
        <f>'Revenue Build'!DB237</f>
        <v>376.30099999999999</v>
      </c>
      <c r="AG99" s="1498">
        <f>'Revenue Build'!DC237</f>
        <v>400.25400000000002</v>
      </c>
      <c r="AH99" s="1498">
        <f>'Revenue Build'!DE237</f>
        <v>382</v>
      </c>
      <c r="AI99" s="1498">
        <f>'Revenue Build'!DF237</f>
        <v>444</v>
      </c>
      <c r="AJ99" s="1498">
        <f>'Revenue Build'!DG237</f>
        <v>486</v>
      </c>
      <c r="AK99" s="1498">
        <f>'Revenue Build'!DH237</f>
        <v>525</v>
      </c>
      <c r="AL99" s="1498">
        <f>'Revenue Build'!DJ237</f>
        <v>511</v>
      </c>
      <c r="AM99" s="1498">
        <f>'Revenue Build'!DK237</f>
        <v>563</v>
      </c>
      <c r="AN99" s="1498">
        <f>'Revenue Build'!DL237</f>
        <v>610</v>
      </c>
      <c r="AQ99" s="1110"/>
      <c r="AR99" s="1110"/>
      <c r="AS99" s="1110"/>
      <c r="AT99" s="1110"/>
      <c r="AU99" s="1110"/>
      <c r="AV99" s="1110"/>
      <c r="AW99" s="1110"/>
      <c r="AX99" s="1110"/>
      <c r="AY99" s="1110"/>
      <c r="AZ99" s="1110"/>
      <c r="BA99" s="1110"/>
      <c r="BB99" s="1110"/>
      <c r="BC99" s="1110"/>
      <c r="BD99" s="1110"/>
      <c r="BE99" s="1110"/>
      <c r="BF99" s="1110"/>
      <c r="BG99" s="1110"/>
      <c r="BH99" s="1110"/>
      <c r="BI99" s="1110"/>
      <c r="BJ99" s="1110"/>
      <c r="BK99" s="1110"/>
      <c r="BL99" s="1110"/>
      <c r="BM99" s="1110"/>
      <c r="BN99" s="1110"/>
      <c r="BO99" s="1110"/>
      <c r="BP99" s="1110"/>
      <c r="BQ99" s="1110"/>
      <c r="BR99" s="1110"/>
      <c r="BS99" s="1110"/>
      <c r="BT99" s="1110"/>
      <c r="BU99" s="1110"/>
      <c r="BV99" s="1110"/>
      <c r="BW99" s="1110"/>
      <c r="BX99" s="1110"/>
      <c r="BY99" s="1110"/>
      <c r="BZ99" s="1110"/>
      <c r="CA99" s="1110"/>
      <c r="CB99" s="1110"/>
      <c r="CC99" s="1110"/>
      <c r="CD99" s="1110"/>
      <c r="CE99" s="1110"/>
      <c r="CF99" s="1110"/>
      <c r="CG99" s="1600"/>
      <c r="CH99" s="1601"/>
      <c r="CI99" s="1601"/>
      <c r="CJ99" s="1601"/>
      <c r="CK99" s="1601"/>
      <c r="CL99" s="1601"/>
      <c r="CM99" s="1601"/>
      <c r="CN99" s="1601"/>
      <c r="CO99" s="1601"/>
      <c r="CP99" s="1601"/>
      <c r="CQ99" s="1601"/>
      <c r="CR99" s="1601"/>
      <c r="CS99" s="1602"/>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row>
    <row r="100" spans="5:153">
      <c r="E100" s="1110"/>
      <c r="F100" s="1110"/>
      <c r="G100" s="1110"/>
      <c r="H100" s="1110"/>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c r="BS100" s="1110"/>
      <c r="BT100" s="1110"/>
      <c r="BU100" s="1110"/>
      <c r="BV100" s="1110"/>
      <c r="BW100" s="1110"/>
      <c r="BX100" s="1110"/>
      <c r="BY100" s="1110"/>
      <c r="BZ100" s="1110"/>
      <c r="CA100" s="1110"/>
      <c r="CB100" s="1110"/>
      <c r="CC100" s="1110"/>
      <c r="CD100" s="1110"/>
      <c r="CE100" s="1110"/>
      <c r="CF100" s="1110"/>
      <c r="CG100" s="1600"/>
      <c r="CH100" s="1601"/>
      <c r="CI100" s="1601"/>
      <c r="CJ100" s="1601"/>
      <c r="CK100" s="1601"/>
      <c r="CL100" s="1601"/>
      <c r="CM100" s="1601"/>
      <c r="CN100" s="1601"/>
      <c r="CO100" s="1601"/>
      <c r="CP100" s="1601"/>
      <c r="CQ100" s="1601"/>
      <c r="CR100" s="1601"/>
      <c r="CS100" s="1602"/>
      <c r="CW100" s="1110"/>
      <c r="CX100" s="1110"/>
      <c r="CY100" s="1110"/>
      <c r="CZ100" s="1110"/>
      <c r="DA100" s="1110"/>
      <c r="DB100" s="1110"/>
      <c r="DC100" s="1110"/>
      <c r="DD100" s="1110"/>
      <c r="DE100" s="1110"/>
      <c r="DF100" s="1110"/>
      <c r="DG100" s="1110"/>
      <c r="DH100" s="1110"/>
      <c r="DI100" s="1110"/>
      <c r="DJ100" s="1110"/>
      <c r="DK100" s="1110"/>
      <c r="DL100" s="1110"/>
      <c r="DM100" s="1110"/>
      <c r="DN100" s="1110"/>
      <c r="DO100" s="1110"/>
      <c r="DP100" s="1110"/>
      <c r="DQ100" s="1110"/>
      <c r="DR100" s="1110"/>
      <c r="DS100" s="1110"/>
      <c r="DT100" s="1110"/>
      <c r="DU100" s="1110"/>
      <c r="DV100" s="1110"/>
      <c r="DW100" s="1110"/>
      <c r="DX100" s="1110"/>
      <c r="DY100" s="1110"/>
      <c r="DZ100" s="1110"/>
      <c r="EA100" s="1110"/>
      <c r="EB100" s="1110"/>
      <c r="EC100" s="1110"/>
      <c r="ED100" s="1110"/>
      <c r="EE100" s="1110"/>
      <c r="EF100" s="1110"/>
      <c r="EG100" s="1110"/>
      <c r="EH100" s="1110"/>
      <c r="EI100" s="1110"/>
      <c r="EJ100" s="1110"/>
      <c r="EK100" s="1110"/>
      <c r="EL100" s="1110"/>
      <c r="EM100" s="1110"/>
      <c r="EN100" s="1110"/>
      <c r="EO100" s="1110"/>
      <c r="EP100" s="1110"/>
      <c r="EQ100" s="1110"/>
      <c r="ER100" s="1110"/>
      <c r="ES100" s="1110"/>
      <c r="ET100" s="1110"/>
      <c r="EU100" s="1110"/>
      <c r="EV100" s="1110"/>
      <c r="EW100" s="1110"/>
    </row>
    <row r="101" spans="5:153">
      <c r="E101" s="1110"/>
      <c r="F101" s="1110"/>
      <c r="G101" s="1110"/>
      <c r="H101" s="1110"/>
      <c r="I101" s="1110"/>
      <c r="J101" s="1110"/>
      <c r="K101" s="1110"/>
      <c r="L101" s="1110"/>
      <c r="M101" s="1110"/>
      <c r="N101" s="1110"/>
      <c r="O101" s="1110"/>
      <c r="P101" s="1110"/>
      <c r="Q101" s="1110"/>
      <c r="R101" s="1110"/>
      <c r="S101" s="1110"/>
      <c r="T101" s="1110"/>
      <c r="U101" s="1110"/>
      <c r="V101" s="1110"/>
      <c r="W101" s="1110"/>
      <c r="X101" s="1110"/>
      <c r="Y101" s="1110"/>
      <c r="Z101" s="1110"/>
      <c r="AA101" s="1110"/>
      <c r="AB101" s="1110"/>
      <c r="AC101" s="1110"/>
      <c r="AD101" s="1110"/>
      <c r="AE101" s="1110"/>
      <c r="AF101" s="1110"/>
      <c r="AG101" s="1110"/>
      <c r="AH101" s="1110"/>
      <c r="AI101" s="1110"/>
      <c r="AJ101" s="1110"/>
      <c r="AK101" s="1110"/>
      <c r="AL101" s="1110"/>
      <c r="AM101" s="1110"/>
      <c r="AN101" s="1110"/>
      <c r="AO101" s="1110"/>
      <c r="AP101" s="1110"/>
      <c r="AQ101" s="1110"/>
      <c r="AR101" s="1110"/>
      <c r="AS101" s="1110"/>
      <c r="AT101" s="1110"/>
      <c r="AU101" s="1110"/>
      <c r="AV101" s="1110"/>
      <c r="AW101" s="1110"/>
      <c r="AX101" s="1110"/>
      <c r="AY101" s="1110"/>
      <c r="AZ101" s="1110"/>
      <c r="BA101" s="1110"/>
      <c r="BB101" s="1110"/>
      <c r="BC101" s="1110"/>
      <c r="BD101" s="1110"/>
      <c r="BE101" s="1110"/>
      <c r="BF101" s="1110"/>
      <c r="BG101" s="1110"/>
      <c r="BH101" s="1110"/>
      <c r="BI101" s="1110"/>
      <c r="BJ101" s="1110"/>
      <c r="BK101" s="1110"/>
      <c r="BL101" s="1110"/>
      <c r="BM101" s="1110"/>
      <c r="BN101" s="1110"/>
      <c r="BO101" s="1110"/>
      <c r="BP101" s="1110"/>
      <c r="BQ101" s="1110"/>
      <c r="BR101" s="1110"/>
      <c r="BS101" s="1110"/>
      <c r="BT101" s="1110"/>
      <c r="BU101" s="1110"/>
      <c r="BV101" s="1110"/>
      <c r="BW101" s="1110"/>
      <c r="BX101" s="1110"/>
      <c r="BY101" s="1110"/>
      <c r="BZ101" s="1110"/>
      <c r="CA101" s="1110"/>
      <c r="CB101" s="1110"/>
      <c r="CC101" s="1110"/>
      <c r="CD101" s="1110"/>
      <c r="CE101" s="1110"/>
      <c r="CF101" s="1110"/>
      <c r="CG101" s="1600"/>
      <c r="CH101" s="1601"/>
      <c r="CI101" s="1601"/>
      <c r="CJ101" s="1601"/>
      <c r="CK101" s="1601"/>
      <c r="CL101" s="1601"/>
      <c r="CM101" s="1601"/>
      <c r="CN101" s="1601"/>
      <c r="CO101" s="1601"/>
      <c r="CP101" s="1601"/>
      <c r="CQ101" s="1601"/>
      <c r="CR101" s="1601"/>
      <c r="CS101" s="1602"/>
      <c r="CW101" s="1110"/>
      <c r="CX101" s="1110"/>
      <c r="CY101" s="1110"/>
      <c r="CZ101" s="1110"/>
      <c r="DA101" s="1110"/>
      <c r="DB101" s="1110"/>
      <c r="DC101" s="1110"/>
      <c r="DD101" s="1110"/>
      <c r="DE101" s="1110"/>
      <c r="DF101" s="1110"/>
      <c r="DG101" s="1110"/>
      <c r="DH101" s="1110"/>
      <c r="DI101" s="1110"/>
      <c r="DJ101" s="1110"/>
      <c r="DK101" s="1110"/>
      <c r="DL101" s="1110"/>
      <c r="DM101" s="1110"/>
      <c r="DN101" s="1110"/>
      <c r="DO101" s="1110"/>
      <c r="DP101" s="1110"/>
      <c r="DQ101" s="1110"/>
      <c r="DR101" s="1110"/>
      <c r="DS101" s="1110"/>
      <c r="DT101" s="1110"/>
      <c r="DU101" s="1110"/>
      <c r="DV101" s="1110"/>
      <c r="DW101" s="1110"/>
      <c r="DX101" s="1110"/>
      <c r="DY101" s="1110"/>
      <c r="DZ101" s="1110"/>
      <c r="EA101" s="1110"/>
      <c r="EB101" s="1110"/>
      <c r="EC101" s="1110"/>
      <c r="ED101" s="1110"/>
      <c r="EE101" s="1110"/>
      <c r="EF101" s="1110"/>
      <c r="EG101" s="1110"/>
      <c r="EH101" s="1110"/>
      <c r="EI101" s="1110"/>
      <c r="EJ101" s="1110"/>
      <c r="EK101" s="1110"/>
      <c r="EL101" s="1110"/>
      <c r="EM101" s="1110"/>
      <c r="EN101" s="1110"/>
      <c r="EO101" s="1110"/>
      <c r="EP101" s="1110"/>
      <c r="EQ101" s="1110"/>
      <c r="ER101" s="1110"/>
      <c r="ES101" s="1110"/>
      <c r="ET101" s="1110"/>
      <c r="EU101" s="1110"/>
      <c r="EV101" s="1110"/>
      <c r="EW101" s="1110"/>
    </row>
    <row r="102" spans="5:153">
      <c r="E102" s="1110"/>
      <c r="F102" s="1110"/>
      <c r="G102" s="1110"/>
      <c r="H102" s="1110"/>
      <c r="I102" s="1110"/>
      <c r="J102" s="1110"/>
      <c r="K102" s="1110"/>
      <c r="L102" s="1110"/>
      <c r="M102" s="1110"/>
      <c r="N102" s="1110"/>
      <c r="O102" s="1110"/>
      <c r="P102" s="1110"/>
      <c r="Q102" s="1110"/>
      <c r="R102" s="1110"/>
      <c r="S102" s="1110"/>
      <c r="T102" s="1110"/>
      <c r="U102" s="1110"/>
      <c r="V102" s="1110"/>
      <c r="W102" s="1110"/>
      <c r="X102" s="1110"/>
      <c r="Y102" s="1110"/>
      <c r="Z102" s="1110"/>
      <c r="AA102" s="1110"/>
      <c r="AB102" s="1110"/>
      <c r="AC102" s="1110"/>
      <c r="AD102" s="1110"/>
      <c r="AE102" s="1110"/>
      <c r="AF102" s="1110"/>
      <c r="AG102" s="1110"/>
      <c r="AH102" s="1110"/>
      <c r="AI102" s="1110"/>
      <c r="AJ102" s="1110"/>
      <c r="AK102" s="1110"/>
      <c r="AL102" s="1110"/>
      <c r="AM102" s="1110"/>
      <c r="AN102" s="1110"/>
      <c r="AO102" s="1110"/>
      <c r="AP102" s="1110"/>
      <c r="AQ102" s="1110"/>
      <c r="AR102" s="1110"/>
      <c r="AS102" s="1110"/>
      <c r="AT102" s="1110"/>
      <c r="AU102" s="1110"/>
      <c r="AV102" s="1110"/>
      <c r="AW102" s="1110"/>
      <c r="AX102" s="1110"/>
      <c r="AY102" s="1110"/>
      <c r="AZ102" s="1110"/>
      <c r="BA102" s="1110"/>
      <c r="BB102" s="1110"/>
      <c r="BC102" s="1110"/>
      <c r="BD102" s="1110"/>
      <c r="BE102" s="1110"/>
      <c r="BF102" s="1110"/>
      <c r="BG102" s="1110"/>
      <c r="BH102" s="1110"/>
      <c r="BI102" s="1110"/>
      <c r="BJ102" s="1110"/>
      <c r="BK102" s="1110"/>
      <c r="BL102" s="1110"/>
      <c r="BM102" s="1110"/>
      <c r="BN102" s="1110"/>
      <c r="BO102" s="1110"/>
      <c r="BP102" s="1110"/>
      <c r="BQ102" s="1110"/>
      <c r="BR102" s="1110"/>
      <c r="BS102" s="1110"/>
      <c r="BT102" s="1110"/>
      <c r="BU102" s="1110"/>
      <c r="BV102" s="1110"/>
      <c r="BW102" s="1110"/>
      <c r="BX102" s="1110"/>
      <c r="BY102" s="1110"/>
      <c r="BZ102" s="1110"/>
      <c r="CA102" s="1110"/>
      <c r="CB102" s="1110"/>
      <c r="CC102" s="1110"/>
      <c r="CD102" s="1110"/>
      <c r="CE102" s="1110"/>
      <c r="CF102" s="1110"/>
      <c r="CG102" s="1600"/>
      <c r="CH102" s="1601"/>
      <c r="CI102" s="1601"/>
      <c r="CJ102" s="1601"/>
      <c r="CK102" s="1601"/>
      <c r="CL102" s="1601"/>
      <c r="CM102" s="1601"/>
      <c r="CN102" s="1601"/>
      <c r="CO102" s="1601"/>
      <c r="CP102" s="1601"/>
      <c r="CQ102" s="1601"/>
      <c r="CR102" s="1601"/>
      <c r="CS102" s="1602"/>
      <c r="DM102" s="1110"/>
      <c r="DN102" s="1110"/>
      <c r="DO102" s="1110"/>
      <c r="DP102" s="1110"/>
      <c r="DQ102" s="1110"/>
      <c r="DR102" s="1110"/>
      <c r="DS102" s="1110"/>
      <c r="DT102" s="1110"/>
      <c r="DU102" s="1110"/>
      <c r="DV102" s="1110"/>
      <c r="DW102" s="1110"/>
      <c r="DX102" s="1110"/>
      <c r="DY102" s="1110"/>
      <c r="DZ102" s="1110"/>
      <c r="EA102" s="1110"/>
      <c r="EB102" s="1110"/>
      <c r="EC102" s="1110"/>
      <c r="ED102" s="1110"/>
      <c r="EE102" s="1110"/>
      <c r="EF102" s="1110"/>
      <c r="EG102" s="1110"/>
      <c r="EH102" s="1110"/>
      <c r="EI102" s="1110"/>
      <c r="EJ102" s="1110"/>
      <c r="EK102" s="1110"/>
      <c r="EL102" s="1110"/>
      <c r="EM102" s="1110"/>
      <c r="EN102" s="1110"/>
      <c r="EO102" s="1110"/>
      <c r="EP102" s="1110"/>
      <c r="EQ102" s="1110"/>
      <c r="ER102" s="1110"/>
      <c r="ES102" s="1110"/>
      <c r="ET102" s="1110"/>
      <c r="EU102" s="1110"/>
      <c r="EV102" s="1110"/>
      <c r="EW102" s="1110"/>
    </row>
    <row r="103" spans="5:153">
      <c r="E103" s="1110"/>
      <c r="F103" s="1110"/>
      <c r="G103" s="1110"/>
      <c r="H103" s="1110"/>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c r="BS103" s="1110"/>
      <c r="BT103" s="1110"/>
      <c r="BU103" s="1110"/>
      <c r="BV103" s="1110"/>
      <c r="BW103" s="1110"/>
      <c r="BX103" s="1110"/>
      <c r="BY103" s="1110"/>
      <c r="BZ103" s="1110"/>
      <c r="CA103" s="1110"/>
      <c r="CB103" s="1110"/>
      <c r="CC103" s="1110"/>
      <c r="CD103" s="1110"/>
      <c r="CE103" s="1110"/>
      <c r="CF103" s="1110"/>
      <c r="CG103" s="1600"/>
      <c r="CH103" s="1601"/>
      <c r="CI103" s="1601"/>
      <c r="CJ103" s="1601"/>
      <c r="CK103" s="1601"/>
      <c r="CL103" s="1601"/>
      <c r="CM103" s="1601"/>
      <c r="CN103" s="1601"/>
      <c r="CO103" s="1601"/>
      <c r="CP103" s="1601"/>
      <c r="CQ103" s="1601"/>
      <c r="CR103" s="1601"/>
      <c r="CS103" s="1602"/>
      <c r="DM103" s="1110"/>
      <c r="DN103" s="1110"/>
      <c r="DO103" s="1110"/>
      <c r="DP103" s="1110"/>
      <c r="DQ103" s="1110"/>
      <c r="DR103" s="1110"/>
      <c r="DS103" s="1110"/>
      <c r="DT103" s="1110"/>
      <c r="DU103" s="1110"/>
      <c r="DV103" s="1110"/>
      <c r="DW103" s="1110"/>
      <c r="DX103" s="1110"/>
      <c r="DY103" s="1110"/>
      <c r="DZ103" s="1110"/>
      <c r="EA103" s="1110"/>
      <c r="EB103" s="1110"/>
      <c r="EC103" s="1110"/>
      <c r="ED103" s="1110"/>
      <c r="EE103" s="1110"/>
      <c r="EF103" s="1110"/>
      <c r="EG103" s="1110"/>
      <c r="EH103" s="1110"/>
      <c r="EI103" s="1110"/>
      <c r="EJ103" s="1110"/>
      <c r="EK103" s="1110"/>
      <c r="EL103" s="1110"/>
      <c r="EM103" s="1110"/>
      <c r="EN103" s="1110"/>
      <c r="EO103" s="1110"/>
      <c r="EP103" s="1110"/>
      <c r="EQ103" s="1110"/>
      <c r="ER103" s="1110"/>
      <c r="ES103" s="1110"/>
      <c r="ET103" s="1110"/>
      <c r="EU103" s="1110"/>
      <c r="EV103" s="1110"/>
      <c r="EW103" s="1110"/>
    </row>
    <row r="104" spans="5:153">
      <c r="E104" s="1110"/>
      <c r="F104" s="1110"/>
      <c r="G104" s="1110"/>
      <c r="H104" s="1110"/>
      <c r="I104" s="1110"/>
      <c r="J104" s="1110"/>
      <c r="K104" s="1110"/>
      <c r="L104" s="1110"/>
      <c r="M104" s="1110"/>
      <c r="N104" s="1110"/>
      <c r="O104" s="1110"/>
      <c r="P104" s="1110"/>
      <c r="Q104" s="1110"/>
      <c r="R104" s="1110"/>
      <c r="S104" s="1110"/>
      <c r="T104" s="1110"/>
      <c r="U104" s="1110"/>
      <c r="V104" s="1110"/>
      <c r="W104" s="1110"/>
      <c r="X104" s="1110"/>
      <c r="Y104" s="1110"/>
      <c r="Z104" s="1110"/>
      <c r="AA104" s="1110"/>
      <c r="AB104" s="1110"/>
      <c r="AC104" s="1110"/>
      <c r="AD104" s="1110"/>
      <c r="AE104" s="1110"/>
      <c r="AF104" s="1110"/>
      <c r="AG104" s="1110"/>
      <c r="AH104" s="1110"/>
      <c r="AI104" s="1110"/>
      <c r="AJ104" s="1110"/>
      <c r="AK104" s="1110"/>
      <c r="AL104" s="1110"/>
      <c r="AM104" s="1110"/>
      <c r="AN104" s="1110"/>
      <c r="AO104" s="1110"/>
      <c r="AP104" s="1110"/>
      <c r="AQ104" s="1110"/>
      <c r="AR104" s="1110"/>
      <c r="AS104" s="1110"/>
      <c r="AT104" s="1110"/>
      <c r="AU104" s="1110"/>
      <c r="AV104" s="1110"/>
      <c r="AW104" s="1110"/>
      <c r="AX104" s="1110"/>
      <c r="AY104" s="1110"/>
      <c r="AZ104" s="1110"/>
      <c r="BA104" s="1110"/>
      <c r="BB104" s="1110"/>
      <c r="BC104" s="1110"/>
      <c r="BD104" s="1110"/>
      <c r="BE104" s="1110"/>
      <c r="BF104" s="1110"/>
      <c r="BG104" s="1110"/>
      <c r="BH104" s="1110"/>
      <c r="BI104" s="1110"/>
      <c r="BJ104" s="1110"/>
      <c r="BK104" s="1110"/>
      <c r="BL104" s="1110"/>
      <c r="BM104" s="1110"/>
      <c r="BN104" s="1110"/>
      <c r="BO104" s="1110"/>
      <c r="BP104" s="1110"/>
      <c r="BQ104" s="1110"/>
      <c r="BR104" s="1110"/>
      <c r="BS104" s="1110"/>
      <c r="BT104" s="1110"/>
      <c r="BU104" s="1110"/>
      <c r="BV104" s="1110"/>
      <c r="BW104" s="1110"/>
      <c r="BX104" s="1110"/>
      <c r="BY104" s="1110"/>
      <c r="BZ104" s="1110"/>
      <c r="CA104" s="1110"/>
      <c r="CB104" s="1110"/>
      <c r="CC104" s="1110"/>
      <c r="CD104" s="1110"/>
      <c r="CE104" s="1110"/>
      <c r="CF104" s="1110"/>
      <c r="CG104" s="1600"/>
      <c r="CH104" s="1601"/>
      <c r="CI104" s="1601"/>
      <c r="CJ104" s="1601"/>
      <c r="CK104" s="1601"/>
      <c r="CL104" s="1601"/>
      <c r="CM104" s="1601"/>
      <c r="CN104" s="1601"/>
      <c r="CO104" s="1601"/>
      <c r="CP104" s="1601"/>
      <c r="CQ104" s="1601"/>
      <c r="CR104" s="1601"/>
      <c r="CS104" s="1602"/>
      <c r="DM104" s="1110"/>
      <c r="DN104" s="1110"/>
      <c r="DO104" s="1110"/>
      <c r="DP104" s="1110"/>
      <c r="DQ104" s="1110"/>
      <c r="DR104" s="1110"/>
      <c r="DS104" s="1110"/>
      <c r="DT104" s="1110"/>
      <c r="DU104" s="1110"/>
      <c r="DV104" s="1110"/>
      <c r="DW104" s="1110"/>
      <c r="DX104" s="1110"/>
      <c r="DY104" s="1110"/>
      <c r="DZ104" s="1110"/>
      <c r="EA104" s="1110"/>
      <c r="EB104" s="1110"/>
      <c r="EC104" s="1110"/>
      <c r="ED104" s="1110"/>
      <c r="EE104" s="1110"/>
      <c r="EF104" s="1110"/>
      <c r="EG104" s="1110"/>
      <c r="EH104" s="1110"/>
      <c r="EI104" s="1110"/>
      <c r="EJ104" s="1110"/>
      <c r="EK104" s="1110"/>
      <c r="EL104" s="1110"/>
      <c r="EM104" s="1110"/>
      <c r="EN104" s="1110"/>
      <c r="EO104" s="1110"/>
      <c r="EP104" s="1110"/>
      <c r="EQ104" s="1110"/>
      <c r="ER104" s="1110"/>
      <c r="ES104" s="1110"/>
      <c r="ET104" s="1110"/>
      <c r="EU104" s="1110"/>
      <c r="EV104" s="1110"/>
      <c r="EW104" s="1110"/>
    </row>
    <row r="105" spans="5:153">
      <c r="E105" s="1110"/>
      <c r="F105" s="1110"/>
      <c r="G105" s="1110"/>
      <c r="H105" s="1110"/>
      <c r="I105" s="1110"/>
      <c r="J105" s="1110"/>
      <c r="K105" s="1110"/>
      <c r="L105" s="1110"/>
      <c r="M105" s="1110"/>
      <c r="N105" s="1110"/>
      <c r="O105" s="1110"/>
      <c r="P105" s="1110"/>
      <c r="Q105" s="1110"/>
      <c r="R105" s="1110"/>
      <c r="S105" s="1110"/>
      <c r="T105" s="1110"/>
      <c r="U105" s="1110"/>
      <c r="V105" s="1110"/>
      <c r="W105" s="1110"/>
      <c r="X105" s="1110"/>
      <c r="Y105" s="1110"/>
      <c r="Z105" s="1110"/>
      <c r="AA105" s="1110"/>
      <c r="AB105" s="1110"/>
      <c r="AC105" s="1110"/>
      <c r="AD105" s="1110"/>
      <c r="AE105" s="1486" t="str">
        <f>+AE4</f>
        <v>2Q22A</v>
      </c>
      <c r="AF105" s="1486" t="str">
        <f t="shared" ref="AF105:AN105" si="68">+AF4</f>
        <v>3Q22A</v>
      </c>
      <c r="AG105" s="1486" t="str">
        <f t="shared" si="68"/>
        <v>4Q22A</v>
      </c>
      <c r="AH105" s="1486" t="str">
        <f t="shared" si="68"/>
        <v>1Q23A</v>
      </c>
      <c r="AI105" s="1486" t="str">
        <f t="shared" si="68"/>
        <v>2Q23A</v>
      </c>
      <c r="AJ105" s="1486" t="str">
        <f t="shared" si="68"/>
        <v>3Q23A</v>
      </c>
      <c r="AK105" s="1486" t="str">
        <f t="shared" si="68"/>
        <v>4Q23A</v>
      </c>
      <c r="AL105" s="1486" t="str">
        <f t="shared" si="68"/>
        <v>1Q24A</v>
      </c>
      <c r="AM105" s="1486" t="str">
        <f t="shared" si="68"/>
        <v>2Q24A</v>
      </c>
      <c r="AN105" s="1486" t="str">
        <f t="shared" si="68"/>
        <v>3Q24A</v>
      </c>
      <c r="AO105" s="1110"/>
      <c r="AP105" s="1110"/>
      <c r="AQ105" s="1110"/>
      <c r="AR105" s="1110"/>
      <c r="AS105" s="1110"/>
      <c r="AT105" s="1110"/>
      <c r="AU105" s="1110"/>
      <c r="AV105" s="1110"/>
      <c r="AW105" s="1110"/>
      <c r="AX105" s="1110"/>
      <c r="AY105" s="1110"/>
      <c r="AZ105" s="1110"/>
      <c r="BA105" s="1110"/>
      <c r="BB105" s="1110"/>
      <c r="BC105" s="1110"/>
      <c r="BD105" s="1110"/>
      <c r="BE105" s="1110"/>
      <c r="BF105" s="1110"/>
      <c r="BG105" s="1110"/>
      <c r="BH105" s="1110"/>
      <c r="BI105" s="1110"/>
      <c r="BJ105" s="1110"/>
      <c r="BK105" s="1110"/>
      <c r="BL105" s="1110"/>
      <c r="BM105" s="1110"/>
      <c r="BN105" s="1110"/>
      <c r="BO105" s="1110"/>
      <c r="BP105" s="1110"/>
      <c r="BQ105" s="1110"/>
      <c r="BR105" s="1110"/>
      <c r="BS105" s="1110"/>
      <c r="BT105" s="1110"/>
      <c r="BU105" s="1110"/>
      <c r="BV105" s="1110"/>
      <c r="BW105" s="1110"/>
      <c r="BX105" s="1110"/>
      <c r="BY105" s="1110"/>
      <c r="BZ105" s="1110"/>
      <c r="CA105" s="1110"/>
      <c r="CB105" s="1110"/>
      <c r="CC105" s="1110"/>
      <c r="CD105" s="1110"/>
      <c r="CE105" s="1110"/>
      <c r="CF105" s="1110"/>
      <c r="CG105" s="1600"/>
      <c r="CH105" s="1601"/>
      <c r="CI105" s="1601"/>
      <c r="CJ105" s="1601"/>
      <c r="CK105" s="1601"/>
      <c r="CL105" s="1601"/>
      <c r="CM105" s="1601"/>
      <c r="CN105" s="1601"/>
      <c r="CO105" s="1601"/>
      <c r="CP105" s="1601"/>
      <c r="CQ105" s="1601"/>
      <c r="CR105" s="1601"/>
      <c r="CS105" s="1602"/>
      <c r="DM105" s="1110"/>
      <c r="DN105" s="1110"/>
      <c r="DO105" s="1110"/>
      <c r="DP105" s="1110"/>
      <c r="DQ105" s="1110"/>
      <c r="DR105" s="1110"/>
      <c r="DS105" s="1110"/>
      <c r="DT105" s="1110"/>
      <c r="DU105" s="1110"/>
      <c r="DV105" s="1110"/>
      <c r="DW105" s="1110"/>
      <c r="DX105" s="1110"/>
      <c r="DY105" s="1110"/>
      <c r="DZ105" s="1110"/>
      <c r="EA105" s="1110"/>
      <c r="EB105" s="1110"/>
      <c r="EC105" s="1110"/>
      <c r="ED105" s="1110"/>
      <c r="EE105" s="1110"/>
      <c r="EF105" s="1110"/>
      <c r="EG105" s="1110"/>
      <c r="EH105" s="1110"/>
      <c r="EI105" s="1110"/>
      <c r="EJ105" s="1110"/>
      <c r="EK105" s="1110"/>
      <c r="EL105" s="1110"/>
      <c r="EM105" s="1110"/>
      <c r="EN105" s="1110"/>
      <c r="EO105" s="1110"/>
      <c r="EP105" s="1110"/>
      <c r="EQ105" s="1110"/>
      <c r="ER105" s="1110"/>
      <c r="ES105" s="1110"/>
      <c r="ET105" s="1110"/>
      <c r="EU105" s="1110"/>
      <c r="EV105" s="1110"/>
      <c r="EW105" s="1110"/>
    </row>
    <row r="106" spans="5:153">
      <c r="E106" s="1110"/>
      <c r="F106" s="1110"/>
      <c r="G106" s="1110"/>
      <c r="H106" s="1110"/>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t="s">
        <v>715</v>
      </c>
      <c r="AE106" s="1500">
        <f>'Revenue Build'!DA216</f>
        <v>8029.1970802919705</v>
      </c>
      <c r="AF106" s="1500">
        <f>'Revenue Build'!DB216</f>
        <v>8000</v>
      </c>
      <c r="AG106" s="1500">
        <f>'Revenue Build'!DC216</f>
        <v>11392.405063291139</v>
      </c>
      <c r="AH106" s="1500">
        <f>'Revenue Build'!DE216</f>
        <v>8974.3589743589746</v>
      </c>
      <c r="AI106" s="1500">
        <f>'Revenue Build'!DF216</f>
        <v>11000</v>
      </c>
      <c r="AJ106" s="1500">
        <f>'Revenue Build'!DG216</f>
        <v>12000</v>
      </c>
      <c r="AK106" s="1500">
        <f>'Revenue Build'!DH216</f>
        <v>18000</v>
      </c>
      <c r="AL106" s="1500">
        <f>'Revenue Build'!DJ216</f>
        <v>14000</v>
      </c>
      <c r="AM106" s="1500">
        <f>'Revenue Build'!DK216</f>
        <v>16000</v>
      </c>
      <c r="AN106" s="1500">
        <f>'Revenue Build'!DL216</f>
        <v>17000</v>
      </c>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c r="BS106" s="1110"/>
      <c r="BT106" s="1110"/>
      <c r="BU106" s="1110"/>
      <c r="BV106" s="1110"/>
      <c r="BW106" s="1110"/>
      <c r="BX106" s="1110"/>
      <c r="BY106" s="1110"/>
      <c r="BZ106" s="1110"/>
      <c r="CA106" s="1110"/>
      <c r="CB106" s="1110"/>
      <c r="CC106" s="1110"/>
      <c r="CD106" s="1110"/>
      <c r="CE106" s="1110"/>
      <c r="CF106" s="1110"/>
      <c r="CG106" s="1600"/>
      <c r="CH106" s="1601"/>
      <c r="CI106" s="1601"/>
      <c r="CJ106" s="1601"/>
      <c r="CK106" s="1601"/>
      <c r="CL106" s="1601"/>
      <c r="CM106" s="1601"/>
      <c r="CN106" s="1601"/>
      <c r="CO106" s="1601"/>
      <c r="CP106" s="1601"/>
      <c r="CQ106" s="1601"/>
      <c r="CR106" s="1601"/>
      <c r="CS106" s="1602"/>
      <c r="DM106" s="1110"/>
      <c r="DN106" s="1110"/>
      <c r="DO106" s="1110"/>
      <c r="DP106" s="1110"/>
      <c r="DQ106" s="1110"/>
      <c r="DR106" s="1110"/>
      <c r="DS106" s="1110"/>
      <c r="DT106" s="1110"/>
      <c r="DU106" s="1110"/>
      <c r="DV106" s="1110"/>
      <c r="DW106" s="1110"/>
      <c r="DX106" s="1110"/>
      <c r="DY106" s="1110"/>
      <c r="DZ106" s="1110"/>
      <c r="EA106" s="1110"/>
      <c r="EB106" s="1110"/>
      <c r="EC106" s="1110"/>
      <c r="ED106" s="1110"/>
      <c r="EE106" s="1110"/>
      <c r="EF106" s="1110"/>
      <c r="EG106" s="1110"/>
      <c r="EH106" s="1110"/>
      <c r="EI106" s="1110"/>
      <c r="EJ106" s="1110"/>
      <c r="EK106" s="1110"/>
      <c r="EL106" s="1110"/>
      <c r="EM106" s="1110"/>
      <c r="EN106" s="1110"/>
      <c r="EO106" s="1110"/>
      <c r="EP106" s="1110"/>
      <c r="EQ106" s="1110"/>
      <c r="ER106" s="1110"/>
      <c r="ES106" s="1110"/>
      <c r="ET106" s="1110"/>
      <c r="EU106" s="1110"/>
      <c r="EV106" s="1110"/>
      <c r="EW106" s="1110"/>
    </row>
    <row r="107" spans="5:153" ht="12" thickBot="1">
      <c r="E107" s="1110"/>
      <c r="F107" s="1110"/>
      <c r="G107" s="1110"/>
      <c r="H107" s="1110"/>
      <c r="I107" s="1110"/>
      <c r="J107" s="1110"/>
      <c r="K107" s="1110"/>
      <c r="L107" s="1110"/>
      <c r="M107" s="1110"/>
      <c r="N107" s="1110"/>
      <c r="O107" s="1110"/>
      <c r="P107" s="1110"/>
      <c r="Q107" s="1110"/>
      <c r="R107" s="1110"/>
      <c r="S107" s="1110"/>
      <c r="T107" s="1110"/>
      <c r="U107" s="1110"/>
      <c r="V107" s="1110"/>
      <c r="W107" s="1110"/>
      <c r="X107" s="1110"/>
      <c r="Y107" s="1110"/>
      <c r="Z107" s="1110"/>
      <c r="AA107" s="1110"/>
      <c r="AB107" s="1110"/>
      <c r="AC107" s="1110"/>
      <c r="AD107" s="1110"/>
      <c r="AE107" s="1110"/>
      <c r="AF107" s="1110"/>
      <c r="AG107" s="1110"/>
      <c r="AH107" s="1110"/>
      <c r="AI107" s="1110"/>
      <c r="AJ107" s="1110"/>
      <c r="AK107" s="1110"/>
      <c r="AL107" s="1110"/>
      <c r="AM107" s="1110"/>
      <c r="AN107" s="1110"/>
      <c r="AO107" s="1110"/>
      <c r="AP107" s="1110"/>
      <c r="AQ107" s="1110"/>
      <c r="AR107" s="1110"/>
      <c r="AS107" s="1110"/>
      <c r="AT107" s="1110"/>
      <c r="AU107" s="1110"/>
      <c r="AV107" s="1110"/>
      <c r="AW107" s="1110"/>
      <c r="AX107" s="1110"/>
      <c r="AY107" s="1110"/>
      <c r="AZ107" s="1110"/>
      <c r="BA107" s="1110"/>
      <c r="BB107" s="1110"/>
      <c r="BC107" s="1110"/>
      <c r="BD107" s="1110"/>
      <c r="BE107" s="1110"/>
      <c r="BF107" s="1110"/>
      <c r="BG107" s="1110"/>
      <c r="BH107" s="1110"/>
      <c r="BI107" s="1110"/>
      <c r="BJ107" s="1110"/>
      <c r="BK107" s="1110"/>
      <c r="BL107" s="1110"/>
      <c r="BM107" s="1110"/>
      <c r="BN107" s="1110"/>
      <c r="BO107" s="1110"/>
      <c r="BP107" s="1110"/>
      <c r="BQ107" s="1110"/>
      <c r="BR107" s="1110"/>
      <c r="BS107" s="1110"/>
      <c r="BT107" s="1110"/>
      <c r="BU107" s="1110"/>
      <c r="BV107" s="1110"/>
      <c r="BW107" s="1110"/>
      <c r="BX107" s="1110"/>
      <c r="BY107" s="1110"/>
      <c r="BZ107" s="1110"/>
      <c r="CA107" s="1110"/>
      <c r="CB107" s="1110"/>
      <c r="CC107" s="1110"/>
      <c r="CD107" s="1110"/>
      <c r="CE107" s="1110"/>
      <c r="CF107" s="1110"/>
      <c r="CG107" s="1603"/>
      <c r="CH107" s="1604"/>
      <c r="CI107" s="1604"/>
      <c r="CJ107" s="1604"/>
      <c r="CK107" s="1604"/>
      <c r="CL107" s="1604"/>
      <c r="CM107" s="1604"/>
      <c r="CN107" s="1604"/>
      <c r="CO107" s="1604"/>
      <c r="CP107" s="1604"/>
      <c r="CQ107" s="1604"/>
      <c r="CR107" s="1604"/>
      <c r="CS107" s="1605"/>
      <c r="DM107" s="1110"/>
      <c r="DN107" s="1110"/>
      <c r="DO107" s="1110"/>
      <c r="DP107" s="1110"/>
      <c r="DQ107" s="1110"/>
      <c r="DR107" s="1110"/>
      <c r="DS107" s="1110"/>
      <c r="DT107" s="1110"/>
      <c r="DU107" s="1110"/>
      <c r="DV107" s="1110"/>
      <c r="DW107" s="1110"/>
      <c r="DX107" s="1110"/>
      <c r="DY107" s="1110"/>
      <c r="DZ107" s="1110"/>
      <c r="EA107" s="1110"/>
      <c r="EB107" s="1110"/>
      <c r="EC107" s="1110"/>
      <c r="ED107" s="1110"/>
      <c r="EE107" s="1110"/>
      <c r="EF107" s="1110"/>
      <c r="EG107" s="1110"/>
      <c r="EH107" s="1110"/>
      <c r="EI107" s="1110"/>
      <c r="EJ107" s="1110"/>
      <c r="EK107" s="1110"/>
      <c r="EL107" s="1110"/>
      <c r="EM107" s="1110"/>
      <c r="EN107" s="1110"/>
      <c r="EO107" s="1110"/>
      <c r="EP107" s="1110"/>
      <c r="EQ107" s="1110"/>
      <c r="ER107" s="1110"/>
      <c r="ES107" s="1110"/>
      <c r="ET107" s="1110"/>
      <c r="EU107" s="1110"/>
      <c r="EV107" s="1110"/>
      <c r="EW107" s="1110"/>
    </row>
    <row r="108" spans="5:153">
      <c r="E108" s="1110"/>
      <c r="F108" s="1110"/>
      <c r="G108" s="1110"/>
      <c r="H108" s="1110"/>
      <c r="I108" s="1110"/>
      <c r="J108" s="1110"/>
      <c r="K108" s="1110"/>
      <c r="L108" s="1110"/>
      <c r="M108" s="1110"/>
      <c r="N108" s="1110"/>
      <c r="O108" s="1110"/>
      <c r="P108" s="1110"/>
      <c r="Q108" s="1110"/>
      <c r="R108" s="1110"/>
      <c r="S108" s="1110"/>
      <c r="T108" s="1110"/>
      <c r="U108" s="1110"/>
      <c r="V108" s="1110"/>
      <c r="W108" s="1110"/>
      <c r="X108" s="1110"/>
      <c r="Y108" s="1110"/>
      <c r="Z108" s="1110"/>
      <c r="AA108" s="1110"/>
      <c r="AB108" s="1110"/>
      <c r="AC108" s="1110"/>
      <c r="AD108" s="1110"/>
      <c r="AE108" s="1110"/>
      <c r="AF108" s="1110"/>
      <c r="AG108" s="1110"/>
      <c r="AH108" s="1110"/>
      <c r="AI108" s="1110"/>
      <c r="AJ108" s="1110"/>
      <c r="AK108" s="1110"/>
      <c r="AL108" s="1110"/>
      <c r="AM108" s="1110"/>
      <c r="AN108" s="1110"/>
      <c r="AO108" s="1110"/>
      <c r="AP108" s="1110"/>
      <c r="AQ108" s="1110"/>
      <c r="AR108" s="1110"/>
      <c r="AS108" s="1110"/>
      <c r="AT108" s="1110"/>
      <c r="AU108" s="1110"/>
      <c r="AV108" s="1110"/>
      <c r="AW108" s="1110"/>
      <c r="AX108" s="1110"/>
      <c r="AY108" s="1110"/>
      <c r="AZ108" s="1110"/>
      <c r="BA108" s="1110"/>
      <c r="BB108" s="1110"/>
      <c r="BC108" s="1110"/>
      <c r="BD108" s="1110"/>
      <c r="BE108" s="1110"/>
      <c r="BF108" s="1110"/>
      <c r="BG108" s="1110"/>
      <c r="BH108" s="1110"/>
      <c r="BI108" s="1110"/>
      <c r="BJ108" s="1110"/>
      <c r="BK108" s="1110"/>
      <c r="BL108" s="1110"/>
      <c r="BM108" s="1110"/>
      <c r="BN108" s="1110"/>
      <c r="BO108" s="1110"/>
      <c r="BP108" s="1110"/>
      <c r="BQ108" s="1110"/>
      <c r="BR108" s="1110"/>
      <c r="BS108" s="1110"/>
      <c r="BT108" s="1110"/>
      <c r="BU108" s="1110"/>
      <c r="BV108" s="1110"/>
      <c r="BW108" s="1110"/>
      <c r="BX108" s="1110"/>
      <c r="BY108" s="1110"/>
      <c r="BZ108" s="1110"/>
      <c r="CA108" s="1110"/>
      <c r="CB108" s="1110"/>
      <c r="CC108" s="1110"/>
      <c r="CD108" s="1110"/>
      <c r="CE108" s="1110"/>
      <c r="CF108" s="1110"/>
      <c r="DM108" s="1110"/>
      <c r="DN108" s="1110"/>
      <c r="DO108" s="1110"/>
      <c r="DP108" s="1110"/>
      <c r="DQ108" s="1110"/>
      <c r="DR108" s="1110"/>
      <c r="DS108" s="1110"/>
      <c r="DT108" s="1110"/>
      <c r="DU108" s="1110"/>
      <c r="DV108" s="1110"/>
      <c r="DW108" s="1110"/>
      <c r="DX108" s="1110"/>
      <c r="DY108" s="1110"/>
      <c r="DZ108" s="1110"/>
      <c r="EA108" s="1110"/>
      <c r="EB108" s="1110"/>
      <c r="EC108" s="1110"/>
      <c r="ED108" s="1110"/>
      <c r="EE108" s="1110"/>
      <c r="EF108" s="1110"/>
      <c r="EG108" s="1110"/>
      <c r="EH108" s="1110"/>
      <c r="EI108" s="1110"/>
      <c r="EJ108" s="1110"/>
      <c r="EK108" s="1110"/>
      <c r="EL108" s="1110"/>
      <c r="EM108" s="1110"/>
      <c r="EN108" s="1110"/>
      <c r="EO108" s="1110"/>
      <c r="EP108" s="1110"/>
      <c r="EQ108" s="1110"/>
      <c r="ER108" s="1110"/>
      <c r="ES108" s="1110"/>
      <c r="ET108" s="1110"/>
      <c r="EU108" s="1110"/>
      <c r="EV108" s="1110"/>
      <c r="EW108" s="1110"/>
    </row>
    <row r="109" spans="5:153">
      <c r="E109" s="1110"/>
      <c r="F109" s="1110"/>
      <c r="G109" s="1110"/>
      <c r="H109" s="1110"/>
      <c r="I109" s="1110"/>
      <c r="J109" s="1110"/>
      <c r="K109" s="1110"/>
      <c r="L109" s="1110"/>
      <c r="M109" s="1110"/>
      <c r="N109" s="1110"/>
      <c r="O109" s="1110"/>
      <c r="P109" s="1110"/>
      <c r="Q109" s="1110"/>
      <c r="R109" s="1110"/>
      <c r="S109" s="1110"/>
      <c r="T109" s="1110"/>
      <c r="U109" s="1110"/>
      <c r="V109" s="1110"/>
      <c r="W109" s="1110"/>
      <c r="X109" s="1110"/>
      <c r="Y109" s="1110"/>
      <c r="Z109" s="1110"/>
      <c r="AA109" s="1110"/>
      <c r="AB109" s="1110"/>
      <c r="AC109" s="1110"/>
      <c r="AD109" s="1110"/>
      <c r="AE109" s="1110"/>
      <c r="AF109" s="1110"/>
      <c r="AG109" s="1110"/>
      <c r="AH109" s="1110"/>
      <c r="AI109" s="1110"/>
      <c r="AJ109" s="1110"/>
      <c r="AK109" s="1110"/>
      <c r="AL109" s="1110"/>
      <c r="AM109" s="1110"/>
      <c r="AN109" s="1110"/>
      <c r="AO109" s="1110"/>
      <c r="AP109" s="1110"/>
      <c r="AQ109" s="1110"/>
      <c r="AR109" s="1110"/>
      <c r="AS109" s="1110"/>
      <c r="AT109" s="1110"/>
      <c r="AU109" s="1110"/>
      <c r="AV109" s="1110"/>
      <c r="AW109" s="1110"/>
      <c r="AX109" s="1110"/>
      <c r="AY109" s="1110"/>
      <c r="AZ109" s="1110"/>
      <c r="BA109" s="1110"/>
      <c r="BB109" s="1110"/>
      <c r="BC109" s="1110"/>
      <c r="BD109" s="1110"/>
      <c r="BE109" s="1110"/>
      <c r="BF109" s="1110"/>
      <c r="BG109" s="1110"/>
      <c r="BH109" s="1110"/>
      <c r="BI109" s="1110"/>
      <c r="BJ109" s="1110"/>
      <c r="BK109" s="1110"/>
      <c r="BL109" s="1110"/>
      <c r="BM109" s="1110"/>
      <c r="BN109" s="1110"/>
      <c r="BO109" s="1110"/>
      <c r="BP109" s="1110"/>
      <c r="BQ109" s="1110"/>
      <c r="BR109" s="1110"/>
      <c r="BS109" s="1110"/>
      <c r="BT109" s="1110"/>
      <c r="BU109" s="1110"/>
      <c r="BV109" s="1110"/>
      <c r="BW109" s="1110"/>
      <c r="BX109" s="1110"/>
      <c r="BY109" s="1110"/>
      <c r="BZ109" s="1110"/>
      <c r="CA109" s="1110"/>
      <c r="CB109" s="1110"/>
      <c r="CC109" s="1110"/>
      <c r="CD109" s="1110"/>
      <c r="CE109" s="1110"/>
      <c r="CF109" s="1110"/>
      <c r="DM109" s="1110"/>
      <c r="DN109" s="1110"/>
      <c r="DO109" s="1110"/>
      <c r="DP109" s="1110"/>
      <c r="DQ109" s="1110"/>
      <c r="DR109" s="1110"/>
      <c r="DS109" s="1110"/>
      <c r="DT109" s="1110"/>
      <c r="DU109" s="1110"/>
      <c r="DV109" s="1110"/>
      <c r="DW109" s="1110"/>
      <c r="DX109" s="1110"/>
      <c r="DY109" s="1110"/>
      <c r="DZ109" s="1110"/>
      <c r="EA109" s="1110"/>
      <c r="EB109" s="1110"/>
      <c r="EC109" s="1110"/>
      <c r="ED109" s="1110"/>
      <c r="EE109" s="1110"/>
      <c r="EF109" s="1110"/>
      <c r="EG109" s="1110"/>
      <c r="EH109" s="1110"/>
      <c r="EI109" s="1110"/>
      <c r="EJ109" s="1110"/>
      <c r="EK109" s="1110"/>
      <c r="EL109" s="1110"/>
      <c r="EM109" s="1110"/>
      <c r="EN109" s="1110"/>
      <c r="EO109" s="1110"/>
      <c r="EP109" s="1110"/>
      <c r="EQ109" s="1110"/>
      <c r="ER109" s="1110"/>
      <c r="ES109" s="1110"/>
      <c r="ET109" s="1110"/>
      <c r="EU109" s="1110"/>
      <c r="EV109" s="1110"/>
      <c r="EW109" s="1110"/>
    </row>
    <row r="110" spans="5:153">
      <c r="BB110" s="1110"/>
      <c r="BC110" s="1110"/>
      <c r="BD110" s="1110"/>
      <c r="BE110" s="1110"/>
      <c r="BF110" s="1110"/>
      <c r="BG110" s="1110"/>
      <c r="BH110" s="1110"/>
      <c r="BI110" s="1110"/>
      <c r="BJ110" s="1110"/>
      <c r="BK110" s="1110"/>
      <c r="BL110" s="1110"/>
      <c r="BM110" s="1110"/>
      <c r="BN110" s="1110"/>
      <c r="BO110" s="1110"/>
      <c r="BP110" s="1110"/>
      <c r="BQ110" s="1110"/>
      <c r="BR110" s="1110"/>
      <c r="BS110" s="1110"/>
      <c r="BT110" s="1110"/>
      <c r="BU110" s="1110"/>
      <c r="BV110" s="1110"/>
      <c r="BW110" s="1110"/>
      <c r="BX110" s="1110"/>
      <c r="BY110" s="1110"/>
      <c r="BZ110" s="1110"/>
      <c r="CA110" s="1110"/>
      <c r="CB110" s="1110"/>
      <c r="CC110" s="1110"/>
      <c r="CD110" s="1110"/>
      <c r="CE110" s="1110"/>
      <c r="CF110" s="1110"/>
    </row>
    <row r="111" spans="5:153">
      <c r="BB111" s="1110"/>
      <c r="BC111" s="1110"/>
      <c r="BD111" s="1110"/>
      <c r="BE111" s="1110"/>
      <c r="BF111" s="1110"/>
      <c r="BG111" s="1110"/>
      <c r="BH111" s="1110"/>
      <c r="BI111" s="1110"/>
      <c r="BJ111" s="1110"/>
      <c r="BK111" s="1110"/>
      <c r="BL111" s="1110"/>
      <c r="BM111" s="1110"/>
      <c r="BN111" s="1110"/>
      <c r="BO111" s="1110"/>
      <c r="BP111" s="1110"/>
      <c r="BQ111" s="1110"/>
      <c r="BR111" s="1110"/>
      <c r="BS111" s="1110"/>
      <c r="BT111" s="1110"/>
      <c r="BU111" s="1110"/>
      <c r="BV111" s="1110"/>
      <c r="BW111" s="1110"/>
      <c r="BX111" s="1110"/>
      <c r="BY111" s="1110"/>
      <c r="BZ111" s="1110"/>
      <c r="CA111" s="1110"/>
      <c r="CB111" s="1110"/>
      <c r="CC111" s="1110"/>
      <c r="CD111" s="1110"/>
      <c r="CE111" s="1110"/>
      <c r="CF111" s="1110"/>
    </row>
    <row r="112" spans="5:153">
      <c r="BB112" s="1110"/>
      <c r="BC112" s="1110"/>
      <c r="BD112" s="1110"/>
      <c r="BE112" s="1110"/>
      <c r="BF112" s="1110"/>
      <c r="BG112" s="1110"/>
      <c r="BH112" s="1110"/>
      <c r="BI112" s="1110"/>
      <c r="BJ112" s="1110"/>
      <c r="BK112" s="1110"/>
      <c r="BL112" s="1110"/>
      <c r="BM112" s="1110"/>
      <c r="BN112" s="1110"/>
      <c r="BO112" s="1110"/>
      <c r="BP112" s="1110"/>
      <c r="BQ112" s="1110"/>
      <c r="BR112" s="1110"/>
      <c r="BS112" s="1110"/>
      <c r="BT112" s="1110"/>
      <c r="BU112" s="1110"/>
      <c r="BV112" s="1110"/>
      <c r="BW112" s="1110"/>
      <c r="BX112" s="1110"/>
      <c r="BY112" s="1110"/>
      <c r="BZ112" s="1110"/>
      <c r="CA112" s="1110"/>
      <c r="CB112" s="1110"/>
      <c r="CC112" s="1110"/>
      <c r="CD112" s="1110"/>
      <c r="CE112" s="1110"/>
      <c r="CF112" s="1110"/>
      <c r="CG112" s="1110"/>
    </row>
    <row r="113" spans="5:101">
      <c r="BB113" s="1110"/>
      <c r="BC113" s="1110"/>
      <c r="BD113" s="1110"/>
      <c r="BE113" s="1110"/>
      <c r="BF113" s="1110"/>
      <c r="BG113" s="1110"/>
      <c r="BH113" s="1110"/>
      <c r="BI113" s="1110"/>
      <c r="BJ113" s="1110"/>
      <c r="BK113" s="1110"/>
      <c r="BL113" s="1110"/>
      <c r="BM113" s="1110"/>
      <c r="BN113" s="1110"/>
      <c r="BO113" s="1110"/>
      <c r="BP113" s="1110"/>
      <c r="BQ113" s="1110"/>
      <c r="BR113" s="1110"/>
      <c r="BS113" s="1110"/>
      <c r="BT113" s="1110"/>
      <c r="BU113" s="1110"/>
      <c r="BV113" s="1110"/>
      <c r="BW113" s="1110"/>
      <c r="BX113" s="1110"/>
      <c r="BY113" s="1110"/>
      <c r="BZ113" s="1110"/>
      <c r="CA113" s="1110"/>
      <c r="CB113" s="1110"/>
      <c r="CC113" s="1110"/>
      <c r="CD113" s="1110"/>
      <c r="CE113" s="1110"/>
      <c r="CF113" s="1110"/>
      <c r="CG113" s="1110" t="s">
        <v>651</v>
      </c>
      <c r="CH113" s="1282" t="str">
        <f t="shared" ref="CH113:CS113" si="69">+CH4</f>
        <v>2016A</v>
      </c>
      <c r="CI113" s="1282" t="str">
        <f t="shared" si="69"/>
        <v>2017A</v>
      </c>
      <c r="CJ113" s="1282" t="str">
        <f t="shared" si="69"/>
        <v>2018A</v>
      </c>
      <c r="CK113" s="1282" t="str">
        <f t="shared" si="69"/>
        <v>2019A</v>
      </c>
      <c r="CL113" s="1282" t="str">
        <f t="shared" si="69"/>
        <v>2020A</v>
      </c>
      <c r="CM113" s="1282" t="str">
        <f t="shared" si="69"/>
        <v>2021A</v>
      </c>
      <c r="CN113" s="1282" t="str">
        <f t="shared" si="69"/>
        <v>2022A</v>
      </c>
      <c r="CO113" s="1282" t="str">
        <f t="shared" si="69"/>
        <v>2023A</v>
      </c>
      <c r="CP113" s="1282" t="str">
        <f t="shared" si="69"/>
        <v>2024E</v>
      </c>
      <c r="CQ113" s="1282" t="str">
        <f t="shared" si="69"/>
        <v>2025E</v>
      </c>
      <c r="CR113" s="1282" t="str">
        <f t="shared" si="69"/>
        <v>2026E</v>
      </c>
      <c r="CS113" s="1282" t="str">
        <f t="shared" si="69"/>
        <v>2027E</v>
      </c>
    </row>
    <row r="114" spans="5:101">
      <c r="BB114" s="1110"/>
      <c r="BC114" s="1110"/>
      <c r="BD114" s="1110"/>
      <c r="BE114" s="1110"/>
      <c r="BF114" s="1110"/>
      <c r="BG114" s="1110"/>
      <c r="BH114" s="1110"/>
      <c r="BI114" s="1110"/>
      <c r="BJ114" s="1110"/>
      <c r="BK114" s="1110"/>
      <c r="BL114" s="1110"/>
      <c r="BM114" s="1110"/>
      <c r="BN114" s="1110"/>
      <c r="BO114" s="1110"/>
      <c r="BP114" s="1110"/>
      <c r="BQ114" s="1110"/>
      <c r="BR114" s="1110"/>
      <c r="BS114" s="1110"/>
      <c r="BT114" s="1110"/>
      <c r="BU114" s="1110"/>
      <c r="BV114" s="1110"/>
      <c r="BW114" s="1110"/>
      <c r="BX114" s="1110"/>
      <c r="BY114" s="1110"/>
      <c r="BZ114" s="1110"/>
      <c r="CA114" s="1110"/>
      <c r="CB114" s="1110"/>
      <c r="CC114" s="1110"/>
      <c r="CD114" s="1110"/>
      <c r="CE114" s="1110"/>
      <c r="CF114" s="1110"/>
      <c r="CG114" s="1110" t="s">
        <v>151</v>
      </c>
      <c r="CH114" s="1459">
        <f>+'Revenue Build'!BY84</f>
        <v>0.64999999999999991</v>
      </c>
      <c r="CI114" s="1459">
        <f>+'Revenue Build'!CD84</f>
        <v>0.63000000000000012</v>
      </c>
      <c r="CJ114" s="1459">
        <f>+'Revenue Build'!CI84</f>
        <v>0.62000000000000011</v>
      </c>
      <c r="CK114" s="1459">
        <f>+'Revenue Build'!CN84</f>
        <v>0.58000000000000007</v>
      </c>
      <c r="CL114" s="1459">
        <f>+'Revenue Build'!CS84</f>
        <v>0.56000000000000005</v>
      </c>
      <c r="CM114" s="1459">
        <f>+'Revenue Build'!CX84</f>
        <v>0.55000000000000004</v>
      </c>
      <c r="CN114" s="1459">
        <f>+'Revenue Build'!DC84</f>
        <v>0.55000000000000004</v>
      </c>
      <c r="CO114" s="1459">
        <f>+'Revenue Build'!DH84</f>
        <v>0.54</v>
      </c>
      <c r="CP114" s="1459">
        <f>+'Revenue Build'!DM84</f>
        <v>0.53500000000000003</v>
      </c>
      <c r="CQ114" s="1459">
        <f>+'Revenue Build'!DR84</f>
        <v>0.53</v>
      </c>
      <c r="CR114" s="1459">
        <f>+'Revenue Build'!DW84</f>
        <v>0.52500000000000002</v>
      </c>
      <c r="CS114" s="1459">
        <f>+'Revenue Build'!EB84</f>
        <v>0.52</v>
      </c>
    </row>
    <row r="115" spans="5:101">
      <c r="F115" s="1110"/>
      <c r="G115" s="1110"/>
      <c r="H115" s="1110"/>
      <c r="I115" s="1110"/>
      <c r="J115" s="1110"/>
      <c r="K115" s="1110"/>
      <c r="L115" s="1110"/>
      <c r="M115" s="1110"/>
      <c r="N115" s="1110"/>
      <c r="O115" s="1110"/>
      <c r="P115" s="1110"/>
      <c r="Q115" s="1110"/>
      <c r="R115" s="1110"/>
      <c r="S115" s="1110"/>
      <c r="T115" s="1110"/>
      <c r="U115" s="1110"/>
      <c r="V115" s="1110"/>
      <c r="W115" s="1110"/>
      <c r="X115" s="1110"/>
      <c r="Y115" s="1110"/>
      <c r="Z115" s="1110"/>
      <c r="AA115" s="1110"/>
      <c r="AB115" s="1110"/>
      <c r="AC115" s="1110"/>
      <c r="AD115" s="1110"/>
      <c r="AE115" s="1110"/>
      <c r="AF115" s="1110"/>
      <c r="BB115" s="1110"/>
      <c r="BC115" s="1110"/>
      <c r="BD115" s="1110"/>
      <c r="BE115" s="1110"/>
      <c r="BF115" s="1110"/>
      <c r="BG115" s="1110"/>
      <c r="BH115" s="1110"/>
      <c r="BI115" s="1110"/>
      <c r="BJ115" s="1110"/>
      <c r="BK115" s="1110"/>
      <c r="BL115" s="1110"/>
      <c r="BM115" s="1110"/>
      <c r="BN115" s="1110"/>
      <c r="BO115" s="1110"/>
      <c r="BP115" s="1110"/>
      <c r="BQ115" s="1110"/>
      <c r="BR115" s="1110"/>
      <c r="BS115" s="1110"/>
      <c r="BT115" s="1110"/>
      <c r="BU115" s="1110"/>
      <c r="BV115" s="1110"/>
      <c r="BW115" s="1110"/>
      <c r="BX115" s="1110"/>
      <c r="BY115" s="1110"/>
      <c r="BZ115" s="1110"/>
      <c r="CA115" s="1110"/>
      <c r="CB115" s="1110"/>
      <c r="CC115" s="1110"/>
      <c r="CD115" s="1110"/>
      <c r="CE115" s="1110"/>
      <c r="CF115" s="1110"/>
      <c r="CG115" s="1110" t="s">
        <v>693</v>
      </c>
      <c r="CH115" s="1283">
        <f>1-CH114</f>
        <v>0.35000000000000009</v>
      </c>
      <c r="CI115" s="1283">
        <f t="shared" ref="CI115:CO115" si="70">1-CI114</f>
        <v>0.36999999999999988</v>
      </c>
      <c r="CJ115" s="1283">
        <f t="shared" si="70"/>
        <v>0.37999999999999989</v>
      </c>
      <c r="CK115" s="1283">
        <f t="shared" si="70"/>
        <v>0.41999999999999993</v>
      </c>
      <c r="CL115" s="1283">
        <f t="shared" si="70"/>
        <v>0.43999999999999995</v>
      </c>
      <c r="CM115" s="1283">
        <f t="shared" si="70"/>
        <v>0.44999999999999996</v>
      </c>
      <c r="CN115" s="1283">
        <f t="shared" si="70"/>
        <v>0.44999999999999996</v>
      </c>
      <c r="CO115" s="1283">
        <f t="shared" si="70"/>
        <v>0.45999999999999996</v>
      </c>
      <c r="CP115" s="1283">
        <f t="shared" ref="CP115" si="71">1-CP114</f>
        <v>0.46499999999999997</v>
      </c>
      <c r="CQ115" s="1283">
        <f t="shared" ref="CQ115" si="72">1-CQ114</f>
        <v>0.47</v>
      </c>
      <c r="CR115" s="1283">
        <f t="shared" ref="CR115" si="73">1-CR114</f>
        <v>0.47499999999999998</v>
      </c>
      <c r="CS115" s="1283">
        <f t="shared" ref="CS115" si="74">1-CS114</f>
        <v>0.48</v>
      </c>
    </row>
    <row r="116" spans="5:101">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BB116" s="1110"/>
      <c r="BC116" s="1110"/>
      <c r="BD116" s="1110"/>
      <c r="BE116" s="1110"/>
      <c r="BF116" s="1110"/>
      <c r="BG116" s="1110"/>
      <c r="BH116" s="1110"/>
      <c r="BI116" s="1110"/>
      <c r="BJ116" s="1110"/>
      <c r="BK116" s="1110"/>
      <c r="BL116" s="1110"/>
      <c r="BM116" s="1110"/>
      <c r="BN116" s="1110"/>
      <c r="BO116" s="1110"/>
      <c r="BP116" s="1110"/>
      <c r="BQ116" s="1110"/>
      <c r="BR116" s="1110"/>
      <c r="BS116" s="1110"/>
      <c r="BT116" s="1110"/>
      <c r="BU116" s="1110"/>
      <c r="BV116" s="1110"/>
      <c r="BW116" s="1110"/>
      <c r="BX116" s="1110"/>
      <c r="BY116" s="1110"/>
      <c r="BZ116" s="1110"/>
      <c r="CA116" s="1110"/>
      <c r="CB116" s="1110"/>
      <c r="CC116" s="1110"/>
      <c r="CD116" s="1110"/>
      <c r="CE116" s="1110"/>
      <c r="CF116" s="1110"/>
      <c r="CG116" s="1110" t="s">
        <v>694</v>
      </c>
      <c r="CH116" s="1283">
        <f>1-TAM!C28</f>
        <v>0.20122261320730483</v>
      </c>
      <c r="CI116" s="1283">
        <f>1-TAM!D28</f>
        <v>0.21819415895345939</v>
      </c>
      <c r="CJ116" s="1283">
        <f>1-TAM!E28</f>
        <v>0.23014752676269468</v>
      </c>
      <c r="CK116" s="1283">
        <f>1-TAM!F28</f>
        <v>0.25503224297969862</v>
      </c>
      <c r="CL116" s="1283">
        <f>1-TAM!G28</f>
        <v>0.26716757279677594</v>
      </c>
      <c r="CM116" s="1283">
        <f>1-TAM!H28</f>
        <v>0.28642671292281008</v>
      </c>
      <c r="CN116" s="1283">
        <f>1-TAM!I28</f>
        <v>0.27392857142857141</v>
      </c>
      <c r="CO116" s="1283">
        <f>1-TAM!J28</f>
        <v>0.28654390934844187</v>
      </c>
      <c r="CP116" s="1283">
        <f>1-TAM!K28</f>
        <v>0.29426252677832987</v>
      </c>
      <c r="CQ116" s="1283">
        <f ca="1">1-TAM!L28</f>
        <v>0.29900282117229637</v>
      </c>
      <c r="CR116" s="1283">
        <f ca="1">1-TAM!M28</f>
        <v>0.30698465536532304</v>
      </c>
      <c r="CS116" s="1283">
        <f ca="1">1-TAM!N28</f>
        <v>0.31511801117691929</v>
      </c>
    </row>
    <row r="117" spans="5:101">
      <c r="F117" s="1110"/>
      <c r="G117" s="1110"/>
      <c r="H117" s="1110"/>
      <c r="I117" s="1110"/>
      <c r="J117" s="1110"/>
      <c r="K117" s="1110"/>
      <c r="L117" s="1110"/>
      <c r="M117" s="1110"/>
      <c r="N117" s="1110"/>
      <c r="O117" s="1110"/>
      <c r="P117" s="1110"/>
      <c r="Q117" s="1110"/>
      <c r="R117" s="1110"/>
      <c r="S117" s="1110"/>
      <c r="T117" s="1110"/>
      <c r="U117" s="1110"/>
      <c r="V117" s="1110"/>
      <c r="W117" s="1110"/>
      <c r="X117" s="1110"/>
      <c r="Y117" s="1110"/>
      <c r="Z117" s="1110"/>
      <c r="AA117" s="1110"/>
      <c r="AB117" s="1110"/>
      <c r="AC117" s="1110"/>
      <c r="AD117" s="1110"/>
      <c r="AE117" s="1110"/>
      <c r="AF117" s="1110"/>
      <c r="BB117" s="1110"/>
      <c r="BC117" s="1110"/>
      <c r="BD117" s="1110"/>
      <c r="BE117" s="1110"/>
      <c r="BF117" s="1110"/>
      <c r="BG117" s="1110"/>
      <c r="BH117" s="1110"/>
      <c r="BI117" s="1110"/>
      <c r="BJ117" s="1110"/>
      <c r="BK117" s="1110"/>
      <c r="BL117" s="1110"/>
      <c r="BM117" s="1110"/>
      <c r="BN117" s="1110"/>
      <c r="BO117" s="1110"/>
      <c r="BP117" s="1110"/>
      <c r="BQ117" s="1110"/>
      <c r="BR117" s="1110"/>
      <c r="BS117" s="1110"/>
      <c r="BT117" s="1110"/>
      <c r="BU117" s="1110"/>
      <c r="BV117" s="1110"/>
      <c r="BW117" s="1110"/>
      <c r="BX117" s="1110"/>
      <c r="BY117" s="1110"/>
      <c r="BZ117" s="1110"/>
      <c r="CA117" s="1110"/>
      <c r="CB117" s="1110"/>
      <c r="CC117" s="1110"/>
      <c r="CD117" s="1110"/>
      <c r="CE117" s="1110"/>
      <c r="CF117" s="1110"/>
      <c r="CG117" s="1110"/>
    </row>
    <row r="118" spans="5:101">
      <c r="F118" s="1110"/>
      <c r="G118" s="1110"/>
      <c r="H118" s="1110"/>
      <c r="I118" s="1110"/>
      <c r="J118" s="1110"/>
      <c r="K118" s="1110"/>
      <c r="L118" s="1110"/>
      <c r="M118" s="1110"/>
      <c r="N118" s="1110"/>
      <c r="O118" s="1110"/>
      <c r="P118" s="1110"/>
      <c r="Q118" s="1110"/>
      <c r="R118" s="1110"/>
      <c r="S118" s="1110"/>
      <c r="T118" s="1110"/>
      <c r="U118" s="1110"/>
      <c r="V118" s="1110"/>
      <c r="W118" s="1110"/>
      <c r="X118" s="1110"/>
      <c r="Y118" s="1110"/>
      <c r="Z118" s="1110"/>
      <c r="AA118" s="1110"/>
      <c r="AB118" s="1110"/>
      <c r="AC118" s="1110"/>
      <c r="AD118" s="1110"/>
      <c r="AE118" s="1110"/>
      <c r="AF118" s="1110"/>
      <c r="BB118" s="1110"/>
      <c r="BC118" s="1110"/>
      <c r="BD118" s="1110"/>
      <c r="BE118" s="1110"/>
      <c r="BF118" s="1110"/>
      <c r="BG118" s="1110"/>
      <c r="BH118" s="1110"/>
      <c r="BI118" s="1110"/>
      <c r="BJ118" s="1110"/>
      <c r="BK118" s="1110"/>
      <c r="BL118" s="1110"/>
      <c r="BM118" s="1110"/>
      <c r="BN118" s="1110"/>
      <c r="BO118" s="1110"/>
      <c r="BP118" s="1110"/>
      <c r="BQ118" s="1110"/>
      <c r="BR118" s="1110"/>
      <c r="BS118" s="1110"/>
      <c r="BT118" s="1110"/>
      <c r="BU118" s="1110"/>
      <c r="BV118" s="1110"/>
      <c r="BW118" s="1110"/>
      <c r="BX118" s="1110"/>
      <c r="BY118" s="1110"/>
      <c r="BZ118" s="1110"/>
      <c r="CA118" s="1110"/>
      <c r="CB118" s="1110"/>
      <c r="CC118" s="1110"/>
      <c r="CD118" s="1110"/>
      <c r="CE118" s="1110"/>
      <c r="CF118" s="1110"/>
      <c r="CG118" s="1110"/>
      <c r="CH118" s="1282" t="str">
        <f>CH113</f>
        <v>2016A</v>
      </c>
      <c r="CI118" s="1282" t="str">
        <f t="shared" ref="CI118:CS118" si="75">CI113</f>
        <v>2017A</v>
      </c>
      <c r="CJ118" s="1282" t="str">
        <f t="shared" si="75"/>
        <v>2018A</v>
      </c>
      <c r="CK118" s="1282" t="str">
        <f t="shared" si="75"/>
        <v>2019A</v>
      </c>
      <c r="CL118" s="1282" t="str">
        <f t="shared" si="75"/>
        <v>2020A</v>
      </c>
      <c r="CM118" s="1282" t="str">
        <f t="shared" si="75"/>
        <v>2021A</v>
      </c>
      <c r="CN118" s="1282" t="str">
        <f t="shared" si="75"/>
        <v>2022A</v>
      </c>
      <c r="CO118" s="1282" t="str">
        <f t="shared" si="75"/>
        <v>2023A</v>
      </c>
      <c r="CP118" s="1282" t="str">
        <f t="shared" si="75"/>
        <v>2024E</v>
      </c>
      <c r="CQ118" s="1282" t="str">
        <f t="shared" si="75"/>
        <v>2025E</v>
      </c>
      <c r="CR118" s="1282" t="str">
        <f t="shared" si="75"/>
        <v>2026E</v>
      </c>
      <c r="CS118" s="1282" t="str">
        <f t="shared" si="75"/>
        <v>2027E</v>
      </c>
    </row>
    <row r="119" spans="5:101">
      <c r="BB119" s="1110"/>
      <c r="BC119" s="1110"/>
      <c r="BD119" s="1110"/>
      <c r="BE119" s="1110"/>
      <c r="BF119" s="1110"/>
      <c r="BG119" s="1110"/>
      <c r="BH119" s="1110"/>
      <c r="BI119" s="1110"/>
      <c r="BJ119" s="1110"/>
      <c r="BK119" s="1110"/>
      <c r="BL119" s="1110"/>
      <c r="BM119" s="1110"/>
      <c r="BN119" s="1110"/>
      <c r="BO119" s="1110"/>
      <c r="BP119" s="1110"/>
      <c r="BQ119" s="1110"/>
      <c r="BR119" s="1110"/>
      <c r="BS119" s="1110"/>
      <c r="BT119" s="1110"/>
      <c r="BU119" s="1110"/>
      <c r="BV119" s="1110"/>
      <c r="BW119" s="1110"/>
      <c r="BX119" s="1110"/>
      <c r="BY119" s="1110"/>
      <c r="BZ119" s="1110"/>
      <c r="CA119" s="1110"/>
      <c r="CB119" s="1110"/>
      <c r="CC119" s="1110"/>
      <c r="CD119" s="1110"/>
      <c r="CE119" s="1110"/>
      <c r="CF119" s="1110"/>
      <c r="CG119" s="1110" t="s">
        <v>622</v>
      </c>
      <c r="CI119" s="1288">
        <f>'Revenue Build'!CE51</f>
        <v>10088.015940336567</v>
      </c>
      <c r="CJ119" s="1288">
        <f>'Revenue Build'!CJ51</f>
        <v>16711.604062604951</v>
      </c>
      <c r="CK119" s="1288">
        <f>'Revenue Build'!CO51</f>
        <v>25702.891747650821</v>
      </c>
      <c r="CL119" s="1288">
        <f>'Revenue Build'!CT51</f>
        <v>53800</v>
      </c>
      <c r="CM119" s="1288">
        <f>'Revenue Build'!CY51</f>
        <v>85800</v>
      </c>
      <c r="CN119" s="1288">
        <f>'Revenue Build'!DD51</f>
        <v>106100</v>
      </c>
      <c r="CO119" s="1288">
        <f>'Revenue Build'!DI51</f>
        <v>137074</v>
      </c>
      <c r="CP119" s="1288">
        <f>'Revenue Build'!DN51</f>
        <v>178987.77124999999</v>
      </c>
      <c r="CQ119" s="1288">
        <f>'Revenue Build'!DS51</f>
        <v>222867.38995094484</v>
      </c>
      <c r="CR119" s="1288">
        <f>'Revenue Build'!DX51</f>
        <v>270730.6049826821</v>
      </c>
      <c r="CS119" s="1288">
        <f>'Revenue Build'!EC51</f>
        <v>323953.91751058312</v>
      </c>
    </row>
    <row r="120" spans="5:101">
      <c r="BB120" s="1110"/>
      <c r="BC120" s="1110"/>
      <c r="BD120" s="1110"/>
      <c r="BE120" s="1110"/>
      <c r="BF120" s="1110"/>
      <c r="BG120" s="1110"/>
      <c r="BH120" s="1110"/>
      <c r="BI120" s="1110"/>
      <c r="BJ120" s="1110"/>
      <c r="BK120" s="1110"/>
      <c r="BL120" s="1110"/>
      <c r="BM120" s="1110"/>
      <c r="BN120" s="1110"/>
      <c r="BO120" s="1110"/>
      <c r="BP120" s="1110"/>
      <c r="BQ120" s="1110"/>
      <c r="BR120" s="1110"/>
      <c r="BS120" s="1110"/>
      <c r="BT120" s="1110"/>
      <c r="BU120" s="1110"/>
      <c r="BV120" s="1110"/>
      <c r="BW120" s="1110"/>
      <c r="BX120" s="1110"/>
      <c r="BY120" s="1110"/>
      <c r="BZ120" s="1110"/>
      <c r="CA120" s="1110"/>
      <c r="CB120" s="1110"/>
      <c r="CC120" s="1110"/>
      <c r="CD120" s="1110"/>
      <c r="CE120" s="1110"/>
      <c r="CF120" s="1110"/>
      <c r="CG120" s="1110" t="s">
        <v>656</v>
      </c>
      <c r="CH120" s="1283"/>
      <c r="CI120" s="1283">
        <f>TAM!D118/TAM!D117</f>
        <v>0.38328109605517319</v>
      </c>
      <c r="CJ120" s="1283">
        <f>TAM!E118/TAM!E117</f>
        <v>0.40657633986414771</v>
      </c>
      <c r="CK120" s="1283">
        <f>TAM!F118/TAM!F117</f>
        <v>0.42040465214309908</v>
      </c>
      <c r="CL120" s="1283">
        <f>TAM!G118/TAM!G117</f>
        <v>0.44991874576167973</v>
      </c>
      <c r="CM120" s="1283">
        <f>TAM!H118/TAM!H117</f>
        <v>0.4892741358161361</v>
      </c>
      <c r="CN120" s="1283">
        <f>TAM!I118/TAM!I117</f>
        <v>0.53789560466337949</v>
      </c>
      <c r="CO120" s="1283">
        <f>TAM!J118/TAM!J117</f>
        <v>0.58100667585037613</v>
      </c>
      <c r="CP120" s="1283">
        <f>TAM!K118/TAM!K117</f>
        <v>0.61593680624409886</v>
      </c>
      <c r="CQ120" s="1283">
        <f>TAM!L118/TAM!L117</f>
        <v>0.64178794569671227</v>
      </c>
      <c r="CR120" s="1283">
        <f>TAM!M118/TAM!M117</f>
        <v>0.6637879456967124</v>
      </c>
      <c r="CS120" s="1283">
        <f>TAM!N118/TAM!N117</f>
        <v>0.68178794569671242</v>
      </c>
    </row>
    <row r="121" spans="5:101">
      <c r="BB121" s="1110"/>
      <c r="BC121" s="1110"/>
      <c r="BD121" s="1110"/>
      <c r="BE121" s="1110"/>
      <c r="BF121" s="1110"/>
      <c r="BG121" s="1110"/>
      <c r="BH121" s="1110"/>
      <c r="BI121" s="1110"/>
      <c r="BJ121" s="1110"/>
      <c r="BK121" s="1110"/>
      <c r="BL121" s="1110"/>
      <c r="BM121" s="1110"/>
      <c r="BN121" s="1110"/>
      <c r="BO121" s="1110"/>
      <c r="BP121" s="1110"/>
      <c r="BQ121" s="1110"/>
      <c r="BR121" s="1110"/>
      <c r="BS121" s="1110"/>
      <c r="BT121" s="1110"/>
      <c r="BU121" s="1110"/>
      <c r="BV121" s="1110"/>
      <c r="BW121" s="1110"/>
      <c r="BX121" s="1110"/>
      <c r="BY121" s="1110"/>
      <c r="BZ121" s="1110"/>
      <c r="CA121" s="1110"/>
      <c r="CB121" s="1110"/>
      <c r="CC121" s="1110"/>
      <c r="CD121" s="1110"/>
      <c r="CE121" s="1110"/>
      <c r="CF121" s="1110"/>
    </row>
    <row r="122" spans="5:101" ht="12" thickBot="1">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c r="BS122" s="1110"/>
      <c r="BT122" s="1110"/>
      <c r="BU122" s="1110"/>
      <c r="BV122" s="1110"/>
      <c r="BW122" s="1110"/>
      <c r="BX122" s="1110"/>
      <c r="BY122" s="1110"/>
      <c r="BZ122" s="1110"/>
      <c r="CA122" s="1110"/>
      <c r="CB122" s="1110"/>
      <c r="CC122" s="1110"/>
      <c r="CD122" s="1110"/>
      <c r="CE122" s="1110"/>
      <c r="CF122" s="1110"/>
    </row>
    <row r="123" spans="5:101">
      <c r="AY123" s="1110"/>
      <c r="AZ123" s="1110"/>
      <c r="BA123" s="1110"/>
      <c r="BB123" s="1110"/>
      <c r="BC123" s="1110"/>
      <c r="BD123" s="1110"/>
      <c r="BE123" s="1110"/>
      <c r="BF123" s="1110"/>
      <c r="BG123" s="1110"/>
      <c r="BH123" s="1110"/>
      <c r="BI123" s="1110"/>
      <c r="BJ123" s="1110"/>
      <c r="BK123" s="1110"/>
      <c r="BL123" s="1110"/>
      <c r="BM123" s="1110"/>
      <c r="BN123" s="1110"/>
      <c r="BO123" s="1110"/>
      <c r="BP123" s="1110"/>
      <c r="BQ123" s="1110"/>
      <c r="BR123" s="1110"/>
      <c r="BS123" s="1110"/>
      <c r="BT123" s="1110"/>
      <c r="BU123" s="1110"/>
      <c r="BV123" s="1110"/>
      <c r="BW123" s="1110"/>
      <c r="BX123" s="1110"/>
      <c r="BY123" s="1110"/>
      <c r="BZ123" s="1110"/>
      <c r="CA123" s="1110"/>
      <c r="CB123" s="1110"/>
      <c r="CC123" s="1110"/>
      <c r="CD123" s="1110"/>
      <c r="CE123" s="1110"/>
      <c r="CF123" s="1110"/>
      <c r="CG123" s="1597" t="s">
        <v>736</v>
      </c>
      <c r="CH123" s="1598"/>
      <c r="CI123" s="1598"/>
      <c r="CJ123" s="1598"/>
      <c r="CK123" s="1598"/>
      <c r="CL123" s="1598"/>
      <c r="CM123" s="1598"/>
      <c r="CN123" s="1598"/>
      <c r="CO123" s="1598"/>
      <c r="CP123" s="1598"/>
      <c r="CQ123" s="1598"/>
      <c r="CR123" s="1598"/>
      <c r="CS123" s="1599"/>
    </row>
    <row r="124" spans="5:101">
      <c r="BB124" s="1110"/>
      <c r="BC124" s="1110"/>
      <c r="BD124" s="1110"/>
      <c r="BE124" s="1110"/>
      <c r="BF124" s="1110"/>
      <c r="BG124" s="1110"/>
      <c r="BH124" s="1110"/>
      <c r="BI124" s="1110"/>
      <c r="BJ124" s="1110"/>
      <c r="BK124" s="1110"/>
      <c r="BL124" s="1110"/>
      <c r="BM124" s="1110"/>
      <c r="BN124" s="1110"/>
      <c r="BO124" s="1110"/>
      <c r="BP124" s="1110"/>
      <c r="BQ124" s="1110"/>
      <c r="BR124" s="1110"/>
      <c r="BS124" s="1110"/>
      <c r="BT124" s="1110"/>
      <c r="BU124" s="1110"/>
      <c r="BV124" s="1110"/>
      <c r="BW124" s="1110"/>
      <c r="BX124" s="1110"/>
      <c r="BY124" s="1110"/>
      <c r="BZ124" s="1110"/>
      <c r="CA124" s="1110"/>
      <c r="CB124" s="1110"/>
      <c r="CC124" s="1110"/>
      <c r="CD124" s="1110"/>
      <c r="CE124" s="1110"/>
      <c r="CF124" s="1110"/>
      <c r="CG124" s="1600"/>
      <c r="CH124" s="1601"/>
      <c r="CI124" s="1601"/>
      <c r="CJ124" s="1601"/>
      <c r="CK124" s="1601"/>
      <c r="CL124" s="1601"/>
      <c r="CM124" s="1601"/>
      <c r="CN124" s="1601"/>
      <c r="CO124" s="1601"/>
      <c r="CP124" s="1601"/>
      <c r="CQ124" s="1601"/>
      <c r="CR124" s="1601"/>
      <c r="CS124" s="1602"/>
    </row>
    <row r="125" spans="5:101">
      <c r="E125" s="6" t="s">
        <v>622</v>
      </c>
      <c r="BB125" s="1110"/>
      <c r="BC125" s="1110"/>
      <c r="BD125" s="1110"/>
      <c r="BE125" s="1110"/>
      <c r="BF125" s="1110"/>
      <c r="BG125" s="1110"/>
      <c r="BH125" s="1110"/>
      <c r="BI125" s="1110"/>
      <c r="BJ125" s="1110"/>
      <c r="BK125" s="1110"/>
      <c r="BL125" s="1110"/>
      <c r="BM125" s="1110"/>
      <c r="BN125" s="1110"/>
      <c r="BO125" s="1110"/>
      <c r="BP125" s="1110"/>
      <c r="BQ125" s="1110"/>
      <c r="BR125" s="1110"/>
      <c r="BS125" s="1110"/>
      <c r="BT125" s="1110"/>
      <c r="BU125" s="1110"/>
      <c r="BV125" s="1110"/>
      <c r="BW125" s="1110"/>
      <c r="BX125" s="1110"/>
      <c r="BY125" s="1110"/>
      <c r="BZ125" s="1110"/>
      <c r="CA125" s="1110"/>
      <c r="CB125" s="1110"/>
      <c r="CC125" s="1110"/>
      <c r="CD125" s="1110"/>
      <c r="CE125" s="1110"/>
      <c r="CF125" s="1110"/>
      <c r="CG125" s="1600"/>
      <c r="CH125" s="1601"/>
      <c r="CI125" s="1601"/>
      <c r="CJ125" s="1601"/>
      <c r="CK125" s="1601"/>
      <c r="CL125" s="1601"/>
      <c r="CM125" s="1601"/>
      <c r="CN125" s="1601"/>
      <c r="CO125" s="1601"/>
      <c r="CP125" s="1601"/>
      <c r="CQ125" s="1601"/>
      <c r="CR125" s="1601"/>
      <c r="CS125" s="1602"/>
      <c r="CW125" s="1460"/>
    </row>
    <row r="126" spans="5:101">
      <c r="BB126" s="1110"/>
      <c r="BC126" s="1110"/>
      <c r="BD126" s="1110"/>
      <c r="BE126" s="1110"/>
      <c r="BF126" s="1110"/>
      <c r="BG126" s="1110"/>
      <c r="BH126" s="1110"/>
      <c r="BI126" s="1110"/>
      <c r="BJ126" s="1110"/>
      <c r="BK126" s="1110"/>
      <c r="BL126" s="1110"/>
      <c r="BM126" s="1110"/>
      <c r="BN126" s="1110"/>
      <c r="BO126" s="1110"/>
      <c r="BP126" s="1110"/>
      <c r="BQ126" s="1110"/>
      <c r="BR126" s="1110"/>
      <c r="BS126" s="1110"/>
      <c r="BT126" s="1110"/>
      <c r="BU126" s="1110"/>
      <c r="BV126" s="1110"/>
      <c r="BW126" s="1110"/>
      <c r="BX126" s="1110"/>
      <c r="BY126" s="1110"/>
      <c r="BZ126" s="1110"/>
      <c r="CA126" s="1110"/>
      <c r="CB126" s="1110"/>
      <c r="CC126" s="1110"/>
      <c r="CD126" s="1110"/>
      <c r="CE126" s="1110"/>
      <c r="CF126" s="1110"/>
      <c r="CG126" s="1600"/>
      <c r="CH126" s="1601"/>
      <c r="CI126" s="1601"/>
      <c r="CJ126" s="1601"/>
      <c r="CK126" s="1601"/>
      <c r="CL126" s="1601"/>
      <c r="CM126" s="1601"/>
      <c r="CN126" s="1601"/>
      <c r="CO126" s="1601"/>
      <c r="CP126" s="1601"/>
      <c r="CQ126" s="1601"/>
      <c r="CR126" s="1601"/>
      <c r="CS126" s="1602"/>
    </row>
    <row r="127" spans="5:101">
      <c r="BB127" s="1110"/>
      <c r="BC127" s="1110"/>
      <c r="BD127" s="1110"/>
      <c r="BE127" s="1110"/>
      <c r="BF127" s="1110"/>
      <c r="BG127" s="1110"/>
      <c r="BH127" s="1110"/>
      <c r="BI127" s="1110"/>
      <c r="BJ127" s="1110"/>
      <c r="BK127" s="1110"/>
      <c r="BL127" s="1110"/>
      <c r="BM127" s="1110"/>
      <c r="BN127" s="1110"/>
      <c r="BO127" s="1110"/>
      <c r="BP127" s="1110"/>
      <c r="BQ127" s="1110"/>
      <c r="BR127" s="1110"/>
      <c r="BS127" s="1110"/>
      <c r="BT127" s="1110"/>
      <c r="BU127" s="1110"/>
      <c r="BV127" s="1110"/>
      <c r="BW127" s="1110"/>
      <c r="BX127" s="1110"/>
      <c r="BY127" s="1110"/>
      <c r="BZ127" s="1110"/>
      <c r="CA127" s="1110"/>
      <c r="CB127" s="1110"/>
      <c r="CC127" s="1110"/>
      <c r="CD127" s="1110"/>
      <c r="CE127" s="1110"/>
      <c r="CF127" s="1110"/>
      <c r="CG127" s="1600"/>
      <c r="CH127" s="1601"/>
      <c r="CI127" s="1601"/>
      <c r="CJ127" s="1601"/>
      <c r="CK127" s="1601"/>
      <c r="CL127" s="1601"/>
      <c r="CM127" s="1601"/>
      <c r="CN127" s="1601"/>
      <c r="CO127" s="1601"/>
      <c r="CP127" s="1601"/>
      <c r="CQ127" s="1601"/>
      <c r="CR127" s="1601"/>
      <c r="CS127" s="1602"/>
    </row>
    <row r="128" spans="5:101">
      <c r="BB128" s="1110"/>
      <c r="BC128" s="1110"/>
      <c r="BD128" s="1110"/>
      <c r="BE128" s="1110"/>
      <c r="BF128" s="1110"/>
      <c r="BG128" s="1110"/>
      <c r="BH128" s="1110"/>
      <c r="BI128" s="1110"/>
      <c r="BJ128" s="1110"/>
      <c r="BK128" s="1110"/>
      <c r="BL128" s="1110"/>
      <c r="BM128" s="1110"/>
      <c r="BN128" s="1110"/>
      <c r="BO128" s="1110"/>
      <c r="BP128" s="1110"/>
      <c r="BQ128" s="1110"/>
      <c r="BR128" s="1110"/>
      <c r="BS128" s="1110"/>
      <c r="BT128" s="1110"/>
      <c r="BU128" s="1110"/>
      <c r="BV128" s="1110"/>
      <c r="BW128" s="1110"/>
      <c r="BX128" s="1110"/>
      <c r="BY128" s="1110"/>
      <c r="BZ128" s="1110"/>
      <c r="CA128" s="1110"/>
      <c r="CB128" s="1110"/>
      <c r="CC128" s="1110"/>
      <c r="CD128" s="1110"/>
      <c r="CE128" s="1110"/>
      <c r="CF128" s="1110"/>
      <c r="CG128" s="1600"/>
      <c r="CH128" s="1601"/>
      <c r="CI128" s="1601"/>
      <c r="CJ128" s="1601"/>
      <c r="CK128" s="1601"/>
      <c r="CL128" s="1601"/>
      <c r="CM128" s="1601"/>
      <c r="CN128" s="1601"/>
      <c r="CO128" s="1601"/>
      <c r="CP128" s="1601"/>
      <c r="CQ128" s="1601"/>
      <c r="CR128" s="1601"/>
      <c r="CS128" s="1602"/>
    </row>
    <row r="129" spans="5:97">
      <c r="BB129" s="1110"/>
      <c r="BC129" s="1110"/>
      <c r="BD129" s="1110"/>
      <c r="BE129" s="1110"/>
      <c r="BF129" s="1110"/>
      <c r="BG129" s="1110"/>
      <c r="BH129" s="1110"/>
      <c r="BI129" s="1110"/>
      <c r="BJ129" s="1110"/>
      <c r="BK129" s="1110"/>
      <c r="BL129" s="1110"/>
      <c r="BM129" s="1110"/>
      <c r="BN129" s="1110"/>
      <c r="BO129" s="1110"/>
      <c r="BP129" s="1110"/>
      <c r="BQ129" s="1110"/>
      <c r="BR129" s="1110"/>
      <c r="BS129" s="1110"/>
      <c r="BT129" s="1110"/>
      <c r="BU129" s="1110"/>
      <c r="BV129" s="1110"/>
      <c r="BW129" s="1110"/>
      <c r="BX129" s="1110"/>
      <c r="BY129" s="1110"/>
      <c r="BZ129" s="1110"/>
      <c r="CA129" s="1110"/>
      <c r="CB129" s="1110"/>
      <c r="CC129" s="1110"/>
      <c r="CD129" s="1110"/>
      <c r="CE129" s="1110"/>
      <c r="CF129" s="1110"/>
      <c r="CG129" s="1600"/>
      <c r="CH129" s="1601"/>
      <c r="CI129" s="1601"/>
      <c r="CJ129" s="1601"/>
      <c r="CK129" s="1601"/>
      <c r="CL129" s="1601"/>
      <c r="CM129" s="1601"/>
      <c r="CN129" s="1601"/>
      <c r="CO129" s="1601"/>
      <c r="CP129" s="1601"/>
      <c r="CQ129" s="1601"/>
      <c r="CR129" s="1601"/>
      <c r="CS129" s="1602"/>
    </row>
    <row r="130" spans="5:97">
      <c r="BB130" s="1110"/>
      <c r="BC130" s="1110"/>
      <c r="BD130" s="1110"/>
      <c r="BE130" s="1110"/>
      <c r="BF130" s="1110"/>
      <c r="BG130" s="1110"/>
      <c r="BH130" s="1110"/>
      <c r="BI130" s="1110"/>
      <c r="BJ130" s="1110"/>
      <c r="BK130" s="1110"/>
      <c r="BL130" s="1110"/>
      <c r="BM130" s="1110"/>
      <c r="BN130" s="1110"/>
      <c r="BO130" s="1110"/>
      <c r="BP130" s="1110"/>
      <c r="BQ130" s="1110"/>
      <c r="BR130" s="1110"/>
      <c r="BS130" s="1110"/>
      <c r="BT130" s="1110"/>
      <c r="BU130" s="1110"/>
      <c r="BV130" s="1110"/>
      <c r="BW130" s="1110"/>
      <c r="BX130" s="1110"/>
      <c r="BY130" s="1110"/>
      <c r="BZ130" s="1110"/>
      <c r="CA130" s="1110"/>
      <c r="CB130" s="1110"/>
      <c r="CC130" s="1110"/>
      <c r="CD130" s="1110"/>
      <c r="CE130" s="1110"/>
      <c r="CF130" s="1110"/>
      <c r="CG130" s="1600"/>
      <c r="CH130" s="1601"/>
      <c r="CI130" s="1601"/>
      <c r="CJ130" s="1601"/>
      <c r="CK130" s="1601"/>
      <c r="CL130" s="1601"/>
      <c r="CM130" s="1601"/>
      <c r="CN130" s="1601"/>
      <c r="CO130" s="1601"/>
      <c r="CP130" s="1601"/>
      <c r="CQ130" s="1601"/>
      <c r="CR130" s="1601"/>
      <c r="CS130" s="1602"/>
    </row>
    <row r="131" spans="5:97">
      <c r="BB131" s="1110"/>
      <c r="BC131" s="1110"/>
      <c r="BD131" s="1110"/>
      <c r="BE131" s="1110"/>
      <c r="BF131" s="1110"/>
      <c r="BG131" s="1110"/>
      <c r="BH131" s="1110"/>
      <c r="BI131" s="1110"/>
      <c r="BJ131" s="1110"/>
      <c r="BK131" s="1110"/>
      <c r="BL131" s="1110"/>
      <c r="BM131" s="1110"/>
      <c r="BN131" s="1110"/>
      <c r="BO131" s="1110"/>
      <c r="BP131" s="1110"/>
      <c r="BQ131" s="1110"/>
      <c r="BR131" s="1110"/>
      <c r="BS131" s="1110"/>
      <c r="BT131" s="1110"/>
      <c r="BU131" s="1110"/>
      <c r="BV131" s="1110"/>
      <c r="BW131" s="1110"/>
      <c r="BX131" s="1110"/>
      <c r="BY131" s="1110"/>
      <c r="BZ131" s="1110"/>
      <c r="CA131" s="1110"/>
      <c r="CB131" s="1110"/>
      <c r="CC131" s="1110"/>
      <c r="CD131" s="1110"/>
      <c r="CE131" s="1110"/>
      <c r="CF131" s="1110"/>
      <c r="CG131" s="1600"/>
      <c r="CH131" s="1601"/>
      <c r="CI131" s="1601"/>
      <c r="CJ131" s="1601"/>
      <c r="CK131" s="1601"/>
      <c r="CL131" s="1601"/>
      <c r="CM131" s="1601"/>
      <c r="CN131" s="1601"/>
      <c r="CO131" s="1601"/>
      <c r="CP131" s="1601"/>
      <c r="CQ131" s="1601"/>
      <c r="CR131" s="1601"/>
      <c r="CS131" s="1602"/>
    </row>
    <row r="132" spans="5:97">
      <c r="BB132" s="1110"/>
      <c r="BC132" s="1110"/>
      <c r="BD132" s="1110"/>
      <c r="BE132" s="1110"/>
      <c r="BF132" s="1110"/>
      <c r="BG132" s="1110"/>
      <c r="BH132" s="1110"/>
      <c r="BI132" s="1110"/>
      <c r="BJ132" s="1110"/>
      <c r="BK132" s="1110"/>
      <c r="BL132" s="1110"/>
      <c r="BM132" s="1110"/>
      <c r="BN132" s="1110"/>
      <c r="BO132" s="1110"/>
      <c r="BP132" s="1110"/>
      <c r="BQ132" s="1110"/>
      <c r="BR132" s="1110"/>
      <c r="BS132" s="1110"/>
      <c r="BT132" s="1110"/>
      <c r="BU132" s="1110"/>
      <c r="BV132" s="1110"/>
      <c r="BW132" s="1110"/>
      <c r="BX132" s="1110"/>
      <c r="BY132" s="1110"/>
      <c r="BZ132" s="1110"/>
      <c r="CA132" s="1110"/>
      <c r="CB132" s="1110"/>
      <c r="CC132" s="1110"/>
      <c r="CD132" s="1110"/>
      <c r="CE132" s="1110"/>
      <c r="CF132" s="1110"/>
      <c r="CG132" s="1600"/>
      <c r="CH132" s="1601"/>
      <c r="CI132" s="1601"/>
      <c r="CJ132" s="1601"/>
      <c r="CK132" s="1601"/>
      <c r="CL132" s="1601"/>
      <c r="CM132" s="1601"/>
      <c r="CN132" s="1601"/>
      <c r="CO132" s="1601"/>
      <c r="CP132" s="1601"/>
      <c r="CQ132" s="1601"/>
      <c r="CR132" s="1601"/>
      <c r="CS132" s="1602"/>
    </row>
    <row r="133" spans="5:97">
      <c r="BB133" s="1110"/>
      <c r="BC133" s="1110"/>
      <c r="BD133" s="1110"/>
      <c r="BE133" s="1110"/>
      <c r="BF133" s="1110"/>
      <c r="BG133" s="1110"/>
      <c r="BH133" s="1110"/>
      <c r="BI133" s="1110"/>
      <c r="BJ133" s="1110"/>
      <c r="BK133" s="1110"/>
      <c r="BL133" s="1110"/>
      <c r="BM133" s="1110"/>
      <c r="BN133" s="1110"/>
      <c r="BO133" s="1110"/>
      <c r="BP133" s="1110"/>
      <c r="BQ133" s="1110"/>
      <c r="BR133" s="1110"/>
      <c r="BS133" s="1110"/>
      <c r="BT133" s="1110"/>
      <c r="BU133" s="1110"/>
      <c r="BV133" s="1110"/>
      <c r="BW133" s="1110"/>
      <c r="BX133" s="1110"/>
      <c r="BY133" s="1110"/>
      <c r="BZ133" s="1110"/>
      <c r="CA133" s="1110"/>
      <c r="CB133" s="1110"/>
      <c r="CC133" s="1110"/>
      <c r="CD133" s="1110"/>
      <c r="CE133" s="1110"/>
      <c r="CF133" s="1110"/>
      <c r="CG133" s="1600"/>
      <c r="CH133" s="1601"/>
      <c r="CI133" s="1601"/>
      <c r="CJ133" s="1601"/>
      <c r="CK133" s="1601"/>
      <c r="CL133" s="1601"/>
      <c r="CM133" s="1601"/>
      <c r="CN133" s="1601"/>
      <c r="CO133" s="1601"/>
      <c r="CP133" s="1601"/>
      <c r="CQ133" s="1601"/>
      <c r="CR133" s="1601"/>
      <c r="CS133" s="1602"/>
    </row>
    <row r="134" spans="5:97">
      <c r="BB134" s="1110"/>
      <c r="BC134" s="1110"/>
      <c r="BD134" s="1110"/>
      <c r="BE134" s="1110"/>
      <c r="BF134" s="1110"/>
      <c r="BG134" s="1110"/>
      <c r="BH134" s="1110"/>
      <c r="BI134" s="1110"/>
      <c r="BJ134" s="1110"/>
      <c r="BK134" s="1110"/>
      <c r="BL134" s="1110"/>
      <c r="BM134" s="1110"/>
      <c r="BN134" s="1110"/>
      <c r="BO134" s="1110"/>
      <c r="BP134" s="1110"/>
      <c r="BQ134" s="1110"/>
      <c r="BR134" s="1110"/>
      <c r="BS134" s="1110"/>
      <c r="BT134" s="1110"/>
      <c r="BU134" s="1110"/>
      <c r="BV134" s="1110"/>
      <c r="BW134" s="1110"/>
      <c r="BX134" s="1110"/>
      <c r="BY134" s="1110"/>
      <c r="BZ134" s="1110"/>
      <c r="CA134" s="1110"/>
      <c r="CB134" s="1110"/>
      <c r="CC134" s="1110"/>
      <c r="CD134" s="1110"/>
      <c r="CE134" s="1110"/>
      <c r="CF134" s="1110"/>
      <c r="CG134" s="1600"/>
      <c r="CH134" s="1601"/>
      <c r="CI134" s="1601"/>
      <c r="CJ134" s="1601"/>
      <c r="CK134" s="1601"/>
      <c r="CL134" s="1601"/>
      <c r="CM134" s="1601"/>
      <c r="CN134" s="1601"/>
      <c r="CO134" s="1601"/>
      <c r="CP134" s="1601"/>
      <c r="CQ134" s="1601"/>
      <c r="CR134" s="1601"/>
      <c r="CS134" s="1602"/>
    </row>
    <row r="135" spans="5:97">
      <c r="BB135" s="1110"/>
      <c r="BC135" s="1110"/>
      <c r="BD135" s="1110"/>
      <c r="BE135" s="1110"/>
      <c r="BF135" s="1110"/>
      <c r="BG135" s="1110"/>
      <c r="BH135" s="1110"/>
      <c r="BI135" s="1110"/>
      <c r="BJ135" s="1110"/>
      <c r="BK135" s="1110"/>
      <c r="BL135" s="1110"/>
      <c r="BM135" s="1110"/>
      <c r="BN135" s="1110"/>
      <c r="BO135" s="1110"/>
      <c r="BP135" s="1110"/>
      <c r="BQ135" s="1110"/>
      <c r="BR135" s="1110"/>
      <c r="BS135" s="1110"/>
      <c r="BT135" s="1110"/>
      <c r="BU135" s="1110"/>
      <c r="BV135" s="1110"/>
      <c r="BW135" s="1110"/>
      <c r="BX135" s="1110"/>
      <c r="BY135" s="1110"/>
      <c r="BZ135" s="1110"/>
      <c r="CA135" s="1110"/>
      <c r="CB135" s="1110"/>
      <c r="CC135" s="1110"/>
      <c r="CD135" s="1110"/>
      <c r="CE135" s="1110"/>
      <c r="CF135" s="1110"/>
      <c r="CG135" s="1600"/>
      <c r="CH135" s="1601"/>
      <c r="CI135" s="1601"/>
      <c r="CJ135" s="1601"/>
      <c r="CK135" s="1601"/>
      <c r="CL135" s="1601"/>
      <c r="CM135" s="1601"/>
      <c r="CN135" s="1601"/>
      <c r="CO135" s="1601"/>
      <c r="CP135" s="1601"/>
      <c r="CQ135" s="1601"/>
      <c r="CR135" s="1601"/>
      <c r="CS135" s="1602"/>
    </row>
    <row r="136" spans="5:97">
      <c r="BB136" s="1110"/>
      <c r="BC136" s="1110"/>
      <c r="BD136" s="1110"/>
      <c r="BE136" s="1110"/>
      <c r="BF136" s="1110"/>
      <c r="BG136" s="1110"/>
      <c r="BH136" s="1110"/>
      <c r="BI136" s="1110"/>
      <c r="BJ136" s="1110"/>
      <c r="BK136" s="1110"/>
      <c r="BL136" s="1110"/>
      <c r="BM136" s="1110"/>
      <c r="BN136" s="1110"/>
      <c r="BO136" s="1110"/>
      <c r="BP136" s="1110"/>
      <c r="BQ136" s="1110"/>
      <c r="BR136" s="1110"/>
      <c r="BS136" s="1110"/>
      <c r="BT136" s="1110"/>
      <c r="BU136" s="1110"/>
      <c r="BV136" s="1110"/>
      <c r="BW136" s="1110"/>
      <c r="BX136" s="1110"/>
      <c r="BY136" s="1110"/>
      <c r="BZ136" s="1110"/>
      <c r="CA136" s="1110"/>
      <c r="CB136" s="1110"/>
      <c r="CC136" s="1110"/>
      <c r="CD136" s="1110"/>
      <c r="CE136" s="1110"/>
      <c r="CF136" s="1110"/>
      <c r="CG136" s="1600"/>
      <c r="CH136" s="1601"/>
      <c r="CI136" s="1601"/>
      <c r="CJ136" s="1601"/>
      <c r="CK136" s="1601"/>
      <c r="CL136" s="1601"/>
      <c r="CM136" s="1601"/>
      <c r="CN136" s="1601"/>
      <c r="CO136" s="1601"/>
      <c r="CP136" s="1601"/>
      <c r="CQ136" s="1601"/>
      <c r="CR136" s="1601"/>
      <c r="CS136" s="1602"/>
    </row>
    <row r="137" spans="5:97">
      <c r="BB137" s="1110"/>
      <c r="BC137" s="1110"/>
      <c r="BD137" s="1110"/>
      <c r="BE137" s="1110"/>
      <c r="BF137" s="1110"/>
      <c r="BG137" s="1110"/>
      <c r="BH137" s="1110"/>
      <c r="BI137" s="1110"/>
      <c r="BJ137" s="1110"/>
      <c r="BK137" s="1110"/>
      <c r="BL137" s="1110"/>
      <c r="BM137" s="1110"/>
      <c r="BN137" s="1110"/>
      <c r="BO137" s="1110"/>
      <c r="BP137" s="1110"/>
      <c r="BQ137" s="1110"/>
      <c r="BR137" s="1110"/>
      <c r="BS137" s="1110"/>
      <c r="BT137" s="1110"/>
      <c r="BU137" s="1110"/>
      <c r="BV137" s="1110"/>
      <c r="BW137" s="1110"/>
      <c r="BX137" s="1110"/>
      <c r="BY137" s="1110"/>
      <c r="BZ137" s="1110"/>
      <c r="CA137" s="1110"/>
      <c r="CB137" s="1110"/>
      <c r="CC137" s="1110"/>
      <c r="CD137" s="1110"/>
      <c r="CE137" s="1110"/>
      <c r="CF137" s="1110"/>
      <c r="CG137" s="1600"/>
      <c r="CH137" s="1601"/>
      <c r="CI137" s="1601"/>
      <c r="CJ137" s="1601"/>
      <c r="CK137" s="1601"/>
      <c r="CL137" s="1601"/>
      <c r="CM137" s="1601"/>
      <c r="CN137" s="1601"/>
      <c r="CO137" s="1601"/>
      <c r="CP137" s="1601"/>
      <c r="CQ137" s="1601"/>
      <c r="CR137" s="1601"/>
      <c r="CS137" s="1602"/>
    </row>
    <row r="138" spans="5:97">
      <c r="BB138" s="1110"/>
      <c r="BC138" s="1110"/>
      <c r="BD138" s="1110"/>
      <c r="BE138" s="1110"/>
      <c r="BF138" s="1110"/>
      <c r="BG138" s="1110"/>
      <c r="BH138" s="1110"/>
      <c r="BI138" s="1110"/>
      <c r="BJ138" s="1110"/>
      <c r="BK138" s="1110"/>
      <c r="BL138" s="1110"/>
      <c r="BM138" s="1110"/>
      <c r="BN138" s="1110"/>
      <c r="BO138" s="1110"/>
      <c r="BP138" s="1110"/>
      <c r="BQ138" s="1110"/>
      <c r="BR138" s="1110"/>
      <c r="BS138" s="1110"/>
      <c r="BT138" s="1110"/>
      <c r="BU138" s="1110"/>
      <c r="BV138" s="1110"/>
      <c r="BW138" s="1110"/>
      <c r="BX138" s="1110"/>
      <c r="BY138" s="1110"/>
      <c r="BZ138" s="1110"/>
      <c r="CA138" s="1110"/>
      <c r="CB138" s="1110"/>
      <c r="CC138" s="1110"/>
      <c r="CD138" s="1110"/>
      <c r="CE138" s="1110"/>
      <c r="CF138" s="1110"/>
      <c r="CG138" s="1600"/>
      <c r="CH138" s="1601"/>
      <c r="CI138" s="1601"/>
      <c r="CJ138" s="1601"/>
      <c r="CK138" s="1601"/>
      <c r="CL138" s="1601"/>
      <c r="CM138" s="1601"/>
      <c r="CN138" s="1601"/>
      <c r="CO138" s="1601"/>
      <c r="CP138" s="1601"/>
      <c r="CQ138" s="1601"/>
      <c r="CR138" s="1601"/>
      <c r="CS138" s="1602"/>
    </row>
    <row r="139" spans="5:97">
      <c r="BB139" s="1110"/>
      <c r="BC139" s="1110"/>
      <c r="BD139" s="1110"/>
      <c r="BE139" s="1110"/>
      <c r="BF139" s="1110"/>
      <c r="BG139" s="1110"/>
      <c r="BH139" s="1110"/>
      <c r="BI139" s="1110"/>
      <c r="BJ139" s="1110"/>
      <c r="BK139" s="1110"/>
      <c r="BL139" s="1110"/>
      <c r="BM139" s="1110"/>
      <c r="BN139" s="1110"/>
      <c r="BO139" s="1110"/>
      <c r="BP139" s="1110"/>
      <c r="BQ139" s="1110"/>
      <c r="BR139" s="1110"/>
      <c r="BS139" s="1110"/>
      <c r="BT139" s="1110"/>
      <c r="BU139" s="1110"/>
      <c r="BV139" s="1110"/>
      <c r="BW139" s="1110"/>
      <c r="BX139" s="1110"/>
      <c r="BY139" s="1110"/>
      <c r="BZ139" s="1110"/>
      <c r="CA139" s="1110"/>
      <c r="CB139" s="1110"/>
      <c r="CC139" s="1110"/>
      <c r="CD139" s="1110"/>
      <c r="CE139" s="1110"/>
      <c r="CF139" s="1110"/>
      <c r="CG139" s="1600"/>
      <c r="CH139" s="1601"/>
      <c r="CI139" s="1601"/>
      <c r="CJ139" s="1601"/>
      <c r="CK139" s="1601"/>
      <c r="CL139" s="1601"/>
      <c r="CM139" s="1601"/>
      <c r="CN139" s="1601"/>
      <c r="CO139" s="1601"/>
      <c r="CP139" s="1601"/>
      <c r="CQ139" s="1601"/>
      <c r="CR139" s="1601"/>
      <c r="CS139" s="1602"/>
    </row>
    <row r="140" spans="5:97">
      <c r="CG140" s="1600"/>
      <c r="CH140" s="1601"/>
      <c r="CI140" s="1601"/>
      <c r="CJ140" s="1601"/>
      <c r="CK140" s="1601"/>
      <c r="CL140" s="1601"/>
      <c r="CM140" s="1601"/>
      <c r="CN140" s="1601"/>
      <c r="CO140" s="1601"/>
      <c r="CP140" s="1601"/>
      <c r="CQ140" s="1601"/>
      <c r="CR140" s="1601"/>
      <c r="CS140" s="1602"/>
    </row>
    <row r="141" spans="5:97" ht="12" thickBot="1">
      <c r="CG141" s="1603"/>
      <c r="CH141" s="1604"/>
      <c r="CI141" s="1604"/>
      <c r="CJ141" s="1604"/>
      <c r="CK141" s="1604"/>
      <c r="CL141" s="1604"/>
      <c r="CM141" s="1604"/>
      <c r="CN141" s="1604"/>
      <c r="CO141" s="1604"/>
      <c r="CP141" s="1604"/>
      <c r="CQ141" s="1604"/>
      <c r="CR141" s="1604"/>
      <c r="CS141" s="1605"/>
    </row>
    <row r="144" spans="5:97">
      <c r="E144" s="1417" t="str">
        <f>CG144</f>
        <v>Shopify Payments Revenue</v>
      </c>
      <c r="CG144" s="1161" t="str">
        <f>'Revenue Build'!C59</f>
        <v>Shopify Payments Revenue</v>
      </c>
      <c r="CH144" s="1288"/>
      <c r="CI144" s="1288">
        <f ca="1">OFFSET('Revenue Build'!$C$6,MATCH(Charts!$E144,'Revenue Build'!$C$6:$C$70,0)-1,MATCH(Charts!CI$4,'Revenue Build'!$C$4:$ED$4,0)-1)</f>
        <v>210.69833999999997</v>
      </c>
      <c r="CJ144" s="1288">
        <f ca="1">OFFSET('Revenue Build'!$C$6,MATCH(Charts!$E144,'Revenue Build'!$C$6:$C$70,0)-1,MATCH(Charts!CJ$4,'Revenue Build'!$C$4:$ED$4,0)-1)</f>
        <v>349.73397499999993</v>
      </c>
      <c r="CK144" s="1288">
        <f ca="1">OFFSET('Revenue Build'!$C$6,MATCH(Charts!$E144,'Revenue Build'!$C$6:$C$70,0)-1,MATCH(Charts!CK$4,'Revenue Build'!$C$4:$ED$4,0)-1)</f>
        <v>533.48123999999996</v>
      </c>
      <c r="CL144" s="1288">
        <f ca="1">OFFSET('Revenue Build'!$C$6,MATCH(Charts!$E144,'Revenue Build'!$C$6:$C$70,0)-1,MATCH(Charts!CL$4,'Revenue Build'!$C$4:$ED$4,0)-1)</f>
        <v>1141.7147099999997</v>
      </c>
      <c r="CM144" s="1288">
        <f ca="1">OFFSET('Revenue Build'!$C$6,MATCH(Charts!$E144,'Revenue Build'!$C$6:$C$70,0)-1,MATCH(Charts!CM$4,'Revenue Build'!$C$4:$ED$4,0)-1)</f>
        <v>1830.9323200000001</v>
      </c>
      <c r="CN144" s="1288">
        <f ca="1">OFFSET('Revenue Build'!$C$6,MATCH(Charts!$E144,'Revenue Build'!$C$6:$C$70,0)-1,MATCH(Charts!CN$4,'Revenue Build'!$C$4:$ED$4,0)-1)</f>
        <v>2273.9940649999999</v>
      </c>
      <c r="CO144" s="1288">
        <f ca="1">OFFSET('Revenue Build'!$C$6,MATCH(Charts!$E144,'Revenue Build'!$C$6:$C$70,0)-1,MATCH(Charts!CO$4,'Revenue Build'!$C$4:$ED$4,0)-1)</f>
        <v>2950.9949999999999</v>
      </c>
      <c r="CP144" s="1288">
        <f ca="1">OFFSET('Revenue Build'!$C$6,MATCH(Charts!$E144,'Revenue Build'!$C$6:$C$70,0)-1,MATCH(Charts!CP$4,'Revenue Build'!$C$4:$ED$4,0)-1)</f>
        <v>3621.371026013484</v>
      </c>
      <c r="CQ144" s="1288">
        <f ca="1">OFFSET('Revenue Build'!$C$6,MATCH(Charts!$E144,'Revenue Build'!$C$6:$C$70,0)-1,MATCH(Charts!CQ$4,'Revenue Build'!$C$4:$ED$4,0)-1)</f>
        <v>4399.0316333310057</v>
      </c>
      <c r="CR144" s="1288">
        <f ca="1">OFFSET('Revenue Build'!$C$6,MATCH(Charts!$E144,'Revenue Build'!$C$6:$C$70,0)-1,MATCH(Charts!CR$4,'Revenue Build'!$C$4:$ED$4,0)-1)</f>
        <v>5208.4997902188161</v>
      </c>
      <c r="CS144" s="1288">
        <f ca="1">OFFSET('Revenue Build'!$C$6,MATCH(Charts!$E144,'Revenue Build'!$C$6:$C$70,0)-1,MATCH(Charts!CS$4,'Revenue Build'!$C$4:$ED$4,0)-1)</f>
        <v>6070.5550588349233</v>
      </c>
    </row>
    <row r="145" spans="5:97">
      <c r="E145" s="1472" t="str">
        <f>CG145</f>
        <v>3P Transaction Fee Revenue</v>
      </c>
      <c r="CG145" s="1444" t="s">
        <v>643</v>
      </c>
      <c r="CH145" s="1288"/>
      <c r="CI145" s="1288">
        <f ca="1">OFFSET('Revenue Build'!$C$6,MATCH(Charts!$E145,'Revenue Build'!$C$6:$C$70,0)-1,MATCH(Charts!CI$4,'Revenue Build'!$C$4:$ED$4,0)-1)</f>
        <v>123.51282</v>
      </c>
      <c r="CJ145" s="1288">
        <f ca="1">OFFSET('Revenue Build'!$C$6,MATCH(Charts!$E145,'Revenue Build'!$C$6:$C$70,0)-1,MATCH(Charts!CJ$4,'Revenue Build'!$C$4:$ED$4,0)-1)</f>
        <v>194.63455999999999</v>
      </c>
      <c r="CK145" s="1288">
        <f ca="1">OFFSET('Revenue Build'!$C$6,MATCH(Charts!$E145,'Revenue Build'!$C$6:$C$70,0)-1,MATCH(Charts!CK$4,'Revenue Build'!$C$4:$ED$4,0)-1)</f>
        <v>280.77960000000002</v>
      </c>
      <c r="CL145" s="1288">
        <f ca="1">OFFSET('Revenue Build'!$C$6,MATCH(Charts!$E145,'Revenue Build'!$C$6:$C$70,0)-1,MATCH(Charts!CL$4,'Revenue Build'!$C$4:$ED$4,0)-1)</f>
        <v>565.80551999999989</v>
      </c>
      <c r="CM145" s="1288">
        <f ca="1">OFFSET('Revenue Build'!$C$6,MATCH(Charts!$E145,'Revenue Build'!$C$6:$C$70,0)-1,MATCH(Charts!CM$4,'Revenue Build'!$C$4:$ED$4,0)-1)</f>
        <v>850.07571999999982</v>
      </c>
      <c r="CN145" s="1288">
        <f ca="1">OFFSET('Revenue Build'!$C$6,MATCH(Charts!$E145,'Revenue Build'!$C$6:$C$70,0)-1,MATCH(Charts!CN$4,'Revenue Build'!$C$4:$ED$4,0)-1)</f>
        <v>1007.4657249999997</v>
      </c>
      <c r="CO145" s="1288">
        <f ca="1">OFFSET('Revenue Build'!$C$6,MATCH(Charts!$E145,'Revenue Build'!$C$6:$C$70,0)-1,MATCH(Charts!CO$4,'Revenue Build'!$C$4:$ED$4,0)-1)</f>
        <v>1227.4049999999997</v>
      </c>
      <c r="CP145" s="1288">
        <f ca="1">OFFSET('Revenue Build'!$C$6,MATCH(Charts!$E145,'Revenue Build'!$C$6:$C$70,0)-1,MATCH(Charts!CP$4,'Revenue Build'!$C$4:$ED$4,0)-1)</f>
        <v>1446.3878374421106</v>
      </c>
      <c r="CQ145" s="1288">
        <f ca="1">OFFSET('Revenue Build'!$C$6,MATCH(Charts!$E145,'Revenue Build'!$C$6:$C$70,0)-1,MATCH(Charts!CQ$4,'Revenue Build'!$C$4:$ED$4,0)-1)</f>
        <v>1611.6709586779696</v>
      </c>
      <c r="CR145" s="1288">
        <f ca="1">OFFSET('Revenue Build'!$C$6,MATCH(Charts!$E145,'Revenue Build'!$C$6:$C$70,0)-1,MATCH(Charts!CR$4,'Revenue Build'!$C$4:$ED$4,0)-1)</f>
        <v>1776.6380211175858</v>
      </c>
      <c r="CS145" s="1288">
        <f ca="1">OFFSET('Revenue Build'!$C$6,MATCH(Charts!$E145,'Revenue Build'!$C$6:$C$70,0)-1,MATCH(Charts!CS$4,'Revenue Build'!$C$4:$ED$4,0)-1)</f>
        <v>1958.9573022725331</v>
      </c>
    </row>
    <row r="146" spans="5:97">
      <c r="E146" s="6" t="str">
        <f>'Revenue Build'!C78</f>
        <v>Other Merchants Solutions Revenue</v>
      </c>
      <c r="CG146" s="1444" t="str">
        <f>E146</f>
        <v>Other Merchants Solutions Revenue</v>
      </c>
      <c r="CH146" s="1288"/>
      <c r="CI146" s="1288">
        <f ca="1">OFFSET('Revenue Build'!$C$6,MATCH($E146,'Revenue Build'!$C$6:$C$1000012,0)-1,MATCH(Charts!CI$4,'Revenue Build'!$C$4:$ED$4,0)-1)</f>
        <v>29.061839999999997</v>
      </c>
      <c r="CJ146" s="1288">
        <f ca="1">OFFSET('Revenue Build'!$C$6,MATCH($E146,'Revenue Build'!$C$6:$C$1000012,0)-1,MATCH(Charts!CJ$4,'Revenue Build'!$C$4:$ED$4,0)-1)</f>
        <v>63.864465000000052</v>
      </c>
      <c r="CK146" s="1288">
        <f ca="1">OFFSET('Revenue Build'!$C$6,MATCH($E146,'Revenue Build'!$C$6:$C$1000012,0)-1,MATCH(Charts!CK$4,'Revenue Build'!$C$4:$ED$4,0)-1)</f>
        <v>121.67116000000007</v>
      </c>
      <c r="CL146" s="1288">
        <f ca="1">OFFSET('Revenue Build'!$C$6,MATCH($E146,'Revenue Build'!$C$6:$C$1000012,0)-1,MATCH(Charts!CL$4,'Revenue Build'!$C$4:$ED$4,0)-1)</f>
        <v>313.21377000000018</v>
      </c>
      <c r="CM146" s="1288">
        <f ca="1">OFFSET('Revenue Build'!$C$6,MATCH($E146,'Revenue Build'!$C$6:$C$1000012,0)-1,MATCH(Charts!CM$4,'Revenue Build'!$C$4:$ED$4,0)-1)</f>
        <v>588.51395999999988</v>
      </c>
      <c r="CN146" s="1288">
        <f ca="1">OFFSET('Revenue Build'!$C$6,MATCH($E146,'Revenue Build'!$C$6:$C$1000012,0)-1,MATCH(Charts!CN$4,'Revenue Build'!$C$4:$ED$4,0)-1)</f>
        <v>830.64521000000013</v>
      </c>
      <c r="CO146" s="1288">
        <f ca="1">OFFSET('Revenue Build'!$C$6,MATCH($E146,'Revenue Build'!$C$6:$C$1000012,0)-1,MATCH(Charts!CO$4,'Revenue Build'!$C$4:$ED$4,0)-1)</f>
        <v>1044.6000000000004</v>
      </c>
      <c r="CP146" s="1288">
        <f ca="1">OFFSET('Revenue Build'!$C$6,MATCH($E146,'Revenue Build'!$C$6:$C$1000012,0)-1,MATCH(Charts!CP$4,'Revenue Build'!$C$4:$ED$4,0)-1)</f>
        <v>1362.0958240444045</v>
      </c>
      <c r="CQ146" s="1288">
        <f ca="1">OFFSET('Revenue Build'!$C$6,MATCH($E146,'Revenue Build'!$C$6:$C$1000012,0)-1,MATCH(Charts!CQ$4,'Revenue Build'!$C$4:$ED$4,0)-1)</f>
        <v>2020.2785903541576</v>
      </c>
      <c r="CR146" s="1288">
        <f ca="1">OFFSET('Revenue Build'!$C$6,MATCH($E146,'Revenue Build'!$C$6:$C$1000012,0)-1,MATCH(Charts!CR$4,'Revenue Build'!$C$4:$ED$4,0)-1)</f>
        <v>2732.7495346085598</v>
      </c>
      <c r="CS146" s="1288">
        <f ca="1">OFFSET('Revenue Build'!$C$6,MATCH($E146,'Revenue Build'!$C$6:$C$1000012,0)-1,MATCH(Charts!CS$4,'Revenue Build'!$C$4:$ED$4,0)-1)</f>
        <v>3529.4031387450468</v>
      </c>
    </row>
    <row r="147" spans="5:97">
      <c r="E147" s="1445" t="s">
        <v>346</v>
      </c>
      <c r="CG147" s="1446" t="str">
        <f>E147</f>
        <v>Merchant Solution Revenues</v>
      </c>
      <c r="CH147" s="1289"/>
      <c r="CI147" s="1289" t="e">
        <f ca="1">OFFSET('Revenue Build'!$C$6,MATCH($E147,'Revenue Build'!$C$6:$C$1000012,0)-1,MATCH(Charts!CI$4,'Revenue Build'!$C$4:$ED$4,0)-1)</f>
        <v>#N/A</v>
      </c>
      <c r="CJ147" s="1289" t="e">
        <f ca="1">OFFSET('Revenue Build'!$C$6,MATCH($E147,'Revenue Build'!$C$6:$C$1000012,0)-1,MATCH(Charts!CJ$4,'Revenue Build'!$C$4:$ED$4,0)-1)</f>
        <v>#N/A</v>
      </c>
      <c r="CK147" s="1289" t="e">
        <f ca="1">OFFSET('Revenue Build'!$C$6,MATCH($E147,'Revenue Build'!$C$6:$C$1000012,0)-1,MATCH(Charts!CK$4,'Revenue Build'!$C$4:$ED$4,0)-1)</f>
        <v>#N/A</v>
      </c>
      <c r="CL147" s="1289" t="e">
        <f ca="1">OFFSET('Revenue Build'!$C$6,MATCH($E147,'Revenue Build'!$C$6:$C$1000012,0)-1,MATCH(Charts!CL$4,'Revenue Build'!$C$4:$ED$4,0)-1)</f>
        <v>#N/A</v>
      </c>
      <c r="CM147" s="1289" t="e">
        <f ca="1">OFFSET('Revenue Build'!$C$6,MATCH($E147,'Revenue Build'!$C$6:$C$1000012,0)-1,MATCH(Charts!CM$4,'Revenue Build'!$C$4:$ED$4,0)-1)</f>
        <v>#N/A</v>
      </c>
      <c r="CN147" s="1289" t="e">
        <f ca="1">OFFSET('Revenue Build'!$C$6,MATCH($E147,'Revenue Build'!$C$6:$C$1000012,0)-1,MATCH(Charts!CN$4,'Revenue Build'!$C$4:$ED$4,0)-1)</f>
        <v>#N/A</v>
      </c>
      <c r="CO147" s="1289" t="e">
        <f ca="1">OFFSET('Revenue Build'!$C$6,MATCH($E147,'Revenue Build'!$C$6:$C$1000012,0)-1,MATCH(Charts!CO$4,'Revenue Build'!$C$4:$ED$4,0)-1)</f>
        <v>#N/A</v>
      </c>
      <c r="CP147" s="1289" t="e">
        <f ca="1">OFFSET('Revenue Build'!$C$6,MATCH($E147,'Revenue Build'!$C$6:$C$1000012,0)-1,MATCH(Charts!CP$4,'Revenue Build'!$C$4:$ED$4,0)-1)</f>
        <v>#N/A</v>
      </c>
      <c r="CQ147" s="1289" t="e">
        <f ca="1">OFFSET('Revenue Build'!$C$6,MATCH($E147,'Revenue Build'!$C$6:$C$1000012,0)-1,MATCH(Charts!CQ$4,'Revenue Build'!$C$4:$ED$4,0)-1)</f>
        <v>#N/A</v>
      </c>
      <c r="CR147" s="1289" t="e">
        <f ca="1">OFFSET('Revenue Build'!$C$6,MATCH($E147,'Revenue Build'!$C$6:$C$1000012,0)-1,MATCH(Charts!CR$4,'Revenue Build'!$C$4:$ED$4,0)-1)</f>
        <v>#N/A</v>
      </c>
      <c r="CS147" s="1289" t="e">
        <f ca="1">OFFSET('Revenue Build'!$C$6,MATCH($E147,'Revenue Build'!$C$6:$C$1000012,0)-1,MATCH(Charts!CS$4,'Revenue Build'!$C$4:$ED$4,0)-1)</f>
        <v>#N/A</v>
      </c>
    </row>
    <row r="148" spans="5:97">
      <c r="E148" s="1501"/>
      <c r="J148" s="1502" t="str">
        <f>'Revenue Build'!CA4</f>
        <v>1Q17A</v>
      </c>
      <c r="K148" s="1502" t="str">
        <f>'Revenue Build'!CB4</f>
        <v>2Q17A</v>
      </c>
      <c r="L148" s="1502" t="str">
        <f>'Revenue Build'!CC4</f>
        <v>3Q17A</v>
      </c>
      <c r="M148" s="1502" t="str">
        <f>'Revenue Build'!CD4</f>
        <v>4Q17A</v>
      </c>
      <c r="N148" s="1502" t="str">
        <f>'Revenue Build'!CF4</f>
        <v>1Q18A</v>
      </c>
      <c r="O148" s="1502" t="str">
        <f>'Revenue Build'!CG4</f>
        <v>2Q18A</v>
      </c>
      <c r="P148" s="1502" t="str">
        <f>'Revenue Build'!CH4</f>
        <v>3Q18A</v>
      </c>
      <c r="Q148" s="1502" t="str">
        <f>'Revenue Build'!CI4</f>
        <v>4Q18A</v>
      </c>
      <c r="R148" s="1502" t="str">
        <f>'Revenue Build'!CK4</f>
        <v>1Q19A</v>
      </c>
      <c r="S148" s="1502" t="str">
        <f>'Revenue Build'!CL4</f>
        <v>2Q19A</v>
      </c>
      <c r="T148" s="1502" t="str">
        <f>'Revenue Build'!CM4</f>
        <v>3Q19A</v>
      </c>
      <c r="U148" s="1502" t="str">
        <f>'Revenue Build'!CN4</f>
        <v>4Q19A</v>
      </c>
      <c r="V148" s="1502" t="str">
        <f>'Revenue Build'!CP4</f>
        <v>1Q20A</v>
      </c>
      <c r="W148" s="1502" t="str">
        <f>'Revenue Build'!CQ4</f>
        <v>2Q20A</v>
      </c>
      <c r="X148" s="1502" t="str">
        <f>'Revenue Build'!CR4</f>
        <v>3Q20A</v>
      </c>
      <c r="Y148" s="1502" t="str">
        <f>'Revenue Build'!CS4</f>
        <v>4Q20A</v>
      </c>
      <c r="Z148" s="1502" t="str">
        <f>'Revenue Build'!CU4</f>
        <v>1Q21A</v>
      </c>
      <c r="AA148" s="1502" t="str">
        <f>'Revenue Build'!CV4</f>
        <v>2Q21A</v>
      </c>
      <c r="AB148" s="1502" t="str">
        <f>'Revenue Build'!CW4</f>
        <v>3Q21A</v>
      </c>
      <c r="AC148" s="1502" t="str">
        <f>'Revenue Build'!CX4</f>
        <v>4Q21A</v>
      </c>
      <c r="AD148" s="1502" t="str">
        <f>'Revenue Build'!CZ4</f>
        <v>1Q22A</v>
      </c>
      <c r="AE148" s="1502" t="str">
        <f>'Revenue Build'!DA4</f>
        <v>2Q22A</v>
      </c>
      <c r="AF148" s="1502" t="str">
        <f>'Revenue Build'!DB4</f>
        <v>3Q22A</v>
      </c>
      <c r="AG148" s="1502" t="str">
        <f>'Revenue Build'!DC4</f>
        <v>4Q22A</v>
      </c>
      <c r="AH148" s="1502" t="str">
        <f>'Revenue Build'!DE4</f>
        <v>1Q23A</v>
      </c>
      <c r="AI148" s="1502" t="str">
        <f>'Revenue Build'!DF4</f>
        <v>2Q23A</v>
      </c>
      <c r="AJ148" s="1502" t="str">
        <f>'Revenue Build'!DG4</f>
        <v>3Q23A</v>
      </c>
      <c r="AK148" s="1502" t="str">
        <f>'Revenue Build'!DH4</f>
        <v>4Q23A</v>
      </c>
      <c r="AL148" s="1502" t="str">
        <f>'Revenue Build'!DJ4</f>
        <v>1Q24A</v>
      </c>
      <c r="AM148" s="1502" t="str">
        <f>'Revenue Build'!DK4</f>
        <v>2Q24A</v>
      </c>
      <c r="AN148" s="1502" t="str">
        <f>'Revenue Build'!DL4</f>
        <v>3Q24A</v>
      </c>
      <c r="AO148" s="1502" t="str">
        <f>'Revenue Build'!DM4</f>
        <v>4Q24E</v>
      </c>
      <c r="AP148" s="1502" t="str">
        <f>'Revenue Build'!DO4</f>
        <v>1Q25E</v>
      </c>
      <c r="AQ148" s="1502" t="str">
        <f>'Revenue Build'!DP4</f>
        <v>2Q25E</v>
      </c>
      <c r="AR148" s="1502" t="str">
        <f>'Revenue Build'!DQ4</f>
        <v>3Q25E</v>
      </c>
      <c r="AS148" s="1502" t="str">
        <f>'Revenue Build'!DR4</f>
        <v>4Q25E</v>
      </c>
      <c r="AT148" s="1502" t="str">
        <f>'Revenue Build'!DT4</f>
        <v>1Q26E</v>
      </c>
      <c r="AU148" s="1502" t="str">
        <f>'Revenue Build'!DU4</f>
        <v>2Q26E</v>
      </c>
      <c r="AV148" s="1502" t="str">
        <f>'Revenue Build'!DV4</f>
        <v>3Q26E</v>
      </c>
      <c r="AW148" s="1502" t="str">
        <f>'Revenue Build'!DW4</f>
        <v>4Q26E</v>
      </c>
      <c r="AX148" s="1502" t="str">
        <f>'Revenue Build'!DY4</f>
        <v>1Q27E</v>
      </c>
      <c r="AY148" s="1502" t="str">
        <f>'Revenue Build'!DZ4</f>
        <v>2Q27E</v>
      </c>
      <c r="CH148" s="1473"/>
      <c r="CI148" s="1473" t="e">
        <f t="shared" ref="CI148:CS148" ca="1" si="76">CI147-CI146-CI145-CI144</f>
        <v>#N/A</v>
      </c>
      <c r="CJ148" s="1473" t="e">
        <f t="shared" ca="1" si="76"/>
        <v>#N/A</v>
      </c>
      <c r="CK148" s="1473" t="e">
        <f t="shared" ca="1" si="76"/>
        <v>#N/A</v>
      </c>
      <c r="CL148" s="1473" t="e">
        <f t="shared" ca="1" si="76"/>
        <v>#N/A</v>
      </c>
      <c r="CM148" s="1473" t="e">
        <f t="shared" ca="1" si="76"/>
        <v>#N/A</v>
      </c>
      <c r="CN148" s="1473" t="e">
        <f t="shared" ca="1" si="76"/>
        <v>#N/A</v>
      </c>
      <c r="CO148" s="1473" t="e">
        <f t="shared" ca="1" si="76"/>
        <v>#N/A</v>
      </c>
      <c r="CP148" s="1473" t="e">
        <f t="shared" ca="1" si="76"/>
        <v>#N/A</v>
      </c>
      <c r="CQ148" s="1473" t="e">
        <f t="shared" ca="1" si="76"/>
        <v>#N/A</v>
      </c>
      <c r="CR148" s="1473" t="e">
        <f t="shared" ca="1" si="76"/>
        <v>#N/A</v>
      </c>
      <c r="CS148" s="1473" t="e">
        <f t="shared" ca="1" si="76"/>
        <v>#N/A</v>
      </c>
    </row>
    <row r="149" spans="5:97">
      <c r="E149" s="6" t="str">
        <f>'Revenue Build'!C69</f>
        <v>3P Transaction Fee Revenue</v>
      </c>
      <c r="J149" s="1504">
        <f>'Revenue Build'!CA69</f>
        <v>22.201660000000004</v>
      </c>
      <c r="K149" s="1504">
        <f>'Revenue Build'!CB69</f>
        <v>27.219380000000001</v>
      </c>
      <c r="L149" s="1504">
        <f>'Revenue Build'!CC69</f>
        <v>30.267140000000001</v>
      </c>
      <c r="M149" s="1504">
        <f>'Revenue Build'!CD69</f>
        <v>43.824639999999995</v>
      </c>
      <c r="N149" s="1504">
        <f>'Revenue Build'!CF69</f>
        <v>36.525439999999996</v>
      </c>
      <c r="O149" s="1504">
        <f>'Revenue Build'!CG69</f>
        <v>42.957439999999998</v>
      </c>
      <c r="P149" s="1504">
        <f>'Revenue Build'!CH69</f>
        <v>47.855040000000002</v>
      </c>
      <c r="Q149" s="1504">
        <f>'Revenue Build'!CI69</f>
        <v>67.296639999999996</v>
      </c>
      <c r="R149" s="1504">
        <f>'Revenue Build'!CK69</f>
        <v>54.009300000000003</v>
      </c>
      <c r="S149" s="1504">
        <f>'Revenue Build'!CL69</f>
        <v>62.679599999999994</v>
      </c>
      <c r="T149" s="1504">
        <f>'Revenue Build'!CM69</f>
        <v>67.492499999999993</v>
      </c>
      <c r="U149" s="1504">
        <f>'Revenue Build'!CN69</f>
        <v>96.598200000000006</v>
      </c>
      <c r="V149" s="1504">
        <f>'Revenue Build'!CP69</f>
        <v>79.069759999999988</v>
      </c>
      <c r="W149" s="1504">
        <f>'Revenue Build'!CQ69</f>
        <v>145.01396</v>
      </c>
      <c r="X149" s="1504">
        <f>'Revenue Build'!CR69</f>
        <v>146.19667999999999</v>
      </c>
      <c r="Y149" s="1504">
        <f>'Revenue Build'!CS69</f>
        <v>195.52511999999996</v>
      </c>
      <c r="Z149" s="1504">
        <f>'Revenue Build'!CU69</f>
        <v>173.67115999999996</v>
      </c>
      <c r="AA149" s="1504">
        <f>'Revenue Build'!CV69</f>
        <v>204.15407999999996</v>
      </c>
      <c r="AB149" s="1504">
        <f>'Revenue Build'!CW69</f>
        <v>204.75831999999997</v>
      </c>
      <c r="AC149" s="1504">
        <f>'Revenue Build'!CX69</f>
        <v>267.49215999999996</v>
      </c>
      <c r="AD149" s="1504">
        <f>'Revenue Build'!CZ69</f>
        <v>210.42118999999994</v>
      </c>
      <c r="AE149" s="1504">
        <f>'Revenue Build'!DA69</f>
        <v>227.51189999999994</v>
      </c>
      <c r="AF149" s="1504">
        <f>'Revenue Build'!DB69</f>
        <v>242.52525499999993</v>
      </c>
      <c r="AG149" s="1504">
        <f>'Revenue Build'!DC69</f>
        <v>327.0073799999999</v>
      </c>
      <c r="AH149" s="1504">
        <f>'Revenue Build'!DE69</f>
        <v>264.60999999999996</v>
      </c>
      <c r="AI149" s="1504">
        <f>'Revenue Build'!DF69</f>
        <v>293.75</v>
      </c>
      <c r="AJ149" s="1504">
        <f>'Revenue Build'!DG69</f>
        <v>288.58</v>
      </c>
      <c r="AK149" s="1504">
        <f>'Revenue Build'!DH69</f>
        <v>380.46499999999997</v>
      </c>
      <c r="AL149" s="1504">
        <f>'Revenue Build'!DJ69</f>
        <v>310.5</v>
      </c>
      <c r="AM149" s="1504">
        <f>'Revenue Build'!DK69</f>
        <v>340.85999999999996</v>
      </c>
      <c r="AN149" s="1504">
        <f>'Revenue Build'!DL69</f>
        <v>356.96</v>
      </c>
      <c r="AO149" s="1504">
        <f>'Revenue Build'!DM69</f>
        <v>438.06783744211066</v>
      </c>
      <c r="AP149" s="1504">
        <f>'Revenue Build'!DO69</f>
        <v>357.36784273266437</v>
      </c>
      <c r="AQ149" s="1504">
        <f>'Revenue Build'!DP69</f>
        <v>378.07677827603374</v>
      </c>
      <c r="AR149" s="1504">
        <f>'Revenue Build'!DQ69</f>
        <v>392.29371061316732</v>
      </c>
      <c r="AS149" s="1504">
        <f>'Revenue Build'!DR69</f>
        <v>483.93262705610414</v>
      </c>
      <c r="AT149" s="1504">
        <f>'Revenue Build'!DT69</f>
        <v>395.33337757294959</v>
      </c>
      <c r="AU149" s="1504">
        <f>'Revenue Build'!DU69</f>
        <v>416.78907057963147</v>
      </c>
      <c r="AV149" s="1504">
        <f>'Revenue Build'!DV69</f>
        <v>432.48510746290503</v>
      </c>
      <c r="AW149" s="1504">
        <f>'Revenue Build'!DW69</f>
        <v>532.03046550209979</v>
      </c>
      <c r="AX149" s="1504">
        <f>'Revenue Build'!DY69</f>
        <v>437.31036789810605</v>
      </c>
      <c r="AY149" s="1504">
        <f>'Revenue Build'!DZ69</f>
        <v>459.57352393200676</v>
      </c>
      <c r="CH149" s="1473"/>
      <c r="CI149" s="1473"/>
      <c r="CJ149" s="1473"/>
      <c r="CK149" s="1473"/>
      <c r="CL149" s="1473"/>
      <c r="CM149" s="1473"/>
      <c r="CN149" s="1473"/>
      <c r="CO149" s="1473"/>
      <c r="CP149" s="1473"/>
      <c r="CQ149" s="1473"/>
      <c r="CR149" s="1473"/>
      <c r="CS149" s="1473"/>
    </row>
    <row r="150" spans="5:97">
      <c r="E150" s="6" t="str">
        <f>'Revenue Build'!C70</f>
        <v>% of merchant Solutions rev</v>
      </c>
      <c r="J150" s="1458">
        <f>'Revenue Build'!CA70</f>
        <v>0.34</v>
      </c>
      <c r="K150" s="1458">
        <f>'Revenue Build'!CB70</f>
        <v>0.34</v>
      </c>
      <c r="L150" s="1458">
        <f>'Revenue Build'!CC70</f>
        <v>0.34</v>
      </c>
      <c r="M150" s="1458">
        <f>'Revenue Build'!CD70</f>
        <v>0.34</v>
      </c>
      <c r="N150" s="1458">
        <f>'Revenue Build'!CF70</f>
        <v>0.32</v>
      </c>
      <c r="O150" s="1458">
        <f>'Revenue Build'!CG70</f>
        <v>0.32</v>
      </c>
      <c r="P150" s="1458">
        <f>'Revenue Build'!CH70</f>
        <v>0.32</v>
      </c>
      <c r="Q150" s="1458">
        <f>'Revenue Build'!CI70</f>
        <v>0.32</v>
      </c>
      <c r="R150" s="1458">
        <f>'Revenue Build'!CK70</f>
        <v>0.3</v>
      </c>
      <c r="S150" s="1458">
        <f>'Revenue Build'!CL70</f>
        <v>0.3</v>
      </c>
      <c r="T150" s="1458">
        <f>'Revenue Build'!CM70</f>
        <v>0.3</v>
      </c>
      <c r="U150" s="1458">
        <f>'Revenue Build'!CN70</f>
        <v>0.3</v>
      </c>
      <c r="V150" s="1458">
        <f>'Revenue Build'!CP70</f>
        <v>0.27999999999999997</v>
      </c>
      <c r="W150" s="1458">
        <f>'Revenue Build'!CQ70</f>
        <v>0.27999999999999997</v>
      </c>
      <c r="X150" s="1458">
        <f>'Revenue Build'!CR70</f>
        <v>0.27999999999999997</v>
      </c>
      <c r="Y150" s="1458">
        <f>'Revenue Build'!CS70</f>
        <v>0.27999999999999997</v>
      </c>
      <c r="Z150" s="1458">
        <f>'Revenue Build'!CU70</f>
        <v>0.25999999999999995</v>
      </c>
      <c r="AA150" s="1458">
        <f>'Revenue Build'!CV70</f>
        <v>0.25999999999999995</v>
      </c>
      <c r="AB150" s="1458">
        <f>'Revenue Build'!CW70</f>
        <v>0.25999999999999995</v>
      </c>
      <c r="AC150" s="1458">
        <f>'Revenue Build'!CX70</f>
        <v>0.25999999999999995</v>
      </c>
      <c r="AD150" s="1458">
        <f>'Revenue Build'!CZ70</f>
        <v>0.24499999999999994</v>
      </c>
      <c r="AE150" s="1458">
        <f>'Revenue Build'!DA70</f>
        <v>0.24499999999999994</v>
      </c>
      <c r="AF150" s="1458">
        <f>'Revenue Build'!DB70</f>
        <v>0.24499999999999994</v>
      </c>
      <c r="AG150" s="1458">
        <f>'Revenue Build'!DC70</f>
        <v>0.24499999999999994</v>
      </c>
      <c r="AH150" s="1458">
        <f>'Revenue Build'!DE70</f>
        <v>0.23499999999999999</v>
      </c>
      <c r="AI150" s="1458">
        <f>'Revenue Build'!DF70</f>
        <v>0.23499999999999999</v>
      </c>
      <c r="AJ150" s="1458">
        <f>'Revenue Build'!DG70</f>
        <v>0.23499999999999999</v>
      </c>
      <c r="AK150" s="1458">
        <f>'Revenue Build'!DH70</f>
        <v>0.23499999999999999</v>
      </c>
      <c r="AL150" s="1458">
        <f>'Revenue Build'!DJ70</f>
        <v>0.22999999999999998</v>
      </c>
      <c r="AM150" s="1458">
        <f>'Revenue Build'!DK70</f>
        <v>0.22999999999999998</v>
      </c>
      <c r="AN150" s="1458">
        <f>'Revenue Build'!DL70</f>
        <v>0.22999999999999998</v>
      </c>
      <c r="AO150" s="1458">
        <f>'Revenue Build'!DM70</f>
        <v>0.22999999999999998</v>
      </c>
      <c r="AP150" s="1458">
        <f>'Revenue Build'!DO70</f>
        <v>0.20593396314381837</v>
      </c>
      <c r="AQ150" s="1458">
        <f>'Revenue Build'!DP70</f>
        <v>0.20513308391935023</v>
      </c>
      <c r="AR150" s="1458">
        <f>'Revenue Build'!DQ70</f>
        <v>0.20523389648799914</v>
      </c>
      <c r="AS150" s="1458">
        <f>'Revenue Build'!DR70</f>
        <v>0.19044202403152999</v>
      </c>
      <c r="AT150" s="1458">
        <f>'Revenue Build'!DT70</f>
        <v>0.18828000809586512</v>
      </c>
      <c r="AU150" s="1458">
        <f>'Revenue Build'!DU70</f>
        <v>0.18686161886390951</v>
      </c>
      <c r="AV150" s="1458">
        <f>'Revenue Build'!DV70</f>
        <v>0.18701649155295769</v>
      </c>
      <c r="AW150" s="1458">
        <f>'Revenue Build'!DW70</f>
        <v>0.17300915992517776</v>
      </c>
      <c r="AX150" s="1458">
        <f>'Revenue Build'!DY70</f>
        <v>0.17510826375368022</v>
      </c>
      <c r="AY150" s="1458">
        <f>'Revenue Build'!DZ70</f>
        <v>0.1732130113075451</v>
      </c>
      <c r="CI150" s="1282" t="str">
        <f t="shared" ref="CI150:CS150" si="77">CI4</f>
        <v>2017A</v>
      </c>
      <c r="CJ150" s="1282" t="str">
        <f t="shared" si="77"/>
        <v>2018A</v>
      </c>
      <c r="CK150" s="1282" t="str">
        <f t="shared" si="77"/>
        <v>2019A</v>
      </c>
      <c r="CL150" s="1282" t="str">
        <f t="shared" si="77"/>
        <v>2020A</v>
      </c>
      <c r="CM150" s="1282" t="str">
        <f t="shared" si="77"/>
        <v>2021A</v>
      </c>
      <c r="CN150" s="1282" t="str">
        <f t="shared" si="77"/>
        <v>2022A</v>
      </c>
      <c r="CO150" s="1282" t="str">
        <f t="shared" si="77"/>
        <v>2023A</v>
      </c>
      <c r="CP150" s="1282" t="str">
        <f t="shared" si="77"/>
        <v>2024E</v>
      </c>
      <c r="CQ150" s="1282" t="str">
        <f t="shared" si="77"/>
        <v>2025E</v>
      </c>
      <c r="CR150" s="1282" t="str">
        <f t="shared" si="77"/>
        <v>2026E</v>
      </c>
      <c r="CS150" s="1282" t="str">
        <f t="shared" si="77"/>
        <v>2027E</v>
      </c>
    </row>
    <row r="151" spans="5:97">
      <c r="E151" s="6" t="str">
        <f>'Revenue Build'!C71</f>
        <v>% yoy growth</v>
      </c>
      <c r="J151" s="1458"/>
      <c r="K151" s="1458"/>
      <c r="L151" s="1458"/>
      <c r="M151" s="1458"/>
      <c r="N151" s="1458">
        <f>'Revenue Build'!CF71</f>
        <v>0.64516707309273214</v>
      </c>
      <c r="O151" s="1458">
        <f>'Revenue Build'!CG71</f>
        <v>0.57819318441492773</v>
      </c>
      <c r="P151" s="1458">
        <f>'Revenue Build'!CH71</f>
        <v>0.5810889301070401</v>
      </c>
      <c r="Q151" s="1458">
        <f>'Revenue Build'!CI71</f>
        <v>0.53558911151352318</v>
      </c>
      <c r="R151" s="1458">
        <f>'Revenue Build'!CK71</f>
        <v>0.47867623223703837</v>
      </c>
      <c r="S151" s="1458">
        <f>'Revenue Build'!CL71</f>
        <v>0.45910929515352872</v>
      </c>
      <c r="T151" s="1458">
        <f>'Revenue Build'!CM71</f>
        <v>0.41035301610864794</v>
      </c>
      <c r="U151" s="1458">
        <f>'Revenue Build'!CN71</f>
        <v>0.43540895949634351</v>
      </c>
      <c r="V151" s="1458">
        <f>'Revenue Build'!CP71</f>
        <v>0.46400268101974995</v>
      </c>
      <c r="W151" s="1458">
        <f>'Revenue Build'!CQ71</f>
        <v>1.3135750706769032</v>
      </c>
      <c r="X151" s="1458">
        <f>'Revenue Build'!CR71</f>
        <v>1.1661174204541247</v>
      </c>
      <c r="Y151" s="1458">
        <f>'Revenue Build'!CS71</f>
        <v>1.0241072815021393</v>
      </c>
      <c r="Z151" s="1458">
        <f>'Revenue Build'!CU71</f>
        <v>1.1964295831933724</v>
      </c>
      <c r="AA151" s="1458">
        <f>'Revenue Build'!CV71</f>
        <v>0.40782363297988677</v>
      </c>
      <c r="AB151" s="1458">
        <f>'Revenue Build'!CW71</f>
        <v>0.40056750946738306</v>
      </c>
      <c r="AC151" s="1458">
        <f>'Revenue Build'!CX71</f>
        <v>0.36807055789046439</v>
      </c>
      <c r="AD151" s="1458">
        <f>'Revenue Build'!CZ71</f>
        <v>0.21160698183855042</v>
      </c>
      <c r="AE151" s="1458">
        <f>'Revenue Build'!DA71</f>
        <v>0.11441270240594736</v>
      </c>
      <c r="AF151" s="1458">
        <f>'Revenue Build'!DB71</f>
        <v>0.1844464000290682</v>
      </c>
      <c r="AG151" s="1458">
        <f>'Revenue Build'!DC71</f>
        <v>0.22249332466416938</v>
      </c>
      <c r="AH151" s="1458">
        <f>'Revenue Build'!DE71</f>
        <v>0.25752544218574203</v>
      </c>
      <c r="AI151" s="1458">
        <f>'Revenue Build'!DF71</f>
        <v>0.29114125458932083</v>
      </c>
      <c r="AJ151" s="1458">
        <f>'Revenue Build'!DG71</f>
        <v>0.18989669756248717</v>
      </c>
      <c r="AK151" s="1458">
        <f>'Revenue Build'!DH71</f>
        <v>0.16347527080275714</v>
      </c>
      <c r="AL151" s="1458">
        <f>'Revenue Build'!DJ71</f>
        <v>0.17342504062582687</v>
      </c>
      <c r="AM151" s="1458">
        <f>'Revenue Build'!DK71</f>
        <v>0.16037446808510625</v>
      </c>
      <c r="AN151" s="1458">
        <f>'Revenue Build'!DL71</f>
        <v>0.23695335782105476</v>
      </c>
      <c r="AO151" s="1458">
        <f>'Revenue Build'!DM71</f>
        <v>0.15140114712814756</v>
      </c>
      <c r="AP151" s="1458">
        <f>'Revenue Build'!DO71</f>
        <v>0.15094313279441018</v>
      </c>
      <c r="AQ151" s="1458">
        <f>'Revenue Build'!DP71</f>
        <v>0.10918493890756853</v>
      </c>
      <c r="AR151" s="1458">
        <f>'Revenue Build'!DQ71</f>
        <v>9.8985070072745707E-2</v>
      </c>
      <c r="AS151" s="1458">
        <f>'Revenue Build'!DR71</f>
        <v>0.10469791592507494</v>
      </c>
      <c r="AT151" s="1458">
        <f>'Revenue Build'!DT71</f>
        <v>0.10623657279842624</v>
      </c>
      <c r="AU151" s="1458">
        <f>'Revenue Build'!DU71</f>
        <v>0.10239267399632235</v>
      </c>
      <c r="AV151" s="1458">
        <f>'Revenue Build'!DV71</f>
        <v>0.10245230999731625</v>
      </c>
      <c r="AW151" s="1458">
        <f>'Revenue Build'!DW71</f>
        <v>9.93895343213127E-2</v>
      </c>
      <c r="AX151" s="1458">
        <f>'Revenue Build'!DY71</f>
        <v>0.10618124526409511</v>
      </c>
      <c r="AY151" s="1458">
        <f>'Revenue Build'!DZ71</f>
        <v>0.10265253187391554</v>
      </c>
      <c r="CG151" s="1161" t="str">
        <f>CG144</f>
        <v>Shopify Payments Revenue</v>
      </c>
      <c r="CI151" s="1283" t="e">
        <f t="shared" ref="CI151:CS151" ca="1" si="78">CI144/CI$147</f>
        <v>#N/A</v>
      </c>
      <c r="CJ151" s="1283" t="e">
        <f t="shared" ca="1" si="78"/>
        <v>#N/A</v>
      </c>
      <c r="CK151" s="1283" t="e">
        <f t="shared" ca="1" si="78"/>
        <v>#N/A</v>
      </c>
      <c r="CL151" s="1283" t="e">
        <f t="shared" ca="1" si="78"/>
        <v>#N/A</v>
      </c>
      <c r="CM151" s="1283" t="e">
        <f t="shared" ca="1" si="78"/>
        <v>#N/A</v>
      </c>
      <c r="CN151" s="1283" t="e">
        <f t="shared" ca="1" si="78"/>
        <v>#N/A</v>
      </c>
      <c r="CO151" s="1283" t="e">
        <f t="shared" ca="1" si="78"/>
        <v>#N/A</v>
      </c>
      <c r="CP151" s="1283" t="e">
        <f t="shared" ca="1" si="78"/>
        <v>#N/A</v>
      </c>
      <c r="CQ151" s="1283" t="e">
        <f t="shared" ca="1" si="78"/>
        <v>#N/A</v>
      </c>
      <c r="CR151" s="1283" t="e">
        <f t="shared" ca="1" si="78"/>
        <v>#N/A</v>
      </c>
      <c r="CS151" s="1283" t="e">
        <f t="shared" ca="1" si="78"/>
        <v>#N/A</v>
      </c>
    </row>
    <row r="152" spans="5:97">
      <c r="E152" s="6" t="str">
        <f>'Revenue Build'!C72</f>
        <v>% qoq growth</v>
      </c>
      <c r="J152" s="1458"/>
      <c r="K152" s="1458">
        <f>'Revenue Build'!CB72</f>
        <v>0.22600652383650566</v>
      </c>
      <c r="L152" s="1458">
        <f>'Revenue Build'!CC72</f>
        <v>0.11197022121738254</v>
      </c>
      <c r="M152" s="1458">
        <f>'Revenue Build'!CD72</f>
        <v>0.44792801698475615</v>
      </c>
      <c r="N152" s="1458">
        <f>'Revenue Build'!CF72</f>
        <v>0</v>
      </c>
      <c r="O152" s="1458">
        <f>'Revenue Build'!CG72</f>
        <v>0.17609644127490331</v>
      </c>
      <c r="P152" s="1458">
        <f>'Revenue Build'!CH72</f>
        <v>0.11401051831766518</v>
      </c>
      <c r="Q152" s="1458">
        <f>'Revenue Build'!CI72</f>
        <v>0.40626023925588606</v>
      </c>
      <c r="R152" s="1458">
        <f>'Revenue Build'!CK72</f>
        <v>0</v>
      </c>
      <c r="S152" s="1458">
        <f>'Revenue Build'!CL72</f>
        <v>0.16053346368125476</v>
      </c>
      <c r="T152" s="1458">
        <f>'Revenue Build'!CM72</f>
        <v>7.6785748473187532E-2</v>
      </c>
      <c r="U152" s="1458">
        <f>'Revenue Build'!CN72</f>
        <v>0.43124347149683318</v>
      </c>
      <c r="V152" s="1458">
        <f>'Revenue Build'!CP72</f>
        <v>-0.18145721141801829</v>
      </c>
      <c r="W152" s="1458">
        <f>'Revenue Build'!CQ72</f>
        <v>0.83400025496473007</v>
      </c>
      <c r="X152" s="1458">
        <f>'Revenue Build'!CR72</f>
        <v>8.155904438441608E-3</v>
      </c>
      <c r="Y152" s="1458">
        <f>'Revenue Build'!CS72</f>
        <v>0.33741149251816105</v>
      </c>
      <c r="Z152" s="1458">
        <f>'Revenue Build'!CU72</f>
        <v>-0.111770600115218</v>
      </c>
      <c r="AA152" s="1458">
        <f>'Revenue Build'!CV72</f>
        <v>0.17552090974690326</v>
      </c>
      <c r="AB152" s="1458">
        <f>'Revenue Build'!CW72</f>
        <v>2.9597253211888219E-3</v>
      </c>
      <c r="AC152" s="1458">
        <f>'Revenue Build'!CX72</f>
        <v>0.3063799312281914</v>
      </c>
      <c r="AD152" s="1458">
        <f>'Revenue Build'!CZ72</f>
        <v>-0.21335567367656694</v>
      </c>
      <c r="AE152" s="1458">
        <f>'Revenue Build'!DA72</f>
        <v>8.1221430218125779E-2</v>
      </c>
      <c r="AF152" s="1458">
        <f>'Revenue Build'!DB72</f>
        <v>6.5989317481854659E-2</v>
      </c>
      <c r="AG152" s="1458">
        <f>'Revenue Build'!DC72</f>
        <v>0.34834361889445287</v>
      </c>
      <c r="AH152" s="1458">
        <f>'Revenue Build'!DE72</f>
        <v>-0.1908133694108064</v>
      </c>
      <c r="AI152" s="1458">
        <f>'Revenue Build'!DF72</f>
        <v>0.11012433392539989</v>
      </c>
      <c r="AJ152" s="1458">
        <f>'Revenue Build'!DG72</f>
        <v>-1.760000000000006E-2</v>
      </c>
      <c r="AK152" s="1458">
        <f>'Revenue Build'!DH72</f>
        <v>0.3184039087947883</v>
      </c>
      <c r="AL152" s="1458">
        <f>'Revenue Build'!DJ72</f>
        <v>-0.74702726483923398</v>
      </c>
      <c r="AM152" s="1458">
        <f>'Revenue Build'!DK72</f>
        <v>9.7777777777777741E-2</v>
      </c>
      <c r="AN152" s="1458">
        <f>'Revenue Build'!DL72</f>
        <v>4.7233468286099978E-2</v>
      </c>
      <c r="AO152" s="1458">
        <f>'Revenue Build'!DM72</f>
        <v>0.22721828059757576</v>
      </c>
      <c r="AP152" s="1458">
        <f>'Revenue Build'!DO72</f>
        <v>-0.18421803157395811</v>
      </c>
      <c r="AQ152" s="1458">
        <f>'Revenue Build'!DP72</f>
        <v>5.7948514295566023E-2</v>
      </c>
      <c r="AR152" s="1458">
        <f>'Revenue Build'!DQ72</f>
        <v>3.7603294235526441E-2</v>
      </c>
      <c r="AS152" s="1458">
        <f>'Revenue Build'!DR72</f>
        <v>0.23359772018700564</v>
      </c>
      <c r="AT152" s="1458">
        <f>'Revenue Build'!DT72</f>
        <v>-0.18308178562402011</v>
      </c>
      <c r="AU152" s="1458">
        <f>'Revenue Build'!DU72</f>
        <v>5.4272404567516475E-2</v>
      </c>
      <c r="AV152" s="1458">
        <f>'Revenue Build'!DV72</f>
        <v>3.7659425333406604E-2</v>
      </c>
      <c r="AW152" s="1458">
        <f>'Revenue Build'!DW72</f>
        <v>0.23017060315246329</v>
      </c>
      <c r="AX152" s="1458">
        <f>'Revenue Build'!DY72</f>
        <v>-0.17803510089333385</v>
      </c>
      <c r="AY152" s="1458">
        <f>'Revenue Build'!DZ72</f>
        <v>5.090928015474816E-2</v>
      </c>
      <c r="CG152" s="1161" t="str">
        <f t="shared" ref="CG152:CG153" si="79">CG145</f>
        <v>3P Transaction Fee Revenue</v>
      </c>
      <c r="CI152" s="1283" t="e">
        <f t="shared" ref="CI152:CS152" ca="1" si="80">CI145/CI$147</f>
        <v>#N/A</v>
      </c>
      <c r="CJ152" s="1283" t="e">
        <f t="shared" ca="1" si="80"/>
        <v>#N/A</v>
      </c>
      <c r="CK152" s="1283" t="e">
        <f t="shared" ca="1" si="80"/>
        <v>#N/A</v>
      </c>
      <c r="CL152" s="1283" t="e">
        <f t="shared" ca="1" si="80"/>
        <v>#N/A</v>
      </c>
      <c r="CM152" s="1283" t="e">
        <f t="shared" ca="1" si="80"/>
        <v>#N/A</v>
      </c>
      <c r="CN152" s="1283" t="e">
        <f t="shared" ca="1" si="80"/>
        <v>#N/A</v>
      </c>
      <c r="CO152" s="1283" t="e">
        <f t="shared" ca="1" si="80"/>
        <v>#N/A</v>
      </c>
      <c r="CP152" s="1283" t="e">
        <f t="shared" ca="1" si="80"/>
        <v>#N/A</v>
      </c>
      <c r="CQ152" s="1283" t="e">
        <f t="shared" ca="1" si="80"/>
        <v>#N/A</v>
      </c>
      <c r="CR152" s="1283" t="e">
        <f t="shared" ca="1" si="80"/>
        <v>#N/A</v>
      </c>
      <c r="CS152" s="1283" t="e">
        <f t="shared" ca="1" si="80"/>
        <v>#N/A</v>
      </c>
    </row>
    <row r="153" spans="5:97">
      <c r="CG153" s="1161" t="str">
        <f t="shared" si="79"/>
        <v>Other Merchants Solutions Revenue</v>
      </c>
      <c r="CI153" s="1283" t="e">
        <f t="shared" ref="CI153:CS153" ca="1" si="81">CI146/CI$147</f>
        <v>#N/A</v>
      </c>
      <c r="CJ153" s="1283" t="e">
        <f t="shared" ca="1" si="81"/>
        <v>#N/A</v>
      </c>
      <c r="CK153" s="1283" t="e">
        <f t="shared" ca="1" si="81"/>
        <v>#N/A</v>
      </c>
      <c r="CL153" s="1283" t="e">
        <f t="shared" ca="1" si="81"/>
        <v>#N/A</v>
      </c>
      <c r="CM153" s="1283" t="e">
        <f t="shared" ca="1" si="81"/>
        <v>#N/A</v>
      </c>
      <c r="CN153" s="1283" t="e">
        <f t="shared" ca="1" si="81"/>
        <v>#N/A</v>
      </c>
      <c r="CO153" s="1283" t="e">
        <f t="shared" ca="1" si="81"/>
        <v>#N/A</v>
      </c>
      <c r="CP153" s="1283" t="e">
        <f t="shared" ca="1" si="81"/>
        <v>#N/A</v>
      </c>
      <c r="CQ153" s="1283" t="e">
        <f t="shared" ca="1" si="81"/>
        <v>#N/A</v>
      </c>
      <c r="CR153" s="1283" t="e">
        <f t="shared" ca="1" si="81"/>
        <v>#N/A</v>
      </c>
      <c r="CS153" s="1283" t="e">
        <f t="shared" ca="1" si="81"/>
        <v>#N/A</v>
      </c>
    </row>
    <row r="154" spans="5:97">
      <c r="N154" s="1282" t="str">
        <f>+N148</f>
        <v>1Q18A</v>
      </c>
      <c r="O154" s="1282" t="str">
        <f t="shared" ref="O154:AY154" si="82">+O148</f>
        <v>2Q18A</v>
      </c>
      <c r="P154" s="1282" t="str">
        <f t="shared" si="82"/>
        <v>3Q18A</v>
      </c>
      <c r="Q154" s="1282" t="str">
        <f t="shared" si="82"/>
        <v>4Q18A</v>
      </c>
      <c r="R154" s="1282" t="str">
        <f t="shared" si="82"/>
        <v>1Q19A</v>
      </c>
      <c r="S154" s="1282" t="str">
        <f t="shared" si="82"/>
        <v>2Q19A</v>
      </c>
      <c r="T154" s="1282" t="str">
        <f t="shared" si="82"/>
        <v>3Q19A</v>
      </c>
      <c r="U154" s="1282" t="str">
        <f t="shared" si="82"/>
        <v>4Q19A</v>
      </c>
      <c r="V154" s="1282" t="str">
        <f t="shared" si="82"/>
        <v>1Q20A</v>
      </c>
      <c r="W154" s="1282" t="str">
        <f t="shared" si="82"/>
        <v>2Q20A</v>
      </c>
      <c r="X154" s="1282" t="str">
        <f t="shared" si="82"/>
        <v>3Q20A</v>
      </c>
      <c r="Y154" s="1282" t="str">
        <f t="shared" si="82"/>
        <v>4Q20A</v>
      </c>
      <c r="Z154" s="1282" t="str">
        <f t="shared" si="82"/>
        <v>1Q21A</v>
      </c>
      <c r="AA154" s="1282" t="str">
        <f t="shared" si="82"/>
        <v>2Q21A</v>
      </c>
      <c r="AB154" s="1282" t="str">
        <f t="shared" si="82"/>
        <v>3Q21A</v>
      </c>
      <c r="AC154" s="1282" t="str">
        <f t="shared" si="82"/>
        <v>4Q21A</v>
      </c>
      <c r="AD154" s="1282" t="str">
        <f t="shared" si="82"/>
        <v>1Q22A</v>
      </c>
      <c r="AE154" s="1282" t="str">
        <f t="shared" si="82"/>
        <v>2Q22A</v>
      </c>
      <c r="AF154" s="1282" t="str">
        <f t="shared" si="82"/>
        <v>3Q22A</v>
      </c>
      <c r="AG154" s="1282" t="str">
        <f t="shared" si="82"/>
        <v>4Q22A</v>
      </c>
      <c r="AH154" s="1282" t="str">
        <f t="shared" si="82"/>
        <v>1Q23A</v>
      </c>
      <c r="AI154" s="1282" t="str">
        <f t="shared" si="82"/>
        <v>2Q23A</v>
      </c>
      <c r="AJ154" s="1282" t="str">
        <f t="shared" si="82"/>
        <v>3Q23A</v>
      </c>
      <c r="AK154" s="1282" t="str">
        <f t="shared" si="82"/>
        <v>4Q23A</v>
      </c>
      <c r="AL154" s="1282" t="str">
        <f t="shared" si="82"/>
        <v>1Q24A</v>
      </c>
      <c r="AM154" s="1282" t="str">
        <f t="shared" si="82"/>
        <v>2Q24A</v>
      </c>
      <c r="AN154" s="1282" t="str">
        <f t="shared" si="82"/>
        <v>3Q24A</v>
      </c>
      <c r="AO154" s="1282" t="str">
        <f t="shared" si="82"/>
        <v>4Q24E</v>
      </c>
      <c r="AP154" s="1282" t="str">
        <f t="shared" si="82"/>
        <v>1Q25E</v>
      </c>
      <c r="AQ154" s="1282" t="str">
        <f t="shared" si="82"/>
        <v>2Q25E</v>
      </c>
      <c r="AR154" s="1282" t="str">
        <f t="shared" si="82"/>
        <v>3Q25E</v>
      </c>
      <c r="AS154" s="1282" t="str">
        <f t="shared" si="82"/>
        <v>4Q25E</v>
      </c>
      <c r="AT154" s="1282" t="str">
        <f t="shared" si="82"/>
        <v>1Q26E</v>
      </c>
      <c r="AU154" s="1282" t="str">
        <f t="shared" si="82"/>
        <v>2Q26E</v>
      </c>
      <c r="AV154" s="1282" t="str">
        <f t="shared" si="82"/>
        <v>3Q26E</v>
      </c>
      <c r="AW154" s="1282" t="str">
        <f t="shared" si="82"/>
        <v>4Q26E</v>
      </c>
      <c r="AX154" s="1282" t="str">
        <f t="shared" si="82"/>
        <v>1Q27E</v>
      </c>
      <c r="AY154" s="1282" t="str">
        <f t="shared" si="82"/>
        <v>2Q27E</v>
      </c>
      <c r="CG154" s="1161"/>
      <c r="CI154" s="1283"/>
      <c r="CJ154" s="1283"/>
      <c r="CK154" s="1283"/>
      <c r="CL154" s="1283"/>
      <c r="CM154" s="1283"/>
      <c r="CN154" s="1283"/>
      <c r="CO154" s="1283"/>
      <c r="CP154" s="1283"/>
      <c r="CQ154" s="1283"/>
      <c r="CR154" s="1283"/>
      <c r="CS154" s="1283"/>
    </row>
    <row r="155" spans="5:97">
      <c r="E155" s="6" t="s">
        <v>772</v>
      </c>
      <c r="J155" s="1472"/>
      <c r="K155" s="1472"/>
      <c r="L155" s="1472"/>
      <c r="M155" s="1472"/>
      <c r="N155" s="1472">
        <f t="shared" ref="N155:AY155" si="83">+N151</f>
        <v>0.64516707309273214</v>
      </c>
      <c r="O155" s="1472">
        <f t="shared" si="83"/>
        <v>0.57819318441492773</v>
      </c>
      <c r="P155" s="1472">
        <f t="shared" si="83"/>
        <v>0.5810889301070401</v>
      </c>
      <c r="Q155" s="1472">
        <f t="shared" si="83"/>
        <v>0.53558911151352318</v>
      </c>
      <c r="R155" s="1472">
        <f t="shared" si="83"/>
        <v>0.47867623223703837</v>
      </c>
      <c r="S155" s="1472">
        <f t="shared" si="83"/>
        <v>0.45910929515352872</v>
      </c>
      <c r="T155" s="1472">
        <f t="shared" si="83"/>
        <v>0.41035301610864794</v>
      </c>
      <c r="U155" s="1472">
        <f t="shared" si="83"/>
        <v>0.43540895949634351</v>
      </c>
      <c r="V155" s="1472">
        <f t="shared" si="83"/>
        <v>0.46400268101974995</v>
      </c>
      <c r="W155" s="1472">
        <f t="shared" si="83"/>
        <v>1.3135750706769032</v>
      </c>
      <c r="X155" s="1472">
        <f t="shared" si="83"/>
        <v>1.1661174204541247</v>
      </c>
      <c r="Y155" s="1472">
        <f t="shared" si="83"/>
        <v>1.0241072815021393</v>
      </c>
      <c r="Z155" s="1472">
        <f t="shared" si="83"/>
        <v>1.1964295831933724</v>
      </c>
      <c r="AA155" s="1472">
        <f t="shared" si="83"/>
        <v>0.40782363297988677</v>
      </c>
      <c r="AB155" s="1472">
        <f t="shared" si="83"/>
        <v>0.40056750946738306</v>
      </c>
      <c r="AC155" s="1472">
        <f t="shared" si="83"/>
        <v>0.36807055789046439</v>
      </c>
      <c r="AD155" s="1472">
        <f t="shared" si="83"/>
        <v>0.21160698183855042</v>
      </c>
      <c r="AE155" s="1472">
        <f t="shared" si="83"/>
        <v>0.11441270240594736</v>
      </c>
      <c r="AF155" s="1472">
        <f t="shared" si="83"/>
        <v>0.1844464000290682</v>
      </c>
      <c r="AG155" s="1472">
        <f t="shared" si="83"/>
        <v>0.22249332466416938</v>
      </c>
      <c r="AH155" s="1472">
        <f t="shared" si="83"/>
        <v>0.25752544218574203</v>
      </c>
      <c r="AI155" s="1472">
        <f t="shared" si="83"/>
        <v>0.29114125458932083</v>
      </c>
      <c r="AJ155" s="1472">
        <f t="shared" si="83"/>
        <v>0.18989669756248717</v>
      </c>
      <c r="AK155" s="1472">
        <f t="shared" si="83"/>
        <v>0.16347527080275714</v>
      </c>
      <c r="AL155" s="1472">
        <f t="shared" si="83"/>
        <v>0.17342504062582687</v>
      </c>
      <c r="AM155" s="1472">
        <f t="shared" si="83"/>
        <v>0.16037446808510625</v>
      </c>
      <c r="AN155" s="1472">
        <f t="shared" si="83"/>
        <v>0.23695335782105476</v>
      </c>
      <c r="AO155" s="1472">
        <f t="shared" si="83"/>
        <v>0.15140114712814756</v>
      </c>
      <c r="AP155" s="1472">
        <f t="shared" si="83"/>
        <v>0.15094313279441018</v>
      </c>
      <c r="AQ155" s="1472">
        <f t="shared" si="83"/>
        <v>0.10918493890756853</v>
      </c>
      <c r="AR155" s="1472">
        <f t="shared" si="83"/>
        <v>9.8985070072745707E-2</v>
      </c>
      <c r="AS155" s="1472">
        <f t="shared" si="83"/>
        <v>0.10469791592507494</v>
      </c>
      <c r="AT155" s="1472">
        <f t="shared" si="83"/>
        <v>0.10623657279842624</v>
      </c>
      <c r="AU155" s="1472">
        <f t="shared" si="83"/>
        <v>0.10239267399632235</v>
      </c>
      <c r="AV155" s="1472">
        <f t="shared" si="83"/>
        <v>0.10245230999731625</v>
      </c>
      <c r="AW155" s="1472">
        <f t="shared" si="83"/>
        <v>9.93895343213127E-2</v>
      </c>
      <c r="AX155" s="1472">
        <f t="shared" si="83"/>
        <v>0.10618124526409511</v>
      </c>
      <c r="AY155" s="1472">
        <f t="shared" si="83"/>
        <v>0.10265253187391554</v>
      </c>
      <c r="CG155" s="1161" t="str">
        <f>CG147</f>
        <v>Merchant Solution Revenues</v>
      </c>
    </row>
    <row r="156" spans="5:97">
      <c r="E156" s="6" t="s">
        <v>773</v>
      </c>
      <c r="N156" s="1503">
        <f>'Revenue Build'!CF49</f>
        <v>0.74799001516102837</v>
      </c>
      <c r="O156" s="1503">
        <f>'Revenue Build'!CG49</f>
        <v>0.67683025844086075</v>
      </c>
      <c r="P156" s="1503">
        <f>'Revenue Build'!CH49</f>
        <v>0.67990698823873008</v>
      </c>
      <c r="Q156" s="1503">
        <f>'Revenue Build'!CI49</f>
        <v>0.63156343098311818</v>
      </c>
      <c r="R156" s="1503">
        <f>'Revenue Build'!CK49</f>
        <v>0.5772546477195073</v>
      </c>
      <c r="S156" s="1503">
        <f>'Revenue Build'!CL49</f>
        <v>0.55638324816376405</v>
      </c>
      <c r="T156" s="1503">
        <f>'Revenue Build'!CM49</f>
        <v>0.50437655051589125</v>
      </c>
      <c r="U156" s="1503">
        <f>'Revenue Build'!CN49</f>
        <v>0.53110289012943301</v>
      </c>
      <c r="V156" s="1503">
        <f>'Revenue Build'!CP49</f>
        <v>0.56857430109258944</v>
      </c>
      <c r="W156" s="1503">
        <f>'Revenue Build'!CQ49</f>
        <v>1.4788304328681106</v>
      </c>
      <c r="X156" s="1503">
        <f>'Revenue Build'!CR49</f>
        <v>1.3208400933437048</v>
      </c>
      <c r="Y156" s="1503">
        <f>'Revenue Build'!CS49</f>
        <v>1.1686863730380068</v>
      </c>
      <c r="Z156" s="1503">
        <f>'Revenue Build'!CU49</f>
        <v>1.365385704977478</v>
      </c>
      <c r="AA156" s="1503">
        <f>'Revenue Build'!CV49</f>
        <v>0.51611775859372422</v>
      </c>
      <c r="AB156" s="1503">
        <f>'Revenue Build'!CW49</f>
        <v>0.50830347173410528</v>
      </c>
      <c r="AC156" s="1503">
        <f>'Revenue Build'!CX49</f>
        <v>0.47330675465126948</v>
      </c>
      <c r="AD156" s="1503">
        <f>'Revenue Build'!CZ49</f>
        <v>0.28578700113478828</v>
      </c>
      <c r="AE156" s="1503">
        <f>'Revenue Build'!DA49</f>
        <v>0.18264205153284241</v>
      </c>
      <c r="AF156" s="1503">
        <f>'Revenue Build'!DB49</f>
        <v>0.25696352656146026</v>
      </c>
      <c r="AG156" s="1503">
        <f>'Revenue Build'!DC49</f>
        <v>0.29733985474564917</v>
      </c>
      <c r="AH156" s="1503">
        <f>'Revenue Build'!DE49</f>
        <v>0.31103716312981611</v>
      </c>
      <c r="AI156" s="1503">
        <f>'Revenue Build'!DF49</f>
        <v>0.34608343563567434</v>
      </c>
      <c r="AJ156" s="1503">
        <f>'Revenue Build'!DG49</f>
        <v>0.24053059958642242</v>
      </c>
      <c r="AK156" s="1503">
        <f>'Revenue Build'!DH49</f>
        <v>0.21298485679436352</v>
      </c>
      <c r="AL156" s="1503">
        <f>'Revenue Build'!DJ49</f>
        <v>0.19893428063943164</v>
      </c>
      <c r="AM156" s="1503">
        <f>'Revenue Build'!DK49</f>
        <v>0.18559999999999999</v>
      </c>
      <c r="AN156" s="1503">
        <f>'Revenue Build'!DL49</f>
        <v>0.26384364820846895</v>
      </c>
      <c r="AO156" s="1503">
        <f>'Revenue Build'!DM49</f>
        <v>0.26365329678814042</v>
      </c>
      <c r="AP156" s="1503">
        <f>'Revenue Build'!DO49</f>
        <v>0.28544566666666649</v>
      </c>
      <c r="AQ156" s="1503">
        <f>'Revenue Build'!DP49</f>
        <v>0.24364403378754984</v>
      </c>
      <c r="AR156" s="1503">
        <f>'Revenue Build'!DQ49</f>
        <v>0.23160243235703426</v>
      </c>
      <c r="AS156" s="1503">
        <f>'Revenue Build'!DR49</f>
        <v>0.24207360121800803</v>
      </c>
      <c r="AT156" s="1503">
        <f>'Revenue Build'!DT49</f>
        <v>0.20996214051054163</v>
      </c>
      <c r="AU156" s="1503">
        <f>'Revenue Build'!DU49</f>
        <v>0.21018543177483218</v>
      </c>
      <c r="AV156" s="1503">
        <f>'Revenue Build'!DV49</f>
        <v>0.20984294697280359</v>
      </c>
      <c r="AW156" s="1503">
        <f>'Revenue Build'!DW49</f>
        <v>0.21016695419930009</v>
      </c>
      <c r="AX156" s="1503">
        <f>'Revenue Build'!DY49</f>
        <v>0.18938883493692771</v>
      </c>
      <c r="AY156" s="1503">
        <f>'Revenue Build'!DZ49</f>
        <v>0.18953787359837482</v>
      </c>
      <c r="CJ156" s="1282" t="str">
        <f>CJ150</f>
        <v>2018A</v>
      </c>
      <c r="CK156" s="1282" t="str">
        <f t="shared" ref="CK156:CS156" si="84">CK150</f>
        <v>2019A</v>
      </c>
      <c r="CL156" s="1282" t="str">
        <f t="shared" si="84"/>
        <v>2020A</v>
      </c>
      <c r="CM156" s="1282" t="str">
        <f t="shared" si="84"/>
        <v>2021A</v>
      </c>
      <c r="CN156" s="1282" t="str">
        <f t="shared" si="84"/>
        <v>2022A</v>
      </c>
      <c r="CO156" s="1282" t="str">
        <f t="shared" si="84"/>
        <v>2023A</v>
      </c>
      <c r="CP156" s="1282" t="str">
        <f t="shared" si="84"/>
        <v>2024E</v>
      </c>
      <c r="CQ156" s="1282" t="str">
        <f t="shared" si="84"/>
        <v>2025E</v>
      </c>
      <c r="CR156" s="1282" t="str">
        <f t="shared" si="84"/>
        <v>2026E</v>
      </c>
      <c r="CS156" s="1282" t="str">
        <f t="shared" si="84"/>
        <v>2027E</v>
      </c>
    </row>
    <row r="157" spans="5:97">
      <c r="CG157" s="1417" t="str">
        <f>CG151</f>
        <v>Shopify Payments Revenue</v>
      </c>
      <c r="CJ157" s="1283">
        <f t="shared" ref="CJ157:CS157" ca="1" si="85">CJ144/CI144-1</f>
        <v>0.65988006834795176</v>
      </c>
      <c r="CK157" s="1283">
        <f t="shared" ca="1" si="85"/>
        <v>0.52539152079805818</v>
      </c>
      <c r="CL157" s="1283">
        <f t="shared" ca="1" si="85"/>
        <v>1.1401215720350351</v>
      </c>
      <c r="CM157" s="1283">
        <f t="shared" ca="1" si="85"/>
        <v>0.60366885349143007</v>
      </c>
      <c r="CN157" s="1283">
        <f t="shared" ca="1" si="85"/>
        <v>0.24198695940874515</v>
      </c>
      <c r="CO157" s="1283">
        <f t="shared" ca="1" si="85"/>
        <v>0.29771446874906426</v>
      </c>
      <c r="CP157" s="1283">
        <f t="shared" ca="1" si="85"/>
        <v>0.22716948893965738</v>
      </c>
      <c r="CQ157" s="1283">
        <f t="shared" ca="1" si="85"/>
        <v>0.21474204154485488</v>
      </c>
      <c r="CR157" s="1283">
        <f t="shared" ca="1" si="85"/>
        <v>0.18401053330795669</v>
      </c>
      <c r="CS157" s="1283">
        <f t="shared" ca="1" si="85"/>
        <v>0.16550932194237289</v>
      </c>
    </row>
    <row r="158" spans="5:97">
      <c r="CG158" s="1417" t="str">
        <f>CG152</f>
        <v>3P Transaction Fee Revenue</v>
      </c>
      <c r="CJ158" s="1283">
        <f t="shared" ref="CJ158:CS158" ca="1" si="86">CJ145/CI145-1</f>
        <v>0.57582476053902742</v>
      </c>
      <c r="CK158" s="1283">
        <f t="shared" ca="1" si="86"/>
        <v>0.44259888891263732</v>
      </c>
      <c r="CL158" s="1283">
        <f t="shared" ca="1" si="86"/>
        <v>1.0151233209250239</v>
      </c>
      <c r="CM158" s="1283">
        <f t="shared" ca="1" si="86"/>
        <v>0.50241680215491713</v>
      </c>
      <c r="CN158" s="1283">
        <f t="shared" ca="1" si="86"/>
        <v>0.18514821832577444</v>
      </c>
      <c r="CO158" s="1283">
        <f t="shared" ca="1" si="86"/>
        <v>0.21830943678009507</v>
      </c>
      <c r="CP158" s="1283">
        <f t="shared" ca="1" si="86"/>
        <v>0.17841123137196835</v>
      </c>
      <c r="CQ158" s="1283">
        <f t="shared" ca="1" si="86"/>
        <v>0.11427303034306258</v>
      </c>
      <c r="CR158" s="1283">
        <f t="shared" ca="1" si="86"/>
        <v>0.10235778063218093</v>
      </c>
      <c r="CS158" s="1283">
        <f t="shared" ca="1" si="86"/>
        <v>0.10262038692623499</v>
      </c>
    </row>
    <row r="159" spans="5:97">
      <c r="CG159" s="1417" t="str">
        <f>CG153</f>
        <v>Other Merchants Solutions Revenue</v>
      </c>
      <c r="CJ159" s="1283">
        <f t="shared" ref="CJ159:CS159" ca="1" si="87">CJ146/CI146-1</f>
        <v>1.1975368730954425</v>
      </c>
      <c r="CK159" s="1283">
        <f t="shared" ca="1" si="87"/>
        <v>0.90514646916716468</v>
      </c>
      <c r="CL159" s="1283">
        <f t="shared" ca="1" si="87"/>
        <v>1.5742646819509241</v>
      </c>
      <c r="CM159" s="1283">
        <f t="shared" ca="1" si="87"/>
        <v>0.87895302304237632</v>
      </c>
      <c r="CN159" s="1283">
        <f t="shared" ca="1" si="87"/>
        <v>0.41142821828729481</v>
      </c>
      <c r="CO159" s="1283">
        <f t="shared" ca="1" si="87"/>
        <v>0.25757662528385628</v>
      </c>
      <c r="CP159" s="1283">
        <f t="shared" ca="1" si="87"/>
        <v>0.30394009577293124</v>
      </c>
      <c r="CQ159" s="1283">
        <f t="shared" ca="1" si="87"/>
        <v>0.48321326201224468</v>
      </c>
      <c r="CR159" s="1283">
        <f t="shared" ca="1" si="87"/>
        <v>0.35265975081659651</v>
      </c>
      <c r="CS159" s="1283">
        <f t="shared" ca="1" si="87"/>
        <v>0.29152090012178888</v>
      </c>
    </row>
    <row r="166" spans="85:97">
      <c r="CH166" s="1282" t="s">
        <v>737</v>
      </c>
      <c r="CI166" s="1282" t="s">
        <v>738</v>
      </c>
      <c r="CJ166" s="1282" t="s">
        <v>739</v>
      </c>
      <c r="CK166" s="1282" t="s">
        <v>740</v>
      </c>
      <c r="CL166" s="1282" t="s">
        <v>741</v>
      </c>
      <c r="CM166" s="1282" t="s">
        <v>742</v>
      </c>
      <c r="CN166" s="1282" t="s">
        <v>743</v>
      </c>
      <c r="CO166" s="1282" t="s">
        <v>744</v>
      </c>
      <c r="CP166" s="1282" t="s">
        <v>762</v>
      </c>
      <c r="CQ166" s="1282" t="s">
        <v>763</v>
      </c>
      <c r="CR166" s="1282" t="s">
        <v>764</v>
      </c>
      <c r="CS166" s="1282" t="s">
        <v>765</v>
      </c>
    </row>
    <row r="167" spans="85:97">
      <c r="CG167" s="6" t="s">
        <v>787</v>
      </c>
      <c r="CH167" s="1471">
        <v>0.42684607999999996</v>
      </c>
      <c r="CI167" s="1471">
        <v>0.44637314000000006</v>
      </c>
      <c r="CJ167" s="1471">
        <v>0.40603003999999998</v>
      </c>
      <c r="CK167" s="1471">
        <v>0.32033718</v>
      </c>
      <c r="CL167" s="1471">
        <v>0.25019953</v>
      </c>
      <c r="CM167" s="1471">
        <v>0.24545164</v>
      </c>
      <c r="CN167" s="1471">
        <v>0.1573552</v>
      </c>
      <c r="CO167" s="1471">
        <v>8.7688219999999997E-2</v>
      </c>
      <c r="CP167" s="6"/>
    </row>
    <row r="168" spans="85:97">
      <c r="CG168" s="6" t="s">
        <v>745</v>
      </c>
      <c r="CH168" s="1480">
        <v>0.15092669</v>
      </c>
      <c r="CI168" s="1480">
        <v>0.22080522999999999</v>
      </c>
      <c r="CJ168" s="1480">
        <v>0.15269257</v>
      </c>
      <c r="CK168" s="1480">
        <v>0.31198992000000003</v>
      </c>
      <c r="CL168" s="1480">
        <v>-2.5316489999999997E-2</v>
      </c>
      <c r="CM168" s="1480">
        <v>0.23743998999999999</v>
      </c>
      <c r="CN168" s="1480">
        <v>0.14352211000000001</v>
      </c>
      <c r="CO168" s="1480">
        <v>0.10651289</v>
      </c>
      <c r="CP168" s="1480">
        <v>0.09</v>
      </c>
      <c r="CQ168" s="1480">
        <v>9.9000000000000005E-2</v>
      </c>
      <c r="CR168" s="1480">
        <v>9.6000000000000002E-2</v>
      </c>
      <c r="CS168" s="1480"/>
    </row>
    <row r="169" spans="85:97">
      <c r="CG169" s="6" t="s">
        <v>746</v>
      </c>
      <c r="CK169" s="1471">
        <f>'[4]BIGC-US'!C11/100</f>
        <v>0.22027495999999999</v>
      </c>
      <c r="CL169" s="1471">
        <f>'[4]BIGC-US'!D11/100</f>
        <v>0.35917862</v>
      </c>
      <c r="CM169" s="1471">
        <f>'[4]BIGC-US'!E11/100</f>
        <v>0.44292110000000001</v>
      </c>
      <c r="CN169" s="1471">
        <f>'[4]BIGC-US'!F11/100</f>
        <v>0.26935942000000002</v>
      </c>
      <c r="CO169" s="1471">
        <f>'[4]BIGC-US'!G11/100</f>
        <v>0.10864103999999999</v>
      </c>
      <c r="CP169" s="1471">
        <v>7.5999999999999998E-2</v>
      </c>
      <c r="CQ169" s="1471">
        <v>5.1999999999999998E-2</v>
      </c>
      <c r="CR169" s="1471">
        <v>7.2999999999999995E-2</v>
      </c>
      <c r="CS169" s="1471"/>
    </row>
    <row r="170" spans="85:97">
      <c r="CG170" s="6" t="s">
        <v>747</v>
      </c>
      <c r="CH170" s="1471">
        <f t="shared" ref="CH170:CS170" si="88">CH6</f>
        <v>0.89701461265975735</v>
      </c>
      <c r="CI170" s="1471">
        <f t="shared" si="88"/>
        <v>0.72939151876300312</v>
      </c>
      <c r="CJ170" s="1471">
        <f t="shared" si="88"/>
        <v>0.59397389589249405</v>
      </c>
      <c r="CK170" s="1471">
        <f t="shared" si="88"/>
        <v>0.47049045450691351</v>
      </c>
      <c r="CL170" s="1471">
        <f t="shared" si="88"/>
        <v>0.856254669164914</v>
      </c>
      <c r="CM170" s="1471">
        <f t="shared" si="88"/>
        <v>0.57428577182862139</v>
      </c>
      <c r="CN170" s="1471">
        <f t="shared" si="88"/>
        <v>0.21423218764853047</v>
      </c>
      <c r="CO170" s="1471">
        <f t="shared" si="88"/>
        <v>0.26074490380480664</v>
      </c>
      <c r="CP170" s="1471">
        <f t="shared" si="88"/>
        <v>0.24243472998600146</v>
      </c>
      <c r="CQ170" s="1471">
        <f t="shared" si="88"/>
        <v>0.23087803700247167</v>
      </c>
      <c r="CR170" s="1471">
        <f t="shared" si="88"/>
        <v>0.19697343521496502</v>
      </c>
      <c r="CS170" s="1471">
        <f t="shared" si="88"/>
        <v>0.17915813008193648</v>
      </c>
    </row>
    <row r="171" spans="85:97">
      <c r="CG171" s="6" t="s">
        <v>748</v>
      </c>
      <c r="CH171" s="1471">
        <v>0.14969201999999998</v>
      </c>
      <c r="CI171" s="1471">
        <v>0.20737057</v>
      </c>
      <c r="CJ171" s="1471">
        <v>0.19322299999999998</v>
      </c>
      <c r="CK171" s="1471">
        <v>0.12121551999999999</v>
      </c>
      <c r="CL171" s="1471">
        <v>0.11025496999999999</v>
      </c>
      <c r="CM171" s="1471">
        <v>0.15407365000000001</v>
      </c>
      <c r="CN171" s="1471">
        <v>6.8346989999999996E-2</v>
      </c>
      <c r="CO171" s="1471">
        <v>3.7151200000000002E-2</v>
      </c>
      <c r="CP171" s="1471">
        <v>7.1999999999999995E-2</v>
      </c>
      <c r="CQ171" s="1471">
        <v>7.2999999999999995E-2</v>
      </c>
      <c r="CR171" s="1471">
        <v>7.1999999999999995E-2</v>
      </c>
    </row>
    <row r="172" spans="85:97">
      <c r="CG172" s="6" t="s">
        <v>749</v>
      </c>
      <c r="CH172" s="1471">
        <v>0.42544144</v>
      </c>
      <c r="CI172" s="1471">
        <v>0.46718922000000002</v>
      </c>
      <c r="CJ172" s="1471">
        <v>0.41835743000000003</v>
      </c>
      <c r="CK172" s="1471">
        <v>0.26069734999999999</v>
      </c>
      <c r="CL172" s="1471">
        <v>0.29336814999999999</v>
      </c>
      <c r="CM172" s="1471">
        <v>0.28982074999999996</v>
      </c>
      <c r="CN172" s="1471">
        <v>9.2945589999999995E-2</v>
      </c>
      <c r="CO172" s="1471">
        <v>0.12538970000000002</v>
      </c>
      <c r="CP172" s="1471">
        <v>0.128</v>
      </c>
      <c r="CQ172" s="1471">
        <v>0.14699999999999999</v>
      </c>
      <c r="CR172" s="1471">
        <v>0.13</v>
      </c>
    </row>
    <row r="173" spans="85:97">
      <c r="CH173" s="1471"/>
    </row>
    <row r="174" spans="85:97">
      <c r="CH174" s="1481"/>
    </row>
    <row r="175" spans="85:97">
      <c r="CH175" s="1481" t="str">
        <f t="shared" ref="CH175:CS175" si="89">CH4</f>
        <v>2016A</v>
      </c>
      <c r="CI175" s="1481" t="str">
        <f t="shared" si="89"/>
        <v>2017A</v>
      </c>
      <c r="CJ175" s="1481" t="str">
        <f t="shared" si="89"/>
        <v>2018A</v>
      </c>
      <c r="CK175" s="1481" t="str">
        <f t="shared" si="89"/>
        <v>2019A</v>
      </c>
      <c r="CL175" s="1481" t="str">
        <f t="shared" si="89"/>
        <v>2020A</v>
      </c>
      <c r="CM175" s="1481" t="str">
        <f t="shared" si="89"/>
        <v>2021A</v>
      </c>
      <c r="CN175" s="1481" t="str">
        <f t="shared" si="89"/>
        <v>2022A</v>
      </c>
      <c r="CO175" s="1481" t="str">
        <f t="shared" si="89"/>
        <v>2023A</v>
      </c>
      <c r="CP175" s="1481" t="str">
        <f t="shared" si="89"/>
        <v>2024E</v>
      </c>
      <c r="CQ175" s="1481" t="str">
        <f t="shared" si="89"/>
        <v>2025E</v>
      </c>
      <c r="CR175" s="1481" t="str">
        <f t="shared" si="89"/>
        <v>2026E</v>
      </c>
      <c r="CS175" s="1481" t="str">
        <f t="shared" si="89"/>
        <v>2027E</v>
      </c>
    </row>
    <row r="176" spans="85:97">
      <c r="CG176" s="6" t="s">
        <v>750</v>
      </c>
      <c r="CH176" s="1485" cm="1">
        <f t="array" aca="1" ref="CH176" ca="1">INDIRECT("'Revenue Build'!"&amp;CH1&amp;"31")</f>
        <v>40726.267549668875</v>
      </c>
      <c r="CI176" s="1485" cm="1">
        <f t="array" aca="1" ref="CI176" ca="1">INDIRECT("'Revenue Build'!"&amp;CI1&amp;"31")</f>
        <v>43218.637110016418</v>
      </c>
      <c r="CJ176" s="1485" cm="1">
        <f t="array" aca="1" ref="CJ176" ca="1">INDIRECT("'Revenue Build'!"&amp;CJ1&amp;"31")</f>
        <v>50125.9</v>
      </c>
      <c r="CK176" s="1485" cm="1">
        <f t="array" aca="1" ref="CK176" ca="1">INDIRECT("'Revenue Build'!"&amp;CK1&amp;"31")</f>
        <v>61138.457000000002</v>
      </c>
      <c r="CL176" s="1485" cm="1">
        <f t="array" aca="1" ref="CL176" ca="1">INDIRECT("'Revenue Build'!"&amp;CL1&amp;"31")</f>
        <v>68368.866209262429</v>
      </c>
      <c r="CM176" s="1485" cm="1">
        <f t="array" aca="1" ref="CM176" ca="1">INDIRECT("'Revenue Build'!"&amp;CM1&amp;"31")</f>
        <v>85003.302956858941</v>
      </c>
      <c r="CN176" s="1485" cm="1">
        <f t="array" aca="1" ref="CN176" ca="1">INDIRECT("'Revenue Build'!"&amp;CN1&amp;"31")</f>
        <v>80696.778709622187</v>
      </c>
      <c r="CO176" s="1485" cm="1">
        <f t="array" aca="1" ref="CO176" ca="1">INDIRECT("'Revenue Build'!"&amp;CO1&amp;"31")</f>
        <v>77211.216574722072</v>
      </c>
      <c r="CP176" s="1485" cm="1">
        <f t="array" aca="1" ref="CP176" ca="1">INDIRECT("'Revenue Build'!"&amp;CP1&amp;"31")</f>
        <v>86158.508774884365</v>
      </c>
      <c r="CQ176" s="1485" cm="1">
        <f t="array" aca="1" ref="CQ176" ca="1">INDIRECT("'Revenue Build'!"&amp;CQ1&amp;"31")</f>
        <v>93276.121577561731</v>
      </c>
      <c r="CR176" s="1485" cm="1">
        <f t="array" aca="1" ref="CR176" ca="1">INDIRECT("'Revenue Build'!"&amp;CR1&amp;"31")</f>
        <v>99249.434141700753</v>
      </c>
      <c r="CS176" s="1485" cm="1">
        <f t="array" aca="1" ref="CS176" ca="1">INDIRECT("'Revenue Build'!"&amp;CS1&amp;"31")</f>
        <v>104751.07851803761</v>
      </c>
    </row>
    <row r="177" spans="85:120">
      <c r="CG177" s="6" t="s">
        <v>751</v>
      </c>
      <c r="CI177" s="1479">
        <f t="shared" ref="CI177:CS177" ca="1" si="90">CI176/CH176-1</f>
        <v>6.1198084437958933E-2</v>
      </c>
      <c r="CJ177" s="1479">
        <f t="shared" ca="1" si="90"/>
        <v>0.15982139539478313</v>
      </c>
      <c r="CK177" s="1479">
        <f t="shared" ca="1" si="90"/>
        <v>0.21969794058560543</v>
      </c>
      <c r="CL177" s="1479">
        <f t="shared" ca="1" si="90"/>
        <v>0.11826286700795263</v>
      </c>
      <c r="CM177" s="1479">
        <f t="shared" ca="1" si="90"/>
        <v>0.24330426508291181</v>
      </c>
      <c r="CN177" s="1479">
        <f t="shared" ca="1" si="90"/>
        <v>-5.0663022464226048E-2</v>
      </c>
      <c r="CO177" s="1479">
        <f t="shared" ca="1" si="90"/>
        <v>-4.3193324326395999E-2</v>
      </c>
      <c r="CP177" s="1479">
        <f t="shared" ca="1" si="90"/>
        <v>0.11588073076796346</v>
      </c>
      <c r="CQ177" s="1479">
        <f t="shared" ca="1" si="90"/>
        <v>8.2610677736708826E-2</v>
      </c>
      <c r="CR177" s="1479">
        <f t="shared" ca="1" si="90"/>
        <v>6.4039032317312339E-2</v>
      </c>
      <c r="CS177" s="1479">
        <f t="shared" ca="1" si="90"/>
        <v>5.5432501191714945E-2</v>
      </c>
    </row>
    <row r="178" spans="85:120">
      <c r="CK178" s="1486"/>
      <c r="CL178" s="1486"/>
      <c r="CM178" s="1486"/>
      <c r="CN178" s="1486"/>
      <c r="CO178" s="1486"/>
      <c r="CP178" s="1486"/>
      <c r="CQ178" s="1486"/>
      <c r="CR178" s="1486"/>
    </row>
    <row r="181" spans="85:120">
      <c r="CS181" s="1486"/>
      <c r="CT181" s="1110"/>
      <c r="CU181" s="1110"/>
      <c r="CV181" s="1110"/>
      <c r="CW181" s="1110"/>
      <c r="CX181" s="1110"/>
      <c r="CY181" s="1110"/>
      <c r="CZ181" s="1110"/>
      <c r="DA181" s="1110"/>
      <c r="DB181" s="1110"/>
      <c r="DC181" s="1110"/>
      <c r="DD181" s="1110"/>
      <c r="DE181" s="1110"/>
      <c r="DF181" s="1110"/>
      <c r="DG181" s="1110"/>
      <c r="DH181" s="1110"/>
      <c r="DI181" s="1110"/>
      <c r="DJ181" s="1110"/>
      <c r="DK181" s="1110"/>
      <c r="DL181" s="1110"/>
      <c r="DM181" s="1110"/>
      <c r="DN181" s="1110"/>
      <c r="DO181" s="1110"/>
      <c r="DP181" s="1110"/>
    </row>
    <row r="182" spans="85:120">
      <c r="CI182" s="1282" t="str">
        <f t="shared" ref="CI182:CS182" si="91">CI4</f>
        <v>2017A</v>
      </c>
      <c r="CJ182" s="1282" t="str">
        <f t="shared" si="91"/>
        <v>2018A</v>
      </c>
      <c r="CK182" s="1282" t="str">
        <f t="shared" si="91"/>
        <v>2019A</v>
      </c>
      <c r="CL182" s="1282" t="str">
        <f t="shared" si="91"/>
        <v>2020A</v>
      </c>
      <c r="CM182" s="1282" t="str">
        <f t="shared" si="91"/>
        <v>2021A</v>
      </c>
      <c r="CN182" s="1282" t="str">
        <f t="shared" si="91"/>
        <v>2022A</v>
      </c>
      <c r="CO182" s="1282" t="str">
        <f t="shared" si="91"/>
        <v>2023A</v>
      </c>
      <c r="CP182" s="1282" t="str">
        <f t="shared" si="91"/>
        <v>2024E</v>
      </c>
      <c r="CQ182" s="1282" t="str">
        <f t="shared" si="91"/>
        <v>2025E</v>
      </c>
      <c r="CR182" s="1282" t="str">
        <f t="shared" si="91"/>
        <v>2026E</v>
      </c>
      <c r="CS182" s="1486" t="str">
        <f t="shared" si="91"/>
        <v>2027E</v>
      </c>
      <c r="CT182" s="1110"/>
      <c r="CU182" s="1110"/>
      <c r="CV182" s="1110"/>
      <c r="CW182" s="1110"/>
      <c r="CX182" s="1110"/>
      <c r="CY182" s="1110"/>
      <c r="CZ182" s="1110"/>
      <c r="DA182" s="1110"/>
      <c r="DB182" s="1110"/>
      <c r="DC182" s="1110"/>
      <c r="DD182" s="1110"/>
      <c r="DE182" s="1110"/>
      <c r="DF182" s="1110"/>
      <c r="DG182" s="1110"/>
      <c r="DH182" s="1110"/>
      <c r="DI182" s="1110"/>
      <c r="DJ182" s="1110"/>
      <c r="DK182" s="1110"/>
      <c r="DL182" s="1110"/>
      <c r="DM182" s="1110"/>
      <c r="DN182" s="1110"/>
      <c r="DO182" s="1110"/>
      <c r="DP182" s="1110"/>
    </row>
    <row r="183" spans="85:120">
      <c r="CG183" s="6" t="s">
        <v>759</v>
      </c>
      <c r="CI183" s="1283">
        <f t="shared" ref="CI183:CS183" si="92">CI33/CH33-1</f>
        <v>0.64380242410103605</v>
      </c>
      <c r="CJ183" s="1283">
        <f t="shared" si="92"/>
        <v>0.49983711306288714</v>
      </c>
      <c r="CK183" s="1283">
        <f t="shared" si="92"/>
        <v>0.38117532193825321</v>
      </c>
      <c r="CL183" s="1283">
        <f t="shared" si="92"/>
        <v>0.41497817797368919</v>
      </c>
      <c r="CM183" s="1283">
        <f t="shared" si="92"/>
        <v>0.47710994248187366</v>
      </c>
      <c r="CN183" s="1283">
        <f t="shared" si="92"/>
        <v>0.10833741825804899</v>
      </c>
      <c r="CO183" s="1283">
        <f t="shared" si="92"/>
        <v>0.23474299264867504</v>
      </c>
      <c r="CP183" s="1283">
        <f t="shared" si="92"/>
        <v>0.27476021023471531</v>
      </c>
      <c r="CQ183" s="1283">
        <f t="shared" si="92"/>
        <v>0.18107979296874976</v>
      </c>
      <c r="CR183" s="1283">
        <f t="shared" si="92"/>
        <v>0.15900353515624976</v>
      </c>
      <c r="CS183" s="1437">
        <f t="shared" si="92"/>
        <v>0.14796540624999954</v>
      </c>
      <c r="CT183" s="1110"/>
      <c r="CU183" s="1110"/>
      <c r="CV183" s="1110"/>
      <c r="CW183" s="1110"/>
      <c r="CX183" s="1110"/>
      <c r="CY183" s="1110"/>
      <c r="CZ183" s="1110"/>
      <c r="DA183" s="1110"/>
      <c r="DB183" s="1110"/>
      <c r="DC183" s="1110"/>
      <c r="DD183" s="1110"/>
      <c r="DE183" s="1110"/>
      <c r="DF183" s="1110"/>
      <c r="DG183" s="1110"/>
      <c r="DH183" s="1110"/>
      <c r="DI183" s="1110"/>
      <c r="DJ183" s="1110"/>
      <c r="DK183" s="1110"/>
      <c r="DL183" s="1110"/>
      <c r="DM183" s="1110"/>
      <c r="DN183" s="1110"/>
      <c r="DO183" s="1110"/>
      <c r="DP183" s="1110"/>
    </row>
    <row r="184" spans="85:120">
      <c r="CG184" s="6" t="s">
        <v>760</v>
      </c>
      <c r="CI184" s="1283">
        <f t="shared" ref="CI184:CS184" si="93">CI34/CH34-1</f>
        <v>0.80981347521970481</v>
      </c>
      <c r="CJ184" s="1283">
        <f t="shared" si="93"/>
        <v>0.67431380807271646</v>
      </c>
      <c r="CK184" s="1283">
        <f t="shared" si="93"/>
        <v>0.53877214817347974</v>
      </c>
      <c r="CL184" s="1283">
        <f t="shared" si="93"/>
        <v>1.1590607009910974</v>
      </c>
      <c r="CM184" s="1283">
        <f t="shared" si="93"/>
        <v>0.61798732539760315</v>
      </c>
      <c r="CN184" s="1283">
        <f t="shared" si="93"/>
        <v>0.25770831332531174</v>
      </c>
      <c r="CO184" s="1283">
        <f t="shared" si="93"/>
        <v>0.27015239153669479</v>
      </c>
      <c r="CP184" s="1283">
        <f t="shared" si="93"/>
        <v>0.23106541977790518</v>
      </c>
      <c r="CQ184" s="1283">
        <f t="shared" si="93"/>
        <v>0.24901441365009602</v>
      </c>
      <c r="CR184" s="1283">
        <f t="shared" si="93"/>
        <v>0.21004982146969153</v>
      </c>
      <c r="CS184" s="1437">
        <f t="shared" si="93"/>
        <v>0.18944736529342032</v>
      </c>
      <c r="CT184" s="1110"/>
      <c r="CU184" s="1110"/>
      <c r="CV184" s="1110"/>
      <c r="CW184" s="1110"/>
      <c r="CX184" s="1110"/>
      <c r="CY184" s="1110"/>
      <c r="CZ184" s="1110"/>
      <c r="DA184" s="1110"/>
      <c r="DB184" s="1110"/>
      <c r="DC184" s="1110"/>
      <c r="DD184" s="1110"/>
      <c r="DE184" s="1110"/>
      <c r="DF184" s="1110"/>
      <c r="DG184" s="1110"/>
      <c r="DH184" s="1110"/>
      <c r="DI184" s="1110"/>
      <c r="DJ184" s="1110"/>
      <c r="DK184" s="1110"/>
      <c r="DL184" s="1110"/>
      <c r="DM184" s="1110"/>
      <c r="DN184" s="1110"/>
      <c r="DO184" s="1110"/>
      <c r="DP184" s="1110"/>
    </row>
    <row r="185" spans="85:120">
      <c r="CG185" s="6" t="s">
        <v>761</v>
      </c>
      <c r="CI185" s="1283">
        <f t="shared" ref="CI185:CS185" ca="1" si="94">CI31/CH31-1</f>
        <v>0.72939151876300312</v>
      </c>
      <c r="CJ185" s="1283">
        <f t="shared" ca="1" si="94"/>
        <v>0.59397389589249405</v>
      </c>
      <c r="CK185" s="1283">
        <f t="shared" ca="1" si="94"/>
        <v>0.47049045450691351</v>
      </c>
      <c r="CL185" s="1283">
        <f t="shared" ca="1" si="94"/>
        <v>0.856254669164914</v>
      </c>
      <c r="CM185" s="1283">
        <f t="shared" ca="1" si="94"/>
        <v>0.57428577182862139</v>
      </c>
      <c r="CN185" s="1283">
        <f t="shared" ca="1" si="94"/>
        <v>0.21423218764853047</v>
      </c>
      <c r="CO185" s="1283">
        <f t="shared" ca="1" si="94"/>
        <v>0.26074490380480664</v>
      </c>
      <c r="CP185" s="1283">
        <f t="shared" ca="1" si="94"/>
        <v>0.24243472998600146</v>
      </c>
      <c r="CQ185" s="1283">
        <f t="shared" ca="1" si="94"/>
        <v>0.23087803700247167</v>
      </c>
      <c r="CR185" s="1283">
        <f t="shared" ca="1" si="94"/>
        <v>0.19697343521496502</v>
      </c>
      <c r="CS185" s="1283">
        <f t="shared" ca="1" si="94"/>
        <v>0.17915813008193648</v>
      </c>
    </row>
    <row r="189" spans="85:120">
      <c r="CJ189" s="1282" t="str">
        <f t="shared" ref="CJ189:CQ189" si="95">+CJ182</f>
        <v>2018A</v>
      </c>
      <c r="CK189" s="1282" t="str">
        <f t="shared" si="95"/>
        <v>2019A</v>
      </c>
      <c r="CL189" s="1282" t="str">
        <f t="shared" si="95"/>
        <v>2020A</v>
      </c>
      <c r="CM189" s="1282" t="str">
        <f t="shared" si="95"/>
        <v>2021A</v>
      </c>
      <c r="CN189" s="1282" t="str">
        <f t="shared" si="95"/>
        <v>2022A</v>
      </c>
      <c r="CO189" s="1282" t="str">
        <f t="shared" si="95"/>
        <v>2023A</v>
      </c>
      <c r="CP189" s="1282" t="str">
        <f t="shared" si="95"/>
        <v>2024E</v>
      </c>
      <c r="CQ189" s="1282" t="str">
        <f t="shared" si="95"/>
        <v>2025E</v>
      </c>
      <c r="CR189" s="1282" t="str">
        <f>+CR182</f>
        <v>2026E</v>
      </c>
      <c r="CS189" s="1282" t="str">
        <f>+CS182</f>
        <v>2027E</v>
      </c>
    </row>
    <row r="190" spans="85:120">
      <c r="CI190" s="6" t="s">
        <v>774</v>
      </c>
      <c r="CJ190" s="1283">
        <f>'Revenue Build'!CJ71</f>
        <v>0.57582476053902742</v>
      </c>
      <c r="CK190" s="1283">
        <f>'Revenue Build'!CO71</f>
        <v>0.44259888891263732</v>
      </c>
      <c r="CL190" s="1283">
        <f>'Revenue Build'!CT71</f>
        <v>1.0151233209250239</v>
      </c>
      <c r="CM190" s="1283">
        <f>'Revenue Build'!CY71</f>
        <v>0.50241680215491713</v>
      </c>
      <c r="CN190" s="1283">
        <f>'Revenue Build'!DD71</f>
        <v>0.18514821832577444</v>
      </c>
      <c r="CO190" s="1283">
        <f>'Revenue Build'!DI71</f>
        <v>0.21830943678009507</v>
      </c>
      <c r="CP190" s="1283">
        <f>'Revenue Build'!DN71</f>
        <v>0.17841123137196835</v>
      </c>
      <c r="CQ190" s="1283">
        <f>'Revenue Build'!DS71</f>
        <v>0.11427303034306258</v>
      </c>
      <c r="CR190" s="1283">
        <f>'Revenue Build'!DX71</f>
        <v>0.10235778063218093</v>
      </c>
      <c r="CS190" s="1283">
        <f>'Revenue Build'!EC71</f>
        <v>0.10262038692623499</v>
      </c>
    </row>
    <row r="191" spans="85:120">
      <c r="CI191" s="6" t="s">
        <v>773</v>
      </c>
      <c r="CJ191" s="1283">
        <f>'Revenue Build'!CJ49</f>
        <v>0.67431380807271646</v>
      </c>
      <c r="CK191" s="1283">
        <f>'Revenue Build'!CO49</f>
        <v>0.53877214817347974</v>
      </c>
      <c r="CL191" s="1283">
        <f>'Revenue Build'!CT49</f>
        <v>1.1590607009910974</v>
      </c>
      <c r="CM191" s="1283">
        <f>'Revenue Build'!CY49</f>
        <v>0.61798732539760315</v>
      </c>
      <c r="CN191" s="1283">
        <f>'Revenue Build'!DD49</f>
        <v>0.25770831332531174</v>
      </c>
      <c r="CO191" s="1283">
        <f>'Revenue Build'!DI49</f>
        <v>0.27015239153669479</v>
      </c>
      <c r="CP191" s="1283">
        <f>'Revenue Build'!DN49</f>
        <v>0.23106541977790518</v>
      </c>
      <c r="CQ191" s="1283">
        <f>'Revenue Build'!DS49</f>
        <v>0.24901441365009602</v>
      </c>
      <c r="CR191" s="1283">
        <f>'Revenue Build'!DX49</f>
        <v>0.21004982146969153</v>
      </c>
      <c r="CS191" s="1283">
        <f>'Revenue Build'!EC49</f>
        <v>0.18944736529342032</v>
      </c>
    </row>
    <row r="192" spans="85:120">
      <c r="CI192" s="1282" t="s">
        <v>775</v>
      </c>
      <c r="CJ192" s="1283">
        <f>'Revenue Build'!CJ43</f>
        <v>0.56166427622942861</v>
      </c>
      <c r="CK192" s="1283">
        <f>'Revenue Build'!CO43</f>
        <v>0.48743651290927503</v>
      </c>
      <c r="CL192" s="1283">
        <f>'Revenue Build'!CT43</f>
        <v>0.9558417543969091</v>
      </c>
      <c r="CM192" s="1283">
        <f>'Revenue Build'!CY43</f>
        <v>0.4665161228507988</v>
      </c>
      <c r="CN192" s="1283">
        <f>'Revenue Build'!DD43</f>
        <v>0.12481826288589826</v>
      </c>
      <c r="CO192" s="1283">
        <f>'Revenue Build'!DI43</f>
        <v>0.19606993902175129</v>
      </c>
      <c r="CP192" s="1283">
        <f>'Revenue Build'!DN43</f>
        <v>0.23172353502172305</v>
      </c>
      <c r="CQ192" s="1283">
        <f>'Revenue Build'!DS43</f>
        <v>0.19499962161404616</v>
      </c>
      <c r="CR192" s="1283">
        <f>'Revenue Build'!DX43</f>
        <v>0.17449999999999988</v>
      </c>
      <c r="CS192" s="1283">
        <f>'Revenue Build'!EC43</f>
        <v>0.16500000000000026</v>
      </c>
    </row>
    <row r="197" spans="85:97">
      <c r="CH197" s="1282" t="str">
        <f t="shared" ref="CH197:CO197" si="96">+CH4</f>
        <v>2016A</v>
      </c>
      <c r="CI197" s="1282" t="str">
        <f t="shared" si="96"/>
        <v>2017A</v>
      </c>
      <c r="CJ197" s="1282" t="str">
        <f t="shared" si="96"/>
        <v>2018A</v>
      </c>
      <c r="CK197" s="1282" t="str">
        <f t="shared" si="96"/>
        <v>2019A</v>
      </c>
      <c r="CL197" s="1282" t="str">
        <f t="shared" si="96"/>
        <v>2020A</v>
      </c>
      <c r="CM197" s="1282" t="str">
        <f t="shared" si="96"/>
        <v>2021A</v>
      </c>
      <c r="CN197" s="1282" t="str">
        <f t="shared" si="96"/>
        <v>2022A</v>
      </c>
      <c r="CO197" s="1282" t="str">
        <f t="shared" si="96"/>
        <v>2023A</v>
      </c>
    </row>
    <row r="198" spans="85:97">
      <c r="CG198" s="6" t="s">
        <v>776</v>
      </c>
      <c r="CH198" s="1502">
        <f>'Revenue Build'!BZ240</f>
        <v>1400</v>
      </c>
      <c r="CI198" s="1502">
        <f>'Revenue Build'!CE240</f>
        <v>2300</v>
      </c>
      <c r="CJ198" s="1502">
        <f>'Revenue Build'!CJ240</f>
        <v>2500</v>
      </c>
      <c r="CK198" s="1502">
        <f>'Revenue Build'!CO240</f>
        <v>3700</v>
      </c>
      <c r="CL198" s="1502">
        <f>'Revenue Build'!CT240</f>
        <v>6000</v>
      </c>
      <c r="CM198" s="1502">
        <f>'Revenue Build'!CY240</f>
        <v>8000</v>
      </c>
      <c r="CN198" s="1502">
        <f>'Revenue Build'!DD240</f>
        <v>10000</v>
      </c>
      <c r="CO198" s="1502">
        <f>'Revenue Build'!DI240</f>
        <v>13000</v>
      </c>
    </row>
    <row r="199" spans="85:97">
      <c r="CG199" s="6" t="s">
        <v>751</v>
      </c>
      <c r="CI199" s="1283">
        <f>+CI198/CH198-1</f>
        <v>0.64285714285714279</v>
      </c>
      <c r="CJ199" s="1283">
        <f t="shared" ref="CJ199:CO199" si="97">+CJ198/CI198-1</f>
        <v>8.6956521739130377E-2</v>
      </c>
      <c r="CK199" s="1283">
        <f t="shared" si="97"/>
        <v>0.48</v>
      </c>
      <c r="CL199" s="1283">
        <f t="shared" si="97"/>
        <v>0.62162162162162171</v>
      </c>
      <c r="CM199" s="1283">
        <f t="shared" si="97"/>
        <v>0.33333333333333326</v>
      </c>
      <c r="CN199" s="1283">
        <f t="shared" si="97"/>
        <v>0.25</v>
      </c>
      <c r="CO199" s="1283">
        <f t="shared" si="97"/>
        <v>0.30000000000000004</v>
      </c>
    </row>
    <row r="203" spans="85:97">
      <c r="CN203" s="1282" t="str">
        <f t="shared" ref="CN203:CS203" si="98">+CN4</f>
        <v>2022A</v>
      </c>
      <c r="CO203" s="1282" t="str">
        <f t="shared" si="98"/>
        <v>2023A</v>
      </c>
      <c r="CP203" s="1282" t="str">
        <f t="shared" si="98"/>
        <v>2024E</v>
      </c>
      <c r="CQ203" s="1282" t="str">
        <f t="shared" si="98"/>
        <v>2025E</v>
      </c>
      <c r="CR203" s="1282" t="str">
        <f t="shared" si="98"/>
        <v>2026E</v>
      </c>
      <c r="CS203" s="1282" t="str">
        <f t="shared" si="98"/>
        <v>2027E</v>
      </c>
    </row>
    <row r="204" spans="85:97">
      <c r="CM204" s="1282" t="s">
        <v>715</v>
      </c>
      <c r="CN204" s="1509">
        <f>'Revenue Build'!$DD$216</f>
        <v>33316.23931623932</v>
      </c>
      <c r="CO204" s="1509">
        <f>'Revenue Build'!$DI$216</f>
        <v>49974.358974358976</v>
      </c>
      <c r="CP204" s="1509">
        <f>'Revenue Build'!$DN$216</f>
        <v>71827.822499999995</v>
      </c>
      <c r="CQ204" s="1509">
        <f>'Revenue Build'!$DS$216</f>
        <v>95515.23797026297</v>
      </c>
      <c r="CR204" s="1509">
        <f>'Revenue Build'!$DX$216</f>
        <v>121155.50248137122</v>
      </c>
      <c r="CS204" s="1509">
        <f>'Revenue Build'!$EC$216</f>
        <v>149698.9230965559</v>
      </c>
    </row>
    <row r="205" spans="85:97">
      <c r="CM205" s="1282" t="s">
        <v>781</v>
      </c>
      <c r="CN205" s="1458">
        <f>'Revenue Build'!$DD$220</f>
        <v>0.1689034749492781</v>
      </c>
      <c r="CO205" s="1458">
        <f>'Revenue Build'!$DI$220</f>
        <v>0.21182307502112527</v>
      </c>
      <c r="CP205" s="1458">
        <f>'Revenue Build'!$DN$220</f>
        <v>0.2471755432292865</v>
      </c>
      <c r="CQ205" s="1458">
        <f>'Revenue Build'!$DS$220</f>
        <v>0.27505382628279756</v>
      </c>
      <c r="CR205" s="1458">
        <f>'Revenue Build'!$DX$220</f>
        <v>0.29705382628279764</v>
      </c>
      <c r="CS205" s="1458">
        <f>'Revenue Build'!$EC$220</f>
        <v>0.31505382628279754</v>
      </c>
    </row>
    <row r="208" spans="85:97">
      <c r="CN208" s="6"/>
      <c r="CO208" s="449" t="str">
        <f>'Revenue Build'!$DI$4</f>
        <v>2023A</v>
      </c>
      <c r="CP208" s="449" t="str">
        <f>'Revenue Build'!$DN$4</f>
        <v>2024E</v>
      </c>
      <c r="CQ208" s="449" t="str">
        <f>'Revenue Build'!$DS$4</f>
        <v>2025E</v>
      </c>
      <c r="CR208" s="449" t="str">
        <f>'Revenue Build'!$DX$4</f>
        <v>2026E</v>
      </c>
      <c r="CS208" s="449" t="str">
        <f>'Revenue Build'!$EC$4</f>
        <v>2027E</v>
      </c>
    </row>
    <row r="209" spans="5:135">
      <c r="CN209" s="6" t="str">
        <f>'Revenue Build'!$C$231</f>
        <v>Standard revenue</v>
      </c>
      <c r="CO209" s="1534">
        <f>'Revenue Build'!$DI$231</f>
        <v>1072.94</v>
      </c>
      <c r="CP209" s="1534">
        <f>'Revenue Build'!$DN$231</f>
        <v>1367.9866209416505</v>
      </c>
      <c r="CQ209" s="1534">
        <f>'Revenue Build'!$DS$231</f>
        <v>1577.3459239075469</v>
      </c>
      <c r="CR209" s="1534">
        <f>'Revenue Build'!$DX$231</f>
        <v>1786.477438334261</v>
      </c>
      <c r="CS209" s="1534">
        <f>'Revenue Build'!$EC$231</f>
        <v>2002.976210789358</v>
      </c>
    </row>
    <row r="210" spans="5:135">
      <c r="CN210" s="6" t="str">
        <f>'Revenue Build'!$C$233</f>
        <v>Plus revenue</v>
      </c>
      <c r="CO210" s="1534">
        <f>'Revenue Build'!$DI$233</f>
        <v>492.09000000000003</v>
      </c>
      <c r="CP210" s="1534">
        <f>'Revenue Build'!$DN$233</f>
        <v>618.70494161230476</v>
      </c>
      <c r="CQ210" s="1534">
        <f>'Revenue Build'!$DS$233</f>
        <v>758.39765740592179</v>
      </c>
      <c r="CR210" s="1534">
        <f>'Revenue Build'!$DX$233</f>
        <v>911.04099955605602</v>
      </c>
      <c r="CS210" s="1534">
        <f>'Revenue Build'!$EC$233</f>
        <v>1082.6420799846123</v>
      </c>
    </row>
    <row r="211" spans="5:135">
      <c r="CN211" s="6" t="str">
        <f>'Revenue Build'!$C$235</f>
        <v>Apps, Themes, Domains, and Plus Platform Fees</v>
      </c>
      <c r="CO211" s="1534">
        <f>'Revenue Build'!$DI$235</f>
        <v>266.72000000000003</v>
      </c>
      <c r="CP211" s="1534">
        <f>'Revenue Build'!$DN$235</f>
        <v>357.0752806472168</v>
      </c>
      <c r="CQ211" s="1534">
        <f>'Revenue Build'!$DS$235</f>
        <v>430.03172445838868</v>
      </c>
      <c r="CR211" s="1534">
        <f>'Revenue Build'!$DX$235</f>
        <v>508.02491894712296</v>
      </c>
      <c r="CS211" s="1534">
        <f>'Revenue Build'!$EC$235</f>
        <v>594.23459110990882</v>
      </c>
    </row>
    <row r="212" spans="5:135">
      <c r="CN212" s="1543" t="str">
        <f>'Revenue Build'!$C$237</f>
        <v>Subscription solutions revenue</v>
      </c>
      <c r="CO212" s="1539">
        <f>'Revenue Build'!$DI$237</f>
        <v>1837</v>
      </c>
      <c r="CP212" s="1387">
        <f>'Revenue Build'!$DN$237</f>
        <v>2341.7345062011718</v>
      </c>
      <c r="CQ212" s="1387">
        <f>'Revenue Build'!$DS$237</f>
        <v>2765.7753057718573</v>
      </c>
      <c r="CR212" s="1387">
        <f>'Revenue Build'!$DX$237</f>
        <v>3205.5433568374401</v>
      </c>
      <c r="CS212" s="1387">
        <f>'Revenue Build'!$EC$237</f>
        <v>3679.8528818838795</v>
      </c>
    </row>
    <row r="214" spans="5:135">
      <c r="CO214" s="1545" t="str">
        <f>CO208</f>
        <v>2023A</v>
      </c>
      <c r="CP214" s="1545" t="str">
        <f t="shared" ref="CP214:CS214" si="99">CP208</f>
        <v>2024E</v>
      </c>
      <c r="CQ214" s="1545" t="str">
        <f t="shared" si="99"/>
        <v>2025E</v>
      </c>
      <c r="CR214" s="1545" t="str">
        <f t="shared" si="99"/>
        <v>2026E</v>
      </c>
      <c r="CS214" s="1545" t="str">
        <f t="shared" si="99"/>
        <v>2027E</v>
      </c>
    </row>
    <row r="215" spans="5:135">
      <c r="CN215" s="1544" t="str">
        <f>CN209</f>
        <v>Standard revenue</v>
      </c>
      <c r="CO215" s="1283">
        <f>CO209/CO$212</f>
        <v>0.5840718562874252</v>
      </c>
      <c r="CP215" s="1283">
        <f t="shared" ref="CP215:CS215" si="100">CP209/CP$212</f>
        <v>0.58417665081975378</v>
      </c>
      <c r="CQ215" s="1283">
        <f t="shared" si="100"/>
        <v>0.57030877404097358</v>
      </c>
      <c r="CR215" s="1283">
        <f t="shared" si="100"/>
        <v>0.55730877404097368</v>
      </c>
      <c r="CS215" s="1283">
        <f t="shared" si="100"/>
        <v>0.54430877404097355</v>
      </c>
    </row>
    <row r="216" spans="5:135">
      <c r="CN216" s="1544" t="str">
        <f t="shared" ref="CN216:CN218" si="101">CN210</f>
        <v>Plus revenue</v>
      </c>
      <c r="CO216" s="1283">
        <f t="shared" ref="CO216:CS218" si="102">CO210/CO$212</f>
        <v>0.26787697332607513</v>
      </c>
      <c r="CP216" s="1283">
        <f t="shared" si="102"/>
        <v>0.26420797915985167</v>
      </c>
      <c r="CQ216" s="1283">
        <f t="shared" si="102"/>
        <v>0.27420797915985168</v>
      </c>
      <c r="CR216" s="1283">
        <f t="shared" si="102"/>
        <v>0.28420797915985163</v>
      </c>
      <c r="CS216" s="1283">
        <f t="shared" si="102"/>
        <v>0.29420797915985164</v>
      </c>
    </row>
    <row r="217" spans="5:135">
      <c r="CN217" s="1544" t="str">
        <f t="shared" si="101"/>
        <v>Apps, Themes, Domains, and Plus Platform Fees</v>
      </c>
      <c r="CO217" s="1283">
        <f t="shared" si="102"/>
        <v>0.14519324986390855</v>
      </c>
      <c r="CP217" s="1283">
        <f t="shared" si="102"/>
        <v>0.15248324679917472</v>
      </c>
      <c r="CQ217" s="1283">
        <f t="shared" si="102"/>
        <v>0.15548324679917475</v>
      </c>
      <c r="CR217" s="1283">
        <f t="shared" si="102"/>
        <v>0.15848324679917469</v>
      </c>
      <c r="CS217" s="1283">
        <f t="shared" si="102"/>
        <v>0.16148324679917472</v>
      </c>
    </row>
    <row r="218" spans="5:135">
      <c r="CN218" s="1544" t="str">
        <f t="shared" si="101"/>
        <v>Subscription solutions revenue</v>
      </c>
      <c r="CO218" s="1283">
        <f t="shared" si="102"/>
        <v>1</v>
      </c>
      <c r="CP218" s="1283">
        <f t="shared" si="102"/>
        <v>1</v>
      </c>
      <c r="CQ218" s="1283">
        <f t="shared" si="102"/>
        <v>1</v>
      </c>
      <c r="CR218" s="1283">
        <f t="shared" si="102"/>
        <v>1</v>
      </c>
      <c r="CS218" s="1283">
        <f t="shared" si="102"/>
        <v>1</v>
      </c>
    </row>
    <row r="223" spans="5:135" ht="12.75">
      <c r="E223" s="566"/>
      <c r="F223" s="105" t="s">
        <v>607</v>
      </c>
      <c r="G223" s="105" t="s">
        <v>608</v>
      </c>
      <c r="H223" s="105" t="s">
        <v>577</v>
      </c>
      <c r="I223" s="105" t="s">
        <v>578</v>
      </c>
      <c r="J223" s="105" t="s">
        <v>579</v>
      </c>
      <c r="K223" s="105" t="s">
        <v>580</v>
      </c>
      <c r="L223" s="105" t="s">
        <v>581</v>
      </c>
      <c r="M223" s="105" t="s">
        <v>582</v>
      </c>
      <c r="N223" s="105" t="s">
        <v>583</v>
      </c>
      <c r="O223" s="105" t="s">
        <v>584</v>
      </c>
      <c r="P223" s="105" t="s">
        <v>585</v>
      </c>
      <c r="Q223" s="105" t="s">
        <v>586</v>
      </c>
      <c r="R223" s="105" t="s">
        <v>587</v>
      </c>
      <c r="S223" s="105" t="s">
        <v>588</v>
      </c>
      <c r="T223" s="105" t="s">
        <v>589</v>
      </c>
      <c r="U223" s="105" t="s">
        <v>590</v>
      </c>
      <c r="V223" s="105" t="s">
        <v>591</v>
      </c>
      <c r="W223" s="105" t="s">
        <v>592</v>
      </c>
      <c r="X223" s="105" t="s">
        <v>593</v>
      </c>
      <c r="Y223" s="105" t="s">
        <v>594</v>
      </c>
      <c r="Z223" s="105" t="s">
        <v>595</v>
      </c>
      <c r="AA223" s="105" t="s">
        <v>596</v>
      </c>
      <c r="AB223" s="105" t="s">
        <v>562</v>
      </c>
      <c r="AC223" s="105" t="s">
        <v>564</v>
      </c>
      <c r="AD223" s="105" t="s">
        <v>754</v>
      </c>
      <c r="AE223" s="105" t="s">
        <v>565</v>
      </c>
      <c r="AF223" s="105" t="s">
        <v>566</v>
      </c>
      <c r="AG223" s="105" t="s">
        <v>567</v>
      </c>
      <c r="AH223" s="105" t="s">
        <v>568</v>
      </c>
      <c r="AI223" s="105" t="s">
        <v>569</v>
      </c>
      <c r="AJ223" s="105" t="s">
        <v>570</v>
      </c>
      <c r="AK223" s="105" t="s">
        <v>571</v>
      </c>
      <c r="AL223" s="105" t="s">
        <v>572</v>
      </c>
      <c r="AM223" s="105" t="s">
        <v>573</v>
      </c>
      <c r="AN223" s="105" t="s">
        <v>574</v>
      </c>
      <c r="AO223" s="105" t="s">
        <v>575</v>
      </c>
      <c r="AP223" s="105" t="s">
        <v>576</v>
      </c>
      <c r="AQ223" s="105" t="s">
        <v>663</v>
      </c>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EE223"/>
    </row>
    <row r="224" spans="5:135" ht="12.75">
      <c r="E224" s="771" t="s">
        <v>316</v>
      </c>
      <c r="F224" s="675">
        <v>0.22</v>
      </c>
      <c r="G224" s="675">
        <v>0.22</v>
      </c>
      <c r="H224" s="675">
        <v>0.23</v>
      </c>
      <c r="I224" s="675">
        <v>0.23</v>
      </c>
      <c r="J224" s="675">
        <v>0.23</v>
      </c>
      <c r="K224" s="675">
        <v>0.23</v>
      </c>
      <c r="L224" s="675">
        <v>0.24</v>
      </c>
      <c r="M224" s="675">
        <v>0.24</v>
      </c>
      <c r="N224" s="675">
        <v>0.22</v>
      </c>
      <c r="O224" s="675">
        <v>0.21</v>
      </c>
      <c r="P224" s="675">
        <v>0.21</v>
      </c>
      <c r="Q224" s="675">
        <v>0.22</v>
      </c>
      <c r="R224" s="675">
        <v>0.23</v>
      </c>
      <c r="S224" s="675">
        <v>0.24</v>
      </c>
      <c r="T224" s="675">
        <v>0.3</v>
      </c>
      <c r="U224" s="675">
        <v>0.31</v>
      </c>
      <c r="V224" s="675">
        <v>0.33</v>
      </c>
      <c r="W224" s="675">
        <v>0.34</v>
      </c>
      <c r="X224" s="675">
        <v>0.34</v>
      </c>
      <c r="Y224" s="675">
        <v>0.28999999999999998</v>
      </c>
      <c r="Z224" s="675">
        <v>0.31</v>
      </c>
      <c r="AA224" s="675">
        <v>0.31</v>
      </c>
      <c r="AB224" s="675">
        <v>0.32</v>
      </c>
      <c r="AC224" s="675">
        <v>0.31</v>
      </c>
      <c r="AD224" s="675">
        <v>0.31</v>
      </c>
      <c r="AE224" s="420">
        <v>0.31</v>
      </c>
      <c r="AF224" s="420">
        <v>0.31</v>
      </c>
      <c r="AG224" s="420">
        <v>0.31</v>
      </c>
      <c r="AH224" s="420">
        <v>0.31</v>
      </c>
      <c r="AI224" s="420">
        <v>0.31</v>
      </c>
      <c r="AJ224" s="420">
        <v>0.31</v>
      </c>
      <c r="AK224" s="420">
        <v>0.31</v>
      </c>
      <c r="AL224" s="420">
        <v>0.31</v>
      </c>
      <c r="AM224" s="420">
        <v>0.31</v>
      </c>
      <c r="AN224" s="420">
        <v>0.31</v>
      </c>
      <c r="AO224" s="420">
        <v>0.31</v>
      </c>
      <c r="AP224" s="420">
        <v>0.31</v>
      </c>
      <c r="AQ224" s="420">
        <v>0.31</v>
      </c>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EE224"/>
    </row>
    <row r="226" spans="85:97" ht="12.75">
      <c r="CG226"/>
      <c r="CH226" s="449" t="str">
        <f>'Revenue Build'!$BZ$4</f>
        <v>2016A</v>
      </c>
      <c r="CI226" s="449" t="str">
        <f>'Revenue Build'!$CE$4</f>
        <v>2017A</v>
      </c>
      <c r="CJ226" s="449" t="str">
        <f>'Revenue Build'!$CJ$4</f>
        <v>2018A</v>
      </c>
      <c r="CK226" s="449" t="str">
        <f>'Revenue Build'!$CO$4</f>
        <v>2019A</v>
      </c>
      <c r="CL226" s="449" t="str">
        <f>'Revenue Build'!$CT$4</f>
        <v>2020A</v>
      </c>
      <c r="CM226" s="449" t="str">
        <f>'Revenue Build'!$CY$4</f>
        <v>2021A</v>
      </c>
      <c r="CN226" s="449" t="str">
        <f>'Revenue Build'!$DD$4</f>
        <v>2022A</v>
      </c>
      <c r="CO226" s="449" t="str">
        <f>'Revenue Build'!$DI$4</f>
        <v>2023A</v>
      </c>
      <c r="CP226" s="449" t="str">
        <f>'Revenue Build'!$DN$4</f>
        <v>2024E</v>
      </c>
      <c r="CQ226" s="449" t="str">
        <f>'Revenue Build'!$DS$4</f>
        <v>2025E</v>
      </c>
      <c r="CR226" s="449" t="str">
        <f>'Revenue Build'!$DX$4</f>
        <v>2026E</v>
      </c>
      <c r="CS226" s="449" t="str">
        <f>'Revenue Build'!$EC$4</f>
        <v>2027E</v>
      </c>
    </row>
    <row r="227" spans="85:97" ht="12.75">
      <c r="CG227" s="1587" t="str">
        <f>'Revenue Build'!$C$27</f>
        <v>Total Merchants on Platform (in 000s)</v>
      </c>
      <c r="CH227" s="1586">
        <f>'Revenue Build'!$BZ$27</f>
        <v>377.5</v>
      </c>
      <c r="CI227" s="1586">
        <f>'Revenue Build'!$CE$27</f>
        <v>609</v>
      </c>
      <c r="CJ227" s="1586">
        <f>'Revenue Build'!$CJ$27</f>
        <v>820</v>
      </c>
      <c r="CK227" s="1586">
        <f>'Revenue Build'!$CO$27</f>
        <v>1000</v>
      </c>
      <c r="CL227" s="1586">
        <f>'Revenue Build'!$CT$27</f>
        <v>1749</v>
      </c>
      <c r="CM227" s="1586">
        <f>'Revenue Build'!$CY$27</f>
        <v>2063</v>
      </c>
      <c r="CN227" s="1586">
        <f>'Revenue Build'!$DD$27</f>
        <v>2444.3376074500002</v>
      </c>
      <c r="CO227" s="1586">
        <f>'Revenue Build'!$DI$27</f>
        <v>3055.579363545979</v>
      </c>
      <c r="CP227" s="1586">
        <f>'Revenue Build'!$DN$27</f>
        <v>3372.7878898097838</v>
      </c>
      <c r="CQ227" s="1586">
        <f>'Revenue Build'!$DS$27</f>
        <v>3722.9267501159302</v>
      </c>
      <c r="CR227" s="1586">
        <f>'Revenue Build'!$DX$27</f>
        <v>4109.4145376306005</v>
      </c>
      <c r="CS227" s="1586">
        <f>'Revenue Build'!$EC$27</f>
        <v>4536.0247395584292</v>
      </c>
    </row>
    <row r="228" spans="85:97">
      <c r="CH228" s="1293">
        <f t="shared" ref="CH228:CS228" si="103">CH227</f>
        <v>377.5</v>
      </c>
      <c r="CI228" s="1293">
        <f t="shared" si="103"/>
        <v>609</v>
      </c>
      <c r="CJ228" s="1293">
        <f t="shared" si="103"/>
        <v>820</v>
      </c>
      <c r="CK228" s="1293">
        <f t="shared" si="103"/>
        <v>1000</v>
      </c>
      <c r="CL228" s="1293">
        <f t="shared" si="103"/>
        <v>1749</v>
      </c>
      <c r="CM228" s="1293">
        <f t="shared" si="103"/>
        <v>2063</v>
      </c>
      <c r="CN228" s="1293">
        <f t="shared" si="103"/>
        <v>2444.3376074500002</v>
      </c>
      <c r="CO228" s="1293">
        <f t="shared" si="103"/>
        <v>3055.579363545979</v>
      </c>
      <c r="CP228" s="1293">
        <f t="shared" si="103"/>
        <v>3372.7878898097838</v>
      </c>
      <c r="CQ228" s="1293">
        <f t="shared" si="103"/>
        <v>3722.9267501159302</v>
      </c>
      <c r="CR228" s="1293">
        <f t="shared" si="103"/>
        <v>4109.4145376306005</v>
      </c>
      <c r="CS228" s="1293">
        <f t="shared" si="103"/>
        <v>4536.0247395584292</v>
      </c>
    </row>
  </sheetData>
  <mergeCells count="2">
    <mergeCell ref="CG82:CS107"/>
    <mergeCell ref="CG123:CS141"/>
  </mergeCell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BEBF2-473E-4FBD-BC7F-BE5287C99DE1}">
  <sheetPr codeName="Sheet6">
    <tabColor theme="6" tint="-0.249977111117893"/>
  </sheetPr>
  <dimension ref="A2:AJ125"/>
  <sheetViews>
    <sheetView showGridLines="0" zoomScaleNormal="100" workbookViewId="0">
      <pane xSplit="3" ySplit="5" topLeftCell="D6" activePane="bottomRight" state="frozen"/>
      <selection pane="topRight" activeCell="D1" sqref="D1"/>
      <selection pane="bottomLeft" activeCell="A6" sqref="A6"/>
      <selection pane="bottomRight" activeCell="M36" sqref="M36"/>
    </sheetView>
  </sheetViews>
  <sheetFormatPr defaultColWidth="9.140625" defaultRowHeight="11.25"/>
  <cols>
    <col min="1" max="1" width="15.42578125" style="824" bestFit="1" customWidth="1"/>
    <col min="2" max="2" width="10.28515625" style="933"/>
    <col min="3" max="3" width="23.85546875" style="926" customWidth="1"/>
    <col min="4" max="4" width="9.140625" style="824"/>
    <col min="5" max="5" width="8.140625" style="824" customWidth="1"/>
    <col min="6" max="16384" width="9.140625" style="824"/>
  </cols>
  <sheetData>
    <row r="2" spans="1:36" ht="12">
      <c r="A2" s="803" t="s">
        <v>135</v>
      </c>
      <c r="C2" s="926" t="s">
        <v>367</v>
      </c>
    </row>
    <row r="3" spans="1:36">
      <c r="A3" s="826" t="s">
        <v>453</v>
      </c>
    </row>
    <row r="4" spans="1:36">
      <c r="D4" s="975">
        <v>43921</v>
      </c>
      <c r="E4" s="975">
        <f>EOMONTH(D4,3)</f>
        <v>44012</v>
      </c>
      <c r="F4" s="975">
        <f t="shared" ref="F4:AA4" si="0">EOMONTH(E4,3)</f>
        <v>44104</v>
      </c>
      <c r="G4" s="975">
        <f t="shared" si="0"/>
        <v>44196</v>
      </c>
      <c r="H4" s="975">
        <f t="shared" si="0"/>
        <v>44286</v>
      </c>
      <c r="I4" s="975">
        <f t="shared" si="0"/>
        <v>44377</v>
      </c>
      <c r="J4" s="975">
        <f t="shared" si="0"/>
        <v>44469</v>
      </c>
      <c r="K4" s="975">
        <f t="shared" si="0"/>
        <v>44561</v>
      </c>
      <c r="L4" s="975">
        <f t="shared" si="0"/>
        <v>44651</v>
      </c>
      <c r="M4" s="975">
        <f t="shared" si="0"/>
        <v>44742</v>
      </c>
      <c r="N4" s="975">
        <f t="shared" si="0"/>
        <v>44834</v>
      </c>
      <c r="O4" s="975">
        <f t="shared" si="0"/>
        <v>44926</v>
      </c>
      <c r="P4" s="975">
        <f t="shared" si="0"/>
        <v>45016</v>
      </c>
      <c r="Q4" s="975">
        <f t="shared" si="0"/>
        <v>45107</v>
      </c>
      <c r="R4" s="975">
        <f t="shared" si="0"/>
        <v>45199</v>
      </c>
      <c r="S4" s="975">
        <f t="shared" si="0"/>
        <v>45291</v>
      </c>
      <c r="T4" s="975">
        <f t="shared" si="0"/>
        <v>45382</v>
      </c>
      <c r="U4" s="975">
        <f t="shared" si="0"/>
        <v>45473</v>
      </c>
      <c r="V4" s="975">
        <f t="shared" si="0"/>
        <v>45565</v>
      </c>
      <c r="W4" s="985">
        <f t="shared" si="0"/>
        <v>45657</v>
      </c>
      <c r="X4" s="985">
        <f t="shared" si="0"/>
        <v>45747</v>
      </c>
      <c r="Y4" s="985">
        <f t="shared" si="0"/>
        <v>45838</v>
      </c>
      <c r="Z4" s="985">
        <f t="shared" si="0"/>
        <v>45930</v>
      </c>
      <c r="AA4" s="985">
        <f t="shared" si="0"/>
        <v>46022</v>
      </c>
      <c r="AC4" s="976">
        <v>2020</v>
      </c>
      <c r="AD4" s="976">
        <v>2021</v>
      </c>
      <c r="AE4" s="976">
        <v>2022</v>
      </c>
      <c r="AF4" s="976">
        <v>2023</v>
      </c>
      <c r="AG4" s="991">
        <v>2024</v>
      </c>
      <c r="AH4" s="991">
        <v>2025</v>
      </c>
      <c r="AI4" s="991">
        <v>2026</v>
      </c>
      <c r="AJ4" s="991">
        <v>2027</v>
      </c>
    </row>
    <row r="5" spans="1:36">
      <c r="B5" s="933" t="s">
        <v>510</v>
      </c>
      <c r="D5" s="975" t="s">
        <v>464</v>
      </c>
      <c r="E5" s="975" t="s">
        <v>465</v>
      </c>
      <c r="F5" s="975" t="s">
        <v>466</v>
      </c>
      <c r="G5" s="975" t="s">
        <v>467</v>
      </c>
      <c r="H5" s="975" t="s">
        <v>468</v>
      </c>
      <c r="I5" s="975" t="s">
        <v>469</v>
      </c>
      <c r="J5" s="975" t="s">
        <v>470</v>
      </c>
      <c r="K5" s="975" t="s">
        <v>471</v>
      </c>
      <c r="L5" s="975" t="s">
        <v>472</v>
      </c>
      <c r="M5" s="975" t="s">
        <v>473</v>
      </c>
      <c r="N5" s="975" t="s">
        <v>474</v>
      </c>
      <c r="O5" s="975" t="s">
        <v>475</v>
      </c>
      <c r="P5" s="975" t="s">
        <v>476</v>
      </c>
      <c r="Q5" s="975" t="s">
        <v>477</v>
      </c>
      <c r="R5" s="975" t="s">
        <v>478</v>
      </c>
      <c r="S5" s="975" t="s">
        <v>479</v>
      </c>
      <c r="T5" s="975" t="s">
        <v>480</v>
      </c>
      <c r="U5" s="975" t="s">
        <v>481</v>
      </c>
      <c r="V5" s="975" t="s">
        <v>482</v>
      </c>
      <c r="W5" s="985" t="s">
        <v>483</v>
      </c>
      <c r="X5" s="985" t="s">
        <v>484</v>
      </c>
      <c r="Y5" s="985" t="s">
        <v>485</v>
      </c>
      <c r="Z5" s="985" t="s">
        <v>486</v>
      </c>
      <c r="AA5" s="985" t="s">
        <v>487</v>
      </c>
      <c r="AC5" s="977">
        <v>2020</v>
      </c>
      <c r="AD5" s="977">
        <v>2021</v>
      </c>
      <c r="AE5" s="977">
        <v>2022</v>
      </c>
      <c r="AF5" s="977">
        <v>2023</v>
      </c>
      <c r="AG5" s="992">
        <v>2024</v>
      </c>
      <c r="AH5" s="992">
        <v>2025</v>
      </c>
      <c r="AI5" s="992">
        <v>2026</v>
      </c>
      <c r="AJ5" s="992">
        <v>2027</v>
      </c>
    </row>
    <row r="6" spans="1:36">
      <c r="A6" s="825" t="s">
        <v>368</v>
      </c>
      <c r="B6" s="926" t="s">
        <v>368</v>
      </c>
      <c r="C6" s="926" t="s">
        <v>368</v>
      </c>
      <c r="D6" s="979" cm="1">
        <f t="array" ref="D6">_xll.FDSRC("-",$C$2,"FE_TIMESERIES("&amp;$B6&amp;",MEAN,"&amp;D$5&amp;",,Q,'CURRENCY=USD')")</f>
        <v>17284.333999999999</v>
      </c>
      <c r="E6" s="979" cm="1">
        <f t="array" ref="E6">_xll.FDSRC("-",$C$2,"FE_TIMESERIES("&amp;$B6&amp;",MEAN,"&amp;E$5&amp;",,Q,'CURRENCY=USD')")</f>
        <v>30114</v>
      </c>
      <c r="F6" s="979" cm="1">
        <f t="array" ref="F6">_xll.FDSRC("-",$C$2,"FE_TIMESERIES("&amp;$B6&amp;",MEAN,"&amp;F$5&amp;",,Q,'CURRENCY=USD')")</f>
        <v>30923.24</v>
      </c>
      <c r="G6" s="979" cm="1">
        <f t="array" ref="G6">_xll.FDSRC("-",$C$2,"FE_TIMESERIES("&amp;$B6&amp;",MEAN,"&amp;G$5&amp;",,Q,'CURRENCY=USD')")</f>
        <v>41089.375</v>
      </c>
      <c r="H6" s="979" cm="1">
        <f t="array" ref="H6">_xll.FDSRC("-",$C$2,"FE_TIMESERIES("&amp;$B6&amp;",MEAN,"&amp;H$5&amp;",,Q,'CURRENCY=USD')")</f>
        <v>37300</v>
      </c>
      <c r="I6" s="979" cm="1">
        <f t="array" ref="I6">_xll.FDSRC("-",$C$2,"FE_TIMESERIES("&amp;$B6&amp;",MEAN,"&amp;I$5&amp;",,Q,'CURRENCY=USD')")</f>
        <v>42200</v>
      </c>
      <c r="J6" s="979" cm="1">
        <f t="array" ref="J6">_xll.FDSRC("-",$C$2,"FE_TIMESERIES("&amp;$B6&amp;",MEAN,"&amp;J$5&amp;",,Q,'CURRENCY=USD')")</f>
        <v>41792.222999999998</v>
      </c>
      <c r="K6" s="979" cm="1">
        <f t="array" ref="K6">_xll.FDSRC("-",$C$2,"FE_TIMESERIES("&amp;$B6&amp;",MEAN,"&amp;K$5&amp;",,Q,'CURRENCY=USD')")</f>
        <v>54088.273000000001</v>
      </c>
      <c r="L6" s="979" cm="1">
        <f t="array" ref="L6">_xll.FDSRC("-",$C$2,"FE_TIMESERIES("&amp;$B6&amp;",MEAN,"&amp;L$5&amp;",,Q,'CURRENCY=USD')")</f>
        <v>43200</v>
      </c>
      <c r="M6" s="979" cm="1">
        <f t="array" ref="M6">_xll.FDSRC("-",$C$2,"FE_TIMESERIES("&amp;$B6&amp;",MEAN,"&amp;M$5&amp;",,Q,'CURRENCY=USD')")</f>
        <v>46891.667999999998</v>
      </c>
      <c r="N6" s="979" cm="1">
        <f t="array" ref="N6">_xll.FDSRC("-",$C$2,"FE_TIMESERIES("&amp;$B6&amp;",MEAN,"&amp;N$5&amp;",,Q,'CURRENCY=USD')")</f>
        <v>46179.855000000003</v>
      </c>
      <c r="O6" s="979" cm="1">
        <f t="array" ref="O6">_xll.FDSRC("-",$C$2,"FE_TIMESERIES("&amp;$B6&amp;",MEAN,"&amp;O$5&amp;",,Q,'CURRENCY=USD')")</f>
        <v>60984.25</v>
      </c>
      <c r="P6" s="979" cm="1">
        <f t="array" ref="P6">_xll.FDSRC("-",$C$2,"FE_TIMESERIES("&amp;$B6&amp;",MEAN,"&amp;P$5&amp;",,Q,'CURRENCY=USD')")</f>
        <v>49610.8</v>
      </c>
      <c r="Q6" s="979" cm="1">
        <f t="array" ref="Q6">_xll.FDSRC("-",$C$2,"FE_TIMESERIES("&amp;$B6&amp;",MEAN,"&amp;Q$5&amp;",,Q,'CURRENCY=USD')")</f>
        <v>55012</v>
      </c>
      <c r="R6" s="979" cm="1">
        <f t="array" ref="R6">_xll.FDSRC("-",$C$2,"FE_TIMESERIES("&amp;$B6&amp;",MEAN,"&amp;R$5&amp;",,Q,'CURRENCY=USD')")</f>
        <v>56205</v>
      </c>
      <c r="S6" s="979" cm="1">
        <f t="array" ref="S6">_xll.FDSRC("-",$C$2,"FE_TIMESERIES("&amp;$B6&amp;",MEAN,"&amp;S$5&amp;",,Q,'CURRENCY=USD')")</f>
        <v>75125</v>
      </c>
      <c r="T6" s="979" cm="1">
        <f t="array" ref="T6">_xll.FDSRC("-",$C$2,"FE_TIMESERIES("&amp;$B6&amp;",MEAN,"&amp;T$5&amp;",,Q,'CURRENCY=USD')")</f>
        <v>60855</v>
      </c>
      <c r="U6" s="979" cm="1">
        <f t="array" ref="U6">_xll.FDSRC("-",$C$2,"FE_TIMESERIES("&amp;$B6&amp;",MEAN,"&amp;U$5&amp;",,Q,'CURRENCY=USD')")</f>
        <v>67245</v>
      </c>
      <c r="V6" s="979" cm="1">
        <f t="array" ref="V6">_xll.FDSRC("-",$C$2,"FE_TIMESERIES("&amp;$B6&amp;",MEAN,"&amp;V$5&amp;",,Q,'CURRENCY=USD')")</f>
        <v>69715</v>
      </c>
      <c r="W6" s="986" cm="1">
        <f t="array" ref="W6">_xll.FDSRC("-",$C$2,"FE_TIMESERIES("&amp;$B6&amp;",MEAN,"&amp;W$5&amp;",,Q,'CURRENCY=USD')")</f>
        <v>92277.09</v>
      </c>
      <c r="X6" s="986" cm="1">
        <f t="array" ref="X6">_xll.FDSRC("-",$C$2,"FE_TIMESERIES("&amp;$B6&amp;",MEAN,"&amp;X$5&amp;",,Q,'CURRENCY=USD')")</f>
        <v>74473.41</v>
      </c>
      <c r="Y6" s="986" cm="1">
        <f t="array" ref="Y6">_xll.FDSRC("-",$C$2,"FE_TIMESERIES("&amp;$B6&amp;",MEAN,"&amp;Y$5&amp;",,Q,'CURRENCY=USD')")</f>
        <v>81665.945000000007</v>
      </c>
      <c r="Z6" s="986" cm="1">
        <f t="array" ref="Z6">_xll.FDSRC("-",$C$2,"FE_TIMESERIES("&amp;$B6&amp;",MEAN,"&amp;Z$5&amp;",,Q,'CURRENCY=USD')")</f>
        <v>83821.759999999995</v>
      </c>
      <c r="AA6" s="986" cm="1">
        <f t="array" ref="AA6">_xll.FDSRC("-",$C$2,"FE_TIMESERIES("&amp;$B6&amp;",MEAN,"&amp;AA$5&amp;",,Q,'CURRENCY=USD')")</f>
        <v>107817.516</v>
      </c>
      <c r="AB6" s="980"/>
      <c r="AC6" s="979" cm="1">
        <f t="array" ref="AC6">_xll.FDSRC("-",$C$2,"FE_TIMESERIES("&amp;$B6&amp;",MEAN,"&amp;AC$5&amp;",,Y,'CURRENCY=USD')")</f>
        <v>119496.14</v>
      </c>
      <c r="AD6" s="979" cm="1">
        <f t="array" ref="AD6">_xll.FDSRC("-",$C$2,"FE_TIMESERIES("&amp;$B6&amp;",MEAN,"&amp;AD$5&amp;",,Y,'CURRENCY=USD')")</f>
        <v>175400</v>
      </c>
      <c r="AE6" s="979" cm="1">
        <f t="array" ref="AE6">_xll.FDSRC("-",$C$2,"FE_TIMESERIES("&amp;$B6&amp;",MEAN,"&amp;AE$5&amp;",,Y,'CURRENCY=USD')")</f>
        <v>197242.28</v>
      </c>
      <c r="AF6" s="979" cm="1">
        <f t="array" ref="AF6">_xll.FDSRC("-",$C$2,"FE_TIMESERIES("&amp;$B6&amp;",MEAN,"&amp;AF$5&amp;",,Y,'CURRENCY=USD')")</f>
        <v>235910</v>
      </c>
      <c r="AG6" s="986" cm="1">
        <f t="array" ref="AG6">_xll.FDSRC("-",$C$2,"FE_TIMESERIES("&amp;$B6&amp;",MEAN,"&amp;AG$5&amp;",,Y,'CURRENCY=USD')")</f>
        <v>289784.2</v>
      </c>
      <c r="AH6" s="986" cm="1">
        <f t="array" ref="AH6">_xll.FDSRC("-",$C$2,"FE_TIMESERIES("&amp;$B6&amp;",MEAN,"&amp;AH$5&amp;",,Y,'CURRENCY=USD')")</f>
        <v>348713.47</v>
      </c>
      <c r="AI6" s="986" cm="1">
        <f t="array" ref="AI6">_xll.FDSRC("-",$C$2,"FE_TIMESERIES("&amp;$B6&amp;",MEAN,"&amp;AI$5&amp;",,Y,'CURRENCY=USD')")</f>
        <v>415727.38</v>
      </c>
      <c r="AJ6" s="986" cm="1">
        <f t="array" ref="AJ6">_xll.FDSRC("-",$C$2,"FE_TIMESERIES("&amp;$B6&amp;",MEAN,"&amp;AJ$5&amp;",,Y,'CURRENCY=USD')")</f>
        <v>504811.16</v>
      </c>
    </row>
    <row r="7" spans="1:36">
      <c r="A7" s="825" t="s">
        <v>620</v>
      </c>
      <c r="C7" s="926" t="s">
        <v>512</v>
      </c>
      <c r="D7" s="978"/>
      <c r="E7" s="978"/>
      <c r="F7" s="978"/>
      <c r="G7" s="978"/>
      <c r="H7" s="978">
        <f>H6/D6-1</f>
        <v>1.1580235605259652</v>
      </c>
      <c r="I7" s="978">
        <f>I6/E6-1</f>
        <v>0.40134156870558546</v>
      </c>
      <c r="J7" s="978">
        <f t="shared" ref="J7" si="1">J6/F6-1</f>
        <v>0.35148267128541488</v>
      </c>
      <c r="K7" s="978">
        <f t="shared" ref="K7" si="2">K6/G6-1</f>
        <v>0.31635667371431175</v>
      </c>
      <c r="L7" s="978">
        <f t="shared" ref="L7" si="3">L6/H6-1</f>
        <v>0.15817694369973201</v>
      </c>
      <c r="M7" s="978">
        <f t="shared" ref="M7" si="4">M6/I6-1</f>
        <v>0.11117696682464451</v>
      </c>
      <c r="N7" s="978">
        <f t="shared" ref="N7" si="5">N6/J6-1</f>
        <v>0.10498680579877284</v>
      </c>
      <c r="O7" s="978">
        <f t="shared" ref="O7" si="6">O6/K6-1</f>
        <v>0.1274948638127158</v>
      </c>
      <c r="P7" s="978">
        <f t="shared" ref="P7" si="7">P6/L6-1</f>
        <v>0.14839814814814822</v>
      </c>
      <c r="Q7" s="978">
        <f t="shared" ref="Q7" si="8">Q6/M6-1</f>
        <v>0.1731721720796966</v>
      </c>
      <c r="R7" s="978">
        <f t="shared" ref="R7" si="9">R6/N6-1</f>
        <v>0.21708913984247014</v>
      </c>
      <c r="S7" s="978">
        <f t="shared" ref="S7" si="10">S6/O6-1</f>
        <v>0.23187544324969145</v>
      </c>
      <c r="T7" s="978">
        <f t="shared" ref="T7" si="11">T6/P6-1</f>
        <v>0.22664822982092603</v>
      </c>
      <c r="U7" s="978">
        <f t="shared" ref="U7" si="12">U6/Q6-1</f>
        <v>0.22236966480040721</v>
      </c>
      <c r="V7" s="978">
        <f t="shared" ref="V7" si="13">V6/R6-1</f>
        <v>0.24037007383684728</v>
      </c>
      <c r="W7" s="987">
        <f t="shared" ref="W7" si="14">W6/S6-1</f>
        <v>0.22831400998336093</v>
      </c>
      <c r="X7" s="987">
        <f t="shared" ref="X7" si="15">X6/T6-1</f>
        <v>0.22378456987922113</v>
      </c>
      <c r="Y7" s="987">
        <f t="shared" ref="Y7" si="16">Y6/U6-1</f>
        <v>0.2144537883857538</v>
      </c>
      <c r="Z7" s="987">
        <f t="shared" ref="Z7" si="17">Z6/V6-1</f>
        <v>0.20234899232589831</v>
      </c>
      <c r="AA7" s="987">
        <f t="shared" ref="AA7" si="18">AA6/W6-1</f>
        <v>0.16841044727353238</v>
      </c>
      <c r="AB7" s="964"/>
      <c r="AC7" s="964"/>
      <c r="AD7" s="978">
        <f t="shared" ref="AD7" si="19">AD6/AC6-1</f>
        <v>0.46782983952452351</v>
      </c>
      <c r="AE7" s="978">
        <f t="shared" ref="AE7" si="20">AE6/AD6-1</f>
        <v>0.12452839224629408</v>
      </c>
      <c r="AF7" s="978">
        <f t="shared" ref="AF7" si="21">AF6/AE6-1</f>
        <v>0.1960417411520492</v>
      </c>
      <c r="AG7" s="987">
        <f t="shared" ref="AG7" si="22">AG6/AF6-1</f>
        <v>0.22836759781272531</v>
      </c>
      <c r="AH7" s="987">
        <f t="shared" ref="AH7" si="23">AH6/AG6-1</f>
        <v>0.2033557040031857</v>
      </c>
      <c r="AI7" s="987">
        <f t="shared" ref="AI7" si="24">AI6/AH6-1</f>
        <v>0.19217471008504505</v>
      </c>
      <c r="AJ7" s="987">
        <f t="shared" ref="AJ7" si="25">AJ6/AI6-1</f>
        <v>0.21428413014317216</v>
      </c>
    </row>
    <row r="8" spans="1:36">
      <c r="A8" s="825" t="s">
        <v>621</v>
      </c>
      <c r="C8" s="926" t="s">
        <v>513</v>
      </c>
      <c r="D8" s="978"/>
      <c r="E8" s="978">
        <f>E6/D6-1</f>
        <v>0.74227135393241084</v>
      </c>
      <c r="F8" s="978">
        <f t="shared" ref="F8" si="26">F6/E6-1</f>
        <v>2.6872550972969478E-2</v>
      </c>
      <c r="G8" s="978">
        <f t="shared" ref="G8" si="27">G6/F6-1</f>
        <v>0.32875387572582948</v>
      </c>
      <c r="H8" s="978">
        <f t="shared" ref="H8" si="28">H6/G6-1</f>
        <v>-9.2222746147878842E-2</v>
      </c>
      <c r="I8" s="978">
        <f t="shared" ref="I8" si="29">I6/H6-1</f>
        <v>0.13136729222520116</v>
      </c>
      <c r="J8" s="978">
        <f t="shared" ref="J8" si="30">J6/I6-1</f>
        <v>-9.6629620853081466E-3</v>
      </c>
      <c r="K8" s="978">
        <f t="shared" ref="K8" si="31">K6/J6-1</f>
        <v>0.29421861574580532</v>
      </c>
      <c r="L8" s="978">
        <f t="shared" ref="L8" si="32">L6/K6-1</f>
        <v>-0.20130561388048018</v>
      </c>
      <c r="M8" s="978">
        <f t="shared" ref="M8" si="33">M6/L6-1</f>
        <v>8.5455277777777727E-2</v>
      </c>
      <c r="N8" s="978">
        <f t="shared" ref="N8" si="34">N6/M6-1</f>
        <v>-1.5179946253991106E-2</v>
      </c>
      <c r="O8" s="978">
        <f t="shared" ref="O8" si="35">O6/N6-1</f>
        <v>0.32058123612557887</v>
      </c>
      <c r="P8" s="978">
        <f t="shared" ref="P8" si="36">P6/O6-1</f>
        <v>-0.18649815321168983</v>
      </c>
      <c r="Q8" s="978">
        <f t="shared" ref="Q8" si="37">Q6/P6-1</f>
        <v>0.10887145540890275</v>
      </c>
      <c r="R8" s="978">
        <f t="shared" ref="R8" si="38">R6/Q6-1</f>
        <v>2.1686177561259345E-2</v>
      </c>
      <c r="S8" s="978">
        <f t="shared" ref="S8" si="39">S6/R6-1</f>
        <v>0.33662485543990739</v>
      </c>
      <c r="T8" s="978">
        <f t="shared" ref="T8" si="40">T6/S6-1</f>
        <v>-0.18995008319467555</v>
      </c>
      <c r="U8" s="978">
        <f t="shared" ref="U8" si="41">U6/T6-1</f>
        <v>0.10500369731328574</v>
      </c>
      <c r="V8" s="978">
        <f t="shared" ref="V8" si="42">V6/U6-1</f>
        <v>3.6731355491114615E-2</v>
      </c>
      <c r="W8" s="987">
        <f t="shared" ref="W8" si="43">W6/V6-1</f>
        <v>0.32363322097109659</v>
      </c>
      <c r="X8" s="987">
        <f t="shared" ref="X8" si="44">X6/W6-1</f>
        <v>-0.19293716349312695</v>
      </c>
      <c r="Y8" s="987">
        <f t="shared" ref="Y8" si="45">Y6/X6-1</f>
        <v>9.6578564080790796E-2</v>
      </c>
      <c r="Z8" s="987">
        <f t="shared" ref="Z8" si="46">Z6/Y6-1</f>
        <v>2.6397967965716695E-2</v>
      </c>
      <c r="AA8" s="987">
        <f t="shared" ref="AA8" si="47">AA6/Z6-1</f>
        <v>0.28627120213176172</v>
      </c>
      <c r="AB8" s="964"/>
      <c r="AC8" s="964"/>
      <c r="AD8" s="964"/>
      <c r="AE8" s="964"/>
      <c r="AF8" s="964"/>
      <c r="AG8" s="993"/>
      <c r="AH8" s="993"/>
      <c r="AI8" s="993"/>
      <c r="AJ8" s="993"/>
    </row>
    <row r="9" spans="1:36">
      <c r="D9" s="975"/>
      <c r="E9" s="975"/>
      <c r="F9" s="975"/>
      <c r="G9" s="975"/>
      <c r="H9" s="975"/>
      <c r="I9" s="975"/>
      <c r="J9" s="975"/>
      <c r="K9" s="975"/>
      <c r="L9" s="975"/>
      <c r="M9" s="975"/>
      <c r="N9" s="975"/>
      <c r="O9" s="975"/>
      <c r="P9" s="975"/>
      <c r="Q9" s="975"/>
      <c r="R9" s="975"/>
      <c r="S9" s="975"/>
      <c r="T9" s="975"/>
      <c r="U9" s="975"/>
      <c r="V9" s="975"/>
      <c r="W9" s="985"/>
      <c r="X9" s="985"/>
      <c r="Y9" s="985"/>
      <c r="Z9" s="985"/>
      <c r="AA9" s="985"/>
      <c r="AC9" s="977"/>
      <c r="AD9" s="977"/>
      <c r="AE9" s="977"/>
      <c r="AF9" s="977"/>
      <c r="AG9" s="992"/>
      <c r="AH9" s="992"/>
      <c r="AI9" s="992"/>
      <c r="AJ9" s="992"/>
    </row>
    <row r="10" spans="1:36">
      <c r="A10" s="926" t="s">
        <v>431</v>
      </c>
      <c r="B10" s="926" t="s">
        <v>510</v>
      </c>
      <c r="C10" s="926" t="s">
        <v>511</v>
      </c>
      <c r="D10" s="979" cm="1">
        <f t="array" ref="D10">_xll.FDSRC("-",$C$2,"FE_TIMESERIES("&amp;$B10&amp;",MEAN,"&amp;D$5&amp;",,Q,'CURRENCY=USD')")</f>
        <v>470.00099999999998</v>
      </c>
      <c r="E10" s="979" cm="1">
        <f t="array" ref="E10">_xll.FDSRC("-",$C$2,"FE_TIMESERIES("&amp;$B10&amp;",MEAN,"&amp;E$5&amp;",,Q,'CURRENCY=USD')")</f>
        <v>714.34100000000001</v>
      </c>
      <c r="F10" s="979" cm="1">
        <f t="array" ref="F10">_xll.FDSRC("-",$C$2,"FE_TIMESERIES("&amp;$B10&amp;",MEAN,"&amp;F$5&amp;",,Q,'CURRENCY=USD')")</f>
        <v>767.40499999999997</v>
      </c>
      <c r="G10" s="979" cm="1">
        <f t="array" ref="G10">_xll.FDSRC("-",$C$2,"FE_TIMESERIES("&amp;$B10&amp;",MEAN,"&amp;G$5&amp;",,Q,'CURRENCY=USD')")</f>
        <v>977.74400000000003</v>
      </c>
      <c r="H10" s="979" cm="1">
        <f t="array" ref="H10">_xll.FDSRC("-",$C$2,"FE_TIMESERIES("&amp;$B10&amp;",MEAN,"&amp;H$5&amp;",,Q,'CURRENCY=USD')")</f>
        <v>988.64700000000005</v>
      </c>
      <c r="I10" s="979" cm="1">
        <f t="array" ref="I10">_xll.FDSRC("-",$C$2,"FE_TIMESERIES("&amp;$B10&amp;",MEAN,"&amp;I$5&amp;",,Q,'CURRENCY=USD')")</f>
        <v>1119.4000000000001</v>
      </c>
      <c r="J10" s="979" cm="1">
        <f t="array" ref="J10">_xll.FDSRC("-",$C$2,"FE_TIMESERIES("&amp;$B10&amp;",MEAN,"&amp;J$5&amp;",,Q,'CURRENCY=USD')")</f>
        <v>1123.74</v>
      </c>
      <c r="K10" s="979" cm="1">
        <f t="array" ref="K10">_xll.FDSRC("-",$C$2,"FE_TIMESERIES("&amp;$B10&amp;",MEAN,"&amp;K$5&amp;",,Q,'CURRENCY=USD')")</f>
        <v>1380.0239999999999</v>
      </c>
      <c r="L10" s="979" cm="1">
        <f t="array" ref="L10">_xll.FDSRC("-",$C$2,"FE_TIMESERIES("&amp;$B10&amp;",MEAN,"&amp;L$5&amp;",,Q,'CURRENCY=USD')")</f>
        <v>1203.623</v>
      </c>
      <c r="M10" s="979" cm="1">
        <f t="array" ref="M10">_xll.FDSRC("-",$C$2,"FE_TIMESERIES("&amp;$B10&amp;",MEAN,"&amp;M$5&amp;",,Q,'CURRENCY=USD')")</f>
        <v>1295.0630000000001</v>
      </c>
      <c r="N10" s="979" cm="1">
        <f t="array" ref="N10">_xll.FDSRC("-",$C$2,"FE_TIMESERIES("&amp;$B10&amp;",MEAN,"&amp;N$5&amp;",,Q,'CURRENCY=USD')")</f>
        <v>1366.2</v>
      </c>
      <c r="O10" s="979" cm="1">
        <f t="array" ref="O10">_xll.FDSRC("-",$C$2,"FE_TIMESERIES("&amp;$B10&amp;",MEAN,"&amp;O$5&amp;",,Q,'CURRENCY=USD')")</f>
        <v>1734.9780000000001</v>
      </c>
      <c r="P10" s="979" cm="1">
        <f t="array" ref="P10">_xll.FDSRC("-",$C$2,"FE_TIMESERIES("&amp;$B10&amp;",MEAN,"&amp;P$5&amp;",,Q,'CURRENCY=USD')")</f>
        <v>1508</v>
      </c>
      <c r="Q10" s="979" cm="1">
        <f t="array" ref="Q10">_xll.FDSRC("-",$C$2,"FE_TIMESERIES("&amp;$B10&amp;",MEAN,"&amp;Q$5&amp;",,Q,'CURRENCY=USD')")</f>
        <v>1694</v>
      </c>
      <c r="R10" s="979" cm="1">
        <f t="array" ref="R10">_xll.FDSRC("-",$C$2,"FE_TIMESERIES("&amp;$B10&amp;",MEAN,"&amp;R$5&amp;",,Q,'CURRENCY=USD')")</f>
        <v>1714</v>
      </c>
      <c r="S10" s="979" cm="1">
        <f t="array" ref="S10">_xll.FDSRC("-",$C$2,"FE_TIMESERIES("&amp;$B10&amp;",MEAN,"&amp;S$5&amp;",,Q,'CURRENCY=USD')")</f>
        <v>2144</v>
      </c>
      <c r="T10" s="979" cm="1">
        <f t="array" ref="T10">_xll.FDSRC("-",$C$2,"FE_TIMESERIES("&amp;$B10&amp;",MEAN,"&amp;T$5&amp;",,Q,'CURRENCY=USD')")</f>
        <v>1861</v>
      </c>
      <c r="U10" s="979" cm="1">
        <f t="array" ref="U10">_xll.FDSRC("-",$C$2,"FE_TIMESERIES("&amp;$B10&amp;",MEAN,"&amp;U$5&amp;",,Q,'CURRENCY=USD')")</f>
        <v>2045</v>
      </c>
      <c r="V10" s="979" cm="1">
        <f t="array" ref="V10">_xll.FDSRC("-",$C$2,"FE_TIMESERIES("&amp;$B10&amp;",MEAN,"&amp;V$5&amp;",,Q,'CURRENCY=USD')")</f>
        <v>2162</v>
      </c>
      <c r="W10" s="986" cm="1">
        <f t="array" ref="W10">_xll.FDSRC("-",$C$2,"FE_TIMESERIES("&amp;$B10&amp;",MEAN,"&amp;W$5&amp;",,Q,'CURRENCY=USD')")</f>
        <v>2725.7952</v>
      </c>
      <c r="X10" s="986" cm="1">
        <f t="array" ref="X10">_xll.FDSRC("-",$C$2,"FE_TIMESERIES("&amp;$B10&amp;",MEAN,"&amp;X$5&amp;",,Q,'CURRENCY=USD')")</f>
        <v>2319.768</v>
      </c>
      <c r="Y10" s="986" cm="1">
        <f t="array" ref="Y10">_xll.FDSRC("-",$C$2,"FE_TIMESERIES("&amp;$B10&amp;",MEAN,"&amp;Y$5&amp;",,Q,'CURRENCY=USD')")</f>
        <v>2527.6889999999999</v>
      </c>
      <c r="Z10" s="986" cm="1">
        <f t="array" ref="Z10">_xll.FDSRC("-",$C$2,"FE_TIMESERIES("&amp;$B10&amp;",MEAN,"&amp;Z$5&amp;",,Q,'CURRENCY=USD')")</f>
        <v>2637.6206000000002</v>
      </c>
      <c r="AA10" s="986" cm="1">
        <f t="array" ref="AA10">_xll.FDSRC("-",$C$2,"FE_TIMESERIES("&amp;$B10&amp;",MEAN,"&amp;AA$5&amp;",,Q,'CURRENCY=USD')")</f>
        <v>3309.5315000000001</v>
      </c>
      <c r="AB10" s="980"/>
      <c r="AC10" s="979" cm="1">
        <f t="array" ref="AC10">_xll.FDSRC("-",$C$2,"FE_TIMESERIES("&amp;$B10&amp;",MEAN,"&amp;AC$5&amp;",,Y,'CURRENCY=USD')")</f>
        <v>2929.491</v>
      </c>
      <c r="AD10" s="979" cm="1">
        <f t="array" ref="AD10">_xll.FDSRC("-",$C$2,"FE_TIMESERIES("&amp;$B10&amp;",MEAN,"&amp;AD$5&amp;",,Y,'CURRENCY=USD')")</f>
        <v>4611.8559999999998</v>
      </c>
      <c r="AE10" s="979" cm="1">
        <f t="array" ref="AE10">_xll.FDSRC("-",$C$2,"FE_TIMESERIES("&amp;$B10&amp;",MEAN,"&amp;AE$5&amp;",,Y,'CURRENCY=USD')")</f>
        <v>5599.8639999999996</v>
      </c>
      <c r="AF10" s="979" cm="1">
        <f t="array" ref="AF10">_xll.FDSRC("-",$C$2,"FE_TIMESERIES("&amp;$B10&amp;",MEAN,"&amp;AF$5&amp;",,Y,'CURRENCY=USD')")</f>
        <v>7060</v>
      </c>
      <c r="AG10" s="986" cm="1">
        <f t="array" ref="AG10">_xll.FDSRC("-",$C$2,"FE_TIMESERIES("&amp;$B10&amp;",MEAN,"&amp;AG$5&amp;",,Y,'CURRENCY=USD')")</f>
        <v>8799.232</v>
      </c>
      <c r="AH10" s="986" cm="1">
        <f t="array" ref="AH10">_xll.FDSRC("-",$C$2,"FE_TIMESERIES("&amp;$B10&amp;",MEAN,"&amp;AH$5&amp;",,Y,'CURRENCY=USD')")</f>
        <v>10858.165000000001</v>
      </c>
      <c r="AI10" s="986" cm="1">
        <f t="array" ref="AI10">_xll.FDSRC("-",$C$2,"FE_TIMESERIES("&amp;$B10&amp;",MEAN,"&amp;AI$5&amp;",,Y,'CURRENCY=USD')")</f>
        <v>13154.029</v>
      </c>
      <c r="AJ10" s="986" cm="1">
        <f t="array" ref="AJ10">_xll.FDSRC("-",$C$2,"FE_TIMESERIES("&amp;$B10&amp;",MEAN,"&amp;AJ$5&amp;",,Y,'CURRENCY=USD')")</f>
        <v>17304.153999999999</v>
      </c>
    </row>
    <row r="11" spans="1:36">
      <c r="A11" s="926" t="s">
        <v>432</v>
      </c>
      <c r="C11" s="926" t="s">
        <v>512</v>
      </c>
      <c r="D11" s="978"/>
      <c r="E11" s="978"/>
      <c r="F11" s="978"/>
      <c r="G11" s="978"/>
      <c r="H11" s="978">
        <f>H10/D10-1</f>
        <v>1.1034997797877026</v>
      </c>
      <c r="I11" s="978">
        <f>I10/E10-1</f>
        <v>0.56703871120375293</v>
      </c>
      <c r="J11" s="978">
        <f t="shared" ref="J11:AA11" si="48">J10/F10-1</f>
        <v>0.46433760530619428</v>
      </c>
      <c r="K11" s="978">
        <f t="shared" si="48"/>
        <v>0.41143694054885516</v>
      </c>
      <c r="L11" s="978">
        <f t="shared" si="48"/>
        <v>0.2174446491012465</v>
      </c>
      <c r="M11" s="978">
        <f t="shared" si="48"/>
        <v>0.15692603180275144</v>
      </c>
      <c r="N11" s="978">
        <f t="shared" si="48"/>
        <v>0.2157616530514177</v>
      </c>
      <c r="O11" s="978">
        <f t="shared" si="48"/>
        <v>0.25720857028573429</v>
      </c>
      <c r="P11" s="978">
        <f t="shared" si="48"/>
        <v>0.25288400105348607</v>
      </c>
      <c r="Q11" s="978">
        <f t="shared" si="48"/>
        <v>0.30804447351209929</v>
      </c>
      <c r="R11" s="978">
        <f t="shared" si="48"/>
        <v>0.25457473283560228</v>
      </c>
      <c r="S11" s="978">
        <f t="shared" si="48"/>
        <v>0.2357505397762969</v>
      </c>
      <c r="T11" s="978">
        <f t="shared" si="48"/>
        <v>0.23408488063660471</v>
      </c>
      <c r="U11" s="978">
        <f t="shared" si="48"/>
        <v>0.20720188902007086</v>
      </c>
      <c r="V11" s="978">
        <f t="shared" si="48"/>
        <v>0.26137689614935833</v>
      </c>
      <c r="W11" s="987">
        <f t="shared" si="48"/>
        <v>0.2713597014925373</v>
      </c>
      <c r="X11" s="987">
        <f t="shared" si="48"/>
        <v>0.24651692638366463</v>
      </c>
      <c r="Y11" s="987">
        <f t="shared" si="48"/>
        <v>0.2360337408312958</v>
      </c>
      <c r="Z11" s="987">
        <f t="shared" si="48"/>
        <v>0.21999102682701221</v>
      </c>
      <c r="AA11" s="987">
        <f t="shared" si="48"/>
        <v>0.21415266267986688</v>
      </c>
      <c r="AB11" s="964"/>
      <c r="AC11" s="964"/>
      <c r="AD11" s="978">
        <f t="shared" ref="AD11:AJ11" si="49">AD10/AC10-1</f>
        <v>0.57428577182862139</v>
      </c>
      <c r="AE11" s="978">
        <f t="shared" si="49"/>
        <v>0.21423218764853025</v>
      </c>
      <c r="AF11" s="978">
        <f t="shared" si="49"/>
        <v>0.26074490380480686</v>
      </c>
      <c r="AG11" s="987">
        <f t="shared" si="49"/>
        <v>0.24635014164305957</v>
      </c>
      <c r="AH11" s="987">
        <f t="shared" si="49"/>
        <v>0.23399008004334942</v>
      </c>
      <c r="AI11" s="987">
        <f t="shared" si="49"/>
        <v>0.21144125181372719</v>
      </c>
      <c r="AJ11" s="987">
        <f t="shared" si="49"/>
        <v>0.31550219328237739</v>
      </c>
    </row>
    <row r="12" spans="1:36">
      <c r="A12" s="926" t="s">
        <v>488</v>
      </c>
      <c r="C12" s="926" t="s">
        <v>513</v>
      </c>
      <c r="D12" s="978"/>
      <c r="E12" s="978">
        <f>E10/D10-1</f>
        <v>0.51987123431652282</v>
      </c>
      <c r="F12" s="978">
        <f t="shared" ref="F12:AA12" si="50">F10/E10-1</f>
        <v>7.4283850429976761E-2</v>
      </c>
      <c r="G12" s="978">
        <f t="shared" si="50"/>
        <v>0.27409125559515513</v>
      </c>
      <c r="H12" s="978">
        <f t="shared" si="50"/>
        <v>1.1151180677150707E-2</v>
      </c>
      <c r="I12" s="978">
        <f t="shared" si="50"/>
        <v>0.1322544851701366</v>
      </c>
      <c r="J12" s="978">
        <f t="shared" si="50"/>
        <v>3.8770770055385206E-3</v>
      </c>
      <c r="K12" s="978">
        <f t="shared" si="50"/>
        <v>0.22806343104276783</v>
      </c>
      <c r="L12" s="978">
        <f t="shared" si="50"/>
        <v>-0.12782458855788004</v>
      </c>
      <c r="M12" s="978">
        <f t="shared" si="50"/>
        <v>7.5970632000219362E-2</v>
      </c>
      <c r="N12" s="978">
        <f t="shared" si="50"/>
        <v>5.4929374092225647E-2</v>
      </c>
      <c r="O12" s="978">
        <f t="shared" si="50"/>
        <v>0.26992973210364513</v>
      </c>
      <c r="P12" s="978">
        <f t="shared" si="50"/>
        <v>-0.13082471362749271</v>
      </c>
      <c r="Q12" s="978">
        <f t="shared" si="50"/>
        <v>0.12334217506631306</v>
      </c>
      <c r="R12" s="978">
        <f t="shared" si="50"/>
        <v>1.1806375442739103E-2</v>
      </c>
      <c r="S12" s="978">
        <f t="shared" si="50"/>
        <v>0.25087514585764303</v>
      </c>
      <c r="T12" s="978">
        <f t="shared" si="50"/>
        <v>-0.13199626865671643</v>
      </c>
      <c r="U12" s="978">
        <f t="shared" si="50"/>
        <v>9.8871574422353614E-2</v>
      </c>
      <c r="V12" s="978">
        <f t="shared" si="50"/>
        <v>5.7212713936430237E-2</v>
      </c>
      <c r="W12" s="987">
        <f t="shared" si="50"/>
        <v>0.26077483811285851</v>
      </c>
      <c r="X12" s="987">
        <f t="shared" si="50"/>
        <v>-0.14895733912804598</v>
      </c>
      <c r="Y12" s="987">
        <f t="shared" si="50"/>
        <v>8.9630083698024832E-2</v>
      </c>
      <c r="Z12" s="987">
        <f t="shared" si="50"/>
        <v>4.3490951616278917E-2</v>
      </c>
      <c r="AA12" s="987">
        <f t="shared" si="50"/>
        <v>0.25474129979118287</v>
      </c>
      <c r="AB12" s="964"/>
      <c r="AC12" s="964"/>
      <c r="AD12" s="964"/>
      <c r="AE12" s="964"/>
      <c r="AF12" s="964"/>
      <c r="AG12" s="993"/>
      <c r="AH12" s="993"/>
      <c r="AI12" s="993"/>
      <c r="AJ12" s="993"/>
    </row>
    <row r="13" spans="1:36">
      <c r="A13" s="926"/>
      <c r="D13" s="976"/>
      <c r="W13" s="988"/>
      <c r="X13" s="988"/>
      <c r="Y13" s="988"/>
      <c r="Z13" s="988"/>
      <c r="AA13" s="988"/>
      <c r="AG13" s="988"/>
      <c r="AH13" s="988"/>
      <c r="AI13" s="988"/>
      <c r="AJ13" s="988"/>
    </row>
    <row r="14" spans="1:36">
      <c r="A14" s="926" t="s">
        <v>534</v>
      </c>
      <c r="B14" s="926" t="s">
        <v>521</v>
      </c>
      <c r="C14" s="926" t="s">
        <v>524</v>
      </c>
      <c r="D14" s="979" cm="1">
        <f t="array" ref="D14">_xll.FDSRC("-",$C$2,"FE_TIMESERIES("&amp;$B14&amp;",MEAN,"&amp;D$5&amp;",,Q,'CURRENCY=USD')")</f>
        <v>187.60900000000001</v>
      </c>
      <c r="E14" s="979" cm="1">
        <f t="array" ref="E14">_xll.FDSRC("-",$C$2,"FE_TIMESERIES("&amp;$B14&amp;",MEAN,"&amp;E$5&amp;",,Q,'CURRENCY=USD')")</f>
        <v>196.434</v>
      </c>
      <c r="F14" s="979" cm="1">
        <f t="array" ref="F14">_xll.FDSRC("-",$C$2,"FE_TIMESERIES("&amp;$B14&amp;",MEAN,"&amp;F$5&amp;",,Q,'CURRENCY=USD')")</f>
        <v>245.274</v>
      </c>
      <c r="G14" s="979" cm="1">
        <f t="array" ref="G14">_xll.FDSRC("-",$C$2,"FE_TIMESERIES("&amp;$B14&amp;",MEAN,"&amp;G$5&amp;",,Q,'CURRENCY=USD')")</f>
        <v>279.44</v>
      </c>
      <c r="H14" s="979" cm="1">
        <f t="array" ref="H14">_xll.FDSRC("-",$C$2,"FE_TIMESERIES("&amp;$B14&amp;",MEAN,"&amp;H$5&amp;",,Q,'CURRENCY=USD')")</f>
        <v>320.68099999999998</v>
      </c>
      <c r="I14" s="979" cm="1">
        <f t="array" ref="I14">_xll.FDSRC("-",$C$2,"FE_TIMESERIES("&amp;$B14&amp;",MEAN,"&amp;I$5&amp;",,Q,'CURRENCY=USD')")</f>
        <v>334.23700000000002</v>
      </c>
      <c r="J14" s="979" cm="1">
        <f t="array" ref="J14">_xll.FDSRC("-",$C$2,"FE_TIMESERIES("&amp;$B14&amp;",MEAN,"&amp;J$5&amp;",,Q,'CURRENCY=USD')")</f>
        <v>336.20800000000003</v>
      </c>
      <c r="K14" s="979" cm="1">
        <f t="array" ref="K14">_xll.FDSRC("-",$C$2,"FE_TIMESERIES("&amp;$B14&amp;",MEAN,"&amp;K$5&amp;",,Q,'CURRENCY=USD')")</f>
        <v>351.20800000000003</v>
      </c>
      <c r="L14" s="979" cm="1">
        <f t="array" ref="L14">_xll.FDSRC("-",$C$2,"FE_TIMESERIES("&amp;$B14&amp;",MEAN,"&amp;L$5&amp;",,Q,'CURRENCY=USD')")</f>
        <v>344.76100000000002</v>
      </c>
      <c r="M14" s="979" cm="1">
        <f t="array" ref="M14">_xll.FDSRC("-",$C$2,"FE_TIMESERIES("&amp;$B14&amp;",MEAN,"&amp;M$5&amp;",,Q,'CURRENCY=USD')")</f>
        <v>366.44299999999998</v>
      </c>
      <c r="N14" s="979" cm="1">
        <f t="array" ref="N14">_xll.FDSRC("-",$C$2,"FE_TIMESERIES("&amp;$B14&amp;",MEAN,"&amp;N$5&amp;",,Q,'CURRENCY=USD')")</f>
        <v>376.30099999999999</v>
      </c>
      <c r="O14" s="979" cm="1">
        <f t="array" ref="O14">_xll.FDSRC("-",$C$2,"FE_TIMESERIES("&amp;$B14&amp;",MEAN,"&amp;O$5&amp;",,Q,'CURRENCY=USD')")</f>
        <v>400.25400000000002</v>
      </c>
      <c r="P14" s="979" cm="1">
        <f t="array" ref="P14">_xll.FDSRC("-",$C$2,"FE_TIMESERIES("&amp;$B14&amp;",MEAN,"&amp;P$5&amp;",,Q,'CURRENCY=USD')")</f>
        <v>382</v>
      </c>
      <c r="Q14" s="979" cm="1">
        <f t="array" ref="Q14">_xll.FDSRC("-",$C$2,"FE_TIMESERIES("&amp;$B14&amp;",MEAN,"&amp;Q$5&amp;",,Q,'CURRENCY=USD')")</f>
        <v>444</v>
      </c>
      <c r="R14" s="979" cm="1">
        <f t="array" ref="R14">_xll.FDSRC("-",$C$2,"FE_TIMESERIES("&amp;$B14&amp;",MEAN,"&amp;R$5&amp;",,Q,'CURRENCY=USD')")</f>
        <v>486</v>
      </c>
      <c r="S14" s="979" cm="1">
        <f t="array" ref="S14">_xll.FDSRC("-",$C$2,"FE_TIMESERIES("&amp;$B14&amp;",MEAN,"&amp;S$5&amp;",,Q,'CURRENCY=USD')")</f>
        <v>525</v>
      </c>
      <c r="T14" s="979" cm="1">
        <f t="array" ref="T14">_xll.FDSRC("-",$C$2,"FE_TIMESERIES("&amp;$B14&amp;",MEAN,"&amp;T$5&amp;",,Q,'CURRENCY=USD')")</f>
        <v>511</v>
      </c>
      <c r="U14" s="979" cm="1">
        <f t="array" ref="U14">_xll.FDSRC("-",$C$2,"FE_TIMESERIES("&amp;$B14&amp;",MEAN,"&amp;U$5&amp;",,Q,'CURRENCY=USD')")</f>
        <v>563</v>
      </c>
      <c r="V14" s="979" cm="1">
        <f t="array" ref="V14">_xll.FDSRC("-",$C$2,"FE_TIMESERIES("&amp;$B14&amp;",MEAN,"&amp;V$5&amp;",,Q,'CURRENCY=USD')")</f>
        <v>610</v>
      </c>
      <c r="W14" s="986" cm="1">
        <f t="array" ref="W14">_xll.FDSRC("-",$C$2,"FE_TIMESERIES("&amp;$B14&amp;",MEAN,"&amp;W$5&amp;",,Q,'CURRENCY=USD')")</f>
        <v>648.89260000000002</v>
      </c>
      <c r="X14" s="986" cm="1">
        <f t="array" ref="X14">_xll.FDSRC("-",$C$2,"FE_TIMESERIES("&amp;$B14&amp;",MEAN,"&amp;X$5&amp;",,Q,'CURRENCY=USD')")</f>
        <v>633.16089999999997</v>
      </c>
      <c r="Y14" s="986" cm="1">
        <f t="array" ref="Y14">_xll.FDSRC("-",$C$2,"FE_TIMESERIES("&amp;$B14&amp;",MEAN,"&amp;Y$5&amp;",,Q,'CURRENCY=USD')")</f>
        <v>673.83167000000003</v>
      </c>
      <c r="Z14" s="986" cm="1">
        <f t="array" ref="Z14">_xll.FDSRC("-",$C$2,"FE_TIMESERIES("&amp;$B14&amp;",MEAN,"&amp;Z$5&amp;",,Q,'CURRENCY=USD')")</f>
        <v>711.47400000000005</v>
      </c>
      <c r="AA14" s="986" cm="1">
        <f t="array" ref="AA14">_xll.FDSRC("-",$C$2,"FE_TIMESERIES("&amp;$B14&amp;",MEAN,"&amp;AA$5&amp;",,Q,'CURRENCY=USD')")</f>
        <v>759.76520000000005</v>
      </c>
      <c r="AB14" s="980"/>
      <c r="AC14" s="979" cm="1">
        <f t="array" ref="AC14">_xll.FDSRC("-",$C$2,"FE_TIMESERIES("&amp;$B14&amp;",MEAN,"&amp;AC$5&amp;",,Y,'CURRENCY=USD')")</f>
        <v>908.75699999999995</v>
      </c>
      <c r="AD14" s="979" cm="1">
        <f t="array" ref="AD14">_xll.FDSRC("-",$C$2,"FE_TIMESERIES("&amp;$B14&amp;",MEAN,"&amp;AD$5&amp;",,Y,'CURRENCY=USD')")</f>
        <v>1342.3340000000001</v>
      </c>
      <c r="AE14" s="979" cm="1">
        <f t="array" ref="AE14">_xll.FDSRC("-",$C$2,"FE_TIMESERIES("&amp;$B14&amp;",MEAN,"&amp;AE$5&amp;",,Y,'CURRENCY=USD')")</f>
        <v>1487.759</v>
      </c>
      <c r="AF14" s="979" cm="1">
        <f t="array" ref="AF14">_xll.FDSRC("-",$C$2,"FE_TIMESERIES("&amp;$B14&amp;",MEAN,"&amp;AF$5&amp;",,Y,'CURRENCY=USD')")</f>
        <v>1837</v>
      </c>
      <c r="AG14" s="986" cm="1">
        <f t="array" ref="AG14">_xll.FDSRC("-",$C$2,"FE_TIMESERIES("&amp;$B14&amp;",MEAN,"&amp;AG$5&amp;",,Y,'CURRENCY=USD')")</f>
        <v>2330.2125999999998</v>
      </c>
      <c r="AH14" s="986" cm="1">
        <f t="array" ref="AH14">_xll.FDSRC("-",$C$2,"FE_TIMESERIES("&amp;$B14&amp;",MEAN,"&amp;AH$5&amp;",,Y,'CURRENCY=USD')")</f>
        <v>2769.6774999999998</v>
      </c>
      <c r="AI14" s="986" cm="1">
        <f t="array" ref="AI14">_xll.FDSRC("-",$C$2,"FE_TIMESERIES("&amp;$B14&amp;",MEAN,"&amp;AI$5&amp;",,Y,'CURRENCY=USD')")</f>
        <v>3247.7937000000002</v>
      </c>
      <c r="AJ14" s="986" cm="1">
        <f t="array" ref="AJ14">_xll.FDSRC("-",$C$2,"FE_TIMESERIES("&amp;$B14&amp;",MEAN,"&amp;AJ$5&amp;",,Y,'CURRENCY=USD')")</f>
        <v>3739.4333000000001</v>
      </c>
    </row>
    <row r="15" spans="1:36">
      <c r="A15" s="926" t="s">
        <v>535</v>
      </c>
      <c r="C15" s="926" t="s">
        <v>512</v>
      </c>
      <c r="D15" s="978"/>
      <c r="E15" s="978"/>
      <c r="F15" s="978"/>
      <c r="G15" s="978"/>
      <c r="H15" s="978">
        <f>H14/D14-1</f>
        <v>0.70930499069874031</v>
      </c>
      <c r="I15" s="978">
        <f>I14/E14-1</f>
        <v>0.70152315790545439</v>
      </c>
      <c r="J15" s="978">
        <f t="shared" ref="J15" si="51">J14/F14-1</f>
        <v>0.37074455506902493</v>
      </c>
      <c r="K15" s="978">
        <f t="shared" ref="K15" si="52">K14/G14-1</f>
        <v>0.25682794159748079</v>
      </c>
      <c r="L15" s="978">
        <f t="shared" ref="L15" si="53">L14/H14-1</f>
        <v>7.5090198670953567E-2</v>
      </c>
      <c r="M15" s="978">
        <f t="shared" ref="M15" si="54">M14/I14-1</f>
        <v>9.6356776778154352E-2</v>
      </c>
      <c r="N15" s="978">
        <f t="shared" ref="N15" si="55">N14/J14-1</f>
        <v>0.11925058297244551</v>
      </c>
      <c r="O15" s="978">
        <f t="shared" ref="O15" si="56">O14/K14-1</f>
        <v>0.13964943850937339</v>
      </c>
      <c r="P15" s="978">
        <f t="shared" ref="P15" si="57">P14/L14-1</f>
        <v>0.10801395749519216</v>
      </c>
      <c r="Q15" s="978">
        <f t="shared" ref="Q15" si="58">Q14/M14-1</f>
        <v>0.21164819630883946</v>
      </c>
      <c r="R15" s="978">
        <f t="shared" ref="R15" si="59">R14/N14-1</f>
        <v>0.29151928907975266</v>
      </c>
      <c r="S15" s="978">
        <f t="shared" ref="S15" si="60">S14/O14-1</f>
        <v>0.3116670913969628</v>
      </c>
      <c r="T15" s="978">
        <f t="shared" ref="T15" si="61">T14/P14-1</f>
        <v>0.33769633507853403</v>
      </c>
      <c r="U15" s="978">
        <f t="shared" ref="U15" si="62">U14/Q14-1</f>
        <v>0.26801801801801806</v>
      </c>
      <c r="V15" s="978">
        <f t="shared" ref="V15" si="63">V14/R14-1</f>
        <v>0.25514403292181065</v>
      </c>
      <c r="W15" s="987">
        <f t="shared" ref="W15" si="64">W14/S14-1</f>
        <v>0.23598590476190484</v>
      </c>
      <c r="X15" s="987">
        <f t="shared" ref="X15" si="65">X14/T14-1</f>
        <v>0.2390624266144814</v>
      </c>
      <c r="Y15" s="987">
        <f t="shared" ref="Y15" si="66">Y14/U14-1</f>
        <v>0.19685909413854352</v>
      </c>
      <c r="Z15" s="987">
        <f t="shared" ref="Z15" si="67">Z14/V14-1</f>
        <v>0.16635081967213128</v>
      </c>
      <c r="AA15" s="987">
        <f t="shared" ref="AA15" si="68">AA14/W14-1</f>
        <v>0.17086433101564125</v>
      </c>
      <c r="AB15" s="964"/>
      <c r="AC15" s="964"/>
      <c r="AD15" s="978">
        <f t="shared" ref="AD15" si="69">AD14/AC14-1</f>
        <v>0.47710994248187366</v>
      </c>
      <c r="AE15" s="978">
        <f t="shared" ref="AE15" si="70">AE14/AD14-1</f>
        <v>0.10833741825804899</v>
      </c>
      <c r="AF15" s="978">
        <f t="shared" ref="AF15" si="71">AF14/AE14-1</f>
        <v>0.23474299264867504</v>
      </c>
      <c r="AG15" s="987">
        <f t="shared" ref="AG15" si="72">AG14/AF14-1</f>
        <v>0.26848807838867716</v>
      </c>
      <c r="AH15" s="987">
        <f t="shared" ref="AH15" si="73">AH14/AG14-1</f>
        <v>0.18859433684291305</v>
      </c>
      <c r="AI15" s="987">
        <f t="shared" ref="AI15" si="74">AI14/AH14-1</f>
        <v>0.17262522441692241</v>
      </c>
      <c r="AJ15" s="987">
        <f t="shared" ref="AJ15" si="75">AJ14/AI14-1</f>
        <v>0.15137648675160609</v>
      </c>
    </row>
    <row r="16" spans="1:36">
      <c r="A16" s="926" t="s">
        <v>536</v>
      </c>
      <c r="C16" s="926" t="s">
        <v>513</v>
      </c>
      <c r="D16" s="978"/>
      <c r="E16" s="978">
        <f>E14/D14-1</f>
        <v>4.703932114130982E-2</v>
      </c>
      <c r="F16" s="978">
        <f t="shared" ref="F16" si="76">F14/E14-1</f>
        <v>0.24863312868444365</v>
      </c>
      <c r="G16" s="978">
        <f t="shared" ref="G16" si="77">G14/F14-1</f>
        <v>0.13929727569982964</v>
      </c>
      <c r="H16" s="978">
        <f t="shared" ref="H16" si="78">H14/G14-1</f>
        <v>0.14758445462353276</v>
      </c>
      <c r="I16" s="978">
        <f t="shared" ref="I16" si="79">I14/H14-1</f>
        <v>4.2272538753465483E-2</v>
      </c>
      <c r="J16" s="978">
        <f t="shared" ref="J16" si="80">J14/I14-1</f>
        <v>5.897013197222245E-3</v>
      </c>
      <c r="K16" s="978">
        <f t="shared" ref="K16" si="81">K14/J14-1</f>
        <v>4.4615238185884865E-2</v>
      </c>
      <c r="L16" s="978">
        <f t="shared" ref="L16" si="82">L14/K14-1</f>
        <v>-1.8356643356643332E-2</v>
      </c>
      <c r="M16" s="978">
        <f t="shared" ref="M16" si="83">M14/L14-1</f>
        <v>6.288994404819559E-2</v>
      </c>
      <c r="N16" s="978">
        <f t="shared" ref="N16" si="84">N14/M14-1</f>
        <v>2.6901864682911114E-2</v>
      </c>
      <c r="O16" s="978">
        <f t="shared" ref="O16" si="85">O14/N14-1</f>
        <v>6.3653830311373172E-2</v>
      </c>
      <c r="P16" s="978">
        <f t="shared" ref="P16" si="86">P14/O14-1</f>
        <v>-4.5606040164495543E-2</v>
      </c>
      <c r="Q16" s="978">
        <f t="shared" ref="Q16" si="87">Q14/P14-1</f>
        <v>0.16230366492146597</v>
      </c>
      <c r="R16" s="978">
        <f t="shared" ref="R16" si="88">R14/Q14-1</f>
        <v>9.4594594594594517E-2</v>
      </c>
      <c r="S16" s="978">
        <f t="shared" ref="S16" si="89">S14/R14-1</f>
        <v>8.0246913580246826E-2</v>
      </c>
      <c r="T16" s="978">
        <f t="shared" ref="T16" si="90">T14/S14-1</f>
        <v>-2.6666666666666616E-2</v>
      </c>
      <c r="U16" s="978">
        <f t="shared" ref="U16" si="91">U14/T14-1</f>
        <v>0.10176125244618395</v>
      </c>
      <c r="V16" s="978">
        <f t="shared" ref="V16" si="92">V14/U14-1</f>
        <v>8.3481349911190161E-2</v>
      </c>
      <c r="W16" s="987">
        <f t="shared" ref="W16" si="93">W14/V14-1</f>
        <v>6.37583606557377E-2</v>
      </c>
      <c r="X16" s="987">
        <f t="shared" ref="X16" si="94">X14/W14-1</f>
        <v>-2.4243919563884719E-2</v>
      </c>
      <c r="Y16" s="987">
        <f t="shared" ref="Y16" si="95">Y14/X14-1</f>
        <v>6.4234493949326454E-2</v>
      </c>
      <c r="Z16" s="987">
        <f t="shared" ref="Z16" si="96">Z14/Y14-1</f>
        <v>5.5863105989067074E-2</v>
      </c>
      <c r="AA16" s="987">
        <f t="shared" ref="AA16" si="97">AA14/Z14-1</f>
        <v>6.7874862609174746E-2</v>
      </c>
      <c r="AB16" s="964"/>
      <c r="AC16" s="964"/>
      <c r="AD16" s="964"/>
      <c r="AE16" s="964"/>
      <c r="AF16" s="964"/>
      <c r="AG16" s="993"/>
      <c r="AH16" s="993"/>
      <c r="AI16" s="993"/>
      <c r="AJ16" s="993"/>
    </row>
    <row r="17" spans="1:36">
      <c r="A17" s="926"/>
      <c r="D17" s="976"/>
      <c r="W17" s="988"/>
      <c r="X17" s="988"/>
      <c r="Y17" s="988"/>
      <c r="Z17" s="988"/>
      <c r="AA17" s="988"/>
      <c r="AG17" s="988"/>
      <c r="AH17" s="988"/>
      <c r="AI17" s="988"/>
      <c r="AJ17" s="988"/>
    </row>
    <row r="18" spans="1:36">
      <c r="A18" s="926" t="s">
        <v>537</v>
      </c>
      <c r="B18" s="926" t="s">
        <v>522</v>
      </c>
      <c r="C18" s="926" t="s">
        <v>523</v>
      </c>
      <c r="D18" s="979" cm="1">
        <f t="array" ref="D18">_xll.FDSRC("-",$C$2,"FE_TIMESERIES("&amp;$B18&amp;",MEAN,"&amp;D$5&amp;",,Q,'CURRENCY=USD')")</f>
        <v>282.392</v>
      </c>
      <c r="E18" s="979" cm="1">
        <f t="array" ref="E18">_xll.FDSRC("-",$C$2,"FE_TIMESERIES("&amp;$B18&amp;",MEAN,"&amp;E$5&amp;",,Q,'CURRENCY=USD')")</f>
        <v>517.90700000000004</v>
      </c>
      <c r="F18" s="979" cm="1">
        <f t="array" ref="F18">_xll.FDSRC("-",$C$2,"FE_TIMESERIES("&amp;$B18&amp;",MEAN,"&amp;F$5&amp;",,Q,'CURRENCY=USD')")</f>
        <v>522.13099999999997</v>
      </c>
      <c r="G18" s="979" cm="1">
        <f t="array" ref="G18">_xll.FDSRC("-",$C$2,"FE_TIMESERIES("&amp;$B18&amp;",MEAN,"&amp;G$5&amp;",,Q,'CURRENCY=USD')")</f>
        <v>698.30399999999997</v>
      </c>
      <c r="H18" s="979" cm="1">
        <f t="array" ref="H18">_xll.FDSRC("-",$C$2,"FE_TIMESERIES("&amp;$B18&amp;",MEAN,"&amp;H$5&amp;",,Q,'CURRENCY=USD')")</f>
        <v>667.96600000000001</v>
      </c>
      <c r="I18" s="979" cm="1">
        <f t="array" ref="I18">_xll.FDSRC("-",$C$2,"FE_TIMESERIES("&amp;$B18&amp;",MEAN,"&amp;I$5&amp;",,Q,'CURRENCY=USD')")</f>
        <v>785.20799999999997</v>
      </c>
      <c r="J18" s="979" cm="1">
        <f t="array" ref="J18">_xll.FDSRC("-",$C$2,"FE_TIMESERIES("&amp;$B18&amp;",MEAN,"&amp;J$5&amp;",,Q,'CURRENCY=USD')")</f>
        <v>787.53200000000004</v>
      </c>
      <c r="K18" s="979" cm="1">
        <f t="array" ref="K18">_xll.FDSRC("-",$C$2,"FE_TIMESERIES("&amp;$B18&amp;",MEAN,"&amp;K$5&amp;",,Q,'CURRENCY=USD')")</f>
        <v>1028.816</v>
      </c>
      <c r="L18" s="979" cm="1">
        <f t="array" ref="L18">_xll.FDSRC("-",$C$2,"FE_TIMESERIES("&amp;$B18&amp;",MEAN,"&amp;L$5&amp;",,Q,'CURRENCY=USD')")</f>
        <v>858.86199999999997</v>
      </c>
      <c r="M18" s="979" cm="1">
        <f t="array" ref="M18">_xll.FDSRC("-",$C$2,"FE_TIMESERIES("&amp;$B18&amp;",MEAN,"&amp;M$5&amp;",,Q,'CURRENCY=USD')")</f>
        <v>928.62</v>
      </c>
      <c r="N18" s="979" cm="1">
        <f t="array" ref="N18">_xll.FDSRC("-",$C$2,"FE_TIMESERIES("&amp;$B18&amp;",MEAN,"&amp;N$5&amp;",,Q,'CURRENCY=USD')")</f>
        <v>989.899</v>
      </c>
      <c r="O18" s="979" cm="1">
        <f t="array" ref="O18">_xll.FDSRC("-",$C$2,"FE_TIMESERIES("&amp;$B18&amp;",MEAN,"&amp;O$5&amp;",,Q,'CURRENCY=USD')")</f>
        <v>1334.7239999999999</v>
      </c>
      <c r="P18" s="979" cm="1">
        <f t="array" ref="P18">_xll.FDSRC("-",$C$2,"FE_TIMESERIES("&amp;$B18&amp;",MEAN,"&amp;P$5&amp;",,Q,'CURRENCY=USD')")</f>
        <v>1126</v>
      </c>
      <c r="Q18" s="979" cm="1">
        <f t="array" ref="Q18">_xll.FDSRC("-",$C$2,"FE_TIMESERIES("&amp;$B18&amp;",MEAN,"&amp;Q$5&amp;",,Q,'CURRENCY=USD')")</f>
        <v>1250</v>
      </c>
      <c r="R18" s="979" cm="1">
        <f t="array" ref="R18">_xll.FDSRC("-",$C$2,"FE_TIMESERIES("&amp;$B18&amp;",MEAN,"&amp;R$5&amp;",,Q,'CURRENCY=USD')")</f>
        <v>1228</v>
      </c>
      <c r="S18" s="979" cm="1">
        <f t="array" ref="S18">_xll.FDSRC("-",$C$2,"FE_TIMESERIES("&amp;$B18&amp;",MEAN,"&amp;S$5&amp;",,Q,'CURRENCY=USD')")</f>
        <v>1619</v>
      </c>
      <c r="T18" s="979" cm="1">
        <f t="array" ref="T18">_xll.FDSRC("-",$C$2,"FE_TIMESERIES("&amp;$B18&amp;",MEAN,"&amp;T$5&amp;",,Q,'CURRENCY=USD')")</f>
        <v>1350</v>
      </c>
      <c r="U18" s="979" cm="1">
        <f t="array" ref="U18">_xll.FDSRC("-",$C$2,"FE_TIMESERIES("&amp;$B18&amp;",MEAN,"&amp;U$5&amp;",,Q,'CURRENCY=USD')")</f>
        <v>1482</v>
      </c>
      <c r="V18" s="979" cm="1">
        <f t="array" ref="V18">_xll.FDSRC("-",$C$2,"FE_TIMESERIES("&amp;$B18&amp;",MEAN,"&amp;V$5&amp;",,Q,'CURRENCY=USD')")</f>
        <v>1552</v>
      </c>
      <c r="W18" s="986" cm="1">
        <f t="array" ref="W18">_xll.FDSRC("-",$C$2,"FE_TIMESERIES("&amp;$B18&amp;",MEAN,"&amp;W$5&amp;",,Q,'CURRENCY=USD')")</f>
        <v>2069.3555000000001</v>
      </c>
      <c r="X18" s="986" cm="1">
        <f t="array" ref="X18">_xll.FDSRC("-",$C$2,"FE_TIMESERIES("&amp;$B18&amp;",MEAN,"&amp;X$5&amp;",,Q,'CURRENCY=USD')")</f>
        <v>1688.2764</v>
      </c>
      <c r="Y18" s="986" cm="1">
        <f t="array" ref="Y18">_xll.FDSRC("-",$C$2,"FE_TIMESERIES("&amp;$B18&amp;",MEAN,"&amp;Y$5&amp;",,Q,'CURRENCY=USD')")</f>
        <v>1848.4647</v>
      </c>
      <c r="Z18" s="986" cm="1">
        <f t="array" ref="Z18">_xll.FDSRC("-",$C$2,"FE_TIMESERIES("&amp;$B18&amp;",MEAN,"&amp;Z$5&amp;",,Q,'CURRENCY=USD')")</f>
        <v>1913.0763999999999</v>
      </c>
      <c r="AA18" s="986" cm="1">
        <f t="array" ref="AA18">_xll.FDSRC("-",$C$2,"FE_TIMESERIES("&amp;$B18&amp;",MEAN,"&amp;AA$5&amp;",,Q,'CURRENCY=USD')")</f>
        <v>2531.8539999999998</v>
      </c>
      <c r="AB18" s="980"/>
      <c r="AC18" s="979" cm="1">
        <f t="array" ref="AC18">_xll.FDSRC("-",$C$2,"FE_TIMESERIES("&amp;$B18&amp;",MEAN,"&amp;AC$5&amp;",,Y,'CURRENCY=USD')")</f>
        <v>2020.7339999999999</v>
      </c>
      <c r="AD18" s="979" cm="1">
        <f t="array" ref="AD18">_xll.FDSRC("-",$C$2,"FE_TIMESERIES("&amp;$B18&amp;",MEAN,"&amp;AD$5&amp;",,Y,'CURRENCY=USD')")</f>
        <v>3269.5219999999999</v>
      </c>
      <c r="AE18" s="979" cm="1">
        <f t="array" ref="AE18">_xll.FDSRC("-",$C$2,"FE_TIMESERIES("&amp;$B18&amp;",MEAN,"&amp;AE$5&amp;",,Y,'CURRENCY=USD')")</f>
        <v>4112.1049999999996</v>
      </c>
      <c r="AF18" s="979" cm="1">
        <f t="array" ref="AF18">_xll.FDSRC("-",$C$2,"FE_TIMESERIES("&amp;$B18&amp;",MEAN,"&amp;AF$5&amp;",,Y,'CURRENCY=USD')")</f>
        <v>5223</v>
      </c>
      <c r="AG18" s="986" cm="1">
        <f t="array" ref="AG18">_xll.FDSRC("-",$C$2,"FE_TIMESERIES("&amp;$B18&amp;",MEAN,"&amp;AG$5&amp;",,Y,'CURRENCY=USD')")</f>
        <v>6460.0054</v>
      </c>
      <c r="AH18" s="986" cm="1">
        <f t="array" ref="AH18">_xll.FDSRC("-",$C$2,"FE_TIMESERIES("&amp;$B18&amp;",MEAN,"&amp;AH$5&amp;",,Y,'CURRENCY=USD')")</f>
        <v>8000.8755000000001</v>
      </c>
      <c r="AI18" s="986" cm="1">
        <f t="array" ref="AI18">_xll.FDSRC("-",$C$2,"FE_TIMESERIES("&amp;$B18&amp;",MEAN,"&amp;AI$5&amp;",,Y,'CURRENCY=USD')")</f>
        <v>9683.0169999999998</v>
      </c>
      <c r="AJ18" s="986" cm="1">
        <f t="array" ref="AJ18">_xll.FDSRC("-",$C$2,"FE_TIMESERIES("&amp;$B18&amp;",MEAN,"&amp;AJ$5&amp;",,Y,'CURRENCY=USD')")</f>
        <v>12144.833000000001</v>
      </c>
    </row>
    <row r="19" spans="1:36">
      <c r="A19" s="926" t="s">
        <v>538</v>
      </c>
      <c r="C19" s="926" t="s">
        <v>512</v>
      </c>
      <c r="D19" s="978"/>
      <c r="E19" s="978"/>
      <c r="F19" s="978"/>
      <c r="G19" s="978"/>
      <c r="H19" s="978">
        <f>H18/D18-1</f>
        <v>1.365385704977478</v>
      </c>
      <c r="I19" s="978">
        <f>I18/E18-1</f>
        <v>0.51611775859372422</v>
      </c>
      <c r="J19" s="978">
        <f t="shared" ref="J19" si="98">J18/F18-1</f>
        <v>0.50830347173410528</v>
      </c>
      <c r="K19" s="978">
        <f t="shared" ref="K19" si="99">K18/G18-1</f>
        <v>0.47330675465126948</v>
      </c>
      <c r="L19" s="978">
        <f t="shared" ref="L19" si="100">L18/H18-1</f>
        <v>0.28578700113478828</v>
      </c>
      <c r="M19" s="978">
        <f t="shared" ref="M19" si="101">M18/I18-1</f>
        <v>0.18264205153284241</v>
      </c>
      <c r="N19" s="978">
        <f t="shared" ref="N19" si="102">N18/J18-1</f>
        <v>0.25696352656146026</v>
      </c>
      <c r="O19" s="978">
        <f t="shared" ref="O19" si="103">O18/K18-1</f>
        <v>0.29733985474564917</v>
      </c>
      <c r="P19" s="978">
        <f t="shared" ref="P19" si="104">P18/L18-1</f>
        <v>0.31103716312981611</v>
      </c>
      <c r="Q19" s="978">
        <f t="shared" ref="Q19" si="105">Q18/M18-1</f>
        <v>0.34608343563567434</v>
      </c>
      <c r="R19" s="978">
        <f t="shared" ref="R19" si="106">R18/N18-1</f>
        <v>0.24053059958642242</v>
      </c>
      <c r="S19" s="978">
        <f t="shared" ref="S19" si="107">S18/O18-1</f>
        <v>0.21298485679436352</v>
      </c>
      <c r="T19" s="978">
        <f t="shared" ref="T19" si="108">T18/P18-1</f>
        <v>0.19893428063943164</v>
      </c>
      <c r="U19" s="978">
        <f t="shared" ref="U19" si="109">U18/Q18-1</f>
        <v>0.18559999999999999</v>
      </c>
      <c r="V19" s="978">
        <f t="shared" ref="V19" si="110">V18/R18-1</f>
        <v>0.26384364820846895</v>
      </c>
      <c r="W19" s="987">
        <f t="shared" ref="W19" si="111">W18/S18-1</f>
        <v>0.27816893143915999</v>
      </c>
      <c r="X19" s="987">
        <f t="shared" ref="X19" si="112">X18/T18-1</f>
        <v>0.25057511111111119</v>
      </c>
      <c r="Y19" s="987">
        <f t="shared" ref="Y19" si="113">Y18/U18-1</f>
        <v>0.24727712550607284</v>
      </c>
      <c r="Z19" s="987">
        <f t="shared" ref="Z19" si="114">Z18/V18-1</f>
        <v>0.23265231958762889</v>
      </c>
      <c r="AA19" s="987">
        <f t="shared" ref="AA19" si="115">AA18/W18-1</f>
        <v>0.22349881400271721</v>
      </c>
      <c r="AB19" s="964"/>
      <c r="AC19" s="964"/>
      <c r="AD19" s="978">
        <f t="shared" ref="AD19" si="116">AD18/AC18-1</f>
        <v>0.61798732539760315</v>
      </c>
      <c r="AE19" s="978">
        <f t="shared" ref="AE19" si="117">AE18/AD18-1</f>
        <v>0.25770831332531174</v>
      </c>
      <c r="AF19" s="978">
        <f t="shared" ref="AF19" si="118">AF18/AE18-1</f>
        <v>0.27015239153669479</v>
      </c>
      <c r="AG19" s="987">
        <f t="shared" ref="AG19" si="119">AG18/AF18-1</f>
        <v>0.23683810070840505</v>
      </c>
      <c r="AH19" s="987">
        <f t="shared" ref="AH19" si="120">AH18/AG18-1</f>
        <v>0.23852458389585873</v>
      </c>
      <c r="AI19" s="987">
        <f t="shared" ref="AI19" si="121">AI18/AH18-1</f>
        <v>0.21024467884795861</v>
      </c>
      <c r="AJ19" s="987">
        <f t="shared" ref="AJ19" si="122">AJ18/AI18-1</f>
        <v>0.25424059464111237</v>
      </c>
    </row>
    <row r="20" spans="1:36">
      <c r="A20" s="926" t="s">
        <v>539</v>
      </c>
      <c r="C20" s="926" t="s">
        <v>513</v>
      </c>
      <c r="D20" s="978"/>
      <c r="E20" s="978">
        <f>E18/D18-1</f>
        <v>0.83400025496473007</v>
      </c>
      <c r="F20" s="978">
        <f t="shared" ref="F20" si="123">F18/E18-1</f>
        <v>8.155904438441608E-3</v>
      </c>
      <c r="G20" s="978">
        <f t="shared" ref="G20" si="124">G18/F18-1</f>
        <v>0.33741149251816127</v>
      </c>
      <c r="H20" s="978">
        <f t="shared" ref="H20" si="125">H18/G18-1</f>
        <v>-4.3445261662542367E-2</v>
      </c>
      <c r="I20" s="978">
        <f t="shared" ref="I20" si="126">I18/H18-1</f>
        <v>0.17552090974690326</v>
      </c>
      <c r="J20" s="978">
        <f t="shared" ref="J20" si="127">J18/I18-1</f>
        <v>2.9597253211888219E-3</v>
      </c>
      <c r="K20" s="978">
        <f t="shared" ref="K20" si="128">K18/J18-1</f>
        <v>0.3063799312281914</v>
      </c>
      <c r="L20" s="978">
        <f t="shared" ref="L20" si="129">L18/K18-1</f>
        <v>-0.16519377614656072</v>
      </c>
      <c r="M20" s="978">
        <f t="shared" ref="M20" si="130">M18/L18-1</f>
        <v>8.1221430218126001E-2</v>
      </c>
      <c r="N20" s="978">
        <f t="shared" ref="N20" si="131">N18/M18-1</f>
        <v>6.5989317481854881E-2</v>
      </c>
      <c r="O20" s="978">
        <f t="shared" ref="O20" si="132">O18/N18-1</f>
        <v>0.34834361889445287</v>
      </c>
      <c r="P20" s="978">
        <f t="shared" ref="P20" si="133">P18/O18-1</f>
        <v>-0.15637989576871314</v>
      </c>
      <c r="Q20" s="978">
        <f t="shared" ref="Q20" si="134">Q18/P18-1</f>
        <v>0.11012433392539966</v>
      </c>
      <c r="R20" s="978">
        <f t="shared" ref="R20" si="135">R18/Q18-1</f>
        <v>-1.7599999999999949E-2</v>
      </c>
      <c r="S20" s="978">
        <f t="shared" ref="S20" si="136">S18/R18-1</f>
        <v>0.3184039087947883</v>
      </c>
      <c r="T20" s="978">
        <f t="shared" ref="T20" si="137">T18/S18-1</f>
        <v>-0.16615194564546021</v>
      </c>
      <c r="U20" s="978">
        <f t="shared" ref="U20" si="138">U18/T18-1</f>
        <v>9.7777777777777741E-2</v>
      </c>
      <c r="V20" s="978">
        <f t="shared" ref="V20" si="139">V18/U18-1</f>
        <v>4.7233468286099756E-2</v>
      </c>
      <c r="W20" s="987">
        <f t="shared" ref="W20" si="140">W18/V18-1</f>
        <v>0.33334761597938156</v>
      </c>
      <c r="X20" s="987">
        <f t="shared" ref="X20" si="141">X18/W18-1</f>
        <v>-0.18415352026270992</v>
      </c>
      <c r="Y20" s="987">
        <f t="shared" ref="Y20" si="142">Y18/X18-1</f>
        <v>9.4882745503046761E-2</v>
      </c>
      <c r="Z20" s="987">
        <f t="shared" ref="Z20" si="143">Z18/Y18-1</f>
        <v>3.4954251493144461E-2</v>
      </c>
      <c r="AA20" s="987">
        <f t="shared" ref="AA20" si="144">AA18/Z18-1</f>
        <v>0.32344636105489566</v>
      </c>
      <c r="AB20" s="964"/>
      <c r="AC20" s="964"/>
      <c r="AD20" s="964"/>
      <c r="AE20" s="964"/>
      <c r="AF20" s="964"/>
      <c r="AG20" s="993"/>
      <c r="AH20" s="993"/>
      <c r="AI20" s="993"/>
      <c r="AJ20" s="993"/>
    </row>
    <row r="21" spans="1:36">
      <c r="A21" s="926"/>
      <c r="B21" s="933" t="s">
        <v>434</v>
      </c>
      <c r="D21" s="976"/>
      <c r="W21" s="988"/>
      <c r="X21" s="988"/>
      <c r="Y21" s="988"/>
      <c r="Z21" s="988"/>
      <c r="AA21" s="988"/>
      <c r="AG21" s="988"/>
      <c r="AH21" s="988"/>
      <c r="AI21" s="988"/>
      <c r="AJ21" s="988"/>
    </row>
    <row r="22" spans="1:36">
      <c r="A22" s="926" t="s">
        <v>434</v>
      </c>
      <c r="B22" s="926" t="s">
        <v>525</v>
      </c>
      <c r="C22" s="926" t="s">
        <v>514</v>
      </c>
      <c r="D22" s="979" cm="1">
        <f t="array" ref="D22">_xll.FDSRC("-",$C$2,"FE_TIMESERIES("&amp;$B22&amp;",MEAN,"&amp;D$5&amp;",,Q,'CURRENCY=USD')")</f>
        <v>261.69945999999999</v>
      </c>
      <c r="E22" s="979" cm="1">
        <f t="array" ref="E22">_xll.FDSRC("-",$C$2,"FE_TIMESERIES("&amp;$B22&amp;",MEAN,"&amp;E$5&amp;",,Q,'CURRENCY=USD')")</f>
        <v>379.17230000000001</v>
      </c>
      <c r="F22" s="979" cm="1">
        <f t="array" ref="F22">_xll.FDSRC("-",$C$2,"FE_TIMESERIES("&amp;$B22&amp;",MEAN,"&amp;F$5&amp;",,Q,'CURRENCY=USD')")</f>
        <v>410.30615</v>
      </c>
      <c r="G22" s="979" cm="1">
        <f t="array" ref="G22">_xll.FDSRC("-",$C$2,"FE_TIMESERIES("&amp;$B22&amp;",MEAN,"&amp;G$5&amp;",,Q,'CURRENCY=USD')")</f>
        <v>508.32648</v>
      </c>
      <c r="H22" s="979" cm="1">
        <f t="array" ref="H22">_xll.FDSRC("-",$C$2,"FE_TIMESERIES("&amp;$B22&amp;",MEAN,"&amp;H$5&amp;",,Q,'CURRENCY=USD')")</f>
        <v>562.92370000000005</v>
      </c>
      <c r="I22" s="979" cm="1">
        <f t="array" ref="I22">_xll.FDSRC("-",$C$2,"FE_TIMESERIES("&amp;$B22&amp;",MEAN,"&amp;I$5&amp;",,Q,'CURRENCY=USD')")</f>
        <v>624.63440000000003</v>
      </c>
      <c r="J22" s="979" cm="1">
        <f t="array" ref="J22">_xll.FDSRC("-",$C$2,"FE_TIMESERIES("&amp;$B22&amp;",MEAN,"&amp;J$5&amp;",,Q,'CURRENCY=USD')")</f>
        <v>613.64575000000002</v>
      </c>
      <c r="K22" s="979" cm="1">
        <f t="array" ref="K22">_xll.FDSRC("-",$C$2,"FE_TIMESERIES("&amp;$B22&amp;",MEAN,"&amp;K$5&amp;",,Q,'CURRENCY=USD')")</f>
        <v>698.2491</v>
      </c>
      <c r="L22" s="979" cm="1">
        <f t="array" ref="L22">_xll.FDSRC("-",$C$2,"FE_TIMESERIES("&amp;$B22&amp;",MEAN,"&amp;L$5&amp;",,Q,'CURRENCY=USD')")</f>
        <v>643.51869999999997</v>
      </c>
      <c r="M22" s="979" cm="1">
        <f t="array" ref="M22">_xll.FDSRC("-",$C$2,"FE_TIMESERIES("&amp;$B22&amp;",MEAN,"&amp;M$5&amp;",,Q,'CURRENCY=USD')")</f>
        <v>662.09709999999995</v>
      </c>
      <c r="N22" s="979" cm="1">
        <f t="array" ref="N22">_xll.FDSRC("-",$C$2,"FE_TIMESERIES("&amp;$B22&amp;",MEAN,"&amp;N$5&amp;",,Q,'CURRENCY=USD')")</f>
        <v>674.50963999999999</v>
      </c>
      <c r="O22" s="979" cm="1">
        <f t="array" ref="O22">_xll.FDSRC("-",$C$2,"FE_TIMESERIES("&amp;$B22&amp;",MEAN,"&amp;O$5&amp;",,Q,'CURRENCY=USD')")</f>
        <v>812.59644000000003</v>
      </c>
      <c r="P22" s="979" cm="1">
        <f t="array" ref="P22">_xll.FDSRC("-",$C$2,"FE_TIMESERIES("&amp;$B22&amp;",MEAN,"&amp;P$5&amp;",,Q,'CURRENCY=USD')")</f>
        <v>732.00414999999998</v>
      </c>
      <c r="Q22" s="979" cm="1">
        <f t="array" ref="Q22">_xll.FDSRC("-",$C$2,"FE_TIMESERIES("&amp;$B22&amp;",MEAN,"&amp;Q$5&amp;",,Q,'CURRENCY=USD')")</f>
        <v>840.90625</v>
      </c>
      <c r="R22" s="979" cm="1">
        <f t="array" ref="R22">_xll.FDSRC("-",$C$2,"FE_TIMESERIES("&amp;$B22&amp;",MEAN,"&amp;R$5&amp;",,Q,'CURRENCY=USD')")</f>
        <v>903.66669999999999</v>
      </c>
      <c r="S22" s="979" cm="1">
        <f t="array" ref="S22">_xll.FDSRC("-",$C$2,"FE_TIMESERIES("&amp;$B22&amp;",MEAN,"&amp;S$5&amp;",,Q,'CURRENCY=USD')")</f>
        <v>1065.5482999999999</v>
      </c>
      <c r="T22" s="979" cm="1">
        <f t="array" ref="T22">_xll.FDSRC("-",$C$2,"FE_TIMESERIES("&amp;$B22&amp;",MEAN,"&amp;T$5&amp;",,Q,'CURRENCY=USD')")</f>
        <v>960.59375</v>
      </c>
      <c r="U22" s="979" cm="1">
        <f t="array" ref="U22">_xll.FDSRC("-",$C$2,"FE_TIMESERIES("&amp;$B22&amp;",MEAN,"&amp;U$5&amp;",,Q,'CURRENCY=USD')")</f>
        <v>1050.3667</v>
      </c>
      <c r="V22" s="979" cm="1">
        <f t="array" ref="V22">_xll.FDSRC("-",$C$2,"FE_TIMESERIES("&amp;$B22&amp;",MEAN,"&amp;V$5&amp;",,Q,'CURRENCY=USD')")</f>
        <v>1120.2692999999999</v>
      </c>
      <c r="W22" s="986" cm="1">
        <f t="array" ref="W22">_xll.FDSRC("-",$C$2,"FE_TIMESERIES("&amp;$B22&amp;",MEAN,"&amp;W$5&amp;",,Q,'CURRENCY=USD')")</f>
        <v>1321.9025999999999</v>
      </c>
      <c r="X22" s="986" cm="1">
        <f t="array" ref="X22">_xll.FDSRC("-",$C$2,"FE_TIMESERIES("&amp;$B22&amp;",MEAN,"&amp;X$5&amp;",,Q,'CURRENCY=USD')")</f>
        <v>1182.4972</v>
      </c>
      <c r="Y22" s="986" cm="1">
        <f t="array" ref="Y22">_xll.FDSRC("-",$C$2,"FE_TIMESERIES("&amp;$B22&amp;",MEAN,"&amp;Y$5&amp;",,Q,'CURRENCY=USD')")</f>
        <v>1281.7762</v>
      </c>
      <c r="Z22" s="986" cm="1">
        <f t="array" ref="Z22">_xll.FDSRC("-",$C$2,"FE_TIMESERIES("&amp;$B22&amp;",MEAN,"&amp;Z$5&amp;",,Q,'CURRENCY=USD')")</f>
        <v>1339.9728</v>
      </c>
      <c r="AA22" s="986" cm="1">
        <f t="array" ref="AA22">_xll.FDSRC("-",$C$2,"FE_TIMESERIES("&amp;$B22&amp;",MEAN,"&amp;AA$5&amp;",,Q,'CURRENCY=USD')")</f>
        <v>1605.9170999999999</v>
      </c>
      <c r="AB22" s="980"/>
      <c r="AC22" s="979" cm="1">
        <f t="array" ref="AC22">_xll.FDSRC("-",$C$2,"FE_TIMESERIES("&amp;$B22&amp;",MEAN,"&amp;AC$5&amp;",,Y,'CURRENCY=USD')")</f>
        <v>1557.4036000000001</v>
      </c>
      <c r="AD22" s="979" cm="1">
        <f t="array" ref="AD22">_xll.FDSRC("-",$C$2,"FE_TIMESERIES("&amp;$B22&amp;",MEAN,"&amp;AD$5&amp;",,Y,'CURRENCY=USD')")</f>
        <v>2498.6134999999999</v>
      </c>
      <c r="AE22" s="979" cm="1">
        <f t="array" ref="AE22">_xll.FDSRC("-",$C$2,"FE_TIMESERIES("&amp;$B22&amp;",MEAN,"&amp;AE$5&amp;",,Y,'CURRENCY=USD')")</f>
        <v>2795.2516999999998</v>
      </c>
      <c r="AF22" s="979" cm="1">
        <f t="array" ref="AF22">_xll.FDSRC("-",$C$2,"FE_TIMESERIES("&amp;$B22&amp;",MEAN,"&amp;AF$5&amp;",,Y,'CURRENCY=USD')")</f>
        <v>3544.3145</v>
      </c>
      <c r="AG22" s="986" cm="1">
        <f t="array" ref="AG22">_xll.FDSRC("-",$C$2,"FE_TIMESERIES("&amp;$B22&amp;",MEAN,"&amp;AG$5&amp;",,Y,'CURRENCY=USD')")</f>
        <v>4454.6469999999999</v>
      </c>
      <c r="AH22" s="986" cm="1">
        <f t="array" ref="AH22">_xll.FDSRC("-",$C$2,"FE_TIMESERIES("&amp;$B22&amp;",MEAN,"&amp;AH$5&amp;",,Y,'CURRENCY=USD')")</f>
        <v>5417.8647000000001</v>
      </c>
      <c r="AI22" s="986" cm="1">
        <f t="array" ref="AI22">_xll.FDSRC("-",$C$2,"FE_TIMESERIES("&amp;$B22&amp;",MEAN,"&amp;AI$5&amp;",,Y,'CURRENCY=USD')")</f>
        <v>6453.41</v>
      </c>
      <c r="AJ22" s="986" cm="1">
        <f t="array" ref="AJ22">_xll.FDSRC("-",$C$2,"FE_TIMESERIES("&amp;$B22&amp;",MEAN,"&amp;AJ$5&amp;",,Y,'CURRENCY=USD')")</f>
        <v>7926.875</v>
      </c>
    </row>
    <row r="23" spans="1:36">
      <c r="A23" s="926" t="s">
        <v>489</v>
      </c>
      <c r="C23" s="926" t="s">
        <v>512</v>
      </c>
      <c r="D23" s="978"/>
      <c r="E23" s="964"/>
      <c r="F23" s="964"/>
      <c r="G23" s="964"/>
      <c r="H23" s="978">
        <f>H22/D22-1</f>
        <v>1.1510311866902594</v>
      </c>
      <c r="I23" s="978">
        <f t="shared" ref="I23:AA23" si="145">I22/E22-1</f>
        <v>0.64736295346469142</v>
      </c>
      <c r="J23" s="978">
        <f t="shared" si="145"/>
        <v>0.49558019054796043</v>
      </c>
      <c r="K23" s="978">
        <f t="shared" si="145"/>
        <v>0.37362330602962102</v>
      </c>
      <c r="L23" s="978">
        <f t="shared" si="145"/>
        <v>0.14317215636861613</v>
      </c>
      <c r="M23" s="978">
        <f t="shared" si="145"/>
        <v>5.9975403211862677E-2</v>
      </c>
      <c r="N23" s="978">
        <f t="shared" si="145"/>
        <v>9.9184081369422028E-2</v>
      </c>
      <c r="O23" s="978">
        <f t="shared" si="145"/>
        <v>0.16376296081155006</v>
      </c>
      <c r="P23" s="978">
        <f t="shared" si="145"/>
        <v>0.13750253100648058</v>
      </c>
      <c r="Q23" s="978">
        <f t="shared" si="145"/>
        <v>0.27006484396321939</v>
      </c>
      <c r="R23" s="978">
        <f t="shared" si="145"/>
        <v>0.33973874709930008</v>
      </c>
      <c r="S23" s="978">
        <f t="shared" si="145"/>
        <v>0.31128841765538606</v>
      </c>
      <c r="T23" s="978">
        <f t="shared" si="145"/>
        <v>0.31227910388212976</v>
      </c>
      <c r="U23" s="978">
        <f t="shared" si="145"/>
        <v>0.24908894421940619</v>
      </c>
      <c r="V23" s="978">
        <f t="shared" si="145"/>
        <v>0.23969301956130495</v>
      </c>
      <c r="W23" s="987">
        <f t="shared" si="145"/>
        <v>0.24058440147668581</v>
      </c>
      <c r="X23" s="987">
        <f t="shared" si="145"/>
        <v>0.23100655193727837</v>
      </c>
      <c r="Y23" s="987">
        <f t="shared" si="145"/>
        <v>0.22031305828716774</v>
      </c>
      <c r="Z23" s="987">
        <f t="shared" si="145"/>
        <v>0.19611668372952828</v>
      </c>
      <c r="AA23" s="987">
        <f t="shared" si="145"/>
        <v>0.21485281895958153</v>
      </c>
      <c r="AB23" s="964"/>
      <c r="AC23" s="964"/>
      <c r="AD23" s="978">
        <f t="shared" ref="AD23" si="146">AD22/AC22-1</f>
        <v>0.60434552738930347</v>
      </c>
      <c r="AE23" s="978">
        <f t="shared" ref="AE23" si="147">AE22/AD22-1</f>
        <v>0.1187211227346685</v>
      </c>
      <c r="AF23" s="978">
        <f t="shared" ref="AF23" si="148">AF22/AE22-1</f>
        <v>0.26797686948906962</v>
      </c>
      <c r="AG23" s="987">
        <f t="shared" ref="AG23" si="149">AG22/AF22-1</f>
        <v>0.25684303692575816</v>
      </c>
      <c r="AH23" s="987">
        <f t="shared" ref="AH23" si="150">AH22/AG22-1</f>
        <v>0.2162276157908809</v>
      </c>
      <c r="AI23" s="987">
        <f t="shared" ref="AI23" si="151">AI22/AH22-1</f>
        <v>0.19113531941836781</v>
      </c>
      <c r="AJ23" s="987">
        <f t="shared" ref="AJ23" si="152">AJ22/AI22-1</f>
        <v>0.22832347549590071</v>
      </c>
    </row>
    <row r="24" spans="1:36">
      <c r="A24" s="926" t="s">
        <v>490</v>
      </c>
      <c r="C24" s="926" t="s">
        <v>513</v>
      </c>
      <c r="D24" s="978"/>
      <c r="E24" s="978">
        <f>E22/D22-1</f>
        <v>0.44888453342624413</v>
      </c>
      <c r="F24" s="978">
        <f t="shared" ref="F24:H24" si="153">F22/E22-1</f>
        <v>8.2110032826764989E-2</v>
      </c>
      <c r="G24" s="978">
        <f t="shared" si="153"/>
        <v>0.2388955905242951</v>
      </c>
      <c r="H24" s="978">
        <f t="shared" si="153"/>
        <v>0.10740581525479453</v>
      </c>
      <c r="I24" s="978">
        <f t="shared" ref="I24:AA24" si="154">I22/H22-1</f>
        <v>0.10962533643547068</v>
      </c>
      <c r="J24" s="978">
        <f t="shared" si="154"/>
        <v>-1.7592130692770103E-2</v>
      </c>
      <c r="K24" s="978">
        <f t="shared" si="154"/>
        <v>0.13787001702529511</v>
      </c>
      <c r="L24" s="978">
        <f t="shared" si="154"/>
        <v>-7.8382342347451672E-2</v>
      </c>
      <c r="M24" s="978">
        <f t="shared" si="154"/>
        <v>2.8870023512914234E-2</v>
      </c>
      <c r="N24" s="978">
        <f t="shared" si="154"/>
        <v>1.874731062860735E-2</v>
      </c>
      <c r="O24" s="978">
        <f t="shared" si="154"/>
        <v>0.2047217590544741</v>
      </c>
      <c r="P24" s="978">
        <f t="shared" si="154"/>
        <v>-9.9178738710693937E-2</v>
      </c>
      <c r="Q24" s="978">
        <f t="shared" si="154"/>
        <v>0.14877251720499118</v>
      </c>
      <c r="R24" s="978">
        <f t="shared" si="154"/>
        <v>7.463430079155664E-2</v>
      </c>
      <c r="S24" s="978">
        <f t="shared" si="154"/>
        <v>0.17913861382742113</v>
      </c>
      <c r="T24" s="978">
        <f t="shared" si="154"/>
        <v>-9.8498162870702233E-2</v>
      </c>
      <c r="U24" s="978">
        <f t="shared" si="154"/>
        <v>9.3455688213669896E-2</v>
      </c>
      <c r="V24" s="978">
        <f t="shared" si="154"/>
        <v>6.655066273521415E-2</v>
      </c>
      <c r="W24" s="987">
        <f t="shared" si="154"/>
        <v>0.17998645504255095</v>
      </c>
      <c r="X24" s="987">
        <f t="shared" si="154"/>
        <v>-0.10545814797550124</v>
      </c>
      <c r="Y24" s="987">
        <f t="shared" si="154"/>
        <v>8.3957069834922127E-2</v>
      </c>
      <c r="Z24" s="987">
        <f t="shared" si="154"/>
        <v>4.5403089868574442E-2</v>
      </c>
      <c r="AA24" s="987">
        <f t="shared" si="154"/>
        <v>0.1984699241656247</v>
      </c>
      <c r="AB24" s="964"/>
      <c r="AC24" s="964"/>
      <c r="AD24" s="964"/>
      <c r="AE24" s="964"/>
      <c r="AF24" s="964"/>
      <c r="AG24" s="993"/>
      <c r="AH24" s="993"/>
      <c r="AI24" s="993"/>
      <c r="AJ24" s="993"/>
    </row>
    <row r="25" spans="1:36">
      <c r="A25" s="926" t="s">
        <v>435</v>
      </c>
      <c r="C25" s="926" t="s">
        <v>61</v>
      </c>
      <c r="D25" s="978">
        <f>D22/D$10</f>
        <v>0.55680617700813406</v>
      </c>
      <c r="E25" s="978">
        <f t="shared" ref="E25:AA25" si="155">E22/E$10</f>
        <v>0.53080013606946819</v>
      </c>
      <c r="F25" s="978">
        <f t="shared" si="155"/>
        <v>0.53466702718903314</v>
      </c>
      <c r="G25" s="978">
        <f t="shared" si="155"/>
        <v>0.5198973146345055</v>
      </c>
      <c r="H25" s="978">
        <f t="shared" si="155"/>
        <v>0.56938796152721849</v>
      </c>
      <c r="I25" s="978">
        <f t="shared" si="155"/>
        <v>0.55800821868858319</v>
      </c>
      <c r="J25" s="978">
        <f t="shared" si="155"/>
        <v>0.5460744923202876</v>
      </c>
      <c r="K25" s="978">
        <f t="shared" si="155"/>
        <v>0.50596880923810028</v>
      </c>
      <c r="L25" s="978">
        <f t="shared" si="155"/>
        <v>0.53465138170340709</v>
      </c>
      <c r="M25" s="978">
        <f t="shared" si="155"/>
        <v>0.51124702041522296</v>
      </c>
      <c r="N25" s="978">
        <f t="shared" si="155"/>
        <v>0.49371222368613671</v>
      </c>
      <c r="O25" s="978">
        <f t="shared" si="155"/>
        <v>0.46836123570442967</v>
      </c>
      <c r="P25" s="978">
        <f t="shared" si="155"/>
        <v>0.48541389257294426</v>
      </c>
      <c r="Q25" s="978">
        <f t="shared" si="155"/>
        <v>0.49640274498229042</v>
      </c>
      <c r="R25" s="978">
        <f t="shared" si="155"/>
        <v>0.52722677946324392</v>
      </c>
      <c r="S25" s="978">
        <f t="shared" si="155"/>
        <v>0.49699081156716413</v>
      </c>
      <c r="T25" s="978">
        <f t="shared" si="155"/>
        <v>0.5161707415368082</v>
      </c>
      <c r="U25" s="978">
        <f t="shared" si="155"/>
        <v>0.51362674816625919</v>
      </c>
      <c r="V25" s="978">
        <f t="shared" si="155"/>
        <v>0.51816341350601292</v>
      </c>
      <c r="W25" s="987">
        <f t="shared" si="155"/>
        <v>0.4849603521203647</v>
      </c>
      <c r="X25" s="987">
        <f t="shared" si="155"/>
        <v>0.50974804376989424</v>
      </c>
      <c r="Y25" s="987">
        <f t="shared" si="155"/>
        <v>0.50709410849198622</v>
      </c>
      <c r="Z25" s="987">
        <f t="shared" si="155"/>
        <v>0.50802332981475806</v>
      </c>
      <c r="AA25" s="987">
        <f t="shared" si="155"/>
        <v>0.48524001055738553</v>
      </c>
      <c r="AB25" s="964"/>
      <c r="AC25" s="964"/>
      <c r="AD25" s="978">
        <f t="shared" ref="AD25:AJ25" si="156">AD22/AD$10</f>
        <v>0.54178046756013198</v>
      </c>
      <c r="AE25" s="978">
        <f t="shared" si="156"/>
        <v>0.49916421184514481</v>
      </c>
      <c r="AF25" s="978">
        <f t="shared" si="156"/>
        <v>0.50202754957507079</v>
      </c>
      <c r="AG25" s="987">
        <f t="shared" si="156"/>
        <v>0.50625406853689048</v>
      </c>
      <c r="AH25" s="987">
        <f t="shared" si="156"/>
        <v>0.49896687884186691</v>
      </c>
      <c r="AI25" s="987">
        <f t="shared" si="156"/>
        <v>0.49060329728632951</v>
      </c>
      <c r="AJ25" s="987">
        <f t="shared" si="156"/>
        <v>0.4580908722841926</v>
      </c>
    </row>
    <row r="26" spans="1:36">
      <c r="A26" s="926"/>
      <c r="D26" s="976"/>
      <c r="W26" s="988"/>
      <c r="X26" s="988"/>
      <c r="Y26" s="988"/>
      <c r="Z26" s="988"/>
      <c r="AA26" s="988"/>
      <c r="AG26" s="988"/>
      <c r="AH26" s="988"/>
      <c r="AI26" s="988"/>
      <c r="AJ26" s="988"/>
    </row>
    <row r="27" spans="1:36">
      <c r="A27" s="926" t="s">
        <v>189</v>
      </c>
      <c r="C27" s="926" t="s">
        <v>4</v>
      </c>
      <c r="D27" s="979">
        <f>D22-D32</f>
        <v>334.93245999999999</v>
      </c>
      <c r="E27" s="979">
        <f t="shared" ref="E27:AJ27" si="157">E22-E32</f>
        <v>378.88830000000002</v>
      </c>
      <c r="F27" s="979">
        <f t="shared" si="157"/>
        <v>359.74515000000002</v>
      </c>
      <c r="G27" s="979">
        <f t="shared" si="157"/>
        <v>395.78548000000001</v>
      </c>
      <c r="H27" s="979">
        <f t="shared" si="157"/>
        <v>444.02470000000005</v>
      </c>
      <c r="I27" s="979">
        <f t="shared" si="157"/>
        <v>485.1934</v>
      </c>
      <c r="J27" s="979">
        <f t="shared" si="157"/>
        <v>617.73082699999998</v>
      </c>
      <c r="K27" s="979">
        <f t="shared" si="157"/>
        <v>683.92000900000005</v>
      </c>
      <c r="L27" s="979">
        <f t="shared" si="157"/>
        <v>741.50833999999998</v>
      </c>
      <c r="M27" s="979">
        <f t="shared" si="157"/>
        <v>852.24619999999993</v>
      </c>
      <c r="N27" s="979">
        <f t="shared" si="157"/>
        <v>1019.76724</v>
      </c>
      <c r="O27" s="979">
        <f t="shared" si="157"/>
        <v>1001.40551</v>
      </c>
      <c r="P27" s="979">
        <f t="shared" si="157"/>
        <v>925.00414999999998</v>
      </c>
      <c r="Q27" s="979">
        <f t="shared" si="157"/>
        <v>2476.90625</v>
      </c>
      <c r="R27" s="979">
        <f t="shared" si="157"/>
        <v>781.66669999999999</v>
      </c>
      <c r="S27" s="979">
        <f t="shared" si="157"/>
        <v>776.54829999999993</v>
      </c>
      <c r="T27" s="979">
        <f t="shared" si="157"/>
        <v>874.59375</v>
      </c>
      <c r="U27" s="979">
        <f t="shared" si="157"/>
        <v>809.36670000000004</v>
      </c>
      <c r="V27" s="979">
        <f t="shared" si="157"/>
        <v>837.26929999999993</v>
      </c>
      <c r="W27" s="986">
        <f t="shared" si="157"/>
        <v>897.09046999999987</v>
      </c>
      <c r="X27" s="986">
        <f t="shared" si="157"/>
        <v>954.07684000000006</v>
      </c>
      <c r="Y27" s="986">
        <f t="shared" si="157"/>
        <v>970.25774000000001</v>
      </c>
      <c r="Z27" s="986">
        <f t="shared" si="157"/>
        <v>981.92714999999998</v>
      </c>
      <c r="AA27" s="986">
        <f t="shared" si="157"/>
        <v>1042.5330999999999</v>
      </c>
      <c r="AB27" s="979"/>
      <c r="AC27" s="979">
        <f t="shared" si="157"/>
        <v>1467.2506000000001</v>
      </c>
      <c r="AD27" s="979">
        <f t="shared" si="157"/>
        <v>2228.2356300000001</v>
      </c>
      <c r="AE27" s="979">
        <f t="shared" si="157"/>
        <v>3617.4201999999996</v>
      </c>
      <c r="AF27" s="979">
        <f t="shared" si="157"/>
        <v>4953.3733000000002</v>
      </c>
      <c r="AG27" s="986">
        <f t="shared" si="157"/>
        <v>3426.7847999999999</v>
      </c>
      <c r="AH27" s="986">
        <f t="shared" si="157"/>
        <v>3921.7984000000001</v>
      </c>
      <c r="AI27" s="986">
        <f t="shared" si="157"/>
        <v>4443.7134999999998</v>
      </c>
      <c r="AJ27" s="986">
        <f t="shared" si="157"/>
        <v>4884.875</v>
      </c>
    </row>
    <row r="28" spans="1:36">
      <c r="A28" s="926" t="s">
        <v>532</v>
      </c>
      <c r="C28" s="926" t="s">
        <v>512</v>
      </c>
      <c r="D28" s="976"/>
      <c r="E28" s="964"/>
      <c r="F28" s="964"/>
      <c r="G28" s="964"/>
      <c r="H28" s="978">
        <f>H27/D27-1</f>
        <v>0.32571414547279187</v>
      </c>
      <c r="I28" s="978">
        <f t="shared" ref="I28" si="158">I27/E27-1</f>
        <v>0.28057108123951036</v>
      </c>
      <c r="J28" s="978">
        <f t="shared" ref="J28" si="159">J27/F27-1</f>
        <v>0.71713455205719923</v>
      </c>
      <c r="K28" s="978">
        <f t="shared" ref="K28" si="160">K27/G27-1</f>
        <v>0.72800682076563294</v>
      </c>
      <c r="L28" s="978">
        <f t="shared" ref="L28" si="161">L27/H27-1</f>
        <v>0.66997092729300856</v>
      </c>
      <c r="M28" s="978">
        <f t="shared" ref="M28" si="162">M27/I27-1</f>
        <v>0.75650822950188501</v>
      </c>
      <c r="N28" s="978">
        <f t="shared" ref="N28" si="163">N27/J27-1</f>
        <v>0.65082782893073921</v>
      </c>
      <c r="O28" s="978">
        <f t="shared" ref="O28" si="164">O27/K27-1</f>
        <v>0.46421437715240166</v>
      </c>
      <c r="P28" s="978">
        <f t="shared" ref="P28" si="165">P27/L27-1</f>
        <v>0.24746290783459024</v>
      </c>
      <c r="Q28" s="978">
        <f t="shared" ref="Q28" si="166">Q27/M27-1</f>
        <v>1.9063271270672724</v>
      </c>
      <c r="R28" s="978">
        <f t="shared" ref="R28" si="167">R27/N27-1</f>
        <v>-0.23348518236377158</v>
      </c>
      <c r="S28" s="978">
        <f t="shared" ref="S28" si="168">S27/O27-1</f>
        <v>-0.22454161451538257</v>
      </c>
      <c r="T28" s="978">
        <f t="shared" ref="T28" si="169">T27/P27-1</f>
        <v>-5.4497485227498643E-2</v>
      </c>
      <c r="U28" s="978">
        <f t="shared" ref="U28" si="170">U27/Q27-1</f>
        <v>-0.67323482671174983</v>
      </c>
      <c r="V28" s="978">
        <f t="shared" ref="V28" si="171">V27/R27-1</f>
        <v>7.1133387158490935E-2</v>
      </c>
      <c r="W28" s="987">
        <f t="shared" ref="W28" si="172">W27/S27-1</f>
        <v>0.15522816803539441</v>
      </c>
      <c r="X28" s="987">
        <f t="shared" ref="X28" si="173">X27/T27-1</f>
        <v>9.0880011433880137E-2</v>
      </c>
      <c r="Y28" s="987">
        <f t="shared" ref="Y28" si="174">Y27/U27-1</f>
        <v>0.19878633504442411</v>
      </c>
      <c r="Z28" s="987">
        <f t="shared" ref="Z28" si="175">Z27/V27-1</f>
        <v>0.17277338366520789</v>
      </c>
      <c r="AA28" s="987">
        <f t="shared" ref="AA28" si="176">AA27/W27-1</f>
        <v>0.16212704834552527</v>
      </c>
      <c r="AB28" s="964"/>
      <c r="AC28" s="964"/>
      <c r="AD28" s="978">
        <f t="shared" ref="AD28" si="177">AD27/AC27-1</f>
        <v>0.51864693733981104</v>
      </c>
      <c r="AE28" s="978">
        <f t="shared" ref="AE28" si="178">AE27/AD27-1</f>
        <v>0.62344599076355278</v>
      </c>
      <c r="AF28" s="978">
        <f t="shared" ref="AF28" si="179">AF27/AE27-1</f>
        <v>0.3693110078834636</v>
      </c>
      <c r="AG28" s="987">
        <f t="shared" ref="AG28" si="180">AG27/AF27-1</f>
        <v>-0.30819169231602239</v>
      </c>
      <c r="AH28" s="987">
        <f t="shared" ref="AH28" si="181">AH27/AG27-1</f>
        <v>0.14445424177205424</v>
      </c>
      <c r="AI28" s="987">
        <f t="shared" ref="AI28" si="182">AI27/AH27-1</f>
        <v>0.13308055304423605</v>
      </c>
      <c r="AJ28" s="987">
        <f t="shared" ref="AJ28" si="183">AJ27/AI27-1</f>
        <v>9.92776649529723E-2</v>
      </c>
    </row>
    <row r="29" spans="1:36">
      <c r="A29" s="926" t="s">
        <v>533</v>
      </c>
      <c r="C29" s="926" t="s">
        <v>513</v>
      </c>
      <c r="D29" s="976"/>
      <c r="E29" s="978">
        <f>E27/D27-1</f>
        <v>0.13123792181862592</v>
      </c>
      <c r="F29" s="978">
        <f t="shared" ref="F29:AA29" si="184">F27/E27-1</f>
        <v>-5.0524521343097706E-2</v>
      </c>
      <c r="G29" s="978">
        <f t="shared" si="184"/>
        <v>0.10018294895706026</v>
      </c>
      <c r="H29" s="978">
        <f t="shared" si="184"/>
        <v>0.12188223782236784</v>
      </c>
      <c r="I29" s="978">
        <f t="shared" si="184"/>
        <v>9.2717139384362879E-2</v>
      </c>
      <c r="J29" s="978">
        <f t="shared" si="184"/>
        <v>0.27316411764875603</v>
      </c>
      <c r="K29" s="978">
        <f t="shared" si="184"/>
        <v>0.10714890548921896</v>
      </c>
      <c r="L29" s="978">
        <f t="shared" si="184"/>
        <v>8.4203313607103425E-2</v>
      </c>
      <c r="M29" s="978">
        <f t="shared" si="184"/>
        <v>0.1493413546771436</v>
      </c>
      <c r="N29" s="978">
        <f t="shared" si="184"/>
        <v>0.19656413839099551</v>
      </c>
      <c r="O29" s="978">
        <f t="shared" si="184"/>
        <v>-1.800580493250592E-2</v>
      </c>
      <c r="P29" s="978">
        <f t="shared" si="184"/>
        <v>-7.6294127840379145E-2</v>
      </c>
      <c r="Q29" s="978">
        <f t="shared" si="184"/>
        <v>1.6777244729118244</v>
      </c>
      <c r="R29" s="978">
        <f t="shared" si="184"/>
        <v>-0.68441813249895911</v>
      </c>
      <c r="S29" s="978">
        <f t="shared" si="184"/>
        <v>-6.5480594222576682E-3</v>
      </c>
      <c r="T29" s="978">
        <f t="shared" si="184"/>
        <v>0.12625801897963096</v>
      </c>
      <c r="U29" s="978">
        <f t="shared" si="184"/>
        <v>-7.4579826347947242E-2</v>
      </c>
      <c r="V29" s="978">
        <f t="shared" si="184"/>
        <v>3.4474608357373704E-2</v>
      </c>
      <c r="W29" s="987">
        <f t="shared" si="184"/>
        <v>7.1447943929151547E-2</v>
      </c>
      <c r="X29" s="987">
        <f t="shared" si="184"/>
        <v>6.3523548522369522E-2</v>
      </c>
      <c r="Y29" s="987">
        <f t="shared" si="184"/>
        <v>1.6959745087198552E-2</v>
      </c>
      <c r="Z29" s="987">
        <f t="shared" si="184"/>
        <v>1.2027123844433385E-2</v>
      </c>
      <c r="AA29" s="987">
        <f t="shared" si="184"/>
        <v>6.1721432185676717E-2</v>
      </c>
      <c r="AB29" s="964"/>
      <c r="AC29" s="964"/>
      <c r="AD29" s="964"/>
      <c r="AE29" s="964"/>
      <c r="AF29" s="964"/>
      <c r="AG29" s="993"/>
      <c r="AH29" s="993"/>
      <c r="AI29" s="993"/>
      <c r="AJ29" s="993"/>
    </row>
    <row r="30" spans="1:36">
      <c r="A30" s="926"/>
      <c r="D30" s="978"/>
      <c r="E30" s="978"/>
      <c r="F30" s="978"/>
      <c r="G30" s="978"/>
      <c r="H30" s="978"/>
      <c r="I30" s="978"/>
      <c r="J30" s="978"/>
      <c r="K30" s="978"/>
      <c r="L30" s="978"/>
      <c r="M30" s="978"/>
      <c r="N30" s="978"/>
      <c r="O30" s="978"/>
      <c r="P30" s="978"/>
      <c r="Q30" s="978"/>
      <c r="R30" s="978"/>
      <c r="S30" s="978"/>
      <c r="T30" s="978"/>
      <c r="U30" s="978"/>
      <c r="V30" s="978"/>
      <c r="W30" s="987"/>
      <c r="X30" s="987"/>
      <c r="Y30" s="987"/>
      <c r="Z30" s="987"/>
      <c r="AA30" s="987"/>
      <c r="AD30" s="964"/>
      <c r="AE30" s="964"/>
      <c r="AF30" s="964"/>
      <c r="AG30" s="993"/>
      <c r="AH30" s="993"/>
      <c r="AI30" s="993"/>
      <c r="AJ30" s="993"/>
    </row>
    <row r="31" spans="1:36">
      <c r="A31" s="926"/>
      <c r="B31" s="933" t="s">
        <v>137</v>
      </c>
      <c r="D31" s="976"/>
      <c r="W31" s="988"/>
      <c r="X31" s="988"/>
      <c r="Y31" s="988"/>
      <c r="Z31" s="988"/>
      <c r="AA31" s="988"/>
      <c r="AG31" s="988"/>
      <c r="AH31" s="988"/>
      <c r="AI31" s="988"/>
      <c r="AJ31" s="988"/>
    </row>
    <row r="32" spans="1:36">
      <c r="A32" s="926" t="s">
        <v>137</v>
      </c>
      <c r="B32" s="933" t="s">
        <v>526</v>
      </c>
      <c r="C32" s="926" t="s">
        <v>515</v>
      </c>
      <c r="D32" s="979" cm="1">
        <f t="array" ref="D32">_xll.FDSRC("-",$C$2,"FE_TIMESERIES("&amp;$B32&amp;",MEAN,"&amp;D$5&amp;",,Q,'CURRENCY=USD')")</f>
        <v>-73.233000000000004</v>
      </c>
      <c r="E32" s="979" cm="1">
        <f t="array" ref="E32">_xll.FDSRC("-",$C$2,"FE_TIMESERIES("&amp;$B32&amp;",MEAN,"&amp;E$5&amp;",,Q,'CURRENCY=USD')")</f>
        <v>0.28399999999999997</v>
      </c>
      <c r="F32" s="979" cm="1">
        <f t="array" ref="F32">_xll.FDSRC("-",$C$2,"FE_TIMESERIES("&amp;$B32&amp;",MEAN,"&amp;F$5&amp;",,Q,'CURRENCY=USD')")</f>
        <v>50.561</v>
      </c>
      <c r="G32" s="979" cm="1">
        <f t="array" ref="G32">_xll.FDSRC("-",$C$2,"FE_TIMESERIES("&amp;$B32&amp;",MEAN,"&amp;G$5&amp;",,Q,'CURRENCY=USD')")</f>
        <v>112.541</v>
      </c>
      <c r="H32" s="979" cm="1">
        <f t="array" ref="H32">_xll.FDSRC("-",$C$2,"FE_TIMESERIES("&amp;$B32&amp;",MEAN,"&amp;H$5&amp;",,Q,'CURRENCY=USD')")</f>
        <v>118.899</v>
      </c>
      <c r="I32" s="979" cm="1">
        <f t="array" ref="I32">_xll.FDSRC("-",$C$2,"FE_TIMESERIES("&amp;$B32&amp;",MEAN,"&amp;I$5&amp;",,Q,'CURRENCY=USD')")</f>
        <v>139.441</v>
      </c>
      <c r="J32" s="979" cm="1">
        <f t="array" ref="J32">_xll.FDSRC("-",$C$2,"FE_TIMESERIES("&amp;$B32&amp;",MEAN,"&amp;J$5&amp;",,Q,'CURRENCY=USD')")</f>
        <v>-4.0850770000000001</v>
      </c>
      <c r="K32" s="979" cm="1">
        <f t="array" ref="K32">_xll.FDSRC("-",$C$2,"FE_TIMESERIES("&amp;$B32&amp;",MEAN,"&amp;K$5&amp;",,Q,'CURRENCY=USD')")</f>
        <v>14.329091</v>
      </c>
      <c r="L32" s="979" cm="1">
        <f t="array" ref="L32">_xll.FDSRC("-",$C$2,"FE_TIMESERIES("&amp;$B32&amp;",MEAN,"&amp;L$5&amp;",,Q,'CURRENCY=USD')")</f>
        <v>-97.989639999999994</v>
      </c>
      <c r="M32" s="979" cm="1">
        <f t="array" ref="M32">_xll.FDSRC("-",$C$2,"FE_TIMESERIES("&amp;$B32&amp;",MEAN,"&amp;M$5&amp;",,Q,'CURRENCY=USD')")</f>
        <v>-190.1491</v>
      </c>
      <c r="N32" s="979" cm="1">
        <f t="array" ref="N32">_xll.FDSRC("-",$C$2,"FE_TIMESERIES("&amp;$B32&amp;",MEAN,"&amp;N$5&amp;",,Q,'CURRENCY=USD')")</f>
        <v>-345.25760000000002</v>
      </c>
      <c r="O32" s="979" cm="1">
        <f t="array" ref="O32">_xll.FDSRC("-",$C$2,"FE_TIMESERIES("&amp;$B32&amp;",MEAN,"&amp;O$5&amp;",,Q,'CURRENCY=USD')")</f>
        <v>-188.80906999999999</v>
      </c>
      <c r="P32" s="979" cm="1">
        <f t="array" ref="P32">_xll.FDSRC("-",$C$2,"FE_TIMESERIES("&amp;$B32&amp;",MEAN,"&amp;P$5&amp;",,Q,'CURRENCY=USD')")</f>
        <v>-193</v>
      </c>
      <c r="Q32" s="979" cm="1">
        <f t="array" ref="Q32">_xll.FDSRC("-",$C$2,"FE_TIMESERIES("&amp;$B32&amp;",MEAN,"&amp;Q$5&amp;",,Q,'CURRENCY=USD')")</f>
        <v>-1636</v>
      </c>
      <c r="R32" s="979" cm="1">
        <f t="array" ref="R32">_xll.FDSRC("-",$C$2,"FE_TIMESERIES("&amp;$B32&amp;",MEAN,"&amp;R$5&amp;",,Q,'CURRENCY=USD')")</f>
        <v>122</v>
      </c>
      <c r="S32" s="979" cm="1">
        <f t="array" ref="S32">_xll.FDSRC("-",$C$2,"FE_TIMESERIES("&amp;$B32&amp;",MEAN,"&amp;S$5&amp;",,Q,'CURRENCY=USD')")</f>
        <v>289</v>
      </c>
      <c r="T32" s="979" cm="1">
        <f t="array" ref="T32">_xll.FDSRC("-",$C$2,"FE_TIMESERIES("&amp;$B32&amp;",MEAN,"&amp;T$5&amp;",,Q,'CURRENCY=USD')")</f>
        <v>86</v>
      </c>
      <c r="U32" s="979" cm="1">
        <f t="array" ref="U32">_xll.FDSRC("-",$C$2,"FE_TIMESERIES("&amp;$B32&amp;",MEAN,"&amp;U$5&amp;",,Q,'CURRENCY=USD')")</f>
        <v>241</v>
      </c>
      <c r="V32" s="979" cm="1">
        <f t="array" ref="V32">_xll.FDSRC("-",$C$2,"FE_TIMESERIES("&amp;$B32&amp;",MEAN,"&amp;V$5&amp;",,Q,'CURRENCY=USD')")</f>
        <v>283</v>
      </c>
      <c r="W32" s="986" cm="1">
        <f t="array" ref="W32">_xll.FDSRC("-",$C$2,"FE_TIMESERIES("&amp;$B32&amp;",MEAN,"&amp;W$5&amp;",,Q,'CURRENCY=USD')")</f>
        <v>424.81213000000002</v>
      </c>
      <c r="X32" s="986" cm="1">
        <f t="array" ref="X32">_xll.FDSRC("-",$C$2,"FE_TIMESERIES("&amp;$B32&amp;",MEAN,"&amp;X$5&amp;",,Q,'CURRENCY=USD')")</f>
        <v>228.42035999999999</v>
      </c>
      <c r="Y32" s="986" cm="1">
        <f t="array" ref="Y32">_xll.FDSRC("-",$C$2,"FE_TIMESERIES("&amp;$B32&amp;",MEAN,"&amp;Y$5&amp;",,Q,'CURRENCY=USD')")</f>
        <v>311.51846</v>
      </c>
      <c r="Z32" s="986" cm="1">
        <f t="array" ref="Z32">_xll.FDSRC("-",$C$2,"FE_TIMESERIES("&amp;$B32&amp;",MEAN,"&amp;Z$5&amp;",,Q,'CURRENCY=USD')")</f>
        <v>358.04565000000002</v>
      </c>
      <c r="AA32" s="986" cm="1">
        <f t="array" ref="AA32">_xll.FDSRC("-",$C$2,"FE_TIMESERIES("&amp;$B32&amp;",MEAN,"&amp;AA$5&amp;",,Q,'CURRENCY=USD')")</f>
        <v>563.38400000000001</v>
      </c>
      <c r="AB32" s="980"/>
      <c r="AC32" s="979" cm="1">
        <f t="array" ref="AC32">_xll.FDSRC("-",$C$2,"FE_TIMESERIES("&amp;$B32&amp;",MEAN,"&amp;AC$5&amp;",,Y,'CURRENCY=USD')")</f>
        <v>90.153000000000006</v>
      </c>
      <c r="AD32" s="979" cm="1">
        <f t="array" ref="AD32">_xll.FDSRC("-",$C$2,"FE_TIMESERIES("&amp;$B32&amp;",MEAN,"&amp;AD$5&amp;",,Y,'CURRENCY=USD')")</f>
        <v>270.37786999999997</v>
      </c>
      <c r="AE32" s="979" cm="1">
        <f t="array" ref="AE32">_xll.FDSRC("-",$C$2,"FE_TIMESERIES("&amp;$B32&amp;",MEAN,"&amp;AE$5&amp;",,Y,'CURRENCY=USD')")</f>
        <v>-822.16849999999999</v>
      </c>
      <c r="AF32" s="979" cm="1">
        <f t="array" ref="AF32">_xll.FDSRC("-",$C$2,"FE_TIMESERIES("&amp;$B32&amp;",MEAN,"&amp;AF$5&amp;",,Y,'CURRENCY=USD')")</f>
        <v>-1409.0588</v>
      </c>
      <c r="AG32" s="986" cm="1">
        <f t="array" ref="AG32">_xll.FDSRC("-",$C$2,"FE_TIMESERIES("&amp;$B32&amp;",MEAN,"&amp;AG$5&amp;",,Y,'CURRENCY=USD')")</f>
        <v>1027.8622</v>
      </c>
      <c r="AH32" s="986" cm="1">
        <f t="array" ref="AH32">_xll.FDSRC("-",$C$2,"FE_TIMESERIES("&amp;$B32&amp;",MEAN,"&amp;AH$5&amp;",,Y,'CURRENCY=USD')")</f>
        <v>1496.0663</v>
      </c>
      <c r="AI32" s="986" cm="1">
        <f t="array" ref="AI32">_xll.FDSRC("-",$C$2,"FE_TIMESERIES("&amp;$B32&amp;",MEAN,"&amp;AI$5&amp;",,Y,'CURRENCY=USD')")</f>
        <v>2009.6965</v>
      </c>
      <c r="AJ32" s="986" cm="1">
        <f t="array" ref="AJ32">_xll.FDSRC("-",$C$2,"FE_TIMESERIES("&amp;$B32&amp;",MEAN,"&amp;AJ$5&amp;",,Y,'CURRENCY=USD')")</f>
        <v>3042</v>
      </c>
    </row>
    <row r="33" spans="1:36">
      <c r="A33" s="926" t="s">
        <v>491</v>
      </c>
      <c r="C33" s="926" t="s">
        <v>512</v>
      </c>
      <c r="D33" s="978"/>
      <c r="E33" s="964"/>
      <c r="F33" s="964"/>
      <c r="G33" s="964"/>
      <c r="H33" s="978">
        <f>H32/D32-1</f>
        <v>-2.6235713407889882</v>
      </c>
      <c r="I33" s="978">
        <f t="shared" ref="I33" si="185">I32/E32-1</f>
        <v>489.98943661971839</v>
      </c>
      <c r="J33" s="978">
        <f t="shared" ref="J33" si="186">J32/F32-1</f>
        <v>-1.0807950198769802</v>
      </c>
      <c r="K33" s="978">
        <f t="shared" ref="K33" si="187">K32/G32-1</f>
        <v>-0.87267670448991919</v>
      </c>
      <c r="L33" s="978">
        <f t="shared" ref="L33" si="188">L32/H32-1</f>
        <v>-1.8241418346663973</v>
      </c>
      <c r="M33" s="978">
        <f t="shared" ref="M33" si="189">M32/I32-1</f>
        <v>-2.3636527276769383</v>
      </c>
      <c r="N33" s="978">
        <f t="shared" ref="N33" si="190">N32/J32-1</f>
        <v>83.516791237961982</v>
      </c>
      <c r="O33" s="978">
        <f t="shared" ref="O33" si="191">O32/K32-1</f>
        <v>-14.176625788753801</v>
      </c>
      <c r="P33" s="978">
        <f t="shared" ref="P33" si="192">P32/L32-1</f>
        <v>0.96959596953310578</v>
      </c>
      <c r="Q33" s="978">
        <f t="shared" ref="Q33" si="193">Q32/M32-1</f>
        <v>7.6037746168664491</v>
      </c>
      <c r="R33" s="978">
        <f t="shared" ref="R33" si="194">R32/N32-1</f>
        <v>-1.3533593467602161</v>
      </c>
      <c r="S33" s="978">
        <f t="shared" ref="S33" si="195">S32/O32-1</f>
        <v>-2.5306468063213279</v>
      </c>
      <c r="T33" s="978">
        <f t="shared" ref="T33" si="196">T32/P32-1</f>
        <v>-1.4455958549222798</v>
      </c>
      <c r="U33" s="978">
        <f t="shared" ref="U33" si="197">U32/Q32-1</f>
        <v>-1.1473105134474328</v>
      </c>
      <c r="V33" s="978">
        <f t="shared" ref="V33" si="198">V32/R32-1</f>
        <v>1.319672131147541</v>
      </c>
      <c r="W33" s="987">
        <f t="shared" ref="W33" si="199">W32/S32-1</f>
        <v>0.46993816608996553</v>
      </c>
      <c r="X33" s="987">
        <f t="shared" ref="X33" si="200">X32/T32-1</f>
        <v>1.6560506976744183</v>
      </c>
      <c r="Y33" s="987">
        <f t="shared" ref="Y33" si="201">Y32/U32-1</f>
        <v>0.29260771784232364</v>
      </c>
      <c r="Z33" s="987">
        <f t="shared" ref="Z33" si="202">Z32/V32-1</f>
        <v>0.26517897526501777</v>
      </c>
      <c r="AA33" s="987">
        <f t="shared" ref="AA33" si="203">AA32/W32-1</f>
        <v>0.32619565265238548</v>
      </c>
      <c r="AB33" s="964"/>
      <c r="AC33" s="964"/>
      <c r="AD33" s="978">
        <f t="shared" ref="AD33" si="204">AD32/AC32-1</f>
        <v>1.9991000854103573</v>
      </c>
      <c r="AE33" s="978">
        <f t="shared" ref="AE33" si="205">AE32/AD32-1</f>
        <v>-4.0408128446311089</v>
      </c>
      <c r="AF33" s="978">
        <f t="shared" ref="AF33" si="206">AF32/AE32-1</f>
        <v>0.71383214024862296</v>
      </c>
      <c r="AG33" s="987">
        <f t="shared" ref="AG33" si="207">AG32/AF32-1</f>
        <v>-1.7294672159884314</v>
      </c>
      <c r="AH33" s="987">
        <f t="shared" ref="AH33" si="208">AH32/AG32-1</f>
        <v>0.45551251909059398</v>
      </c>
      <c r="AI33" s="987">
        <f t="shared" ref="AI33" si="209">AI32/AH32-1</f>
        <v>0.34332047984771807</v>
      </c>
      <c r="AJ33" s="987">
        <f t="shared" ref="AJ33" si="210">AJ32/AI32-1</f>
        <v>0.51366139116030696</v>
      </c>
    </row>
    <row r="34" spans="1:36">
      <c r="A34" s="926" t="s">
        <v>492</v>
      </c>
      <c r="C34" s="926" t="s">
        <v>513</v>
      </c>
      <c r="D34" s="978"/>
      <c r="E34" s="978">
        <f>E32/D32-1</f>
        <v>-1.0038780331271422</v>
      </c>
      <c r="F34" s="978">
        <f t="shared" ref="F34:AA34" si="211">F32/E32-1</f>
        <v>177.03169014084509</v>
      </c>
      <c r="G34" s="978">
        <f t="shared" si="211"/>
        <v>1.2258460077925672</v>
      </c>
      <c r="H34" s="978">
        <f t="shared" si="211"/>
        <v>5.6494966278956227E-2</v>
      </c>
      <c r="I34" s="978">
        <f t="shared" si="211"/>
        <v>0.17276848417564494</v>
      </c>
      <c r="J34" s="978">
        <f t="shared" si="211"/>
        <v>-1.0292960965569669</v>
      </c>
      <c r="K34" s="978">
        <f t="shared" si="211"/>
        <v>-4.507667297336134</v>
      </c>
      <c r="L34" s="978">
        <f t="shared" si="211"/>
        <v>-7.8385105517160856</v>
      </c>
      <c r="M34" s="978">
        <f t="shared" si="211"/>
        <v>0.94050207756656734</v>
      </c>
      <c r="N34" s="978">
        <f t="shared" si="211"/>
        <v>0.81572040046468808</v>
      </c>
      <c r="O34" s="978">
        <f t="shared" si="211"/>
        <v>-0.45313565870816463</v>
      </c>
      <c r="P34" s="978">
        <f t="shared" si="211"/>
        <v>2.2196656124623626E-2</v>
      </c>
      <c r="Q34" s="978">
        <f t="shared" si="211"/>
        <v>7.4766839378238341</v>
      </c>
      <c r="R34" s="978">
        <f t="shared" si="211"/>
        <v>-1.0745721271393642</v>
      </c>
      <c r="S34" s="978">
        <f t="shared" si="211"/>
        <v>1.3688524590163933</v>
      </c>
      <c r="T34" s="978">
        <f t="shared" si="211"/>
        <v>-0.70242214532871972</v>
      </c>
      <c r="U34" s="978">
        <f t="shared" si="211"/>
        <v>1.8023255813953489</v>
      </c>
      <c r="V34" s="978">
        <f t="shared" si="211"/>
        <v>0.17427385892116187</v>
      </c>
      <c r="W34" s="987">
        <f t="shared" si="211"/>
        <v>0.50110293286219099</v>
      </c>
      <c r="X34" s="987">
        <f t="shared" si="211"/>
        <v>-0.46230264187606895</v>
      </c>
      <c r="Y34" s="987">
        <f t="shared" si="211"/>
        <v>0.36379462846481814</v>
      </c>
      <c r="Z34" s="987">
        <f t="shared" si="211"/>
        <v>0.14935612483446414</v>
      </c>
      <c r="AA34" s="987">
        <f t="shared" si="211"/>
        <v>0.57349768109178245</v>
      </c>
      <c r="AB34" s="964"/>
      <c r="AC34" s="964"/>
      <c r="AD34" s="964"/>
      <c r="AE34" s="964"/>
      <c r="AF34" s="964"/>
      <c r="AG34" s="993"/>
      <c r="AH34" s="993"/>
      <c r="AI34" s="993"/>
      <c r="AJ34" s="993"/>
    </row>
    <row r="35" spans="1:36">
      <c r="A35" s="926" t="s">
        <v>438</v>
      </c>
      <c r="C35" s="926" t="s">
        <v>65</v>
      </c>
      <c r="D35" s="978">
        <f>D32/D$10</f>
        <v>-0.15581456209667641</v>
      </c>
      <c r="E35" s="978">
        <f t="shared" ref="E35:AA35" si="212">E32/E$10</f>
        <v>3.9756922814174179E-4</v>
      </c>
      <c r="F35" s="978">
        <f t="shared" si="212"/>
        <v>6.5885679660674615E-2</v>
      </c>
      <c r="G35" s="978">
        <f t="shared" si="212"/>
        <v>0.11510272627599862</v>
      </c>
      <c r="H35" s="978">
        <f t="shared" si="212"/>
        <v>0.12026436129376815</v>
      </c>
      <c r="I35" s="978">
        <f t="shared" si="212"/>
        <v>0.12456762551366803</v>
      </c>
      <c r="J35" s="978">
        <f t="shared" si="212"/>
        <v>-3.6352510367166782E-3</v>
      </c>
      <c r="K35" s="978">
        <f t="shared" si="212"/>
        <v>1.0383218697645838E-2</v>
      </c>
      <c r="L35" s="978">
        <f t="shared" si="212"/>
        <v>-8.1412236223468631E-2</v>
      </c>
      <c r="M35" s="978">
        <f t="shared" si="212"/>
        <v>-0.14682613896003513</v>
      </c>
      <c r="N35" s="978">
        <f t="shared" si="212"/>
        <v>-0.25271380471380472</v>
      </c>
      <c r="O35" s="978">
        <f t="shared" si="212"/>
        <v>-0.10882505138393685</v>
      </c>
      <c r="P35" s="978">
        <f t="shared" si="212"/>
        <v>-0.12798408488063662</v>
      </c>
      <c r="Q35" s="978">
        <f t="shared" si="212"/>
        <v>-0.96576151121605669</v>
      </c>
      <c r="R35" s="978">
        <f t="shared" si="212"/>
        <v>7.1178529754959155E-2</v>
      </c>
      <c r="S35" s="978">
        <f t="shared" si="212"/>
        <v>0.13479477611940299</v>
      </c>
      <c r="T35" s="978">
        <f t="shared" si="212"/>
        <v>4.6211714132186998E-2</v>
      </c>
      <c r="U35" s="978">
        <f t="shared" si="212"/>
        <v>0.11784841075794621</v>
      </c>
      <c r="V35" s="978">
        <f t="shared" si="212"/>
        <v>0.13089731729879742</v>
      </c>
      <c r="W35" s="987">
        <f t="shared" si="212"/>
        <v>0.15584888035608838</v>
      </c>
      <c r="X35" s="987">
        <f t="shared" si="212"/>
        <v>9.846689841397932E-2</v>
      </c>
      <c r="Y35" s="987">
        <f t="shared" si="212"/>
        <v>0.12324240046936155</v>
      </c>
      <c r="Z35" s="987">
        <f t="shared" si="212"/>
        <v>0.13574569822513519</v>
      </c>
      <c r="AA35" s="987">
        <f t="shared" si="212"/>
        <v>0.17023074111849365</v>
      </c>
      <c r="AB35" s="964"/>
      <c r="AC35" s="964"/>
      <c r="AD35" s="978">
        <f t="shared" ref="AD35:AJ35" si="213">AD32/AD$10</f>
        <v>5.8626693895039217E-2</v>
      </c>
      <c r="AE35" s="978">
        <f t="shared" si="213"/>
        <v>-0.14681936918468022</v>
      </c>
      <c r="AF35" s="978">
        <f t="shared" si="213"/>
        <v>-0.19958339943342776</v>
      </c>
      <c r="AG35" s="987">
        <f t="shared" si="213"/>
        <v>0.11681271729169092</v>
      </c>
      <c r="AH35" s="987">
        <f t="shared" si="213"/>
        <v>0.13778260875571516</v>
      </c>
      <c r="AI35" s="987">
        <f t="shared" si="213"/>
        <v>0.15278182068779078</v>
      </c>
      <c r="AJ35" s="987">
        <f t="shared" si="213"/>
        <v>0.17579593894044171</v>
      </c>
    </row>
    <row r="36" spans="1:36">
      <c r="A36" s="926"/>
      <c r="D36" s="976"/>
      <c r="W36" s="988"/>
      <c r="X36" s="988"/>
      <c r="Y36" s="988"/>
      <c r="Z36" s="988"/>
      <c r="AA36" s="988"/>
      <c r="AG36" s="988"/>
      <c r="AH36" s="988"/>
      <c r="AI36" s="988"/>
      <c r="AJ36" s="988"/>
    </row>
    <row r="37" spans="1:36">
      <c r="A37" s="926" t="s">
        <v>493</v>
      </c>
      <c r="B37" s="933" t="s">
        <v>527</v>
      </c>
      <c r="C37" s="926" t="s">
        <v>516</v>
      </c>
      <c r="D37" s="979" cm="1">
        <f t="array" ref="D37">_xll.FDSRC("-",$C$2,"FE_TIMESERIES("&amp;$B37&amp;",MEAN,"&amp;D$5&amp;",,Q,'CURRENCY=USD')")</f>
        <v>-7.2720000000000002</v>
      </c>
      <c r="E37" s="979" cm="1">
        <f t="array" ref="E37">_xll.FDSRC("-",$C$2,"FE_TIMESERIES("&amp;$B37&amp;",MEAN,"&amp;E$5&amp;",,Q,'CURRENCY=USD')")</f>
        <v>113.7</v>
      </c>
      <c r="F37" s="979" cm="1">
        <f t="array" ref="F37">_xll.FDSRC("-",$C$2,"FE_TIMESERIES("&amp;$B37&amp;",MEAN,"&amp;F$5&amp;",,Q,'CURRENCY=USD')")</f>
        <v>130.94</v>
      </c>
      <c r="G37" s="979" cm="1">
        <f t="array" ref="G37">_xll.FDSRC("-",$C$2,"FE_TIMESERIES("&amp;$B37&amp;",MEAN,"&amp;G$5&amp;",,Q,'CURRENCY=USD')")</f>
        <v>200.00700000000001</v>
      </c>
      <c r="H37" s="979" cm="1">
        <f t="array" ref="H37">_xll.FDSRC("-",$C$2,"FE_TIMESERIES("&amp;$B37&amp;",MEAN,"&amp;H$5&amp;",,Q,'CURRENCY=USD')")</f>
        <v>210.84200000000001</v>
      </c>
      <c r="I37" s="979" cm="1">
        <f t="array" ref="I37">_xll.FDSRC("-",$C$2,"FE_TIMESERIES("&amp;$B37&amp;",MEAN,"&amp;I$5&amp;",,Q,'CURRENCY=USD')")</f>
        <v>236.803</v>
      </c>
      <c r="J37" s="979" cm="1">
        <f t="array" ref="J37">_xll.FDSRC("-",$C$2,"FE_TIMESERIES("&amp;$B37&amp;",MEAN,"&amp;J$5&amp;",,Q,'CURRENCY=USD')")</f>
        <v>140.16113000000001</v>
      </c>
      <c r="K37" s="979" cm="1">
        <f t="array" ref="K37">_xll.FDSRC("-",$C$2,"FE_TIMESERIES("&amp;$B37&amp;",MEAN,"&amp;K$5&amp;",,Q,'CURRENCY=USD')")</f>
        <v>130.17845</v>
      </c>
      <c r="L37" s="979" cm="1">
        <f t="array" ref="L37">_xll.FDSRC("-",$C$2,"FE_TIMESERIES("&amp;$B37&amp;",MEAN,"&amp;L$5&amp;",,Q,'CURRENCY=USD')")</f>
        <v>31.925599999999999</v>
      </c>
      <c r="M37" s="979" cm="1">
        <f t="array" ref="M37">_xll.FDSRC("-",$C$2,"FE_TIMESERIES("&amp;$B37&amp;",MEAN,"&amp;M$5&amp;",,Q,'CURRENCY=USD')")</f>
        <v>-41.803856000000003</v>
      </c>
      <c r="N37" s="979" cm="1">
        <f t="array" ref="N37">_xll.FDSRC("-",$C$2,"FE_TIMESERIES("&amp;$B37&amp;",MEAN,"&amp;N$5&amp;",,Q,'CURRENCY=USD')")</f>
        <v>-45.073193000000003</v>
      </c>
      <c r="O37" s="979" cm="1">
        <f t="array" ref="O37">_xll.FDSRC("-",$C$2,"FE_TIMESERIES("&amp;$B37&amp;",MEAN,"&amp;O$5&amp;",,Q,'CURRENCY=USD')")</f>
        <v>60.997430000000001</v>
      </c>
      <c r="P37" s="979" cm="1">
        <f t="array" ref="P37">_xll.FDSRC("-",$C$2,"FE_TIMESERIES("&amp;$B37&amp;",MEAN,"&amp;P$5&amp;",,Q,'CURRENCY=USD')")</f>
        <v>-30.995705000000001</v>
      </c>
      <c r="Q37" s="979" cm="1">
        <f t="array" ref="Q37">_xll.FDSRC("-",$C$2,"FE_TIMESERIES("&amp;$B37&amp;",MEAN,"&amp;Q$5&amp;",,Q,'CURRENCY=USD')")</f>
        <v>146</v>
      </c>
      <c r="R37" s="979" cm="1">
        <f t="array" ref="R37">_xll.FDSRC("-",$C$2,"FE_TIMESERIES("&amp;$B37&amp;",MEAN,"&amp;R$5&amp;",,Q,'CURRENCY=USD')")</f>
        <v>271.02902</v>
      </c>
      <c r="S37" s="979" cm="1">
        <f t="array" ref="S37">_xll.FDSRC("-",$C$2,"FE_TIMESERIES("&amp;$B37&amp;",MEAN,"&amp;S$5&amp;",,Q,'CURRENCY=USD')")</f>
        <v>398.58066000000002</v>
      </c>
      <c r="T37" s="979" cm="1">
        <f t="array" ref="T37">_xll.FDSRC("-",$C$2,"FE_TIMESERIES("&amp;$B37&amp;",MEAN,"&amp;T$5&amp;",,Q,'CURRENCY=USD')")</f>
        <v>201</v>
      </c>
      <c r="U37" s="979" cm="1">
        <f t="array" ref="U37">_xll.FDSRC("-",$C$2,"FE_TIMESERIES("&amp;$B37&amp;",MEAN,"&amp;U$5&amp;",,Q,'CURRENCY=USD')")</f>
        <v>299</v>
      </c>
      <c r="V37" s="979" cm="1">
        <f t="array" ref="V37">_xll.FDSRC("-",$C$2,"FE_TIMESERIES("&amp;$B37&amp;",MEAN,"&amp;V$5&amp;",,Q,'CURRENCY=USD')")</f>
        <v>396.78570000000002</v>
      </c>
      <c r="W37" s="986" cm="1">
        <f t="array" ref="W37">_xll.FDSRC("-",$C$2,"FE_TIMESERIES("&amp;$B37&amp;",MEAN,"&amp;W$5&amp;",,Q,'CURRENCY=USD')")</f>
        <v>550.71294999999998</v>
      </c>
      <c r="X37" s="986" cm="1">
        <f t="array" ref="X37">_xll.FDSRC("-",$C$2,"FE_TIMESERIES("&amp;$B37&amp;",MEAN,"&amp;X$5&amp;",,Q,'CURRENCY=USD')")</f>
        <v>346.81009999999998</v>
      </c>
      <c r="Y37" s="986" cm="1">
        <f t="array" ref="Y37">_xll.FDSRC("-",$C$2,"FE_TIMESERIES("&amp;$B37&amp;",MEAN,"&amp;Y$5&amp;",,Q,'CURRENCY=USD')")</f>
        <v>428.70015999999998</v>
      </c>
      <c r="Z37" s="986" cm="1">
        <f t="array" ref="Z37">_xll.FDSRC("-",$C$2,"FE_TIMESERIES("&amp;$B37&amp;",MEAN,"&amp;Z$5&amp;",,Q,'CURRENCY=USD')")</f>
        <v>488.01785000000001</v>
      </c>
      <c r="AA37" s="986" cm="1">
        <f t="array" ref="AA37">_xll.FDSRC("-",$C$2,"FE_TIMESERIES("&amp;$B37&amp;",MEAN,"&amp;AA$5&amp;",,Q,'CURRENCY=USD')")</f>
        <v>693.22484999999995</v>
      </c>
      <c r="AB37" s="980"/>
      <c r="AC37" s="979" cm="1">
        <f t="array" ref="AC37">_xll.FDSRC("-",$C$2,"FE_TIMESERIES("&amp;$B37&amp;",MEAN,"&amp;AC$5&amp;",,Y,'CURRENCY=USD')")</f>
        <v>437.351</v>
      </c>
      <c r="AD37" s="979" cm="1">
        <f t="array" ref="AD37">_xll.FDSRC("-",$C$2,"FE_TIMESERIES("&amp;$B37&amp;",MEAN,"&amp;AD$5&amp;",,Y,'CURRENCY=USD')")</f>
        <v>711.47619999999995</v>
      </c>
      <c r="AE37" s="979" cm="1">
        <f t="array" ref="AE37">_xll.FDSRC("-",$C$2,"FE_TIMESERIES("&amp;$B37&amp;",MEAN,"&amp;AE$5&amp;",,Y,'CURRENCY=USD')")</f>
        <v>6.0746799999999999</v>
      </c>
      <c r="AF37" s="979" cm="1">
        <f t="array" ref="AF37">_xll.FDSRC("-",$C$2,"FE_TIMESERIES("&amp;$B37&amp;",MEAN,"&amp;AF$5&amp;",,Y,'CURRENCY=USD')")</f>
        <v>770.36429999999996</v>
      </c>
      <c r="AG37" s="986" cm="1">
        <f t="array" ref="AG37">_xll.FDSRC("-",$C$2,"FE_TIMESERIES("&amp;$B37&amp;",MEAN,"&amp;AG$5&amp;",,Y,'CURRENCY=USD')")</f>
        <v>1440.3164999999999</v>
      </c>
      <c r="AH37" s="986" cm="1">
        <f t="array" ref="AH37">_xll.FDSRC("-",$C$2,"FE_TIMESERIES("&amp;$B37&amp;",MEAN,"&amp;AH$5&amp;",,Y,'CURRENCY=USD')")</f>
        <v>1978.1371999999999</v>
      </c>
      <c r="AI37" s="986" cm="1">
        <f t="array" ref="AI37">_xll.FDSRC("-",$C$2,"FE_TIMESERIES("&amp;$B37&amp;",MEAN,"&amp;AI$5&amp;",,Y,'CURRENCY=USD')")</f>
        <v>2581.489</v>
      </c>
      <c r="AJ37" s="986" cm="1">
        <f t="array" ref="AJ37">_xll.FDSRC("-",$C$2,"FE_TIMESERIES("&amp;$B37&amp;",MEAN,"&amp;AJ$5&amp;",,Y,'CURRENCY=USD')")</f>
        <v>3639.9850000000001</v>
      </c>
    </row>
    <row r="38" spans="1:36">
      <c r="A38" s="926" t="s">
        <v>494</v>
      </c>
      <c r="C38" s="926" t="s">
        <v>512</v>
      </c>
      <c r="D38" s="978"/>
      <c r="E38" s="964"/>
      <c r="F38" s="964"/>
      <c r="G38" s="964"/>
      <c r="H38" s="978">
        <f>H37/D37-1</f>
        <v>-29.993674367436743</v>
      </c>
      <c r="I38" s="978">
        <f t="shared" ref="I38" si="214">I37/E37-1</f>
        <v>1.0827000879507476</v>
      </c>
      <c r="J38" s="978">
        <f t="shared" ref="J38" si="215">J37/F37-1</f>
        <v>7.0422559951122787E-2</v>
      </c>
      <c r="K38" s="978">
        <f t="shared" ref="K38" si="216">K37/G37-1</f>
        <v>-0.34913053043143494</v>
      </c>
      <c r="L38" s="978">
        <f t="shared" ref="L38" si="217">L37/H37-1</f>
        <v>-0.84858045360981205</v>
      </c>
      <c r="M38" s="978">
        <f t="shared" ref="M38" si="218">M37/I37-1</f>
        <v>-1.1765343175550986</v>
      </c>
      <c r="N38" s="978">
        <f t="shared" ref="N38" si="219">N37/J37-1</f>
        <v>-1.3215812615095213</v>
      </c>
      <c r="O38" s="978">
        <f t="shared" ref="O38" si="220">O37/K37-1</f>
        <v>-0.53143219941549469</v>
      </c>
      <c r="P38" s="978">
        <f t="shared" ref="P38" si="221">P37/L37-1</f>
        <v>-1.9708730611170973</v>
      </c>
      <c r="Q38" s="978">
        <f t="shared" ref="Q38" si="222">Q37/M37-1</f>
        <v>-4.4925007874871632</v>
      </c>
      <c r="R38" s="978">
        <f t="shared" ref="R38" si="223">R37/N37-1</f>
        <v>-7.0130867586860326</v>
      </c>
      <c r="S38" s="978">
        <f t="shared" ref="S38" si="224">S37/O37-1</f>
        <v>5.5343844814445466</v>
      </c>
      <c r="T38" s="978">
        <f t="shared" ref="T38" si="225">T37/P37-1</f>
        <v>-7.4847694220860594</v>
      </c>
      <c r="U38" s="978">
        <f t="shared" ref="U38" si="226">U37/Q37-1</f>
        <v>1.047945205479452</v>
      </c>
      <c r="V38" s="978">
        <f t="shared" ref="V38" si="227">V37/R37-1</f>
        <v>0.4639971025980909</v>
      </c>
      <c r="W38" s="987">
        <f t="shared" ref="W38" si="228">W37/S37-1</f>
        <v>0.38168507724383804</v>
      </c>
      <c r="X38" s="987">
        <f t="shared" ref="X38" si="229">X37/T37-1</f>
        <v>0.7254233830845771</v>
      </c>
      <c r="Y38" s="987">
        <f t="shared" ref="Y38" si="230">Y37/U37-1</f>
        <v>0.43377979933110367</v>
      </c>
      <c r="Z38" s="987">
        <f t="shared" ref="Z38" si="231">Z37/V37-1</f>
        <v>0.22992801907931648</v>
      </c>
      <c r="AA38" s="987">
        <f t="shared" ref="AA38" si="232">AA37/W37-1</f>
        <v>0.25877709975768681</v>
      </c>
      <c r="AB38" s="964"/>
      <c r="AC38" s="964"/>
      <c r="AD38" s="978">
        <f t="shared" ref="AD38" si="233">AD37/AC37-1</f>
        <v>0.62678535089664811</v>
      </c>
      <c r="AE38" s="978">
        <f t="shared" ref="AE38" si="234">AE37/AD37-1</f>
        <v>-0.99146186478198428</v>
      </c>
      <c r="AF38" s="978">
        <f t="shared" ref="AF38" si="235">AF37/AE37-1</f>
        <v>125.8156182712505</v>
      </c>
      <c r="AG38" s="987">
        <f t="shared" ref="AG38" si="236">AG37/AF37-1</f>
        <v>0.86965634310935735</v>
      </c>
      <c r="AH38" s="987">
        <f t="shared" ref="AH38" si="237">AH37/AG37-1</f>
        <v>0.37340452601910767</v>
      </c>
      <c r="AI38" s="987">
        <f t="shared" ref="AI38" si="238">AI37/AH37-1</f>
        <v>0.30501008726796108</v>
      </c>
      <c r="AJ38" s="987">
        <f t="shared" ref="AJ38" si="239">AJ37/AI37-1</f>
        <v>0.41003312429377003</v>
      </c>
    </row>
    <row r="39" spans="1:36">
      <c r="A39" s="926" t="s">
        <v>495</v>
      </c>
      <c r="C39" s="926" t="s">
        <v>513</v>
      </c>
      <c r="D39" s="978"/>
      <c r="E39" s="978">
        <f>E37/D37-1</f>
        <v>-16.635313531353134</v>
      </c>
      <c r="F39" s="978">
        <f t="shared" ref="F39:AA39" si="240">F37/E37-1</f>
        <v>0.15162708883025511</v>
      </c>
      <c r="G39" s="978">
        <f t="shared" si="240"/>
        <v>0.52747059722010081</v>
      </c>
      <c r="H39" s="978">
        <f t="shared" si="240"/>
        <v>5.4173103941361989E-2</v>
      </c>
      <c r="I39" s="978">
        <f t="shared" si="240"/>
        <v>0.12313011639047233</v>
      </c>
      <c r="J39" s="978">
        <f t="shared" si="240"/>
        <v>-0.40811083474449217</v>
      </c>
      <c r="K39" s="978">
        <f t="shared" si="240"/>
        <v>-7.1222884689928101E-2</v>
      </c>
      <c r="L39" s="978">
        <f t="shared" si="240"/>
        <v>-0.75475510731614948</v>
      </c>
      <c r="M39" s="978">
        <f t="shared" si="240"/>
        <v>-2.3094148896183628</v>
      </c>
      <c r="N39" s="978">
        <f t="shared" si="240"/>
        <v>7.8206589363430945E-2</v>
      </c>
      <c r="O39" s="978">
        <f t="shared" si="240"/>
        <v>-2.3532972913634049</v>
      </c>
      <c r="P39" s="978">
        <f t="shared" si="240"/>
        <v>-1.5081477203219873</v>
      </c>
      <c r="Q39" s="978">
        <f t="shared" si="240"/>
        <v>-5.7103300279829092</v>
      </c>
      <c r="R39" s="978">
        <f t="shared" si="240"/>
        <v>0.85636315068493163</v>
      </c>
      <c r="S39" s="978">
        <f t="shared" si="240"/>
        <v>0.47061986203543826</v>
      </c>
      <c r="T39" s="978">
        <f t="shared" si="240"/>
        <v>-0.49571060472427342</v>
      </c>
      <c r="U39" s="978">
        <f t="shared" si="240"/>
        <v>0.48756218905472637</v>
      </c>
      <c r="V39" s="978">
        <f t="shared" si="240"/>
        <v>0.32704247491638805</v>
      </c>
      <c r="W39" s="987">
        <f t="shared" si="240"/>
        <v>0.38793547751342849</v>
      </c>
      <c r="X39" s="987">
        <f t="shared" si="240"/>
        <v>-0.37025250631930851</v>
      </c>
      <c r="Y39" s="987">
        <f t="shared" si="240"/>
        <v>0.23612363077084542</v>
      </c>
      <c r="Z39" s="987">
        <f t="shared" si="240"/>
        <v>0.13836638176202221</v>
      </c>
      <c r="AA39" s="987">
        <f t="shared" si="240"/>
        <v>0.42049076688485876</v>
      </c>
      <c r="AB39" s="964"/>
      <c r="AC39" s="964"/>
      <c r="AD39" s="964"/>
      <c r="AE39" s="964"/>
      <c r="AF39" s="964"/>
      <c r="AG39" s="993"/>
      <c r="AH39" s="993"/>
      <c r="AI39" s="993"/>
      <c r="AJ39" s="993"/>
    </row>
    <row r="40" spans="1:36">
      <c r="A40" s="926" t="s">
        <v>496</v>
      </c>
      <c r="C40" s="926" t="s">
        <v>65</v>
      </c>
      <c r="D40" s="978">
        <f>D37/D$10</f>
        <v>-1.5472307505728712E-2</v>
      </c>
      <c r="E40" s="978">
        <f t="shared" ref="E40:AA40" si="241">E37/E$10</f>
        <v>0.15916768042153537</v>
      </c>
      <c r="F40" s="978">
        <f t="shared" si="241"/>
        <v>0.17062698314449345</v>
      </c>
      <c r="G40" s="978">
        <f t="shared" si="241"/>
        <v>0.20455968024349933</v>
      </c>
      <c r="H40" s="978">
        <f t="shared" si="241"/>
        <v>0.21326317684674106</v>
      </c>
      <c r="I40" s="978">
        <f t="shared" si="241"/>
        <v>0.21154457745220651</v>
      </c>
      <c r="J40" s="978">
        <f t="shared" si="241"/>
        <v>0.12472736576076318</v>
      </c>
      <c r="K40" s="978">
        <f t="shared" si="241"/>
        <v>9.4330569613282095E-2</v>
      </c>
      <c r="L40" s="978">
        <f t="shared" si="241"/>
        <v>2.6524584525220937E-2</v>
      </c>
      <c r="M40" s="978">
        <f t="shared" si="241"/>
        <v>-3.227939953500332E-2</v>
      </c>
      <c r="N40" s="978">
        <f t="shared" si="241"/>
        <v>-3.2991650563607089E-2</v>
      </c>
      <c r="O40" s="978">
        <f t="shared" si="241"/>
        <v>3.5157465973631945E-2</v>
      </c>
      <c r="P40" s="978">
        <f t="shared" si="241"/>
        <v>-2.0554181034482758E-2</v>
      </c>
      <c r="Q40" s="978">
        <f t="shared" si="241"/>
        <v>8.6186540731995276E-2</v>
      </c>
      <c r="R40" s="978">
        <f t="shared" si="241"/>
        <v>0.15812661610268378</v>
      </c>
      <c r="S40" s="978">
        <f t="shared" si="241"/>
        <v>0.18590515858208956</v>
      </c>
      <c r="T40" s="978">
        <f t="shared" si="241"/>
        <v>0.10800644814615798</v>
      </c>
      <c r="U40" s="978">
        <f t="shared" si="241"/>
        <v>0.14621026894865527</v>
      </c>
      <c r="V40" s="978">
        <f t="shared" si="241"/>
        <v>0.18352715078630899</v>
      </c>
      <c r="W40" s="987">
        <f t="shared" si="241"/>
        <v>0.20203753752299511</v>
      </c>
      <c r="X40" s="987">
        <f t="shared" si="241"/>
        <v>0.14950206227519303</v>
      </c>
      <c r="Y40" s="987">
        <f t="shared" si="241"/>
        <v>0.16960162425045169</v>
      </c>
      <c r="Z40" s="987">
        <f t="shared" si="241"/>
        <v>0.18502200430190754</v>
      </c>
      <c r="AA40" s="987">
        <f t="shared" si="241"/>
        <v>0.20946313700292624</v>
      </c>
      <c r="AB40" s="964"/>
      <c r="AC40" s="964"/>
      <c r="AD40" s="978">
        <f t="shared" ref="AD40:AJ40" si="242">AD37/AD$10</f>
        <v>0.15427112208186899</v>
      </c>
      <c r="AE40" s="978">
        <f t="shared" si="242"/>
        <v>1.084790630629601E-3</v>
      </c>
      <c r="AF40" s="978">
        <f t="shared" si="242"/>
        <v>0.10911675637393767</v>
      </c>
      <c r="AG40" s="987">
        <f t="shared" si="242"/>
        <v>0.16368661492275688</v>
      </c>
      <c r="AH40" s="987">
        <f t="shared" si="242"/>
        <v>0.18217969610887289</v>
      </c>
      <c r="AI40" s="987">
        <f t="shared" si="242"/>
        <v>0.19625082170641406</v>
      </c>
      <c r="AJ40" s="987">
        <f t="shared" si="242"/>
        <v>0.21035324812758835</v>
      </c>
    </row>
    <row r="41" spans="1:36">
      <c r="A41" s="926"/>
      <c r="D41" s="976"/>
      <c r="W41" s="988"/>
      <c r="X41" s="988"/>
      <c r="Y41" s="988"/>
      <c r="Z41" s="988"/>
      <c r="AA41" s="988"/>
      <c r="AG41" s="988"/>
      <c r="AH41" s="988"/>
      <c r="AI41" s="988"/>
      <c r="AJ41" s="988"/>
    </row>
    <row r="42" spans="1:36">
      <c r="A42" s="926" t="s">
        <v>2</v>
      </c>
      <c r="B42" s="933" t="s">
        <v>528</v>
      </c>
      <c r="C42" s="926" t="s">
        <v>517</v>
      </c>
      <c r="D42" s="979" cm="1">
        <f t="array" ref="D42">_xll.FDSRC("-",$C$2,"FE_TIMESERIES("&amp;$B42&amp;",MEAN,"&amp;D$5&amp;",,Q,'CURRENCY=USD')")</f>
        <v>-58.883499999999998</v>
      </c>
      <c r="E42" s="979" cm="1">
        <f t="array" ref="E42">_xll.FDSRC("-",$C$2,"FE_TIMESERIES("&amp;$B42&amp;",MEAN,"&amp;E$5&amp;",,Q,'CURRENCY=USD')")</f>
        <v>20.2075</v>
      </c>
      <c r="F42" s="979" cm="1">
        <f t="array" ref="F42">_xll.FDSRC("-",$C$2,"FE_TIMESERIES("&amp;$B42&amp;",MEAN,"&amp;F$5&amp;",,Q,'CURRENCY=USD')")</f>
        <v>68.415499999999994</v>
      </c>
      <c r="G42" s="979" cm="1">
        <f t="array" ref="G42">_xll.FDSRC("-",$C$2,"FE_TIMESERIES("&amp;$B42&amp;",MEAN,"&amp;G$5&amp;",,Q,'CURRENCY=USD')")</f>
        <v>137.27799999999999</v>
      </c>
      <c r="H42" s="979" cm="1">
        <f t="array" ref="H42">_xll.FDSRC("-",$C$2,"FE_TIMESERIES("&amp;$B42&amp;",MEAN,"&amp;H$5&amp;",,Q,'CURRENCY=USD')")</f>
        <v>134.6995</v>
      </c>
      <c r="I42" s="979" cm="1">
        <f t="array" ref="I42">_xll.FDSRC("-",$C$2,"FE_TIMESERIES("&amp;$B42&amp;",MEAN,"&amp;I$5&amp;",,Q,'CURRENCY=USD')")</f>
        <v>154.10400000000001</v>
      </c>
      <c r="J42" s="979" cm="1">
        <f t="array" ref="J42">_xll.FDSRC("-",$C$2,"FE_TIMESERIES("&amp;$B42&amp;",MEAN,"&amp;J$5&amp;",,Q,'CURRENCY=USD')")</f>
        <v>13.551500000000001</v>
      </c>
      <c r="K42" s="979" cm="1">
        <f t="array" ref="K42">_xll.FDSRC("-",$C$2,"FE_TIMESERIES("&amp;$B42&amp;",MEAN,"&amp;K$5&amp;",,Q,'CURRENCY=USD')")</f>
        <v>90.482500000000002</v>
      </c>
      <c r="L42" s="979" cm="1">
        <f t="array" ref="L42">_xll.FDSRC("-",$C$2,"FE_TIMESERIES("&amp;$B42&amp;",MEAN,"&amp;L$5&amp;",,Q,'CURRENCY=USD')")</f>
        <v>-16.361000000000001</v>
      </c>
      <c r="M42" s="979" cm="1">
        <f t="array" ref="M42">_xll.FDSRC("-",$C$2,"FE_TIMESERIES("&amp;$B42&amp;",MEAN,"&amp;M$5&amp;",,Q,'CURRENCY=USD')")</f>
        <v>-99.586500000000001</v>
      </c>
      <c r="N42" s="979" cm="1">
        <f t="array" ref="N42">_xll.FDSRC("-",$C$2,"FE_TIMESERIES("&amp;$B42&amp;",MEAN,"&amp;N$5&amp;",,Q,'CURRENCY=USD')")</f>
        <v>-167.596</v>
      </c>
      <c r="O42" s="979" cm="1">
        <f t="array" ref="O42">_xll.FDSRC("-",$C$2,"FE_TIMESERIES("&amp;$B42&amp;",MEAN,"&amp;O$5&amp;",,Q,'CURRENCY=USD')")</f>
        <v>90.813999999999993</v>
      </c>
      <c r="P42" s="979" cm="1">
        <f t="array" ref="P42">_xll.FDSRC("-",$C$2,"FE_TIMESERIES("&amp;$B42&amp;",MEAN,"&amp;P$5&amp;",,Q,'CURRENCY=USD')")</f>
        <v>-2</v>
      </c>
      <c r="Q42" s="979" cm="1">
        <f t="array" ref="Q42">_xll.FDSRC("-",$C$2,"FE_TIMESERIES("&amp;$B42&amp;",MEAN,"&amp;Q$5&amp;",,Q,'CURRENCY=USD')")</f>
        <v>-728</v>
      </c>
      <c r="R42" s="979" cm="1">
        <f t="array" ref="R42">_xll.FDSRC("-",$C$2,"FE_TIMESERIES("&amp;$B42&amp;",MEAN,"&amp;R$5&amp;",,Q,'CURRENCY=USD')")</f>
        <v>209.5</v>
      </c>
      <c r="S42" s="979" cm="1">
        <f t="array" ref="S42">_xll.FDSRC("-",$C$2,"FE_TIMESERIES("&amp;$B42&amp;",MEAN,"&amp;S$5&amp;",,Q,'CURRENCY=USD')")</f>
        <v>352.5</v>
      </c>
      <c r="T42" s="979" cm="1">
        <f t="array" ref="T42">_xll.FDSRC("-",$C$2,"FE_TIMESERIES("&amp;$B42&amp;",MEAN,"&amp;T$5&amp;",,Q,'CURRENCY=USD')")</f>
        <v>134.33332999999999</v>
      </c>
      <c r="U42" s="979" cm="1">
        <f t="array" ref="U42">_xll.FDSRC("-",$C$2,"FE_TIMESERIES("&amp;$B42&amp;",MEAN,"&amp;U$5&amp;",,Q,'CURRENCY=USD')")</f>
        <v>270.33334000000002</v>
      </c>
      <c r="V42" s="979" cm="1">
        <f t="array" ref="V42">_xll.FDSRC("-",$C$2,"FE_TIMESERIES("&amp;$B42&amp;",MEAN,"&amp;V$5&amp;",,Q,'CURRENCY=USD')")</f>
        <v>329</v>
      </c>
      <c r="W42" s="986" cm="1">
        <f t="array" ref="W42">_xll.FDSRC("-",$C$2,"FE_TIMESERIES("&amp;$B42&amp;",MEAN,"&amp;W$5&amp;",,Q,'CURRENCY=USD')")</f>
        <v>477.86685</v>
      </c>
      <c r="X42" s="986" cm="1">
        <f t="array" ref="X42">_xll.FDSRC("-",$C$2,"FE_TIMESERIES("&amp;$B42&amp;",MEAN,"&amp;X$5&amp;",,Q,'CURRENCY=USD')")</f>
        <v>260.30282999999997</v>
      </c>
      <c r="Y42" s="986" cm="1">
        <f t="array" ref="Y42">_xll.FDSRC("-",$C$2,"FE_TIMESERIES("&amp;$B42&amp;",MEAN,"&amp;Y$5&amp;",,Q,'CURRENCY=USD')")</f>
        <v>406.41388000000001</v>
      </c>
      <c r="Z42" s="986" cm="1">
        <f t="array" ref="Z42">_xll.FDSRC("-",$C$2,"FE_TIMESERIES("&amp;$B42&amp;",MEAN,"&amp;Z$5&amp;",,Q,'CURRENCY=USD')")</f>
        <v>465.41050000000001</v>
      </c>
      <c r="AA42" s="986" cm="1">
        <f t="array" ref="AA42">_xll.FDSRC("-",$C$2,"FE_TIMESERIES("&amp;$B42&amp;",MEAN,"&amp;AA$5&amp;",,Q,'CURRENCY=USD')")</f>
        <v>684.46686</v>
      </c>
      <c r="AB42" s="980"/>
      <c r="AC42" s="979" cm="1">
        <f t="array" ref="AC42">_xll.FDSRC("-",$C$2,"FE_TIMESERIES("&amp;$B42&amp;",MEAN,"&amp;AC$5&amp;",,Y,'CURRENCY=USD')")</f>
        <v>193.471</v>
      </c>
      <c r="AD42" s="979" cm="1">
        <f t="array" ref="AD42">_xll.FDSRC("-",$C$2,"FE_TIMESERIES("&amp;$B42&amp;",MEAN,"&amp;AD$5&amp;",,Y,'CURRENCY=USD')")</f>
        <v>484.74831999999998</v>
      </c>
      <c r="AE42" s="979" cm="1">
        <f t="array" ref="AE42">_xll.FDSRC("-",$C$2,"FE_TIMESERIES("&amp;$B42&amp;",MEAN,"&amp;AE$5&amp;",,Y,'CURRENCY=USD')")</f>
        <v>-317.71050000000002</v>
      </c>
      <c r="AF42" s="979" cm="1">
        <f t="array" ref="AF42">_xll.FDSRC("-",$C$2,"FE_TIMESERIES("&amp;$B42&amp;",MEAN,"&amp;AF$5&amp;",,Y,'CURRENCY=USD')")</f>
        <v>-132</v>
      </c>
      <c r="AG42" s="986" cm="1">
        <f t="array" ref="AG42">_xll.FDSRC("-",$C$2,"FE_TIMESERIES("&amp;$B42&amp;",MEAN,"&amp;AG$5&amp;",,Y,'CURRENCY=USD')")</f>
        <v>1176.1501000000001</v>
      </c>
      <c r="AH42" s="986" cm="1">
        <f t="array" ref="AH42">_xll.FDSRC("-",$C$2,"FE_TIMESERIES("&amp;$B42&amp;",MEAN,"&amp;AH$5&amp;",,Y,'CURRENCY=USD')")</f>
        <v>1717.8488</v>
      </c>
      <c r="AI42" s="986" cm="1">
        <f t="array" ref="AI42">_xll.FDSRC("-",$C$2,"FE_TIMESERIES("&amp;$B42&amp;",MEAN,"&amp;AI$5&amp;",,Y,'CURRENCY=USD')")</f>
        <v>2210.7206999999999</v>
      </c>
      <c r="AJ42" s="986" cm="1">
        <f t="array" ref="AJ42">_xll.FDSRC("-",$C$2,"FE_TIMESERIES("&amp;$B42&amp;",MEAN,"&amp;AJ$5&amp;",,Y,'CURRENCY=USD')")</f>
        <v>2708</v>
      </c>
    </row>
    <row r="43" spans="1:36">
      <c r="A43" s="926" t="s">
        <v>497</v>
      </c>
      <c r="C43" s="926" t="s">
        <v>512</v>
      </c>
      <c r="D43" s="978"/>
      <c r="E43" s="964"/>
      <c r="F43" s="964"/>
      <c r="G43" s="964"/>
      <c r="H43" s="978">
        <f>H42/D42-1</f>
        <v>-3.2875593332597419</v>
      </c>
      <c r="I43" s="978">
        <f t="shared" ref="I43" si="243">I42/E42-1</f>
        <v>6.6260794259557105</v>
      </c>
      <c r="J43" s="978">
        <f t="shared" ref="J43" si="244">J42/F42-1</f>
        <v>-0.80192354071811212</v>
      </c>
      <c r="K43" s="978">
        <f t="shared" ref="K43" si="245">K42/G42-1</f>
        <v>-0.34088127740788754</v>
      </c>
      <c r="L43" s="978">
        <f t="shared" ref="L43" si="246">L42/H42-1</f>
        <v>-1.1214629601446182</v>
      </c>
      <c r="M43" s="978">
        <f t="shared" ref="M43" si="247">M42/I42-1</f>
        <v>-1.6462291699112286</v>
      </c>
      <c r="N43" s="978">
        <f t="shared" ref="N43" si="248">N42/J42-1</f>
        <v>-13.367339408921522</v>
      </c>
      <c r="O43" s="978">
        <f t="shared" ref="O43" si="249">O42/K42-1</f>
        <v>3.6636918741193014E-3</v>
      </c>
      <c r="P43" s="978">
        <f t="shared" ref="P43" si="250">P42/L42-1</f>
        <v>-0.87775808324674531</v>
      </c>
      <c r="Q43" s="978">
        <f t="shared" ref="Q43" si="251">Q42/M42-1</f>
        <v>6.310227791919587</v>
      </c>
      <c r="R43" s="978">
        <f t="shared" ref="R43" si="252">R42/N42-1</f>
        <v>-2.2500298336475808</v>
      </c>
      <c r="S43" s="978">
        <f t="shared" ref="S43" si="253">S42/O42-1</f>
        <v>2.8815601118770235</v>
      </c>
      <c r="T43" s="978">
        <f t="shared" ref="T43" si="254">T42/P42-1</f>
        <v>-68.166664999999995</v>
      </c>
      <c r="U43" s="978">
        <f t="shared" ref="U43" si="255">U42/Q42-1</f>
        <v>-1.3713370054945055</v>
      </c>
      <c r="V43" s="978">
        <f t="shared" ref="V43" si="256">V42/R42-1</f>
        <v>0.57040572792362765</v>
      </c>
      <c r="W43" s="987">
        <f t="shared" ref="W43" si="257">W42/S42-1</f>
        <v>0.35565063829787236</v>
      </c>
      <c r="X43" s="987">
        <f t="shared" ref="X43" si="258">X42/T42-1</f>
        <v>0.93773823666844258</v>
      </c>
      <c r="Y43" s="987">
        <f t="shared" ref="Y43" si="259">Y42/U42-1</f>
        <v>0.50338053012625061</v>
      </c>
      <c r="Z43" s="987">
        <f t="shared" ref="Z43" si="260">Z42/V42-1</f>
        <v>0.41462158054711251</v>
      </c>
      <c r="AA43" s="987">
        <f t="shared" ref="AA43" si="261">AA42/W42-1</f>
        <v>0.43233802470290628</v>
      </c>
      <c r="AB43" s="964"/>
      <c r="AC43" s="964"/>
      <c r="AD43" s="978">
        <f t="shared" ref="AD43" si="262">AD42/AC42-1</f>
        <v>1.5055347829907322</v>
      </c>
      <c r="AE43" s="978">
        <f t="shared" ref="AE43" si="263">AE42/AD42-1</f>
        <v>-1.6554133080853175</v>
      </c>
      <c r="AF43" s="978">
        <f t="shared" ref="AF43" si="264">AF42/AE42-1</f>
        <v>-0.58452742355068532</v>
      </c>
      <c r="AG43" s="987">
        <f t="shared" ref="AG43" si="265">AG42/AF42-1</f>
        <v>-9.9102280303030312</v>
      </c>
      <c r="AH43" s="987">
        <f t="shared" ref="AH43" si="266">AH42/AG42-1</f>
        <v>0.46056936100247747</v>
      </c>
      <c r="AI43" s="987">
        <f t="shared" ref="AI43" si="267">AI42/AH42-1</f>
        <v>0.28691227074233772</v>
      </c>
      <c r="AJ43" s="987">
        <f t="shared" ref="AJ43" si="268">AJ42/AI42-1</f>
        <v>0.22493990308228451</v>
      </c>
    </row>
    <row r="44" spans="1:36">
      <c r="A44" s="926" t="s">
        <v>498</v>
      </c>
      <c r="C44" s="926" t="s">
        <v>513</v>
      </c>
      <c r="D44" s="978"/>
      <c r="E44" s="978">
        <f>E42/D42-1</f>
        <v>-1.3431776304058012</v>
      </c>
      <c r="F44" s="978">
        <f t="shared" ref="F44:AA44" si="269">F42/E42-1</f>
        <v>2.3856488927378448</v>
      </c>
      <c r="G44" s="978">
        <f t="shared" si="269"/>
        <v>1.0065336071504265</v>
      </c>
      <c r="H44" s="978">
        <f t="shared" si="269"/>
        <v>-1.8783053366162039E-2</v>
      </c>
      <c r="I44" s="978">
        <f t="shared" si="269"/>
        <v>0.14405769880363328</v>
      </c>
      <c r="J44" s="978">
        <f t="shared" si="269"/>
        <v>-0.91206263302704671</v>
      </c>
      <c r="K44" s="978">
        <f t="shared" si="269"/>
        <v>5.6769361325314538</v>
      </c>
      <c r="L44" s="978">
        <f t="shared" si="269"/>
        <v>-1.1808194954825519</v>
      </c>
      <c r="M44" s="978">
        <f t="shared" si="269"/>
        <v>5.0868223213739991</v>
      </c>
      <c r="N44" s="978">
        <f t="shared" si="269"/>
        <v>0.68291886952548797</v>
      </c>
      <c r="O44" s="978">
        <f t="shared" si="269"/>
        <v>-1.5418625742857826</v>
      </c>
      <c r="P44" s="978">
        <f t="shared" si="269"/>
        <v>-1.0220230360957561</v>
      </c>
      <c r="Q44" s="978">
        <f t="shared" si="269"/>
        <v>363</v>
      </c>
      <c r="R44" s="978">
        <f t="shared" si="269"/>
        <v>-1.2877747252747254</v>
      </c>
      <c r="S44" s="978">
        <f t="shared" si="269"/>
        <v>0.68257756563245819</v>
      </c>
      <c r="T44" s="978">
        <f t="shared" si="269"/>
        <v>-0.6189125390070922</v>
      </c>
      <c r="U44" s="978">
        <f t="shared" si="269"/>
        <v>1.0124070474542695</v>
      </c>
      <c r="V44" s="978">
        <f t="shared" si="269"/>
        <v>0.21701599958036977</v>
      </c>
      <c r="W44" s="987">
        <f t="shared" si="269"/>
        <v>0.45248282674772033</v>
      </c>
      <c r="X44" s="987">
        <f t="shared" si="269"/>
        <v>-0.45528167521978147</v>
      </c>
      <c r="Y44" s="987">
        <f t="shared" si="269"/>
        <v>0.56131179979871915</v>
      </c>
      <c r="Z44" s="987">
        <f t="shared" si="269"/>
        <v>0.14516389056397383</v>
      </c>
      <c r="AA44" s="987">
        <f t="shared" si="269"/>
        <v>0.47067343775011516</v>
      </c>
      <c r="AB44" s="964"/>
      <c r="AC44" s="964"/>
      <c r="AD44" s="964"/>
      <c r="AE44" s="964"/>
      <c r="AF44" s="964"/>
      <c r="AG44" s="993"/>
      <c r="AH44" s="993"/>
      <c r="AI44" s="993"/>
      <c r="AJ44" s="993"/>
    </row>
    <row r="45" spans="1:36">
      <c r="A45" s="926" t="s">
        <v>499</v>
      </c>
      <c r="C45" s="926" t="s">
        <v>65</v>
      </c>
      <c r="D45" s="978">
        <f>D42/D$10</f>
        <v>-0.12528377599196597</v>
      </c>
      <c r="E45" s="978">
        <f t="shared" ref="E45:AA45" si="270">E42/E$10</f>
        <v>2.8288310484768479E-2</v>
      </c>
      <c r="F45" s="978">
        <f t="shared" si="270"/>
        <v>8.9151751682618685E-2</v>
      </c>
      <c r="G45" s="978">
        <f t="shared" si="270"/>
        <v>0.14040280482416664</v>
      </c>
      <c r="H45" s="978">
        <f t="shared" si="270"/>
        <v>0.13624630429263426</v>
      </c>
      <c r="I45" s="978">
        <f t="shared" si="270"/>
        <v>0.1376666071109523</v>
      </c>
      <c r="J45" s="978">
        <f t="shared" si="270"/>
        <v>1.2059284176054961E-2</v>
      </c>
      <c r="K45" s="978">
        <f t="shared" si="270"/>
        <v>6.5565888709181883E-2</v>
      </c>
      <c r="L45" s="978">
        <f t="shared" si="270"/>
        <v>-1.3593126751482814E-2</v>
      </c>
      <c r="M45" s="978">
        <f t="shared" si="270"/>
        <v>-7.6897031264116109E-2</v>
      </c>
      <c r="N45" s="978">
        <f t="shared" si="270"/>
        <v>-0.12267310789049919</v>
      </c>
      <c r="O45" s="978">
        <f t="shared" si="270"/>
        <v>5.234302682800588E-2</v>
      </c>
      <c r="P45" s="978">
        <f t="shared" si="270"/>
        <v>-1.3262599469496021E-3</v>
      </c>
      <c r="Q45" s="978">
        <f t="shared" si="270"/>
        <v>-0.42975206611570249</v>
      </c>
      <c r="R45" s="978">
        <f t="shared" si="270"/>
        <v>0.12222870478413068</v>
      </c>
      <c r="S45" s="978">
        <f t="shared" si="270"/>
        <v>0.16441231343283583</v>
      </c>
      <c r="T45" s="978">
        <f t="shared" si="270"/>
        <v>7.2183412144008585E-2</v>
      </c>
      <c r="U45" s="978">
        <f t="shared" si="270"/>
        <v>0.13219234229828852</v>
      </c>
      <c r="V45" s="978">
        <f t="shared" si="270"/>
        <v>0.15217391304347827</v>
      </c>
      <c r="W45" s="987">
        <f t="shared" si="270"/>
        <v>0.17531282247470389</v>
      </c>
      <c r="X45" s="987">
        <f t="shared" si="270"/>
        <v>0.11221071676133129</v>
      </c>
      <c r="Y45" s="987">
        <f t="shared" si="270"/>
        <v>0.16078476426490759</v>
      </c>
      <c r="Z45" s="987">
        <f t="shared" si="270"/>
        <v>0.17645088910816059</v>
      </c>
      <c r="AA45" s="987">
        <f t="shared" si="270"/>
        <v>0.20681684401553513</v>
      </c>
      <c r="AB45" s="964"/>
      <c r="AC45" s="964"/>
      <c r="AD45" s="978">
        <f t="shared" ref="AD45:AJ45" si="271">AD42/AD$10</f>
        <v>0.10510916212474977</v>
      </c>
      <c r="AE45" s="978">
        <f t="shared" si="271"/>
        <v>-5.673539571675313E-2</v>
      </c>
      <c r="AF45" s="978">
        <f t="shared" si="271"/>
        <v>-1.8696883852691217E-2</v>
      </c>
      <c r="AG45" s="987">
        <f t="shared" si="271"/>
        <v>0.13366508577112185</v>
      </c>
      <c r="AH45" s="987">
        <f t="shared" si="271"/>
        <v>0.15820802133693859</v>
      </c>
      <c r="AI45" s="987">
        <f t="shared" si="271"/>
        <v>0.16806414977494727</v>
      </c>
      <c r="AJ45" s="987">
        <f t="shared" si="271"/>
        <v>0.15649421520404871</v>
      </c>
    </row>
    <row r="46" spans="1:36">
      <c r="A46" s="926"/>
      <c r="D46" s="976"/>
      <c r="W46" s="988"/>
      <c r="X46" s="988"/>
      <c r="Y46" s="988"/>
      <c r="Z46" s="988"/>
      <c r="AA46" s="988"/>
      <c r="AG46" s="988"/>
      <c r="AH46" s="988"/>
      <c r="AI46" s="988"/>
      <c r="AJ46" s="988"/>
    </row>
    <row r="47" spans="1:36">
      <c r="A47" s="926" t="s">
        <v>441</v>
      </c>
      <c r="B47" s="933" t="s">
        <v>373</v>
      </c>
      <c r="C47" s="926" t="s">
        <v>518</v>
      </c>
      <c r="D47" s="979" cm="1">
        <f t="array" ref="D47">_xll.FDSRC("-",$C$2,"FE_TIMESERIES("&amp;$B47&amp;",MEAN,"&amp;D$5&amp;",,Q,'CURRENCY=USD')")</f>
        <v>4.4897</v>
      </c>
      <c r="E47" s="979" cm="1">
        <f t="array" ref="E47">_xll.FDSRC("-",$C$2,"FE_TIMESERIES("&amp;$B47&amp;",MEAN,"&amp;E$5&amp;",,Q,'CURRENCY=USD')")</f>
        <v>131.75458</v>
      </c>
      <c r="F47" s="979" cm="1">
        <f t="array" ref="F47">_xll.FDSRC("-",$C$2,"FE_TIMESERIES("&amp;$B47&amp;",MEAN,"&amp;F$5&amp;",,Q,'CURRENCY=USD')")</f>
        <v>146.30779999999999</v>
      </c>
      <c r="G47" s="979" cm="1">
        <f t="array" ref="G47">_xll.FDSRC("-",$C$2,"FE_TIMESERIES("&amp;$B47&amp;",MEAN,"&amp;G$5&amp;",,Q,'CURRENCY=USD')")</f>
        <v>212.45651000000001</v>
      </c>
      <c r="H47" s="979" cm="1">
        <f t="array" ref="H47">_xll.FDSRC("-",$C$2,"FE_TIMESERIES("&amp;$B47&amp;",MEAN,"&amp;H$5&amp;",,Q,'CURRENCY=USD')")</f>
        <v>225.19382999999999</v>
      </c>
      <c r="I47" s="979" cm="1">
        <f t="array" ref="I47">_xll.FDSRC("-",$C$2,"FE_TIMESERIES("&amp;$B47&amp;",MEAN,"&amp;I$5&amp;",,Q,'CURRENCY=USD')")</f>
        <v>248.38783000000001</v>
      </c>
      <c r="J47" s="979" cm="1">
        <f t="array" ref="J47">_xll.FDSRC("-",$C$2,"FE_TIMESERIES("&amp;$B47&amp;",MEAN,"&amp;J$5&amp;",,Q,'CURRENCY=USD')")</f>
        <v>151.15600000000001</v>
      </c>
      <c r="K47" s="979" cm="1">
        <f t="array" ref="K47">_xll.FDSRC("-",$C$2,"FE_TIMESERIES("&amp;$B47&amp;",MEAN,"&amp;K$5&amp;",,Q,'CURRENCY=USD')")</f>
        <v>147.48819</v>
      </c>
      <c r="L47" s="979" cm="1">
        <f t="array" ref="L47">_xll.FDSRC("-",$C$2,"FE_TIMESERIES("&amp;$B47&amp;",MEAN,"&amp;L$5&amp;",,Q,'CURRENCY=USD')")</f>
        <v>47.487569999999998</v>
      </c>
      <c r="M47" s="979" cm="1">
        <f t="array" ref="M47">_xll.FDSRC("-",$C$2,"FE_TIMESERIES("&amp;$B47&amp;",MEAN,"&amp;M$5&amp;",,Q,'CURRENCY=USD')")</f>
        <v>-27.44143</v>
      </c>
      <c r="N47" s="979" cm="1">
        <f t="array" ref="N47">_xll.FDSRC("-",$C$2,"FE_TIMESERIES("&amp;$B47&amp;",MEAN,"&amp;N$5&amp;",,Q,'CURRENCY=USD')")</f>
        <v>-23.876249999999999</v>
      </c>
      <c r="O47" s="979" cm="1">
        <f t="array" ref="O47">_xll.FDSRC("-",$C$2,"FE_TIMESERIES("&amp;$B47&amp;",MEAN,"&amp;O$5&amp;",,Q,'CURRENCY=USD')")</f>
        <v>85.808390000000003</v>
      </c>
      <c r="P47" s="979" cm="1">
        <f t="array" ref="P47">_xll.FDSRC("-",$C$2,"FE_TIMESERIES("&amp;$B47&amp;",MEAN,"&amp;P$5&amp;",,Q,'CURRENCY=USD')")</f>
        <v>-1.9851000000000001</v>
      </c>
      <c r="Q47" s="979" cm="1">
        <f t="array" ref="Q47">_xll.FDSRC("-",$C$2,"FE_TIMESERIES("&amp;$B47&amp;",MEAN,"&amp;Q$5&amp;",,Q,'CURRENCY=USD')")</f>
        <v>157.85714999999999</v>
      </c>
      <c r="R47" s="979" cm="1">
        <f t="array" ref="R47">_xll.FDSRC("-",$C$2,"FE_TIMESERIES("&amp;$B47&amp;",MEAN,"&amp;R$5&amp;",,Q,'CURRENCY=USD')")</f>
        <v>281.92856</v>
      </c>
      <c r="S47" s="979" cm="1">
        <f t="array" ref="S47">_xll.FDSRC("-",$C$2,"FE_TIMESERIES("&amp;$B47&amp;",MEAN,"&amp;S$5&amp;",,Q,'CURRENCY=USD')")</f>
        <v>404</v>
      </c>
      <c r="T47" s="979" cm="1">
        <f t="array" ref="T47">_xll.FDSRC("-",$C$2,"FE_TIMESERIES("&amp;$B47&amp;",MEAN,"&amp;T$5&amp;",,Q,'CURRENCY=USD')")</f>
        <v>209.07142999999999</v>
      </c>
      <c r="U47" s="979" cm="1">
        <f t="array" ref="U47">_xll.FDSRC("-",$C$2,"FE_TIMESERIES("&amp;$B47&amp;",MEAN,"&amp;U$5&amp;",,Q,'CURRENCY=USD')")</f>
        <v>307.92856</v>
      </c>
      <c r="V47" s="979" cm="1">
        <f t="array" ref="V47">_xll.FDSRC("-",$C$2,"FE_TIMESERIES("&amp;$B47&amp;",MEAN,"&amp;V$5&amp;",,Q,'CURRENCY=USD')")</f>
        <v>405.69232</v>
      </c>
      <c r="W47" s="986" cm="1">
        <f t="array" ref="W47">_xll.FDSRC("-",$C$2,"FE_TIMESERIES("&amp;$B47&amp;",MEAN,"&amp;W$5&amp;",,Q,'CURRENCY=USD')")</f>
        <v>565.91003000000001</v>
      </c>
      <c r="X47" s="986" cm="1">
        <f t="array" ref="X47">_xll.FDSRC("-",$C$2,"FE_TIMESERIES("&amp;$B47&amp;",MEAN,"&amp;X$5&amp;",,Q,'CURRENCY=USD')")</f>
        <v>345.72888</v>
      </c>
      <c r="Y47" s="986" cm="1">
        <f t="array" ref="Y47">_xll.FDSRC("-",$C$2,"FE_TIMESERIES("&amp;$B47&amp;",MEAN,"&amp;Y$5&amp;",,Q,'CURRENCY=USD')")</f>
        <v>438.14517000000001</v>
      </c>
      <c r="Z47" s="986" cm="1">
        <f t="array" ref="Z47">_xll.FDSRC("-",$C$2,"FE_TIMESERIES("&amp;$B47&amp;",MEAN,"&amp;Z$5&amp;",,Q,'CURRENCY=USD')")</f>
        <v>504.27816999999999</v>
      </c>
      <c r="AA47" s="986" cm="1">
        <f t="array" ref="AA47">_xll.FDSRC("-",$C$2,"FE_TIMESERIES("&amp;$B47&amp;",MEAN,"&amp;AA$5&amp;",,Q,'CURRENCY=USD')")</f>
        <v>716.18853999999999</v>
      </c>
      <c r="AB47" s="980"/>
      <c r="AC47" s="979" cm="1">
        <f t="array" ref="AC47">_xll.FDSRC("-",$C$2,"FE_TIMESERIES("&amp;$B47&amp;",MEAN,"&amp;AC$5&amp;",,Y,'CURRENCY=USD')")</f>
        <v>480.82114000000001</v>
      </c>
      <c r="AD47" s="979" cm="1">
        <f t="array" ref="AD47">_xll.FDSRC("-",$C$2,"FE_TIMESERIES("&amp;$B47&amp;",MEAN,"&amp;AD$5&amp;",,Y,'CURRENCY=USD')")</f>
        <v>760.82240000000002</v>
      </c>
      <c r="AE47" s="979" cm="1">
        <f t="array" ref="AE47">_xll.FDSRC("-",$C$2,"FE_TIMESERIES("&amp;$B47&amp;",MEAN,"&amp;AE$5&amp;",,Y,'CURRENCY=USD')")</f>
        <v>79.164000000000001</v>
      </c>
      <c r="AF47" s="979" cm="1">
        <f t="array" ref="AF47">_xll.FDSRC("-",$C$2,"FE_TIMESERIES("&amp;$B47&amp;",MEAN,"&amp;AF$5&amp;",,Y,'CURRENCY=USD')")</f>
        <v>824.5797</v>
      </c>
      <c r="AG47" s="986" cm="1">
        <f t="array" ref="AG47">_xll.FDSRC("-",$C$2,"FE_TIMESERIES("&amp;$B47&amp;",MEAN,"&amp;AG$5&amp;",,Y,'CURRENCY=USD')")</f>
        <v>1485.8966</v>
      </c>
      <c r="AH47" s="986" cm="1">
        <f t="array" ref="AH47">_xll.FDSRC("-",$C$2,"FE_TIMESERIES("&amp;$B47&amp;",MEAN,"&amp;AH$5&amp;",,Y,'CURRENCY=USD')")</f>
        <v>1996.2725</v>
      </c>
      <c r="AI47" s="986" cm="1">
        <f t="array" ref="AI47">_xll.FDSRC("-",$C$2,"FE_TIMESERIES("&amp;$B47&amp;",MEAN,"&amp;AI$5&amp;",,Y,'CURRENCY=USD')")</f>
        <v>2602.1291999999999</v>
      </c>
      <c r="AJ47" s="986" cm="1">
        <f t="array" ref="AJ47">_xll.FDSRC("-",$C$2,"FE_TIMESERIES("&amp;$B47&amp;",MEAN,"&amp;AJ$5&amp;",,Y,'CURRENCY=USD')")</f>
        <v>3219.5</v>
      </c>
    </row>
    <row r="48" spans="1:36">
      <c r="A48" s="926" t="s">
        <v>500</v>
      </c>
      <c r="C48" s="926" t="s">
        <v>512</v>
      </c>
      <c r="D48" s="978"/>
      <c r="E48" s="964"/>
      <c r="F48" s="964"/>
      <c r="G48" s="964"/>
      <c r="H48" s="978">
        <f>H47/D47-1</f>
        <v>49.157879145599928</v>
      </c>
      <c r="I48" s="978">
        <f t="shared" ref="I48" si="272">I47/E47-1</f>
        <v>0.88523108646393922</v>
      </c>
      <c r="J48" s="978">
        <f t="shared" ref="J48" si="273">J47/F47-1</f>
        <v>3.3136989278767182E-2</v>
      </c>
      <c r="K48" s="978">
        <f t="shared" ref="K48" si="274">K47/G47-1</f>
        <v>-0.30579585440803858</v>
      </c>
      <c r="L48" s="978">
        <f t="shared" ref="L48" si="275">L47/H47-1</f>
        <v>-0.7891257944322897</v>
      </c>
      <c r="M48" s="978">
        <f t="shared" ref="M48" si="276">M47/I47-1</f>
        <v>-1.1104781582898002</v>
      </c>
      <c r="N48" s="978">
        <f t="shared" ref="N48" si="277">N47/J47-1</f>
        <v>-1.1579576728677656</v>
      </c>
      <c r="O48" s="978">
        <f t="shared" ref="O48" si="278">O47/K47-1</f>
        <v>-0.41820162007547856</v>
      </c>
      <c r="P48" s="978">
        <f t="shared" ref="P48" si="279">P47/L47-1</f>
        <v>-1.0418025180062909</v>
      </c>
      <c r="Q48" s="978">
        <f t="shared" ref="Q48" si="280">Q47/M47-1</f>
        <v>-6.7525118042317764</v>
      </c>
      <c r="R48" s="978">
        <f t="shared" ref="R48" si="281">R47/N47-1</f>
        <v>-12.807907858227319</v>
      </c>
      <c r="S48" s="978">
        <f t="shared" ref="S48" si="282">S47/O47-1</f>
        <v>3.708164318197789</v>
      </c>
      <c r="T48" s="978">
        <f t="shared" ref="T48" si="283">T47/P47-1</f>
        <v>-106.32035161956576</v>
      </c>
      <c r="U48" s="978">
        <f t="shared" ref="U48" si="284">U47/Q47-1</f>
        <v>0.95067857236748554</v>
      </c>
      <c r="V48" s="978">
        <f t="shared" ref="V48" si="285">V47/R47-1</f>
        <v>0.43898979230766821</v>
      </c>
      <c r="W48" s="987">
        <f t="shared" ref="W48" si="286">W47/S47-1</f>
        <v>0.400767400990099</v>
      </c>
      <c r="X48" s="987">
        <f t="shared" ref="X48" si="287">X47/T47-1</f>
        <v>0.65364000236665531</v>
      </c>
      <c r="Y48" s="987">
        <f t="shared" ref="Y48" si="288">Y47/U47-1</f>
        <v>0.42287928732560576</v>
      </c>
      <c r="Z48" s="987">
        <f t="shared" ref="Z48" si="289">Z47/V47-1</f>
        <v>0.24300644882801814</v>
      </c>
      <c r="AA48" s="987">
        <f t="shared" ref="AA48" si="290">AA47/W47-1</f>
        <v>0.26555194648166958</v>
      </c>
      <c r="AB48" s="964"/>
      <c r="AC48" s="964"/>
      <c r="AD48" s="978">
        <f t="shared" ref="AD48" si="291">AD47/AC47-1</f>
        <v>0.5823397448789378</v>
      </c>
      <c r="AE48" s="978">
        <f t="shared" ref="AE48" si="292">AE47/AD47-1</f>
        <v>-0.89594943576845265</v>
      </c>
      <c r="AF48" s="978">
        <f t="shared" ref="AF48" si="293">AF47/AE47-1</f>
        <v>9.4160944368652419</v>
      </c>
      <c r="AG48" s="987">
        <f t="shared" ref="AG48" si="294">AG47/AF47-1</f>
        <v>0.80200482742905277</v>
      </c>
      <c r="AH48" s="987">
        <f t="shared" ref="AH48" si="295">AH47/AG47-1</f>
        <v>0.34348009141416713</v>
      </c>
      <c r="AI48" s="987">
        <f t="shared" ref="AI48" si="296">AI47/AH47-1</f>
        <v>0.30349398691811857</v>
      </c>
      <c r="AJ48" s="987">
        <f t="shared" ref="AJ48" si="297">AJ47/AI47-1</f>
        <v>0.2372560132679038</v>
      </c>
    </row>
    <row r="49" spans="1:36">
      <c r="A49" s="926" t="s">
        <v>501</v>
      </c>
      <c r="C49" s="926" t="s">
        <v>513</v>
      </c>
      <c r="D49" s="978"/>
      <c r="E49" s="978">
        <f>E47/D47-1</f>
        <v>28.345965209256743</v>
      </c>
      <c r="F49" s="978">
        <f t="shared" ref="F49:AA49" si="298">F47/E47-1</f>
        <v>0.11045703306860366</v>
      </c>
      <c r="G49" s="978">
        <f t="shared" si="298"/>
        <v>0.45212018771384721</v>
      </c>
      <c r="H49" s="978">
        <f t="shared" si="298"/>
        <v>5.9952599240192583E-2</v>
      </c>
      <c r="I49" s="978">
        <f t="shared" si="298"/>
        <v>0.10299571706738164</v>
      </c>
      <c r="J49" s="978">
        <f t="shared" si="298"/>
        <v>-0.39145166653293761</v>
      </c>
      <c r="K49" s="978">
        <f t="shared" si="298"/>
        <v>-2.4265063907486284E-2</v>
      </c>
      <c r="L49" s="978">
        <f t="shared" si="298"/>
        <v>-0.67802459301995643</v>
      </c>
      <c r="M49" s="978">
        <f t="shared" si="298"/>
        <v>-1.5778655340755487</v>
      </c>
      <c r="N49" s="978">
        <f t="shared" si="298"/>
        <v>-0.12991961424750831</v>
      </c>
      <c r="O49" s="978">
        <f t="shared" si="298"/>
        <v>-4.593880529815193</v>
      </c>
      <c r="P49" s="978">
        <f t="shared" si="298"/>
        <v>-1.0231341014555804</v>
      </c>
      <c r="Q49" s="978">
        <f t="shared" si="298"/>
        <v>-80.521006498413172</v>
      </c>
      <c r="R49" s="978">
        <f t="shared" si="298"/>
        <v>0.78597269746729892</v>
      </c>
      <c r="S49" s="978">
        <f t="shared" si="298"/>
        <v>0.43298713688318768</v>
      </c>
      <c r="T49" s="978">
        <f t="shared" si="298"/>
        <v>-0.48249646039603966</v>
      </c>
      <c r="U49" s="978">
        <f t="shared" si="298"/>
        <v>0.47283901965945341</v>
      </c>
      <c r="V49" s="978">
        <f t="shared" si="298"/>
        <v>0.31748844602137583</v>
      </c>
      <c r="W49" s="987">
        <f t="shared" si="298"/>
        <v>0.39492418786729799</v>
      </c>
      <c r="X49" s="987">
        <f t="shared" si="298"/>
        <v>-0.38907447885311386</v>
      </c>
      <c r="Y49" s="987">
        <f t="shared" si="298"/>
        <v>0.26730856270960057</v>
      </c>
      <c r="Z49" s="987">
        <f t="shared" si="298"/>
        <v>0.15093855764745734</v>
      </c>
      <c r="AA49" s="987">
        <f t="shared" si="298"/>
        <v>0.42022515073377065</v>
      </c>
      <c r="AB49" s="964"/>
      <c r="AC49" s="964"/>
      <c r="AD49" s="964"/>
      <c r="AE49" s="964"/>
      <c r="AF49" s="964"/>
      <c r="AG49" s="993"/>
      <c r="AH49" s="993"/>
      <c r="AI49" s="993"/>
      <c r="AJ49" s="993"/>
    </row>
    <row r="50" spans="1:36">
      <c r="A50" s="926" t="s">
        <v>442</v>
      </c>
      <c r="C50" s="926" t="s">
        <v>65</v>
      </c>
      <c r="D50" s="978">
        <f>D47/D$10</f>
        <v>9.5525328669513482E-3</v>
      </c>
      <c r="E50" s="978">
        <f t="shared" ref="E50:AA50" si="299">E47/E$10</f>
        <v>0.18444213617865979</v>
      </c>
      <c r="F50" s="978">
        <f t="shared" si="299"/>
        <v>0.19065265407444568</v>
      </c>
      <c r="G50" s="978">
        <f t="shared" si="299"/>
        <v>0.21729257351617601</v>
      </c>
      <c r="H50" s="978">
        <f t="shared" si="299"/>
        <v>0.22777981423096411</v>
      </c>
      <c r="I50" s="978">
        <f t="shared" si="299"/>
        <v>0.2218937198499196</v>
      </c>
      <c r="J50" s="978">
        <f t="shared" si="299"/>
        <v>0.1345115418157225</v>
      </c>
      <c r="K50" s="978">
        <f t="shared" si="299"/>
        <v>0.10687364132797691</v>
      </c>
      <c r="L50" s="978">
        <f t="shared" si="299"/>
        <v>3.945385722938162E-2</v>
      </c>
      <c r="M50" s="978">
        <f t="shared" si="299"/>
        <v>-2.118926260730173E-2</v>
      </c>
      <c r="N50" s="978">
        <f t="shared" si="299"/>
        <v>-1.7476394378568291E-2</v>
      </c>
      <c r="O50" s="978">
        <f t="shared" si="299"/>
        <v>4.9457912434624531E-2</v>
      </c>
      <c r="P50" s="978">
        <f t="shared" si="299"/>
        <v>-1.3163793103448276E-3</v>
      </c>
      <c r="Q50" s="978">
        <f t="shared" si="299"/>
        <v>9.3186038961038956E-2</v>
      </c>
      <c r="R50" s="978">
        <f t="shared" si="299"/>
        <v>0.16448574095682614</v>
      </c>
      <c r="S50" s="978">
        <f t="shared" si="299"/>
        <v>0.18843283582089551</v>
      </c>
      <c r="T50" s="978">
        <f t="shared" si="299"/>
        <v>0.11234359484148307</v>
      </c>
      <c r="U50" s="978">
        <f t="shared" si="299"/>
        <v>0.15057631295843521</v>
      </c>
      <c r="V50" s="978">
        <f t="shared" si="299"/>
        <v>0.18764677150786307</v>
      </c>
      <c r="W50" s="987">
        <f t="shared" si="299"/>
        <v>0.20761282065505141</v>
      </c>
      <c r="X50" s="987">
        <f t="shared" si="299"/>
        <v>0.14903597256277351</v>
      </c>
      <c r="Y50" s="987">
        <f t="shared" si="299"/>
        <v>0.17333824295631306</v>
      </c>
      <c r="Z50" s="987">
        <f t="shared" si="299"/>
        <v>0.19118677265411105</v>
      </c>
      <c r="AA50" s="987">
        <f t="shared" si="299"/>
        <v>0.21640178980015751</v>
      </c>
      <c r="AB50" s="964"/>
      <c r="AC50" s="964"/>
      <c r="AD50" s="978">
        <f t="shared" ref="AD50:AJ50" si="300">AD47/AD$10</f>
        <v>0.16497097914592304</v>
      </c>
      <c r="AE50" s="978">
        <f t="shared" si="300"/>
        <v>1.413677189303169E-2</v>
      </c>
      <c r="AF50" s="978">
        <f t="shared" si="300"/>
        <v>0.11679599150141642</v>
      </c>
      <c r="AG50" s="987">
        <f t="shared" si="300"/>
        <v>0.16886662381444198</v>
      </c>
      <c r="AH50" s="987">
        <f t="shared" si="300"/>
        <v>0.18384989544734306</v>
      </c>
      <c r="AI50" s="987">
        <f t="shared" si="300"/>
        <v>0.19781993790647714</v>
      </c>
      <c r="AJ50" s="987">
        <f t="shared" si="300"/>
        <v>0.18605359152490206</v>
      </c>
    </row>
    <row r="51" spans="1:36">
      <c r="A51" s="926"/>
      <c r="D51" s="976"/>
      <c r="W51" s="988"/>
      <c r="X51" s="988"/>
      <c r="Y51" s="988"/>
      <c r="Z51" s="988"/>
      <c r="AA51" s="988"/>
      <c r="AG51" s="988"/>
      <c r="AH51" s="988"/>
      <c r="AI51" s="988"/>
      <c r="AJ51" s="988"/>
    </row>
    <row r="52" spans="1:36">
      <c r="A52" s="926" t="s">
        <v>443</v>
      </c>
      <c r="B52" s="933" t="s">
        <v>529</v>
      </c>
      <c r="C52" s="926" t="s">
        <v>519</v>
      </c>
      <c r="D52" s="979" cm="1">
        <f t="array" ref="D52">_xll.FDSRC("-",$C$2,"FE_TIMESERIES("&amp;$B52&amp;",MEAN,"&amp;D$5&amp;",,Q,'CURRENCY=USD')")</f>
        <v>22.332000000000001</v>
      </c>
      <c r="E52" s="979" cm="1">
        <f t="array" ref="E52">_xll.FDSRC("-",$C$2,"FE_TIMESERIES("&amp;$B52&amp;",MEAN,"&amp;E$5&amp;",,Q,'CURRENCY=USD')")</f>
        <v>129.4</v>
      </c>
      <c r="F52" s="979" cm="1">
        <f t="array" ref="F52">_xll.FDSRC("-",$C$2,"FE_TIMESERIES("&amp;$B52&amp;",MEAN,"&amp;F$5&amp;",,Q,'CURRENCY=USD')")</f>
        <v>140.75399999999999</v>
      </c>
      <c r="G52" s="979" cm="1">
        <f t="array" ref="G52">_xll.FDSRC("-",$C$2,"FE_TIMESERIES("&amp;$B52&amp;",MEAN,"&amp;G$5&amp;",,Q,'CURRENCY=USD')")</f>
        <v>198.839</v>
      </c>
      <c r="H52" s="979" cm="1">
        <f t="array" ref="H52">_xll.FDSRC("-",$C$2,"FE_TIMESERIES("&amp;$B52&amp;",MEAN,"&amp;H$5&amp;",,Q,'CURRENCY=USD')")</f>
        <v>254.11</v>
      </c>
      <c r="I52" s="979" cm="1">
        <f t="array" ref="I52">_xll.FDSRC("-",$C$2,"FE_TIMESERIES("&amp;$B52&amp;",MEAN,"&amp;I$5&amp;",,Q,'CURRENCY=USD')")</f>
        <v>284.61399999999998</v>
      </c>
      <c r="J52" s="979" cm="1">
        <f t="array" ref="J52">_xll.FDSRC("-",$C$2,"FE_TIMESERIES("&amp;$B52&amp;",MEAN,"&amp;J$5&amp;",,Q,'CURRENCY=USD')")</f>
        <v>102.82</v>
      </c>
      <c r="K52" s="979" cm="1">
        <f t="array" ref="K52">_xll.FDSRC("-",$C$2,"FE_TIMESERIES("&amp;$B52&amp;",MEAN,"&amp;K$5&amp;",,Q,'CURRENCY=USD')")</f>
        <v>172.8</v>
      </c>
      <c r="L52" s="979" cm="1">
        <f t="array" ref="L52">_xll.FDSRC("-",$C$2,"FE_TIMESERIES("&amp;$B52&amp;",MEAN,"&amp;L$5&amp;",,Q,'CURRENCY=USD')")</f>
        <v>25.082000000000001</v>
      </c>
      <c r="M52" s="979" cm="1">
        <f t="array" ref="M52">_xll.FDSRC("-",$C$2,"FE_TIMESERIES("&amp;$B52&amp;",MEAN,"&amp;M$5&amp;",,Q,'CURRENCY=USD')")</f>
        <v>-38.453000000000003</v>
      </c>
      <c r="N52" s="979" cm="1">
        <f t="array" ref="N52">_xll.FDSRC("-",$C$2,"FE_TIMESERIES("&amp;$B52&amp;",MEAN,"&amp;N$5&amp;",,Q,'CURRENCY=USD')")</f>
        <v>-30</v>
      </c>
      <c r="O52" s="979" cm="1">
        <f t="array" ref="O52">_xll.FDSRC("-",$C$2,"FE_TIMESERIES("&amp;$B52&amp;",MEAN,"&amp;O$5&amp;",,Q,'CURRENCY=USD')")</f>
        <v>90.995999999999995</v>
      </c>
      <c r="P52" s="979" cm="1">
        <f t="array" ref="P52">_xll.FDSRC("-",$C$2,"FE_TIMESERIES("&amp;$B52&amp;",MEAN,"&amp;P$5&amp;",,Q,'CURRENCY=USD')")</f>
        <v>12</v>
      </c>
      <c r="Q52" s="979" cm="1">
        <f t="array" ref="Q52">_xll.FDSRC("-",$C$2,"FE_TIMESERIES("&amp;$B52&amp;",MEAN,"&amp;Q$5&amp;",,Q,'CURRENCY=USD')")</f>
        <v>178</v>
      </c>
      <c r="R52" s="979" cm="1">
        <f t="array" ref="R52">_xll.FDSRC("-",$C$2,"FE_TIMESERIES("&amp;$B52&amp;",MEAN,"&amp;R$5&amp;",,Q,'CURRENCY=USD')")</f>
        <v>316</v>
      </c>
      <c r="S52" s="979" cm="1">
        <f t="array" ref="S52">_xll.FDSRC("-",$C$2,"FE_TIMESERIES("&amp;$B52&amp;",MEAN,"&amp;S$5&amp;",,Q,'CURRENCY=USD')")</f>
        <v>441</v>
      </c>
      <c r="T52" s="979" cm="1">
        <f t="array" ref="T52">_xll.FDSRC("-",$C$2,"FE_TIMESERIES("&amp;$B52&amp;",MEAN,"&amp;T$5&amp;",,Q,'CURRENCY=USD')")</f>
        <v>256</v>
      </c>
      <c r="U52" s="979" cm="1">
        <f t="array" ref="U52">_xll.FDSRC("-",$C$2,"FE_TIMESERIES("&amp;$B52&amp;",MEAN,"&amp;U$5&amp;",,Q,'CURRENCY=USD')")</f>
        <v>345</v>
      </c>
      <c r="V52" s="979" cm="1">
        <f t="array" ref="V52">_xll.FDSRC("-",$C$2,"FE_TIMESERIES("&amp;$B52&amp;",MEAN,"&amp;V$5&amp;",,Q,'CURRENCY=USD')")</f>
        <v>344</v>
      </c>
      <c r="W52" s="986" cm="1">
        <f t="array" ref="W52">_xll.FDSRC("-",$C$2,"FE_TIMESERIES("&amp;$B52&amp;",MEAN,"&amp;W$5&amp;",,Q,'CURRENCY=USD')")</f>
        <v>552.62980000000005</v>
      </c>
      <c r="X52" s="986" cm="1">
        <f t="array" ref="X52">_xll.FDSRC("-",$C$2,"FE_TIMESERIES("&amp;$B52&amp;",MEAN,"&amp;X$5&amp;",,Q,'CURRENCY=USD')")</f>
        <v>335.86826000000002</v>
      </c>
      <c r="Y52" s="986" cm="1">
        <f t="array" ref="Y52">_xll.FDSRC("-",$C$2,"FE_TIMESERIES("&amp;$B52&amp;",MEAN,"&amp;Y$5&amp;",,Q,'CURRENCY=USD')")</f>
        <v>422.08337</v>
      </c>
      <c r="Z52" s="986" cm="1">
        <f t="array" ref="Z52">_xll.FDSRC("-",$C$2,"FE_TIMESERIES("&amp;$B52&amp;",MEAN,"&amp;Z$5&amp;",,Q,'CURRENCY=USD')")</f>
        <v>480.82443000000001</v>
      </c>
      <c r="AA52" s="986" cm="1">
        <f t="array" ref="AA52">_xll.FDSRC("-",$C$2,"FE_TIMESERIES("&amp;$B52&amp;",MEAN,"&amp;AA$5&amp;",,Q,'CURRENCY=USD')")</f>
        <v>676.00379999999996</v>
      </c>
      <c r="AB52" s="980"/>
      <c r="AC52" s="979" cm="1">
        <f t="array" ref="AC52">_xll.FDSRC("-",$C$2,"FE_TIMESERIES("&amp;$B52&amp;",MEAN,"&amp;AC$5&amp;",,Y,'CURRENCY=USD')")</f>
        <v>491.291</v>
      </c>
      <c r="AD52" s="979" cm="1">
        <f t="array" ref="AD52">_xll.FDSRC("-",$C$2,"FE_TIMESERIES("&amp;$B52&amp;",MEAN,"&amp;AD$5&amp;",,Y,'CURRENCY=USD')")</f>
        <v>814.4</v>
      </c>
      <c r="AE52" s="979" cm="1">
        <f t="array" ref="AE52">_xll.FDSRC("-",$C$2,"FE_TIMESERIES("&amp;$B52&amp;",MEAN,"&amp;AE$5&amp;",,Y,'CURRENCY=USD')")</f>
        <v>47.585999999999999</v>
      </c>
      <c r="AF52" s="979" cm="1">
        <f t="array" ref="AF52">_xll.FDSRC("-",$C$2,"FE_TIMESERIES("&amp;$B52&amp;",MEAN,"&amp;AF$5&amp;",,Y,'CURRENCY=USD')")</f>
        <v>947</v>
      </c>
      <c r="AG52" s="986" cm="1">
        <f t="array" ref="AG52">_xll.FDSRC("-",$C$2,"FE_TIMESERIES("&amp;$B52&amp;",MEAN,"&amp;AG$5&amp;",,Y,'CURRENCY=USD')")</f>
        <v>1625.3815999999999</v>
      </c>
      <c r="AH52" s="986" cm="1">
        <f t="array" ref="AH52">_xll.FDSRC("-",$C$2,"FE_TIMESERIES("&amp;$B52&amp;",MEAN,"&amp;AH$5&amp;",,Y,'CURRENCY=USD')")</f>
        <v>2013.152</v>
      </c>
      <c r="AI52" s="986" cm="1">
        <f t="array" ref="AI52">_xll.FDSRC("-",$C$2,"FE_TIMESERIES("&amp;$B52&amp;",MEAN,"&amp;AI$5&amp;",,Y,'CURRENCY=USD')")</f>
        <v>2556.6604000000002</v>
      </c>
      <c r="AJ52" s="986" cm="1">
        <f t="array" ref="AJ52">_xll.FDSRC("-",$C$2,"FE_TIMESERIES("&amp;$B52&amp;",MEAN,"&amp;AJ$5&amp;",,Y,'CURRENCY=USD')")</f>
        <v>3250.2156</v>
      </c>
    </row>
    <row r="53" spans="1:36">
      <c r="A53" s="926" t="s">
        <v>444</v>
      </c>
      <c r="C53" s="926" t="s">
        <v>512</v>
      </c>
      <c r="D53" s="978"/>
      <c r="E53" s="964"/>
      <c r="F53" s="964"/>
      <c r="G53" s="964"/>
      <c r="H53" s="978">
        <f>H52/D52-1</f>
        <v>10.378739029195772</v>
      </c>
      <c r="I53" s="978">
        <f t="shared" ref="I53" si="301">I52/E52-1</f>
        <v>1.1994899536321482</v>
      </c>
      <c r="J53" s="978">
        <f t="shared" ref="J53" si="302">J52/F52-1</f>
        <v>-0.26950566236128282</v>
      </c>
      <c r="K53" s="978">
        <f t="shared" ref="K53" si="303">K52/G52-1</f>
        <v>-0.13095519490643182</v>
      </c>
      <c r="L53" s="978">
        <f t="shared" ref="L53" si="304">L52/H52-1</f>
        <v>-0.90129471488725355</v>
      </c>
      <c r="M53" s="978">
        <f t="shared" ref="M53" si="305">M52/I52-1</f>
        <v>-1.1351057924065577</v>
      </c>
      <c r="N53" s="978">
        <f t="shared" ref="N53" si="306">N52/J52-1</f>
        <v>-1.2917720287881735</v>
      </c>
      <c r="O53" s="978">
        <f t="shared" ref="O53" si="307">O52/K52-1</f>
        <v>-0.47340277777777784</v>
      </c>
      <c r="P53" s="978">
        <f t="shared" ref="P53" si="308">P52/L52-1</f>
        <v>-0.52156925285064992</v>
      </c>
      <c r="Q53" s="978">
        <f t="shared" ref="Q53" si="309">Q52/M52-1</f>
        <v>-5.6290276441369977</v>
      </c>
      <c r="R53" s="978">
        <f t="shared" ref="R53" si="310">R52/N52-1</f>
        <v>-11.533333333333333</v>
      </c>
      <c r="S53" s="978">
        <f t="shared" ref="S53" si="311">S52/O52-1</f>
        <v>3.8463668732691554</v>
      </c>
      <c r="T53" s="978">
        <f t="shared" ref="T53" si="312">T52/P52-1</f>
        <v>20.333333333333332</v>
      </c>
      <c r="U53" s="978">
        <f t="shared" ref="U53" si="313">U52/Q52-1</f>
        <v>0.9382022471910112</v>
      </c>
      <c r="V53" s="978">
        <f t="shared" ref="V53" si="314">V52/R52-1</f>
        <v>8.8607594936708889E-2</v>
      </c>
      <c r="W53" s="987">
        <f t="shared" ref="W53" si="315">W52/S52-1</f>
        <v>0.25312879818594114</v>
      </c>
      <c r="X53" s="987">
        <f t="shared" ref="X53" si="316">X52/T52-1</f>
        <v>0.31198539062500008</v>
      </c>
      <c r="Y53" s="987">
        <f t="shared" ref="Y53" si="317">Y52/U52-1</f>
        <v>0.22343005797101445</v>
      </c>
      <c r="Z53" s="987">
        <f t="shared" ref="Z53" si="318">Z52/V52-1</f>
        <v>0.39774543604651158</v>
      </c>
      <c r="AA53" s="987">
        <f t="shared" ref="AA53" si="319">AA52/W52-1</f>
        <v>0.22324890912505957</v>
      </c>
      <c r="AB53" s="964"/>
      <c r="AC53" s="964"/>
      <c r="AD53" s="978">
        <f t="shared" ref="AD53" si="320">AD52/AC52-1</f>
        <v>0.6576733544884803</v>
      </c>
      <c r="AE53" s="978">
        <f t="shared" ref="AE53" si="321">AE52/AD52-1</f>
        <v>-0.94156925343811393</v>
      </c>
      <c r="AF53" s="978">
        <f t="shared" ref="AF53" si="322">AF52/AE52-1</f>
        <v>18.900811162947086</v>
      </c>
      <c r="AG53" s="987">
        <f t="shared" ref="AG53" si="323">AG52/AF52-1</f>
        <v>0.71634804646251315</v>
      </c>
      <c r="AH53" s="987">
        <f t="shared" ref="AH53" si="324">AH52/AG52-1</f>
        <v>0.23857191443535486</v>
      </c>
      <c r="AI53" s="987">
        <f t="shared" ref="AI53" si="325">AI52/AH52-1</f>
        <v>0.26997881928438594</v>
      </c>
      <c r="AJ53" s="987">
        <f t="shared" ref="AJ53" si="326">AJ52/AI52-1</f>
        <v>0.27127388526063134</v>
      </c>
    </row>
    <row r="54" spans="1:36">
      <c r="A54" s="926" t="s">
        <v>502</v>
      </c>
      <c r="C54" s="926" t="s">
        <v>513</v>
      </c>
      <c r="D54" s="978"/>
      <c r="E54" s="978">
        <f>E52/D52-1</f>
        <v>4.7943757836288734</v>
      </c>
      <c r="F54" s="978">
        <f t="shared" ref="F54:AA54" si="327">F52/E52-1</f>
        <v>8.7743431221019907E-2</v>
      </c>
      <c r="G54" s="978">
        <f t="shared" si="327"/>
        <v>0.4126703326370833</v>
      </c>
      <c r="H54" s="978">
        <f t="shared" si="327"/>
        <v>0.27796860776809384</v>
      </c>
      <c r="I54" s="978">
        <f t="shared" si="327"/>
        <v>0.12004250127897342</v>
      </c>
      <c r="J54" s="978">
        <f t="shared" si="327"/>
        <v>-0.63873878305353915</v>
      </c>
      <c r="K54" s="978">
        <f t="shared" si="327"/>
        <v>0.68060688581987971</v>
      </c>
      <c r="L54" s="978">
        <f t="shared" si="327"/>
        <v>-0.85484953703703703</v>
      </c>
      <c r="M54" s="978">
        <f t="shared" si="327"/>
        <v>-2.5330914600111631</v>
      </c>
      <c r="N54" s="978">
        <f t="shared" si="327"/>
        <v>-0.21982680154994416</v>
      </c>
      <c r="O54" s="978">
        <f t="shared" si="327"/>
        <v>-4.0331999999999999</v>
      </c>
      <c r="P54" s="978">
        <f t="shared" si="327"/>
        <v>-0.86812607147566923</v>
      </c>
      <c r="Q54" s="978">
        <f t="shared" si="327"/>
        <v>13.833333333333334</v>
      </c>
      <c r="R54" s="978">
        <f t="shared" si="327"/>
        <v>0.77528089887640439</v>
      </c>
      <c r="S54" s="978">
        <f t="shared" si="327"/>
        <v>0.39556962025316467</v>
      </c>
      <c r="T54" s="978">
        <f t="shared" si="327"/>
        <v>-0.41950113378684806</v>
      </c>
      <c r="U54" s="978">
        <f t="shared" si="327"/>
        <v>0.34765625</v>
      </c>
      <c r="V54" s="978">
        <f t="shared" si="327"/>
        <v>-2.8985507246376274E-3</v>
      </c>
      <c r="W54" s="987">
        <f t="shared" si="327"/>
        <v>0.60648197674418625</v>
      </c>
      <c r="X54" s="987">
        <f t="shared" si="327"/>
        <v>-0.39223643024679455</v>
      </c>
      <c r="Y54" s="987">
        <f t="shared" si="327"/>
        <v>0.25669323442471148</v>
      </c>
      <c r="Z54" s="987">
        <f t="shared" si="327"/>
        <v>0.13916933045715596</v>
      </c>
      <c r="AA54" s="987">
        <f t="shared" si="327"/>
        <v>0.40592648339436477</v>
      </c>
      <c r="AB54" s="964"/>
      <c r="AC54" s="964"/>
      <c r="AD54" s="964"/>
      <c r="AE54" s="964"/>
      <c r="AF54" s="964"/>
      <c r="AG54" s="993"/>
      <c r="AH54" s="993"/>
      <c r="AI54" s="993"/>
      <c r="AJ54" s="993"/>
    </row>
    <row r="55" spans="1:36">
      <c r="A55" s="926" t="s">
        <v>531</v>
      </c>
      <c r="C55" s="926" t="s">
        <v>65</v>
      </c>
      <c r="D55" s="978">
        <f>D52/D$10</f>
        <v>4.7514792521718044E-2</v>
      </c>
      <c r="E55" s="978">
        <f t="shared" ref="E55:AA55" si="328">E52/E$10</f>
        <v>0.1811459793012021</v>
      </c>
      <c r="F55" s="978">
        <f t="shared" si="328"/>
        <v>0.1834155367765391</v>
      </c>
      <c r="G55" s="978">
        <f t="shared" si="328"/>
        <v>0.20336509352141255</v>
      </c>
      <c r="H55" s="978">
        <f t="shared" si="328"/>
        <v>0.25702803933051938</v>
      </c>
      <c r="I55" s="978">
        <f t="shared" si="328"/>
        <v>0.25425585134893691</v>
      </c>
      <c r="J55" s="978">
        <f t="shared" si="328"/>
        <v>9.1498033352910804E-2</v>
      </c>
      <c r="K55" s="978">
        <f t="shared" si="328"/>
        <v>0.12521521364845831</v>
      </c>
      <c r="L55" s="978">
        <f t="shared" si="328"/>
        <v>2.083875100425964E-2</v>
      </c>
      <c r="M55" s="978">
        <f t="shared" si="328"/>
        <v>-2.9691991818158653E-2</v>
      </c>
      <c r="N55" s="978">
        <f t="shared" si="328"/>
        <v>-2.1958717610891524E-2</v>
      </c>
      <c r="O55" s="978">
        <f t="shared" si="328"/>
        <v>5.2447927293602564E-2</v>
      </c>
      <c r="P55" s="978">
        <f t="shared" si="328"/>
        <v>7.9575596816976128E-3</v>
      </c>
      <c r="Q55" s="978">
        <f t="shared" si="328"/>
        <v>0.1050767414403778</v>
      </c>
      <c r="R55" s="978">
        <f t="shared" si="328"/>
        <v>0.18436406067677946</v>
      </c>
      <c r="S55" s="978">
        <f t="shared" si="328"/>
        <v>0.20569029850746268</v>
      </c>
      <c r="T55" s="978">
        <f t="shared" si="328"/>
        <v>0.13756045137023107</v>
      </c>
      <c r="U55" s="978">
        <f t="shared" si="328"/>
        <v>0.1687041564792176</v>
      </c>
      <c r="V55" s="978">
        <f t="shared" si="328"/>
        <v>0.15911193339500462</v>
      </c>
      <c r="W55" s="987">
        <f t="shared" si="328"/>
        <v>0.2027407635027019</v>
      </c>
      <c r="X55" s="987">
        <f t="shared" si="328"/>
        <v>0.14478528025216317</v>
      </c>
      <c r="Y55" s="987">
        <f t="shared" si="328"/>
        <v>0.16698390110492234</v>
      </c>
      <c r="Z55" s="987">
        <f t="shared" si="328"/>
        <v>0.18229476597202796</v>
      </c>
      <c r="AA55" s="987">
        <f t="shared" si="328"/>
        <v>0.20425966636063139</v>
      </c>
      <c r="AB55" s="964"/>
      <c r="AC55" s="964"/>
      <c r="AD55" s="978">
        <f t="shared" ref="AD55:AJ55" si="329">AD52/AD$10</f>
        <v>0.17658834100631068</v>
      </c>
      <c r="AE55" s="978">
        <f t="shared" si="329"/>
        <v>8.4977063728690558E-3</v>
      </c>
      <c r="AF55" s="978">
        <f t="shared" si="329"/>
        <v>0.13413597733711047</v>
      </c>
      <c r="AG55" s="987">
        <f t="shared" si="329"/>
        <v>0.18471857543931106</v>
      </c>
      <c r="AH55" s="987">
        <f t="shared" si="329"/>
        <v>0.18540443988463981</v>
      </c>
      <c r="AI55" s="987">
        <f t="shared" si="329"/>
        <v>0.19436329355819423</v>
      </c>
      <c r="AJ55" s="987">
        <f t="shared" si="329"/>
        <v>0.18782863351770912</v>
      </c>
    </row>
    <row r="56" spans="1:36">
      <c r="A56" s="926"/>
      <c r="D56" s="978"/>
      <c r="E56" s="978"/>
      <c r="F56" s="978"/>
      <c r="G56" s="978"/>
      <c r="H56" s="978"/>
      <c r="I56" s="978"/>
      <c r="J56" s="978"/>
      <c r="K56" s="978"/>
      <c r="L56" s="978"/>
      <c r="M56" s="978"/>
      <c r="N56" s="978"/>
      <c r="O56" s="978"/>
      <c r="P56" s="978"/>
      <c r="Q56" s="978"/>
      <c r="R56" s="978"/>
      <c r="S56" s="978"/>
      <c r="T56" s="978"/>
      <c r="U56" s="978"/>
      <c r="V56" s="978"/>
      <c r="W56" s="987"/>
      <c r="X56" s="987"/>
      <c r="Y56" s="987"/>
      <c r="Z56" s="987"/>
      <c r="AA56" s="987"/>
      <c r="AB56" s="964"/>
      <c r="AC56" s="964"/>
      <c r="AD56" s="978"/>
      <c r="AE56" s="978"/>
      <c r="AF56" s="978"/>
      <c r="AG56" s="987"/>
      <c r="AH56" s="987"/>
      <c r="AI56" s="987"/>
      <c r="AJ56" s="987"/>
    </row>
    <row r="57" spans="1:36">
      <c r="A57" s="926" t="s">
        <v>647</v>
      </c>
      <c r="B57" s="933" t="s">
        <v>88</v>
      </c>
      <c r="C57" s="926" t="s">
        <v>88</v>
      </c>
      <c r="D57" s="981" cm="1">
        <f t="array" ref="D57">_xll.FDSRC("-",$C$2,"FE_TIMESERIES("&amp;$B57&amp;",MEAN,"&amp;D$5&amp;",,Q,'CURRENCY=USD')")</f>
        <v>1.9E-2</v>
      </c>
      <c r="E57" s="981" cm="1">
        <f t="array" ref="E57">_xll.FDSRC("-",$C$2,"FE_TIMESERIES("&amp;$B57&amp;",MEAN,"&amp;E$5&amp;",,Q,'CURRENCY=USD')")</f>
        <v>0.105</v>
      </c>
      <c r="F57" s="981" cm="1">
        <f t="array" ref="F57">_xll.FDSRC("-",$C$2,"FE_TIMESERIES("&amp;$B57&amp;",MEAN,"&amp;F$5&amp;",,Q,'CURRENCY=USD')")</f>
        <v>0.113</v>
      </c>
      <c r="G57" s="981" cm="1">
        <f t="array" ref="G57">_xll.FDSRC("-",$C$2,"FE_TIMESERIES("&amp;$B57&amp;",MEAN,"&amp;G$5&amp;",,Q,'CURRENCY=USD')")</f>
        <v>0.158</v>
      </c>
      <c r="H57" s="981" cm="1">
        <f t="array" ref="H57">_xll.FDSRC("-",$C$2,"FE_TIMESERIES("&amp;$B57&amp;",MEAN,"&amp;H$5&amp;",,Q,'CURRENCY=USD')")</f>
        <v>0.20100000000000001</v>
      </c>
      <c r="I57" s="981" cm="1">
        <f t="array" ref="I57">_xll.FDSRC("-",$C$2,"FE_TIMESERIES("&amp;$B57&amp;",MEAN,"&amp;I$5&amp;",,Q,'CURRENCY=USD')")</f>
        <v>0.224</v>
      </c>
      <c r="J57" s="981" cm="1">
        <f t="array" ref="J57">_xll.FDSRC("-",$C$2,"FE_TIMESERIES("&amp;$B57&amp;",MEAN,"&amp;J$5&amp;",,Q,'CURRENCY=USD')")</f>
        <v>8.1000000000000003E-2</v>
      </c>
      <c r="K57" s="981" cm="1">
        <f t="array" ref="K57">_xll.FDSRC("-",$C$2,"FE_TIMESERIES("&amp;$B57&amp;",MEAN,"&amp;K$5&amp;",,Q,'CURRENCY=USD')")</f>
        <v>0.13600000000000001</v>
      </c>
      <c r="L57" s="981" cm="1">
        <f t="array" ref="L57">_xll.FDSRC("-",$C$2,"FE_TIMESERIES("&amp;$B57&amp;",MEAN,"&amp;L$5&amp;",,Q,'CURRENCY=USD')")</f>
        <v>0.02</v>
      </c>
      <c r="M57" s="981" cm="1">
        <f t="array" ref="M57">_xll.FDSRC("-",$C$2,"FE_TIMESERIES("&amp;$B57&amp;",MEAN,"&amp;M$5&amp;",,Q,'CURRENCY=USD')")</f>
        <v>-0.03</v>
      </c>
      <c r="N57" s="981" cm="1">
        <f t="array" ref="N57">_xll.FDSRC("-",$C$2,"FE_TIMESERIES("&amp;$B57&amp;",MEAN,"&amp;N$5&amp;",,Q,'CURRENCY=USD')")</f>
        <v>-0.02</v>
      </c>
      <c r="O57" s="981" cm="1">
        <f t="array" ref="O57">_xll.FDSRC("-",$C$2,"FE_TIMESERIES("&amp;$B57&amp;",MEAN,"&amp;O$5&amp;",,Q,'CURRENCY=USD')")</f>
        <v>7.0000000000000007E-2</v>
      </c>
      <c r="P57" s="981" cm="1">
        <f t="array" ref="P57">_xll.FDSRC("-",$C$2,"FE_TIMESERIES("&amp;$B57&amp;",MEAN,"&amp;P$5&amp;",,Q,'CURRENCY=USD')")</f>
        <v>0.01</v>
      </c>
      <c r="Q57" s="981" cm="1">
        <f t="array" ref="Q57">_xll.FDSRC("-",$C$2,"FE_TIMESERIES("&amp;$B57&amp;",MEAN,"&amp;Q$5&amp;",,Q,'CURRENCY=USD')")</f>
        <v>0.14000000000000001</v>
      </c>
      <c r="R57" s="981" cm="1">
        <f t="array" ref="R57">_xll.FDSRC("-",$C$2,"FE_TIMESERIES("&amp;$B57&amp;",MEAN,"&amp;R$5&amp;",,Q,'CURRENCY=USD')")</f>
        <v>0.24</v>
      </c>
      <c r="S57" s="981" cm="1">
        <f t="array" ref="S57">_xll.FDSRC("-",$C$2,"FE_TIMESERIES("&amp;$B57&amp;",MEAN,"&amp;S$5&amp;",,Q,'CURRENCY=USD')")</f>
        <v>0.34</v>
      </c>
      <c r="T57" s="981" cm="1">
        <f t="array" ref="T57">_xll.FDSRC("-",$C$2,"FE_TIMESERIES("&amp;$B57&amp;",MEAN,"&amp;T$5&amp;",,Q,'CURRENCY=USD')")</f>
        <v>0.2</v>
      </c>
      <c r="U57" s="981" cm="1">
        <f t="array" ref="U57">_xll.FDSRC("-",$C$2,"FE_TIMESERIES("&amp;$B57&amp;",MEAN,"&amp;U$5&amp;",,Q,'CURRENCY=USD')")</f>
        <v>0.26</v>
      </c>
      <c r="V57" s="981" cm="1">
        <f t="array" ref="V57">_xll.FDSRC("-",$C$2,"FE_TIMESERIES("&amp;$B57&amp;",MEAN,"&amp;V$5&amp;",,Q,'CURRENCY=USD')")</f>
        <v>0.34206286000000002</v>
      </c>
      <c r="W57" s="989" cm="1">
        <f t="array" ref="W57">_xll.FDSRC("-",$C$2,"FE_TIMESERIES("&amp;$B57&amp;",MEAN,"&amp;W$5&amp;",,Q,'CURRENCY=USD')")</f>
        <v>0.42742746999999998</v>
      </c>
      <c r="X57" s="989" cm="1">
        <f t="array" ref="X57">_xll.FDSRC("-",$C$2,"FE_TIMESERIES("&amp;$B57&amp;",MEAN,"&amp;X$5&amp;",,Q,'CURRENCY=USD')")</f>
        <v>0.27411987999999998</v>
      </c>
      <c r="Y57" s="989" cm="1">
        <f t="array" ref="Y57">_xll.FDSRC("-",$C$2,"FE_TIMESERIES("&amp;$B57&amp;",MEAN,"&amp;Y$5&amp;",,Q,'CURRENCY=USD')")</f>
        <v>0.33338045999999999</v>
      </c>
      <c r="Z57" s="989" cm="1">
        <f t="array" ref="Z57">_xll.FDSRC("-",$C$2,"FE_TIMESERIES("&amp;$B57&amp;",MEAN,"&amp;Z$5&amp;",,Q,'CURRENCY=USD')")</f>
        <v>0.37531054000000003</v>
      </c>
      <c r="AA57" s="989" cm="1">
        <f t="array" ref="AA57">_xll.FDSRC("-",$C$2,"FE_TIMESERIES("&amp;$B57&amp;",MEAN,"&amp;AA$5&amp;",,Q,'CURRENCY=USD')")</f>
        <v>0.51861979999999996</v>
      </c>
      <c r="AB57" s="982"/>
      <c r="AC57" s="981" cm="1">
        <f t="array" ref="AC57">_xll.FDSRC("-",$C$2,"FE_TIMESERIES("&amp;$B57&amp;",MEAN,"&amp;AC$5&amp;",,Y,'CURRENCY=USD')")</f>
        <v>0.39800000000000002</v>
      </c>
      <c r="AD57" s="981" cm="1">
        <f t="array" ref="AD57">_xll.FDSRC("-",$C$2,"FE_TIMESERIES("&amp;$B57&amp;",MEAN,"&amp;AD$5&amp;",,Y,'CURRENCY=USD')")</f>
        <v>0.64100000000000001</v>
      </c>
      <c r="AE57" s="981" cm="1">
        <f t="array" ref="AE57">_xll.FDSRC("-",$C$2,"FE_TIMESERIES("&amp;$B57&amp;",MEAN,"&amp;AE$5&amp;",,Y,'CURRENCY=USD')")</f>
        <v>0.04</v>
      </c>
      <c r="AF57" s="981" cm="1">
        <f t="array" ref="AF57">_xll.FDSRC("-",$C$2,"FE_TIMESERIES("&amp;$B57&amp;",MEAN,"&amp;AF$5&amp;",,Y,'CURRENCY=USD')")</f>
        <v>0.73</v>
      </c>
      <c r="AG57" s="989" cm="1">
        <f t="array" ref="AG57">_xll.FDSRC("-",$C$2,"FE_TIMESERIES("&amp;$B57&amp;",MEAN,"&amp;AG$5&amp;",,Y,'CURRENCY=USD')")</f>
        <v>1.2719381000000001</v>
      </c>
      <c r="AH57" s="989" cm="1">
        <f t="array" ref="AH57">_xll.FDSRC("-",$C$2,"FE_TIMESERIES("&amp;$B57&amp;",MEAN,"&amp;AH$5&amp;",,Y,'CURRENCY=USD')")</f>
        <v>1.5340446999999999</v>
      </c>
      <c r="AI57" s="989" cm="1">
        <f t="array" ref="AI57">_xll.FDSRC("-",$C$2,"FE_TIMESERIES("&amp;$B57&amp;",MEAN,"&amp;AI$5&amp;",,Y,'CURRENCY=USD')")</f>
        <v>1.928615</v>
      </c>
      <c r="AJ57" s="989" cm="1">
        <f t="array" ref="AJ57">_xll.FDSRC("-",$C$2,"FE_TIMESERIES("&amp;$B57&amp;",MEAN,"&amp;AJ$5&amp;",,Y,'CURRENCY=USD')")</f>
        <v>2.5437373999999999</v>
      </c>
    </row>
    <row r="58" spans="1:36">
      <c r="A58" s="926" t="s">
        <v>648</v>
      </c>
      <c r="C58" s="926" t="s">
        <v>512</v>
      </c>
      <c r="D58" s="978"/>
      <c r="E58" s="964"/>
      <c r="F58" s="964"/>
      <c r="G58" s="964"/>
      <c r="H58" s="978">
        <f>H57/D57-1</f>
        <v>9.5789473684210531</v>
      </c>
      <c r="I58" s="978">
        <f t="shared" ref="I58" si="330">I57/E57-1</f>
        <v>1.1333333333333333</v>
      </c>
      <c r="J58" s="978">
        <f t="shared" ref="J58" si="331">J57/F57-1</f>
        <v>-0.2831858407079646</v>
      </c>
      <c r="K58" s="978">
        <f t="shared" ref="K58" si="332">K57/G57-1</f>
        <v>-0.13924050632911389</v>
      </c>
      <c r="L58" s="978">
        <f t="shared" ref="L58" si="333">L57/H57-1</f>
        <v>-0.90049751243781095</v>
      </c>
      <c r="M58" s="978">
        <f t="shared" ref="M58" si="334">M57/I57-1</f>
        <v>-1.1339285714285714</v>
      </c>
      <c r="N58" s="978">
        <f t="shared" ref="N58" si="335">N57/J57-1</f>
        <v>-1.2469135802469136</v>
      </c>
      <c r="O58" s="978">
        <f t="shared" ref="O58" si="336">O57/K57-1</f>
        <v>-0.48529411764705876</v>
      </c>
      <c r="P58" s="978">
        <f t="shared" ref="P58" si="337">P57/L57-1</f>
        <v>-0.5</v>
      </c>
      <c r="Q58" s="978">
        <f t="shared" ref="Q58" si="338">Q57/M57-1</f>
        <v>-5.666666666666667</v>
      </c>
      <c r="R58" s="978">
        <f t="shared" ref="R58" si="339">R57/N57-1</f>
        <v>-13</v>
      </c>
      <c r="S58" s="978">
        <f t="shared" ref="S58" si="340">S57/O57-1</f>
        <v>3.8571428571428568</v>
      </c>
      <c r="T58" s="978">
        <f t="shared" ref="T58" si="341">T57/P57-1</f>
        <v>19</v>
      </c>
      <c r="U58" s="978">
        <f t="shared" ref="U58" si="342">U57/Q57-1</f>
        <v>0.85714285714285698</v>
      </c>
      <c r="V58" s="978">
        <f t="shared" ref="V58" si="343">V57/R57-1</f>
        <v>0.42526191666666691</v>
      </c>
      <c r="W58" s="987">
        <f t="shared" ref="W58" si="344">W57/S57-1</f>
        <v>0.25713961764705862</v>
      </c>
      <c r="X58" s="987">
        <f t="shared" ref="X58" si="345">X57/T57-1</f>
        <v>0.37059939999999991</v>
      </c>
      <c r="Y58" s="987">
        <f t="shared" ref="Y58" si="346">Y57/U57-1</f>
        <v>0.28223253846153828</v>
      </c>
      <c r="Z58" s="987">
        <f t="shared" ref="Z58" si="347">Z57/V57-1</f>
        <v>9.7197573568787998E-2</v>
      </c>
      <c r="AA58" s="987">
        <f t="shared" ref="AA58" si="348">AA57/W57-1</f>
        <v>0.2133515892181661</v>
      </c>
      <c r="AC58" s="964"/>
      <c r="AD58" s="978">
        <f t="shared" ref="AD58" si="349">AD57/AC57-1</f>
        <v>0.61055276381909551</v>
      </c>
      <c r="AE58" s="978">
        <f t="shared" ref="AE58" si="350">AE57/AD57-1</f>
        <v>-0.93759750390015606</v>
      </c>
      <c r="AF58" s="978">
        <f t="shared" ref="AF58" si="351">AF57/AE57-1</f>
        <v>17.25</v>
      </c>
      <c r="AG58" s="987">
        <f t="shared" ref="AG58" si="352">AG57/AF57-1</f>
        <v>0.74238095890410971</v>
      </c>
      <c r="AH58" s="987">
        <f t="shared" ref="AH58" si="353">AH57/AG57-1</f>
        <v>0.20606867582628419</v>
      </c>
      <c r="AI58" s="987">
        <f t="shared" ref="AI58" si="354">AI57/AH57-1</f>
        <v>0.2572091282607345</v>
      </c>
      <c r="AJ58" s="987">
        <f t="shared" ref="AJ58" si="355">AJ57/AI57-1</f>
        <v>0.31894514975772759</v>
      </c>
    </row>
    <row r="59" spans="1:36">
      <c r="A59" s="926" t="s">
        <v>649</v>
      </c>
      <c r="C59" s="926" t="s">
        <v>513</v>
      </c>
      <c r="D59" s="978"/>
      <c r="E59" s="978">
        <f>E57/D57-1</f>
        <v>4.5263157894736841</v>
      </c>
      <c r="F59" s="978">
        <f t="shared" ref="F59:AA59" si="356">F57/E57-1</f>
        <v>7.6190476190476364E-2</v>
      </c>
      <c r="G59" s="978">
        <f t="shared" si="356"/>
        <v>0.39823008849557517</v>
      </c>
      <c r="H59" s="978">
        <f t="shared" si="356"/>
        <v>0.27215189873417733</v>
      </c>
      <c r="I59" s="978">
        <f t="shared" si="356"/>
        <v>0.11442786069651745</v>
      </c>
      <c r="J59" s="978">
        <f t="shared" si="356"/>
        <v>-0.63839285714285721</v>
      </c>
      <c r="K59" s="978">
        <f t="shared" si="356"/>
        <v>0.67901234567901247</v>
      </c>
      <c r="L59" s="978">
        <f t="shared" si="356"/>
        <v>-0.8529411764705882</v>
      </c>
      <c r="M59" s="978">
        <f t="shared" si="356"/>
        <v>-2.5</v>
      </c>
      <c r="N59" s="978">
        <f t="shared" si="356"/>
        <v>-0.33333333333333326</v>
      </c>
      <c r="O59" s="978">
        <f t="shared" si="356"/>
        <v>-4.5</v>
      </c>
      <c r="P59" s="978">
        <f t="shared" si="356"/>
        <v>-0.85714285714285721</v>
      </c>
      <c r="Q59" s="978">
        <f t="shared" si="356"/>
        <v>13.000000000000002</v>
      </c>
      <c r="R59" s="978">
        <f t="shared" si="356"/>
        <v>0.71428571428571397</v>
      </c>
      <c r="S59" s="978">
        <f t="shared" si="356"/>
        <v>0.41666666666666674</v>
      </c>
      <c r="T59" s="978">
        <f t="shared" si="356"/>
        <v>-0.41176470588235292</v>
      </c>
      <c r="U59" s="978">
        <f t="shared" si="356"/>
        <v>0.30000000000000004</v>
      </c>
      <c r="V59" s="978">
        <f t="shared" si="356"/>
        <v>0.31562638461538461</v>
      </c>
      <c r="W59" s="987">
        <f t="shared" si="356"/>
        <v>0.24955825370810492</v>
      </c>
      <c r="X59" s="987">
        <f t="shared" si="356"/>
        <v>-0.35867509872493686</v>
      </c>
      <c r="Y59" s="987">
        <f t="shared" si="356"/>
        <v>0.21618490421052283</v>
      </c>
      <c r="Z59" s="987">
        <f t="shared" si="356"/>
        <v>0.12577245828984718</v>
      </c>
      <c r="AA59" s="987">
        <f t="shared" si="356"/>
        <v>0.38184182090915941</v>
      </c>
      <c r="AC59" s="964"/>
      <c r="AD59" s="964"/>
      <c r="AE59" s="964"/>
      <c r="AF59" s="964"/>
      <c r="AG59" s="993"/>
      <c r="AH59" s="993"/>
      <c r="AI59" s="993"/>
      <c r="AJ59" s="993"/>
    </row>
    <row r="60" spans="1:36">
      <c r="A60" s="926"/>
      <c r="D60" s="978"/>
      <c r="E60" s="978"/>
      <c r="F60" s="978"/>
      <c r="G60" s="978"/>
      <c r="H60" s="978"/>
      <c r="I60" s="978"/>
      <c r="J60" s="978"/>
      <c r="K60" s="978"/>
      <c r="L60" s="978"/>
      <c r="M60" s="978"/>
      <c r="N60" s="978"/>
      <c r="O60" s="978"/>
      <c r="P60" s="978"/>
      <c r="Q60" s="978"/>
      <c r="R60" s="978"/>
      <c r="S60" s="978"/>
      <c r="T60" s="978"/>
      <c r="U60" s="978"/>
      <c r="V60" s="978"/>
      <c r="W60" s="987"/>
      <c r="X60" s="987"/>
      <c r="Y60" s="987"/>
      <c r="Z60" s="987"/>
      <c r="AA60" s="987"/>
      <c r="AC60" s="964"/>
      <c r="AD60" s="978"/>
      <c r="AE60" s="978"/>
      <c r="AF60" s="978"/>
      <c r="AG60" s="987"/>
      <c r="AH60" s="987"/>
      <c r="AI60" s="987"/>
      <c r="AJ60" s="987"/>
    </row>
    <row r="61" spans="1:36">
      <c r="A61" s="926" t="s">
        <v>88</v>
      </c>
      <c r="B61" s="933" t="s">
        <v>377</v>
      </c>
      <c r="C61" s="926" t="s">
        <v>88</v>
      </c>
      <c r="D61" s="981" cm="1">
        <f t="array" ref="D61">_xll.FDSRC("-",$C$2,"FE_TIMESERIES("&amp;$B61&amp;",MEAN,"&amp;D$5&amp;",,Q,'CURRENCY=USD')")</f>
        <v>-2.7E-2</v>
      </c>
      <c r="E61" s="981" cm="1">
        <f t="array" ref="E61">_xll.FDSRC("-",$C$2,"FE_TIMESERIES("&amp;$B61&amp;",MEAN,"&amp;E$5&amp;",,Q,'CURRENCY=USD')")</f>
        <v>2.9000000000000001E-2</v>
      </c>
      <c r="F61" s="981" cm="1">
        <f t="array" ref="F61">_xll.FDSRC("-",$C$2,"FE_TIMESERIES("&amp;$B61&amp;",MEAN,"&amp;F$5&amp;",,Q,'CURRENCY=USD')")</f>
        <v>0.154</v>
      </c>
      <c r="G61" s="981" cm="1">
        <f t="array" ref="G61">_xll.FDSRC("-",$C$2,"FE_TIMESERIES("&amp;$B61&amp;",MEAN,"&amp;G$5&amp;",,Q,'CURRENCY=USD')")</f>
        <v>9.9000000000000005E-2</v>
      </c>
      <c r="H61" s="981" cm="1">
        <f t="array" ref="H61">_xll.FDSRC("-",$C$2,"FE_TIMESERIES("&amp;$B61&amp;",MEAN,"&amp;H$5&amp;",,Q,'CURRENCY=USD')")</f>
        <v>0.99399999999999999</v>
      </c>
      <c r="I61" s="981" cm="1">
        <f t="array" ref="I61">_xll.FDSRC("-",$C$2,"FE_TIMESERIES("&amp;$B61&amp;",MEAN,"&amp;I$5&amp;",,Q,'CURRENCY=USD')")</f>
        <v>0.69</v>
      </c>
      <c r="J61" s="981" cm="1">
        <f t="array" ref="J61">_xll.FDSRC("-",$C$2,"FE_TIMESERIES("&amp;$B61&amp;",MEAN,"&amp;J$5&amp;",,Q,'CURRENCY=USD')")</f>
        <v>0.9</v>
      </c>
      <c r="K61" s="981" cm="1">
        <f t="array" ref="K61">_xll.FDSRC("-",$C$2,"FE_TIMESERIES("&amp;$B61&amp;",MEAN,"&amp;K$5&amp;",,Q,'CURRENCY=USD')")</f>
        <v>-0.28999999999999998</v>
      </c>
      <c r="L61" s="981" cm="1">
        <f t="array" ref="L61">_xll.FDSRC("-",$C$2,"FE_TIMESERIES("&amp;$B61&amp;",MEAN,"&amp;L$5&amp;",,Q,'CURRENCY=USD')")</f>
        <v>-1.155</v>
      </c>
      <c r="M61" s="981" cm="1">
        <f t="array" ref="M61">_xll.FDSRC("-",$C$2,"FE_TIMESERIES("&amp;$B61&amp;",MEAN,"&amp;M$5&amp;",,Q,'CURRENCY=USD')")</f>
        <v>-0.95</v>
      </c>
      <c r="N61" s="981" cm="1">
        <f t="array" ref="N61">_xll.FDSRC("-",$C$2,"FE_TIMESERIES("&amp;$B61&amp;",MEAN,"&amp;N$5&amp;",,Q,'CURRENCY=USD')")</f>
        <v>-0.12</v>
      </c>
      <c r="O61" s="981" cm="1">
        <f t="array" ref="O61">_xll.FDSRC("-",$C$2,"FE_TIMESERIES("&amp;$B61&amp;",MEAN,"&amp;O$5&amp;",,Q,'CURRENCY=USD')")</f>
        <v>-0.48</v>
      </c>
      <c r="P61" s="981" cm="1">
        <f t="array" ref="P61">_xll.FDSRC("-",$C$2,"FE_TIMESERIES("&amp;$B61&amp;",MEAN,"&amp;P$5&amp;",,Q,'CURRENCY=USD')")</f>
        <v>0.05</v>
      </c>
      <c r="Q61" s="981" cm="1">
        <f t="array" ref="Q61">_xll.FDSRC("-",$C$2,"FE_TIMESERIES("&amp;$B61&amp;",MEAN,"&amp;Q$5&amp;",,Q,'CURRENCY=USD')")</f>
        <v>-1.01</v>
      </c>
      <c r="R61" s="981" cm="1">
        <f t="array" ref="R61">_xll.FDSRC("-",$C$2,"FE_TIMESERIES("&amp;$B61&amp;",MEAN,"&amp;R$5&amp;",,Q,'CURRENCY=USD')")</f>
        <v>0.55000000000000004</v>
      </c>
      <c r="S61" s="981" cm="1">
        <f t="array" ref="S61">_xll.FDSRC("-",$C$2,"FE_TIMESERIES("&amp;$B61&amp;",MEAN,"&amp;S$5&amp;",,Q,'CURRENCY=USD')")</f>
        <v>0.51</v>
      </c>
      <c r="T61" s="981" cm="1">
        <f t="array" ref="T61">_xll.FDSRC("-",$C$2,"FE_TIMESERIES("&amp;$B61&amp;",MEAN,"&amp;T$5&amp;",,Q,'CURRENCY=USD')")</f>
        <v>-0.21</v>
      </c>
      <c r="U61" s="981" cm="1">
        <f t="array" ref="U61">_xll.FDSRC("-",$C$2,"FE_TIMESERIES("&amp;$B61&amp;",MEAN,"&amp;U$5&amp;",,Q,'CURRENCY=USD')")</f>
        <v>0.13</v>
      </c>
      <c r="V61" s="981" cm="1">
        <f t="array" ref="V61">_xll.FDSRC("-",$C$2,"FE_TIMESERIES("&amp;$B61&amp;",MEAN,"&amp;V$5&amp;",,Q,'CURRENCY=USD')")</f>
        <v>0.63807959999999997</v>
      </c>
      <c r="W61" s="989" cm="1">
        <f t="array" ref="W61">_xll.FDSRC("-",$C$2,"FE_TIMESERIES("&amp;$B61&amp;",MEAN,"&amp;W$5&amp;",,Q,'CURRENCY=USD')")</f>
        <v>0.34055999999999997</v>
      </c>
      <c r="X61" s="989" cm="1">
        <f t="array" ref="X61">_xll.FDSRC("-",$C$2,"FE_TIMESERIES("&amp;$B61&amp;",MEAN,"&amp;X$5&amp;",,Q,'CURRENCY=USD')")</f>
        <v>0.19200249999999999</v>
      </c>
      <c r="Y61" s="989" cm="1">
        <f t="array" ref="Y61">_xll.FDSRC("-",$C$2,"FE_TIMESERIES("&amp;$B61&amp;",MEAN,"&amp;Y$5&amp;",,Q,'CURRENCY=USD')")</f>
        <v>0.25275700000000001</v>
      </c>
      <c r="Z61" s="989" cm="1">
        <f t="array" ref="Z61">_xll.FDSRC("-",$C$2,"FE_TIMESERIES("&amp;$B61&amp;",MEAN,"&amp;Z$5&amp;",,Q,'CURRENCY=USD')")</f>
        <v>0.29405506999999997</v>
      </c>
      <c r="AA61" s="989" cm="1">
        <f t="array" ref="AA61">_xll.FDSRC("-",$C$2,"FE_TIMESERIES("&amp;$B61&amp;",MEAN,"&amp;AA$5&amp;",,Q,'CURRENCY=USD')")</f>
        <v>0.43495800000000001</v>
      </c>
      <c r="AB61" s="982"/>
      <c r="AC61" s="981" cm="1">
        <f t="array" ref="AC61">_xll.FDSRC("-",$C$2,"FE_TIMESERIES("&amp;$B61&amp;",MEAN,"&amp;AC$5&amp;",,Y,'CURRENCY=USD')")</f>
        <v>0.25900000000000001</v>
      </c>
      <c r="AD61" s="981" cm="1">
        <f t="array" ref="AD61">_xll.FDSRC("-",$C$2,"FE_TIMESERIES("&amp;$B61&amp;",MEAN,"&amp;AD$5&amp;",,Y,'CURRENCY=USD')")</f>
        <v>2.29</v>
      </c>
      <c r="AE61" s="981" cm="1">
        <f t="array" ref="AE61">_xll.FDSRC("-",$C$2,"FE_TIMESERIES("&amp;$B61&amp;",MEAN,"&amp;AE$5&amp;",,Y,'CURRENCY=USD')")</f>
        <v>-2.69</v>
      </c>
      <c r="AF61" s="981" cm="1">
        <f t="array" ref="AF61">_xll.FDSRC("-",$C$2,"FE_TIMESERIES("&amp;$B61&amp;",MEAN,"&amp;AF$5&amp;",,Y,'CURRENCY=USD')")</f>
        <v>0.1</v>
      </c>
      <c r="AG61" s="989" cm="1">
        <f t="array" ref="AG61">_xll.FDSRC("-",$C$2,"FE_TIMESERIES("&amp;$B61&amp;",MEAN,"&amp;AG$5&amp;",,Y,'CURRENCY=USD')")</f>
        <v>0.90200495999999997</v>
      </c>
      <c r="AH61" s="989" cm="1">
        <f t="array" ref="AH61">_xll.FDSRC("-",$C$2,"FE_TIMESERIES("&amp;$B61&amp;",MEAN,"&amp;AH$5&amp;",,Y,'CURRENCY=USD')")</f>
        <v>1.1713703</v>
      </c>
      <c r="AI61" s="989" cm="1">
        <f t="array" ref="AI61">_xll.FDSRC("-",$C$2,"FE_TIMESERIES("&amp;$B61&amp;",MEAN,"&amp;AI$5&amp;",,Y,'CURRENCY=USD')")</f>
        <v>1.5342541999999999</v>
      </c>
      <c r="AJ61" s="989" cm="1">
        <f t="array" ref="AJ61">_xll.FDSRC("-",$C$2,"FE_TIMESERIES("&amp;$B61&amp;",MEAN,"&amp;AJ$5&amp;",,Y,'CURRENCY=USD')")</f>
        <v>2.2300650000000002</v>
      </c>
    </row>
    <row r="62" spans="1:36">
      <c r="A62" s="926" t="s">
        <v>503</v>
      </c>
      <c r="C62" s="926" t="s">
        <v>512</v>
      </c>
      <c r="D62" s="978"/>
      <c r="E62" s="964"/>
      <c r="F62" s="964"/>
      <c r="G62" s="964"/>
      <c r="H62" s="978">
        <f t="shared" ref="H62:AA62" si="357">H61/D61-1</f>
        <v>-37.814814814814817</v>
      </c>
      <c r="I62" s="978">
        <f t="shared" si="357"/>
        <v>22.793103448275858</v>
      </c>
      <c r="J62" s="978">
        <f t="shared" si="357"/>
        <v>4.8441558441558445</v>
      </c>
      <c r="K62" s="978">
        <f t="shared" si="357"/>
        <v>-3.9292929292929291</v>
      </c>
      <c r="L62" s="978">
        <f t="shared" si="357"/>
        <v>-2.1619718309859155</v>
      </c>
      <c r="M62" s="978">
        <f t="shared" si="357"/>
        <v>-2.3768115942028984</v>
      </c>
      <c r="N62" s="978">
        <f t="shared" si="357"/>
        <v>-1.1333333333333333</v>
      </c>
      <c r="O62" s="978">
        <f t="shared" si="357"/>
        <v>0.65517241379310343</v>
      </c>
      <c r="P62" s="978">
        <f t="shared" si="357"/>
        <v>-1.0432900432900434</v>
      </c>
      <c r="Q62" s="978">
        <f t="shared" si="357"/>
        <v>6.315789473684208E-2</v>
      </c>
      <c r="R62" s="978">
        <f t="shared" si="357"/>
        <v>-5.5833333333333339</v>
      </c>
      <c r="S62" s="978">
        <f t="shared" si="357"/>
        <v>-2.0625</v>
      </c>
      <c r="T62" s="978">
        <f t="shared" si="357"/>
        <v>-5.1999999999999993</v>
      </c>
      <c r="U62" s="978">
        <f t="shared" si="357"/>
        <v>-1.1287128712871288</v>
      </c>
      <c r="V62" s="978">
        <f t="shared" si="357"/>
        <v>0.16014472727272722</v>
      </c>
      <c r="W62" s="987">
        <f t="shared" si="357"/>
        <v>-0.33223529411764707</v>
      </c>
      <c r="X62" s="987">
        <f t="shared" si="357"/>
        <v>-1.9142976190476191</v>
      </c>
      <c r="Y62" s="987">
        <f t="shared" si="357"/>
        <v>0.94428461538461539</v>
      </c>
      <c r="Z62" s="987">
        <f t="shared" si="357"/>
        <v>-0.53915613349807767</v>
      </c>
      <c r="AA62" s="987">
        <f t="shared" si="357"/>
        <v>0.27718463706835816</v>
      </c>
      <c r="AC62" s="964"/>
      <c r="AD62" s="978">
        <f t="shared" ref="AD62:AJ62" si="358">AD61/AC61-1</f>
        <v>7.8416988416988413</v>
      </c>
      <c r="AE62" s="978">
        <f t="shared" si="358"/>
        <v>-2.1746724890829694</v>
      </c>
      <c r="AF62" s="978">
        <f t="shared" si="358"/>
        <v>-1.037174721189591</v>
      </c>
      <c r="AG62" s="987">
        <f t="shared" si="358"/>
        <v>8.0200495999999983</v>
      </c>
      <c r="AH62" s="987">
        <f t="shared" si="358"/>
        <v>0.29862955520776735</v>
      </c>
      <c r="AI62" s="987">
        <f t="shared" si="358"/>
        <v>0.30979434940428319</v>
      </c>
      <c r="AJ62" s="987">
        <f t="shared" si="358"/>
        <v>0.45351728546677617</v>
      </c>
    </row>
    <row r="63" spans="1:36">
      <c r="A63" s="926" t="s">
        <v>504</v>
      </c>
      <c r="C63" s="926" t="s">
        <v>513</v>
      </c>
      <c r="D63" s="978"/>
      <c r="E63" s="978">
        <f t="shared" ref="E63:AA63" si="359">E61/D61-1</f>
        <v>-2.0740740740740744</v>
      </c>
      <c r="F63" s="978">
        <f t="shared" si="359"/>
        <v>4.3103448275862064</v>
      </c>
      <c r="G63" s="978">
        <f t="shared" si="359"/>
        <v>-0.3571428571428571</v>
      </c>
      <c r="H63" s="978">
        <f t="shared" si="359"/>
        <v>9.0404040404040398</v>
      </c>
      <c r="I63" s="978">
        <f t="shared" si="359"/>
        <v>-0.30583501006036218</v>
      </c>
      <c r="J63" s="978">
        <f t="shared" si="359"/>
        <v>0.30434782608695676</v>
      </c>
      <c r="K63" s="978">
        <f t="shared" si="359"/>
        <v>-1.3222222222222222</v>
      </c>
      <c r="L63" s="978">
        <f t="shared" si="359"/>
        <v>2.9827586206896557</v>
      </c>
      <c r="M63" s="978">
        <f t="shared" si="359"/>
        <v>-0.17748917748917759</v>
      </c>
      <c r="N63" s="978">
        <f t="shared" si="359"/>
        <v>-0.87368421052631584</v>
      </c>
      <c r="O63" s="978">
        <f t="shared" si="359"/>
        <v>3</v>
      </c>
      <c r="P63" s="978">
        <f t="shared" si="359"/>
        <v>-1.1041666666666667</v>
      </c>
      <c r="Q63" s="978">
        <f t="shared" si="359"/>
        <v>-21.2</v>
      </c>
      <c r="R63" s="978">
        <f t="shared" si="359"/>
        <v>-1.5445544554455446</v>
      </c>
      <c r="S63" s="978">
        <f t="shared" si="359"/>
        <v>-7.2727272727272751E-2</v>
      </c>
      <c r="T63" s="978">
        <f t="shared" si="359"/>
        <v>-1.4117647058823528</v>
      </c>
      <c r="U63" s="978">
        <f t="shared" si="359"/>
        <v>-1.6190476190476191</v>
      </c>
      <c r="V63" s="978">
        <f t="shared" si="359"/>
        <v>3.9083046153846146</v>
      </c>
      <c r="W63" s="987">
        <f t="shared" si="359"/>
        <v>-0.466273486881574</v>
      </c>
      <c r="X63" s="987">
        <f t="shared" si="359"/>
        <v>-0.43621535118628141</v>
      </c>
      <c r="Y63" s="987">
        <f t="shared" si="359"/>
        <v>0.31642556737542482</v>
      </c>
      <c r="Z63" s="987">
        <f t="shared" si="359"/>
        <v>0.16339041055242776</v>
      </c>
      <c r="AA63" s="987">
        <f t="shared" si="359"/>
        <v>0.47917191157425054</v>
      </c>
      <c r="AC63" s="964"/>
      <c r="AD63" s="964"/>
      <c r="AE63" s="964"/>
      <c r="AF63" s="964"/>
      <c r="AG63" s="993"/>
      <c r="AH63" s="993"/>
      <c r="AI63" s="993"/>
      <c r="AJ63" s="993"/>
    </row>
    <row r="64" spans="1:36">
      <c r="A64" s="926"/>
      <c r="D64" s="978"/>
      <c r="E64" s="978"/>
      <c r="F64" s="978"/>
      <c r="G64" s="978"/>
      <c r="H64" s="978"/>
      <c r="I64" s="978"/>
      <c r="J64" s="978"/>
      <c r="K64" s="978"/>
      <c r="L64" s="978"/>
      <c r="M64" s="978"/>
      <c r="N64" s="978"/>
      <c r="O64" s="978"/>
      <c r="P64" s="978"/>
      <c r="Q64" s="978"/>
      <c r="R64" s="978"/>
      <c r="S64" s="978"/>
      <c r="T64" s="978"/>
      <c r="U64" s="978"/>
      <c r="V64" s="978"/>
      <c r="W64" s="987"/>
      <c r="X64" s="987"/>
      <c r="Y64" s="987"/>
      <c r="Z64" s="987"/>
      <c r="AA64" s="987"/>
      <c r="AC64" s="964"/>
      <c r="AD64" s="978"/>
      <c r="AE64" s="978"/>
      <c r="AF64" s="978"/>
      <c r="AG64" s="987"/>
      <c r="AH64" s="987"/>
      <c r="AI64" s="987"/>
      <c r="AJ64" s="987"/>
    </row>
    <row r="65" spans="1:36">
      <c r="A65" s="926"/>
      <c r="B65" s="933" t="s">
        <v>520</v>
      </c>
      <c r="D65" s="976"/>
      <c r="W65" s="988"/>
      <c r="X65" s="988"/>
      <c r="Y65" s="988"/>
      <c r="Z65" s="988"/>
      <c r="AA65" s="988"/>
      <c r="AG65" s="988"/>
      <c r="AH65" s="988"/>
      <c r="AI65" s="988"/>
      <c r="AJ65" s="988"/>
    </row>
    <row r="66" spans="1:36">
      <c r="A66" s="926" t="s">
        <v>445</v>
      </c>
      <c r="B66" s="933" t="s">
        <v>445</v>
      </c>
      <c r="C66" s="926" t="s">
        <v>445</v>
      </c>
      <c r="D66" s="983" cm="1">
        <f t="array" ref="D66">_xll.FDSRC("-",$C$2,"FE_TIMESERIES("&amp;$B66&amp;",MEAN,"&amp;D$5&amp;",,Q,'CURRENCY=USD')")</f>
        <v>-84.961426000000003</v>
      </c>
      <c r="E66" s="983" cm="1">
        <f t="array" ref="E66">_xll.FDSRC("-",$C$2,"FE_TIMESERIES("&amp;$B66&amp;",MEAN,"&amp;E$5&amp;",,Q,'CURRENCY=USD')")</f>
        <v>158.63487000000001</v>
      </c>
      <c r="F66" s="983" cm="1">
        <f t="array" ref="F66">_xll.FDSRC("-",$C$2,"FE_TIMESERIES("&amp;$B66&amp;",MEAN,"&amp;F$5&amp;",,Q,'CURRENCY=USD')")</f>
        <v>82.707499999999996</v>
      </c>
      <c r="G66" s="983" cm="1">
        <f t="array" ref="G66">_xll.FDSRC("-",$C$2,"FE_TIMESERIES("&amp;$B66&amp;",MEAN,"&amp;G$5&amp;",,Q,'CURRENCY=USD')")</f>
        <v>245.3245</v>
      </c>
      <c r="H66" s="983" cm="1">
        <f t="array" ref="H66">_xll.FDSRC("-",$C$2,"FE_TIMESERIES("&amp;$B66&amp;",MEAN,"&amp;H$5&amp;",,Q,'CURRENCY=USD')")</f>
        <v>135.75282000000001</v>
      </c>
      <c r="I66" s="983" cm="1">
        <f t="array" ref="I66">_xll.FDSRC("-",$C$2,"FE_TIMESERIES("&amp;$B66&amp;",MEAN,"&amp;I$5&amp;",,Q,'CURRENCY=USD')")</f>
        <v>83.849723999999995</v>
      </c>
      <c r="J66" s="983" cm="1">
        <f t="array" ref="J66">_xll.FDSRC("-",$C$2,"FE_TIMESERIES("&amp;$B66&amp;",MEAN,"&amp;J$5&amp;",,Q,'CURRENCY=USD')")</f>
        <v>41.887</v>
      </c>
      <c r="K66" s="983" cm="1">
        <f t="array" ref="K66">_xll.FDSRC("-",$C$2,"FE_TIMESERIES("&amp;$B66&amp;",MEAN,"&amp;K$5&amp;",,Q,'CURRENCY=USD')")</f>
        <v>260.55259999999998</v>
      </c>
      <c r="L66" s="983" cm="1">
        <f t="array" ref="L66">_xll.FDSRC("-",$C$2,"FE_TIMESERIES("&amp;$B66&amp;",MEAN,"&amp;L$5&amp;",,Q,'CURRENCY=USD')")</f>
        <v>-53.7</v>
      </c>
      <c r="M66" s="983" cm="1">
        <f t="array" ref="M66">_xll.FDSRC("-",$C$2,"FE_TIMESERIES("&amp;$B66&amp;",MEAN,"&amp;M$5&amp;",,Q,'CURRENCY=USD')")</f>
        <v>-130.13921999999999</v>
      </c>
      <c r="N66" s="983" cm="1">
        <f t="array" ref="N66">_xll.FDSRC("-",$C$2,"FE_TIMESERIES("&amp;$B66&amp;",MEAN,"&amp;N$5&amp;",,Q,'CURRENCY=USD')")</f>
        <v>-214.07300000000001</v>
      </c>
      <c r="O66" s="983" cm="1">
        <f t="array" ref="O66">_xll.FDSRC("-",$C$2,"FE_TIMESERIES("&amp;$B66&amp;",MEAN,"&amp;O$5&amp;",,Q,'CURRENCY=USD')")</f>
        <v>255.3125</v>
      </c>
      <c r="P66" s="983" cm="1">
        <f t="array" ref="P66">_xll.FDSRC("-",$C$2,"FE_TIMESERIES("&amp;$B66&amp;",MEAN,"&amp;P$5&amp;",,Q,'CURRENCY=USD')")</f>
        <v>100</v>
      </c>
      <c r="Q66" s="983" cm="1">
        <f t="array" ref="Q66">_xll.FDSRC("-",$C$2,"FE_TIMESERIES("&amp;$B66&amp;",MEAN,"&amp;Q$5&amp;",,Q,'CURRENCY=USD')")</f>
        <v>118</v>
      </c>
      <c r="R66" s="983" cm="1">
        <f t="array" ref="R66">_xll.FDSRC("-",$C$2,"FE_TIMESERIES("&amp;$B66&amp;",MEAN,"&amp;R$5&amp;",,Q,'CURRENCY=USD')")</f>
        <v>310.83334000000002</v>
      </c>
      <c r="S66" s="983" cm="1">
        <f t="array" ref="S66">_xll.FDSRC("-",$C$2,"FE_TIMESERIES("&amp;$B66&amp;",MEAN,"&amp;S$5&amp;",,Q,'CURRENCY=USD')")</f>
        <v>448</v>
      </c>
      <c r="T66" s="983" cm="1">
        <f t="array" ref="T66">_xll.FDSRC("-",$C$2,"FE_TIMESERIES("&amp;$B66&amp;",MEAN,"&amp;T$5&amp;",,Q,'CURRENCY=USD')")</f>
        <v>233.75</v>
      </c>
      <c r="U66" s="983" cm="1">
        <f t="array" ref="U66">_xll.FDSRC("-",$C$2,"FE_TIMESERIES("&amp;$B66&amp;",MEAN,"&amp;U$5&amp;",,Q,'CURRENCY=USD')")</f>
        <v>340</v>
      </c>
      <c r="V66" s="983" cm="1">
        <f t="array" ref="V66">_xll.FDSRC("-",$C$2,"FE_TIMESERIES("&amp;$B66&amp;",MEAN,"&amp;V$5&amp;",,Q,'CURRENCY=USD')")</f>
        <v>423</v>
      </c>
      <c r="W66" s="990" cm="1">
        <f t="array" ref="W66">_xll.FDSRC("-",$C$2,"FE_TIMESERIES("&amp;$B66&amp;",MEAN,"&amp;W$5&amp;",,Q,'CURRENCY=USD')")</f>
        <v>559.64380000000006</v>
      </c>
      <c r="X66" s="990" cm="1">
        <f t="array" ref="X66">_xll.FDSRC("-",$C$2,"FE_TIMESERIES("&amp;$B66&amp;",MEAN,"&amp;X$5&amp;",,Q,'CURRENCY=USD')")</f>
        <v>409.72410000000002</v>
      </c>
      <c r="Y66" s="990" cm="1">
        <f t="array" ref="Y66">_xll.FDSRC("-",$C$2,"FE_TIMESERIES("&amp;$B66&amp;",MEAN,"&amp;Y$5&amp;",,Q,'CURRENCY=USD')")</f>
        <v>415.0102</v>
      </c>
      <c r="Z66" s="990" cm="1">
        <f t="array" ref="Z66">_xll.FDSRC("-",$C$2,"FE_TIMESERIES("&amp;$B66&amp;",MEAN,"&amp;Z$5&amp;",,Q,'CURRENCY=USD')")</f>
        <v>478.64713</v>
      </c>
      <c r="AA66" s="990" cm="1">
        <f t="array" ref="AA66">_xll.FDSRC("-",$C$2,"FE_TIMESERIES("&amp;$B66&amp;",MEAN,"&amp;AA$5&amp;",,Q,'CURRENCY=USD')")</f>
        <v>710.01379999999995</v>
      </c>
      <c r="AB66" s="984"/>
      <c r="AC66" s="983" cm="1">
        <f t="array" ref="AC66">_xll.FDSRC("-",$C$2,"FE_TIMESERIES("&amp;$B66&amp;",MEAN,"&amp;AC$5&amp;",,Y,'CURRENCY=USD')")</f>
        <v>385.94445999999999</v>
      </c>
      <c r="AD66" s="983" cm="1">
        <f t="array" ref="AD66">_xll.FDSRC("-",$C$2,"FE_TIMESERIES("&amp;$B66&amp;",MEAN,"&amp;AD$5&amp;",,Y,'CURRENCY=USD')")</f>
        <v>552.46460000000002</v>
      </c>
      <c r="AE66" s="983" cm="1">
        <f t="array" ref="AE66">_xll.FDSRC("-",$C$2,"FE_TIMESERIES("&amp;$B66&amp;",MEAN,"&amp;AE$5&amp;",,Y,'CURRENCY=USD')")</f>
        <v>-141.92905999999999</v>
      </c>
      <c r="AF66" s="983" cm="1">
        <f t="array" ref="AF66">_xll.FDSRC("-",$C$2,"FE_TIMESERIES("&amp;$B66&amp;",MEAN,"&amp;AF$5&amp;",,Y,'CURRENCY=USD')")</f>
        <v>944.07690000000002</v>
      </c>
      <c r="AG66" s="990" cm="1">
        <f t="array" ref="AG66">_xll.FDSRC("-",$C$2,"FE_TIMESERIES("&amp;$B66&amp;",MEAN,"&amp;AG$5&amp;",,Y,'CURRENCY=USD')")</f>
        <v>1618.5018</v>
      </c>
      <c r="AH66" s="990" cm="1">
        <f t="array" ref="AH66">_xll.FDSRC("-",$C$2,"FE_TIMESERIES("&amp;$B66&amp;",MEAN,"&amp;AH$5&amp;",,Y,'CURRENCY=USD')")</f>
        <v>2104.9238</v>
      </c>
      <c r="AI66" s="990" cm="1">
        <f t="array" ref="AI66">_xll.FDSRC("-",$C$2,"FE_TIMESERIES("&amp;$B66&amp;",MEAN,"&amp;AI$5&amp;",,Y,'CURRENCY=USD')")</f>
        <v>2603.7510000000002</v>
      </c>
      <c r="AJ66" s="990" cm="1">
        <f t="array" ref="AJ66">_xll.FDSRC("-",$C$2,"FE_TIMESERIES("&amp;$B66&amp;",MEAN,"&amp;AJ$5&amp;",,Y,'CURRENCY=USD')")</f>
        <v>3720</v>
      </c>
    </row>
    <row r="67" spans="1:36">
      <c r="A67" s="926" t="s">
        <v>446</v>
      </c>
      <c r="C67" s="926" t="s">
        <v>512</v>
      </c>
      <c r="D67" s="978"/>
      <c r="E67" s="964"/>
      <c r="F67" s="964"/>
      <c r="G67" s="964"/>
      <c r="H67" s="978">
        <f>H66/D66-1</f>
        <v>-2.59781710820155</v>
      </c>
      <c r="I67" s="978">
        <f t="shared" ref="I67" si="360">I66/E66-1</f>
        <v>-0.47142942784269315</v>
      </c>
      <c r="J67" s="978">
        <f t="shared" ref="J67" si="361">J66/F66-1</f>
        <v>-0.49355257987486012</v>
      </c>
      <c r="K67" s="978">
        <f t="shared" ref="K67" si="362">K66/G66-1</f>
        <v>6.2073294758574704E-2</v>
      </c>
      <c r="L67" s="978">
        <f t="shared" ref="L67" si="363">L66/H66-1</f>
        <v>-1.3955718930921654</v>
      </c>
      <c r="M67" s="978">
        <f t="shared" ref="M67" si="364">M66/I66-1</f>
        <v>-2.5520530514805273</v>
      </c>
      <c r="N67" s="978">
        <f t="shared" ref="N67" si="365">N66/J66-1</f>
        <v>-6.1107264783823148</v>
      </c>
      <c r="O67" s="978">
        <f t="shared" ref="O67" si="366">O66/K66-1</f>
        <v>-2.0111486126025979E-2</v>
      </c>
      <c r="P67" s="978">
        <f t="shared" ref="P67" si="367">P66/L66-1</f>
        <v>-2.8621973929236497</v>
      </c>
      <c r="Q67" s="978">
        <f t="shared" ref="Q67" si="368">Q66/M66-1</f>
        <v>-1.9067212789503425</v>
      </c>
      <c r="R67" s="978">
        <f t="shared" ref="R67" si="369">R66/N66-1</f>
        <v>-2.4519969356247637</v>
      </c>
      <c r="S67" s="978">
        <f t="shared" ref="S67" si="370">S66/O66-1</f>
        <v>0.75471236230110161</v>
      </c>
      <c r="T67" s="978">
        <f t="shared" ref="T67" si="371">T66/P66-1</f>
        <v>1.3374999999999999</v>
      </c>
      <c r="U67" s="978">
        <f t="shared" ref="U67" si="372">U66/Q66-1</f>
        <v>1.8813559322033897</v>
      </c>
      <c r="V67" s="978">
        <f t="shared" ref="V67" si="373">V66/R66-1</f>
        <v>0.36085787965988447</v>
      </c>
      <c r="W67" s="987">
        <f t="shared" ref="W67" si="374">W66/S66-1</f>
        <v>0.24920491071428574</v>
      </c>
      <c r="X67" s="987">
        <f t="shared" ref="X67" si="375">X66/T66-1</f>
        <v>0.75283037433155098</v>
      </c>
      <c r="Y67" s="987">
        <f t="shared" ref="Y67" si="376">Y66/U66-1</f>
        <v>0.22061823529411773</v>
      </c>
      <c r="Z67" s="987">
        <f t="shared" ref="Z67" si="377">Z66/V66-1</f>
        <v>0.13155349881796696</v>
      </c>
      <c r="AA67" s="987">
        <f t="shared" ref="AA67" si="378">AA66/W66-1</f>
        <v>0.26868876238779005</v>
      </c>
      <c r="AC67" s="964"/>
      <c r="AD67" s="978">
        <f t="shared" ref="AD67" si="379">AD66/AC66-1</f>
        <v>0.43146140768544794</v>
      </c>
      <c r="AE67" s="978">
        <f t="shared" ref="AE67" si="380">AE66/AD66-1</f>
        <v>-1.2569016367745554</v>
      </c>
      <c r="AF67" s="978">
        <f t="shared" ref="AF67" si="381">AF66/AE66-1</f>
        <v>-7.6517519386093307</v>
      </c>
      <c r="AG67" s="987">
        <f t="shared" ref="AG67" si="382">AG66/AF66-1</f>
        <v>0.7143749624633331</v>
      </c>
      <c r="AH67" s="987">
        <f t="shared" ref="AH67" si="383">AH66/AG66-1</f>
        <v>0.3005384362254031</v>
      </c>
      <c r="AI67" s="987">
        <f t="shared" ref="AI67" si="384">AI66/AH66-1</f>
        <v>0.23698112017166606</v>
      </c>
      <c r="AJ67" s="987">
        <f t="shared" ref="AJ67" si="385">AJ66/AI66-1</f>
        <v>0.42870804466325696</v>
      </c>
    </row>
    <row r="68" spans="1:36">
      <c r="A68" s="926" t="s">
        <v>505</v>
      </c>
      <c r="C68" s="926" t="s">
        <v>513</v>
      </c>
      <c r="D68" s="978"/>
      <c r="E68" s="978">
        <f>E66/D66-1</f>
        <v>-2.8671399182965693</v>
      </c>
      <c r="F68" s="978">
        <f t="shared" ref="F68:AA68" si="386">F66/E66-1</f>
        <v>-0.47862976153981784</v>
      </c>
      <c r="G68" s="978">
        <f t="shared" si="386"/>
        <v>1.9661699362210201</v>
      </c>
      <c r="H68" s="978">
        <f t="shared" si="386"/>
        <v>-0.44663977711154002</v>
      </c>
      <c r="I68" s="978">
        <f t="shared" si="386"/>
        <v>-0.38233530618369482</v>
      </c>
      <c r="J68" s="978">
        <f t="shared" si="386"/>
        <v>-0.5004515459108726</v>
      </c>
      <c r="K68" s="978">
        <f t="shared" si="386"/>
        <v>5.2203690882612737</v>
      </c>
      <c r="L68" s="978">
        <f t="shared" si="386"/>
        <v>-1.2061004188789519</v>
      </c>
      <c r="M68" s="978">
        <f t="shared" si="386"/>
        <v>1.4234491620111731</v>
      </c>
      <c r="N68" s="978">
        <f t="shared" si="386"/>
        <v>0.64495376566726015</v>
      </c>
      <c r="O68" s="978">
        <f t="shared" si="386"/>
        <v>-2.1926422295198367</v>
      </c>
      <c r="P68" s="978">
        <f t="shared" si="386"/>
        <v>-0.6083231334149326</v>
      </c>
      <c r="Q68" s="978">
        <f t="shared" si="386"/>
        <v>0.17999999999999994</v>
      </c>
      <c r="R68" s="978">
        <f t="shared" si="386"/>
        <v>1.6341808474576274</v>
      </c>
      <c r="S68" s="978">
        <f t="shared" si="386"/>
        <v>0.44128683235845934</v>
      </c>
      <c r="T68" s="978">
        <f t="shared" si="386"/>
        <v>-0.4782366071428571</v>
      </c>
      <c r="U68" s="978">
        <f t="shared" si="386"/>
        <v>0.45454545454545459</v>
      </c>
      <c r="V68" s="978">
        <f t="shared" si="386"/>
        <v>0.24411764705882355</v>
      </c>
      <c r="W68" s="987">
        <f t="shared" si="386"/>
        <v>0.32303498817966925</v>
      </c>
      <c r="X68" s="987">
        <f t="shared" si="386"/>
        <v>-0.26788414344981581</v>
      </c>
      <c r="Y68" s="987">
        <f t="shared" si="386"/>
        <v>1.2901608667881481E-2</v>
      </c>
      <c r="Z68" s="987">
        <f t="shared" si="386"/>
        <v>0.15333823120491985</v>
      </c>
      <c r="AA68" s="987">
        <f t="shared" si="386"/>
        <v>0.48337628181328474</v>
      </c>
      <c r="AC68" s="964"/>
      <c r="AD68" s="964"/>
      <c r="AE68" s="964"/>
      <c r="AF68" s="964"/>
      <c r="AG68" s="993"/>
      <c r="AH68" s="993"/>
      <c r="AI68" s="993"/>
      <c r="AJ68" s="993"/>
    </row>
    <row r="69" spans="1:36">
      <c r="A69" s="926" t="s">
        <v>506</v>
      </c>
      <c r="C69" s="926" t="s">
        <v>450</v>
      </c>
      <c r="D69" s="978">
        <f>D66/D$10</f>
        <v>-0.18076860687530455</v>
      </c>
      <c r="E69" s="978">
        <f t="shared" ref="E69:AA69" si="387">E66/E$10</f>
        <v>0.22207162965586463</v>
      </c>
      <c r="F69" s="978">
        <f t="shared" si="387"/>
        <v>0.10777555528045817</v>
      </c>
      <c r="G69" s="978">
        <f t="shared" si="387"/>
        <v>0.25090872457412167</v>
      </c>
      <c r="H69" s="978">
        <f t="shared" si="387"/>
        <v>0.13731171995666805</v>
      </c>
      <c r="I69" s="978">
        <f t="shared" si="387"/>
        <v>7.4905953189208493E-2</v>
      </c>
      <c r="J69" s="978">
        <f t="shared" si="387"/>
        <v>3.7274636481748447E-2</v>
      </c>
      <c r="K69" s="978">
        <f t="shared" si="387"/>
        <v>0.18880294835452138</v>
      </c>
      <c r="L69" s="978">
        <f t="shared" si="387"/>
        <v>-4.4615298976506762E-2</v>
      </c>
      <c r="M69" s="978">
        <f t="shared" si="387"/>
        <v>-0.10048871753729353</v>
      </c>
      <c r="N69" s="978">
        <f t="shared" si="387"/>
        <v>-0.15669228517054604</v>
      </c>
      <c r="O69" s="978">
        <f t="shared" si="387"/>
        <v>0.14715604462996071</v>
      </c>
      <c r="P69" s="978">
        <f t="shared" si="387"/>
        <v>6.6312997347480113E-2</v>
      </c>
      <c r="Q69" s="978">
        <f t="shared" si="387"/>
        <v>6.9657615112160565E-2</v>
      </c>
      <c r="R69" s="978">
        <f t="shared" si="387"/>
        <v>0.18134967327887982</v>
      </c>
      <c r="S69" s="978">
        <f t="shared" si="387"/>
        <v>0.20895522388059701</v>
      </c>
      <c r="T69" s="978">
        <f t="shared" si="387"/>
        <v>0.1256045137023106</v>
      </c>
      <c r="U69" s="978">
        <f t="shared" si="387"/>
        <v>0.16625916870415647</v>
      </c>
      <c r="V69" s="978">
        <f t="shared" si="387"/>
        <v>0.19565217391304349</v>
      </c>
      <c r="W69" s="987">
        <f t="shared" si="387"/>
        <v>0.2053139575563124</v>
      </c>
      <c r="X69" s="987">
        <f t="shared" si="387"/>
        <v>0.17662287780502189</v>
      </c>
      <c r="Y69" s="987">
        <f t="shared" si="387"/>
        <v>0.16418562568417239</v>
      </c>
      <c r="Z69" s="987">
        <f t="shared" si="387"/>
        <v>0.18146928712946811</v>
      </c>
      <c r="AA69" s="987">
        <f t="shared" si="387"/>
        <v>0.21453604535868595</v>
      </c>
      <c r="AB69" s="964"/>
      <c r="AC69" s="964"/>
      <c r="AD69" s="978">
        <f t="shared" ref="AD69:AJ69" si="388">AD66/AD$10</f>
        <v>0.11979224850038683</v>
      </c>
      <c r="AE69" s="978">
        <f t="shared" si="388"/>
        <v>-2.5345090523627004E-2</v>
      </c>
      <c r="AF69" s="978">
        <f t="shared" si="388"/>
        <v>0.13372194050991501</v>
      </c>
      <c r="AG69" s="987">
        <f t="shared" si="388"/>
        <v>0.18393671174938903</v>
      </c>
      <c r="AH69" s="987">
        <f t="shared" si="388"/>
        <v>0.19385630997502801</v>
      </c>
      <c r="AI69" s="987">
        <f t="shared" si="388"/>
        <v>0.19794323092947416</v>
      </c>
      <c r="AJ69" s="987">
        <f t="shared" si="388"/>
        <v>0.21497728233347901</v>
      </c>
    </row>
    <row r="70" spans="1:36">
      <c r="A70" s="926"/>
      <c r="D70" s="976"/>
      <c r="W70" s="988"/>
      <c r="X70" s="988"/>
      <c r="Y70" s="988"/>
      <c r="Z70" s="988"/>
      <c r="AA70" s="988"/>
      <c r="AG70" s="988"/>
      <c r="AH70" s="988"/>
      <c r="AI70" s="988"/>
      <c r="AJ70" s="988"/>
    </row>
    <row r="71" spans="1:36">
      <c r="A71" s="926" t="s">
        <v>182</v>
      </c>
      <c r="C71" s="926" t="s">
        <v>447</v>
      </c>
      <c r="D71" s="983">
        <f>-D72</f>
        <v>-16.734285</v>
      </c>
      <c r="E71" s="983">
        <f t="shared" ref="E71:AA71" si="389">-E72</f>
        <v>-8.5903749999999999</v>
      </c>
      <c r="F71" s="983">
        <f t="shared" si="389"/>
        <v>-10.042</v>
      </c>
      <c r="G71" s="983">
        <f t="shared" si="389"/>
        <v>-6.3170000000000002</v>
      </c>
      <c r="H71" s="983">
        <f t="shared" si="389"/>
        <v>-5.1684445999999999</v>
      </c>
      <c r="I71" s="983">
        <f t="shared" si="389"/>
        <v>-8.2141000000000002</v>
      </c>
      <c r="J71" s="983">
        <f t="shared" si="389"/>
        <v>-11.902445</v>
      </c>
      <c r="K71" s="983">
        <f t="shared" si="389"/>
        <v>-25.981249999999999</v>
      </c>
      <c r="L71" s="983">
        <f t="shared" si="389"/>
        <v>-15.9375</v>
      </c>
      <c r="M71" s="983">
        <f t="shared" si="389"/>
        <v>-12.535</v>
      </c>
      <c r="N71" s="983">
        <f t="shared" si="389"/>
        <v>-13.914444</v>
      </c>
      <c r="O71" s="983">
        <f t="shared" si="389"/>
        <v>-7.6604443</v>
      </c>
      <c r="P71" s="983">
        <f t="shared" si="389"/>
        <v>-14</v>
      </c>
      <c r="Q71" s="983">
        <f t="shared" si="389"/>
        <v>-21</v>
      </c>
      <c r="R71" s="983">
        <f t="shared" si="389"/>
        <v>-2</v>
      </c>
      <c r="S71" s="983">
        <f t="shared" si="389"/>
        <v>-2</v>
      </c>
      <c r="T71" s="983">
        <f t="shared" si="389"/>
        <v>-6</v>
      </c>
      <c r="U71" s="983">
        <f t="shared" si="389"/>
        <v>-7</v>
      </c>
      <c r="V71" s="983">
        <f t="shared" si="389"/>
        <v>-2</v>
      </c>
      <c r="W71" s="990">
        <f t="shared" si="389"/>
        <v>-5.3967499999999999</v>
      </c>
      <c r="X71" s="990">
        <f t="shared" si="389"/>
        <v>-6.4972000000000003</v>
      </c>
      <c r="Y71" s="990">
        <f t="shared" si="389"/>
        <v>-6.9048999999999996</v>
      </c>
      <c r="Z71" s="990">
        <f t="shared" si="389"/>
        <v>-6.5945999999999998</v>
      </c>
      <c r="AA71" s="990">
        <f t="shared" si="389"/>
        <v>-7.4150999999999998</v>
      </c>
      <c r="AC71" s="983">
        <f t="shared" ref="AC71" si="390">-AC72</f>
        <v>-41.732999999999997</v>
      </c>
      <c r="AD71" s="983">
        <f t="shared" ref="AD71" si="391">-AD72</f>
        <v>-50.850285</v>
      </c>
      <c r="AE71" s="983">
        <f t="shared" ref="AE71" si="392">-AE72</f>
        <v>-50.018000000000001</v>
      </c>
      <c r="AF71" s="983">
        <f t="shared" ref="AF71" si="393">-AF72</f>
        <v>-39</v>
      </c>
      <c r="AG71" s="990">
        <f t="shared" ref="AG71" si="394">-AG72</f>
        <v>-21.771305000000002</v>
      </c>
      <c r="AH71" s="990">
        <f t="shared" ref="AH71" si="395">-AH72</f>
        <v>-32.172730000000001</v>
      </c>
      <c r="AI71" s="990">
        <f t="shared" ref="AI71" si="396">-AI72</f>
        <v>-34.835673999999997</v>
      </c>
      <c r="AJ71" s="990">
        <f t="shared" ref="AJ71" si="397">-AJ72</f>
        <v>-40.931865999999999</v>
      </c>
    </row>
    <row r="72" spans="1:36">
      <c r="A72" s="926"/>
      <c r="B72" s="933" t="s">
        <v>182</v>
      </c>
      <c r="D72" s="983" cm="1">
        <f t="array" ref="D72">_xll.FDSRC("-",$C$2,"FE_TIMESERIES("&amp;$B72&amp;",MEAN,"&amp;D$5&amp;",,Q,'CURRENCY=USD')")</f>
        <v>16.734285</v>
      </c>
      <c r="E72" s="983" cm="1">
        <f t="array" ref="E72">_xll.FDSRC("-",$C$2,"FE_TIMESERIES("&amp;$B72&amp;",MEAN,"&amp;E$5&amp;",,Q,'CURRENCY=USD')")</f>
        <v>8.5903749999999999</v>
      </c>
      <c r="F72" s="983" cm="1">
        <f t="array" ref="F72">_xll.FDSRC("-",$C$2,"FE_TIMESERIES("&amp;$B72&amp;",MEAN,"&amp;F$5&amp;",,Q,'CURRENCY=USD')")</f>
        <v>10.042</v>
      </c>
      <c r="G72" s="983" cm="1">
        <f t="array" ref="G72">_xll.FDSRC("-",$C$2,"FE_TIMESERIES("&amp;$B72&amp;",MEAN,"&amp;G$5&amp;",,Q,'CURRENCY=USD')")</f>
        <v>6.3170000000000002</v>
      </c>
      <c r="H72" s="983" cm="1">
        <f t="array" ref="H72">_xll.FDSRC("-",$C$2,"FE_TIMESERIES("&amp;$B72&amp;",MEAN,"&amp;H$5&amp;",,Q,'CURRENCY=USD')")</f>
        <v>5.1684445999999999</v>
      </c>
      <c r="I72" s="983" cm="1">
        <f t="array" ref="I72">_xll.FDSRC("-",$C$2,"FE_TIMESERIES("&amp;$B72&amp;",MEAN,"&amp;I$5&amp;",,Q,'CURRENCY=USD')")</f>
        <v>8.2141000000000002</v>
      </c>
      <c r="J72" s="983" cm="1">
        <f t="array" ref="J72">_xll.FDSRC("-",$C$2,"FE_TIMESERIES("&amp;$B72&amp;",MEAN,"&amp;J$5&amp;",,Q,'CURRENCY=USD')")</f>
        <v>11.902445</v>
      </c>
      <c r="K72" s="983" cm="1">
        <f t="array" ref="K72">_xll.FDSRC("-",$C$2,"FE_TIMESERIES("&amp;$B72&amp;",MEAN,"&amp;K$5&amp;",,Q,'CURRENCY=USD')")</f>
        <v>25.981249999999999</v>
      </c>
      <c r="L72" s="983" cm="1">
        <f t="array" ref="L72">_xll.FDSRC("-",$C$2,"FE_TIMESERIES("&amp;$B72&amp;",MEAN,"&amp;L$5&amp;",,Q,'CURRENCY=USD')")</f>
        <v>15.9375</v>
      </c>
      <c r="M72" s="983" cm="1">
        <f t="array" ref="M72">_xll.FDSRC("-",$C$2,"FE_TIMESERIES("&amp;$B72&amp;",MEAN,"&amp;M$5&amp;",,Q,'CURRENCY=USD')")</f>
        <v>12.535</v>
      </c>
      <c r="N72" s="983" cm="1">
        <f t="array" ref="N72">_xll.FDSRC("-",$C$2,"FE_TIMESERIES("&amp;$B72&amp;",MEAN,"&amp;N$5&amp;",,Q,'CURRENCY=USD')")</f>
        <v>13.914444</v>
      </c>
      <c r="O72" s="983" cm="1">
        <f t="array" ref="O72">_xll.FDSRC("-",$C$2,"FE_TIMESERIES("&amp;$B72&amp;",MEAN,"&amp;O$5&amp;",,Q,'CURRENCY=USD')")</f>
        <v>7.6604443</v>
      </c>
      <c r="P72" s="983" cm="1">
        <f t="array" ref="P72">_xll.FDSRC("-",$C$2,"FE_TIMESERIES("&amp;$B72&amp;",MEAN,"&amp;P$5&amp;",,Q,'CURRENCY=USD')")</f>
        <v>14</v>
      </c>
      <c r="Q72" s="983" cm="1">
        <f t="array" ref="Q72">_xll.FDSRC("-",$C$2,"FE_TIMESERIES("&amp;$B72&amp;",MEAN,"&amp;Q$5&amp;",,Q,'CURRENCY=USD')")</f>
        <v>21</v>
      </c>
      <c r="R72" s="983" cm="1">
        <f t="array" ref="R72">_xll.FDSRC("-",$C$2,"FE_TIMESERIES("&amp;$B72&amp;",MEAN,"&amp;R$5&amp;",,Q,'CURRENCY=USD')")</f>
        <v>2</v>
      </c>
      <c r="S72" s="983" cm="1">
        <f t="array" ref="S72">_xll.FDSRC("-",$C$2,"FE_TIMESERIES("&amp;$B72&amp;",MEAN,"&amp;S$5&amp;",,Q,'CURRENCY=USD')")</f>
        <v>2</v>
      </c>
      <c r="T72" s="983" cm="1">
        <f t="array" ref="T72">_xll.FDSRC("-",$C$2,"FE_TIMESERIES("&amp;$B72&amp;",MEAN,"&amp;T$5&amp;",,Q,'CURRENCY=USD')")</f>
        <v>6</v>
      </c>
      <c r="U72" s="983" cm="1">
        <f t="array" ref="U72">_xll.FDSRC("-",$C$2,"FE_TIMESERIES("&amp;$B72&amp;",MEAN,"&amp;U$5&amp;",,Q,'CURRENCY=USD')")</f>
        <v>7</v>
      </c>
      <c r="V72" s="983" cm="1">
        <f t="array" ref="V72">_xll.FDSRC("-",$C$2,"FE_TIMESERIES("&amp;$B72&amp;",MEAN,"&amp;V$5&amp;",,Q,'CURRENCY=USD')")</f>
        <v>2</v>
      </c>
      <c r="W72" s="990" cm="1">
        <f t="array" ref="W72">_xll.FDSRC("-",$C$2,"FE_TIMESERIES("&amp;$B72&amp;",MEAN,"&amp;W$5&amp;",,Q,'CURRENCY=USD')")</f>
        <v>5.3967499999999999</v>
      </c>
      <c r="X72" s="990" cm="1">
        <f t="array" ref="X72">_xll.FDSRC("-",$C$2,"FE_TIMESERIES("&amp;$B72&amp;",MEAN,"&amp;X$5&amp;",,Q,'CURRENCY=USD')")</f>
        <v>6.4972000000000003</v>
      </c>
      <c r="Y72" s="990" cm="1">
        <f t="array" ref="Y72">_xll.FDSRC("-",$C$2,"FE_TIMESERIES("&amp;$B72&amp;",MEAN,"&amp;Y$5&amp;",,Q,'CURRENCY=USD')")</f>
        <v>6.9048999999999996</v>
      </c>
      <c r="Z72" s="990" cm="1">
        <f t="array" ref="Z72">_xll.FDSRC("-",$C$2,"FE_TIMESERIES("&amp;$B72&amp;",MEAN,"&amp;Z$5&amp;",,Q,'CURRENCY=USD')")</f>
        <v>6.5945999999999998</v>
      </c>
      <c r="AA72" s="990" cm="1">
        <f t="array" ref="AA72">_xll.FDSRC("-",$C$2,"FE_TIMESERIES("&amp;$B72&amp;",MEAN,"&amp;AA$5&amp;",,Q,'CURRENCY=USD')")</f>
        <v>7.4150999999999998</v>
      </c>
      <c r="AB72" s="984"/>
      <c r="AC72" s="983" cm="1">
        <f t="array" ref="AC72">_xll.FDSRC("-",$C$2,"FE_TIMESERIES("&amp;$B72&amp;",MEAN,"&amp;AC$5&amp;",,Y,'CURRENCY=USD')")</f>
        <v>41.732999999999997</v>
      </c>
      <c r="AD72" s="983" cm="1">
        <f t="array" ref="AD72">_xll.FDSRC("-",$C$2,"FE_TIMESERIES("&amp;$B72&amp;",MEAN,"&amp;AD$5&amp;",,Y,'CURRENCY=USD')")</f>
        <v>50.850285</v>
      </c>
      <c r="AE72" s="983" cm="1">
        <f t="array" ref="AE72">_xll.FDSRC("-",$C$2,"FE_TIMESERIES("&amp;$B72&amp;",MEAN,"&amp;AE$5&amp;",,Y,'CURRENCY=USD')")</f>
        <v>50.018000000000001</v>
      </c>
      <c r="AF72" s="983" cm="1">
        <f t="array" ref="AF72">_xll.FDSRC("-",$C$2,"FE_TIMESERIES("&amp;$B72&amp;",MEAN,"&amp;AF$5&amp;",,Y,'CURRENCY=USD')")</f>
        <v>39</v>
      </c>
      <c r="AG72" s="990" cm="1">
        <f t="array" ref="AG72">_xll.FDSRC("-",$C$2,"FE_TIMESERIES("&amp;$B72&amp;",MEAN,"&amp;AG$5&amp;",,Y,'CURRENCY=USD')")</f>
        <v>21.771305000000002</v>
      </c>
      <c r="AH72" s="990" cm="1">
        <f t="array" ref="AH72">_xll.FDSRC("-",$C$2,"FE_TIMESERIES("&amp;$B72&amp;",MEAN,"&amp;AH$5&amp;",,Y,'CURRENCY=USD')")</f>
        <v>32.172730000000001</v>
      </c>
      <c r="AI72" s="990" cm="1">
        <f t="array" ref="AI72">_xll.FDSRC("-",$C$2,"FE_TIMESERIES("&amp;$B72&amp;",MEAN,"&amp;AI$5&amp;",,Y,'CURRENCY=USD')")</f>
        <v>34.835673999999997</v>
      </c>
      <c r="AJ72" s="990" cm="1">
        <f t="array" ref="AJ72">_xll.FDSRC("-",$C$2,"FE_TIMESERIES("&amp;$B72&amp;",MEAN,"&amp;AJ$5&amp;",,Y,'CURRENCY=USD')")</f>
        <v>40.931865999999999</v>
      </c>
    </row>
    <row r="73" spans="1:36">
      <c r="A73" s="926" t="s">
        <v>448</v>
      </c>
      <c r="C73" s="926" t="s">
        <v>512</v>
      </c>
      <c r="D73" s="978"/>
      <c r="E73" s="964"/>
      <c r="F73" s="964"/>
      <c r="G73" s="964"/>
      <c r="H73" s="978">
        <f>H72/D72-1</f>
        <v>-0.69114637404585855</v>
      </c>
      <c r="I73" s="978">
        <f t="shared" ref="I73" si="398">I72/E72-1</f>
        <v>-4.3801929485034141E-2</v>
      </c>
      <c r="J73" s="978">
        <f t="shared" ref="J73" si="399">J72/F72-1</f>
        <v>0.18526638119896432</v>
      </c>
      <c r="K73" s="978">
        <f t="shared" ref="K73" si="400">K72/G72-1</f>
        <v>3.1129096089916093</v>
      </c>
      <c r="L73" s="978">
        <f t="shared" ref="L73" si="401">L72/H72-1</f>
        <v>2.0836162972512078</v>
      </c>
      <c r="M73" s="978">
        <f t="shared" ref="M73" si="402">M72/I72-1</f>
        <v>0.52603450164960242</v>
      </c>
      <c r="N73" s="978">
        <f t="shared" ref="N73" si="403">N72/J72-1</f>
        <v>0.16904081472336152</v>
      </c>
      <c r="O73" s="978">
        <f t="shared" ref="O73" si="404">O72/K72-1</f>
        <v>-0.70515489824392596</v>
      </c>
      <c r="P73" s="978">
        <f t="shared" ref="P73" si="405">P72/L72-1</f>
        <v>-0.1215686274509804</v>
      </c>
      <c r="Q73" s="978">
        <f t="shared" ref="Q73" si="406">Q72/M72-1</f>
        <v>0.67530913442361395</v>
      </c>
      <c r="R73" s="978">
        <f t="shared" ref="R73" si="407">R72/N72-1</f>
        <v>-0.85626446877791162</v>
      </c>
      <c r="S73" s="978">
        <f t="shared" ref="S73" si="408">S72/O72-1</f>
        <v>-0.73891853766236504</v>
      </c>
      <c r="T73" s="978">
        <f t="shared" ref="T73" si="409">T72/P72-1</f>
        <v>-0.5714285714285714</v>
      </c>
      <c r="U73" s="978">
        <f t="shared" ref="U73" si="410">U72/Q72-1</f>
        <v>-0.66666666666666674</v>
      </c>
      <c r="V73" s="978">
        <f t="shared" ref="V73" si="411">V72/R72-1</f>
        <v>0</v>
      </c>
      <c r="W73" s="987">
        <f t="shared" ref="W73" si="412">W72/S72-1</f>
        <v>1.698375</v>
      </c>
      <c r="X73" s="987">
        <f t="shared" ref="X73" si="413">X72/T72-1</f>
        <v>8.2866666666666644E-2</v>
      </c>
      <c r="Y73" s="987">
        <f t="shared" ref="Y73" si="414">Y72/U72-1</f>
        <v>-1.3585714285714312E-2</v>
      </c>
      <c r="Z73" s="987">
        <f t="shared" ref="Z73" si="415">Z72/V72-1</f>
        <v>2.2972999999999999</v>
      </c>
      <c r="AA73" s="987">
        <f t="shared" ref="AA73" si="416">AA72/W72-1</f>
        <v>0.37399360726363096</v>
      </c>
      <c r="AC73" s="964"/>
      <c r="AD73" s="978">
        <f t="shared" ref="AD73" si="417">AD72/AC72-1</f>
        <v>0.2184670404715694</v>
      </c>
      <c r="AE73" s="978">
        <f t="shared" ref="AE73" si="418">AE72/AD72-1</f>
        <v>-1.6367361559527116E-2</v>
      </c>
      <c r="AF73" s="978">
        <f t="shared" ref="AF73" si="419">AF72/AE72-1</f>
        <v>-0.22028069894837854</v>
      </c>
      <c r="AG73" s="987">
        <f t="shared" ref="AG73" si="420">AG72/AF72-1</f>
        <v>-0.44176141025641025</v>
      </c>
      <c r="AH73" s="987">
        <f t="shared" ref="AH73" si="421">AH72/AG72-1</f>
        <v>0.47775845315657461</v>
      </c>
      <c r="AI73" s="987">
        <f t="shared" ref="AI73" si="422">AI72/AH72-1</f>
        <v>8.2770221861806492E-2</v>
      </c>
      <c r="AJ73" s="987">
        <f t="shared" ref="AJ73" si="423">AJ72/AI72-1</f>
        <v>0.17499853741885407</v>
      </c>
    </row>
    <row r="74" spans="1:36">
      <c r="A74" s="926" t="s">
        <v>507</v>
      </c>
      <c r="C74" s="926" t="s">
        <v>513</v>
      </c>
      <c r="D74" s="978"/>
      <c r="E74" s="978">
        <f>E72/D72-1</f>
        <v>-0.48666017102015413</v>
      </c>
      <c r="F74" s="978">
        <f t="shared" ref="F74:AA74" si="424">F72/E72-1</f>
        <v>0.1689827277621756</v>
      </c>
      <c r="G74" s="978">
        <f t="shared" si="424"/>
        <v>-0.37094204341764581</v>
      </c>
      <c r="H74" s="978">
        <f t="shared" si="424"/>
        <v>-0.18181975621339241</v>
      </c>
      <c r="I74" s="978">
        <f t="shared" si="424"/>
        <v>0.58927890994517007</v>
      </c>
      <c r="J74" s="978">
        <f t="shared" si="424"/>
        <v>0.44902606493712027</v>
      </c>
      <c r="K74" s="978">
        <f t="shared" si="424"/>
        <v>1.1828498262331815</v>
      </c>
      <c r="L74" s="978">
        <f t="shared" si="424"/>
        <v>-0.38657685831128219</v>
      </c>
      <c r="M74" s="978">
        <f t="shared" si="424"/>
        <v>-0.21349019607843134</v>
      </c>
      <c r="N74" s="978">
        <f t="shared" si="424"/>
        <v>0.11004738731551655</v>
      </c>
      <c r="O74" s="978">
        <f t="shared" si="424"/>
        <v>-0.44946098457114059</v>
      </c>
      <c r="P74" s="978">
        <f t="shared" si="424"/>
        <v>0.82757023636344429</v>
      </c>
      <c r="Q74" s="978">
        <f t="shared" si="424"/>
        <v>0.5</v>
      </c>
      <c r="R74" s="978">
        <f t="shared" si="424"/>
        <v>-0.90476190476190477</v>
      </c>
      <c r="S74" s="978">
        <f t="shared" si="424"/>
        <v>0</v>
      </c>
      <c r="T74" s="978">
        <f t="shared" si="424"/>
        <v>2</v>
      </c>
      <c r="U74" s="978">
        <f t="shared" si="424"/>
        <v>0.16666666666666674</v>
      </c>
      <c r="V74" s="978">
        <f t="shared" si="424"/>
        <v>-0.7142857142857143</v>
      </c>
      <c r="W74" s="987">
        <f t="shared" si="424"/>
        <v>1.698375</v>
      </c>
      <c r="X74" s="987">
        <f t="shared" si="424"/>
        <v>0.20390976050400722</v>
      </c>
      <c r="Y74" s="987">
        <f t="shared" si="424"/>
        <v>6.2750107738718031E-2</v>
      </c>
      <c r="Z74" s="987">
        <f t="shared" si="424"/>
        <v>-4.4939101217975619E-2</v>
      </c>
      <c r="AA74" s="987">
        <f t="shared" si="424"/>
        <v>0.12441997998362297</v>
      </c>
      <c r="AC74" s="964"/>
      <c r="AD74" s="964"/>
      <c r="AE74" s="964"/>
      <c r="AF74" s="964"/>
      <c r="AG74" s="993"/>
      <c r="AH74" s="993"/>
      <c r="AI74" s="993"/>
      <c r="AJ74" s="993"/>
    </row>
    <row r="75" spans="1:36">
      <c r="A75" s="926" t="s">
        <v>449</v>
      </c>
      <c r="C75" s="926" t="s">
        <v>450</v>
      </c>
      <c r="D75" s="978">
        <f>D72/D$10</f>
        <v>3.5604785947263941E-2</v>
      </c>
      <c r="E75" s="978">
        <f t="shared" ref="E75:AA75" si="425">E72/E$10</f>
        <v>1.2025594219007448E-2</v>
      </c>
      <c r="F75" s="978">
        <f t="shared" si="425"/>
        <v>1.3085658811188356E-2</v>
      </c>
      <c r="G75" s="978">
        <f t="shared" si="425"/>
        <v>6.4607913727928786E-3</v>
      </c>
      <c r="H75" s="978">
        <f t="shared" si="425"/>
        <v>5.2277957653237197E-3</v>
      </c>
      <c r="I75" s="978">
        <f t="shared" si="425"/>
        <v>7.3379489011970696E-3</v>
      </c>
      <c r="J75" s="978">
        <f t="shared" si="425"/>
        <v>1.0591813942726966E-2</v>
      </c>
      <c r="K75" s="978">
        <f t="shared" si="425"/>
        <v>1.8826665333356522E-2</v>
      </c>
      <c r="L75" s="978">
        <f t="shared" si="425"/>
        <v>1.3241272391770512E-2</v>
      </c>
      <c r="M75" s="978">
        <f t="shared" si="425"/>
        <v>9.679065806065033E-3</v>
      </c>
      <c r="N75" s="978">
        <f t="shared" si="425"/>
        <v>1.018477821695213E-2</v>
      </c>
      <c r="O75" s="978">
        <f t="shared" si="425"/>
        <v>4.415297657953011E-3</v>
      </c>
      <c r="P75" s="978">
        <f t="shared" si="425"/>
        <v>9.2838196286472146E-3</v>
      </c>
      <c r="Q75" s="978">
        <f t="shared" si="425"/>
        <v>1.2396694214876033E-2</v>
      </c>
      <c r="R75" s="978">
        <f t="shared" si="425"/>
        <v>1.1668611435239206E-3</v>
      </c>
      <c r="S75" s="978">
        <f t="shared" si="425"/>
        <v>9.3283582089552237E-4</v>
      </c>
      <c r="T75" s="978">
        <f t="shared" si="425"/>
        <v>3.2240730789897904E-3</v>
      </c>
      <c r="U75" s="978">
        <f t="shared" si="425"/>
        <v>3.4229828850855745E-3</v>
      </c>
      <c r="V75" s="978">
        <f t="shared" si="425"/>
        <v>9.2506938020351531E-4</v>
      </c>
      <c r="W75" s="987">
        <f t="shared" si="425"/>
        <v>1.9798809536387767E-3</v>
      </c>
      <c r="X75" s="987">
        <f t="shared" si="425"/>
        <v>2.8007973211114216E-3</v>
      </c>
      <c r="Y75" s="987">
        <f t="shared" si="425"/>
        <v>2.7317047310804455E-3</v>
      </c>
      <c r="Z75" s="987">
        <f t="shared" si="425"/>
        <v>2.5002079525766516E-3</v>
      </c>
      <c r="AA75" s="987">
        <f t="shared" si="425"/>
        <v>2.2405286065414393E-3</v>
      </c>
      <c r="AB75" s="964"/>
      <c r="AC75" s="964"/>
      <c r="AD75" s="978">
        <f t="shared" ref="AD75:AJ75" si="426">AD72/AD$10</f>
        <v>1.1025991488025645E-2</v>
      </c>
      <c r="AE75" s="978">
        <f t="shared" si="426"/>
        <v>8.9320026343496922E-3</v>
      </c>
      <c r="AF75" s="978">
        <f t="shared" si="426"/>
        <v>5.5240793201133146E-3</v>
      </c>
      <c r="AG75" s="987">
        <f t="shared" si="426"/>
        <v>2.4742278644318051E-3</v>
      </c>
      <c r="AH75" s="987">
        <f t="shared" si="426"/>
        <v>2.9629988124144366E-3</v>
      </c>
      <c r="AI75" s="987">
        <f t="shared" si="426"/>
        <v>2.6482892807975409E-3</v>
      </c>
      <c r="AJ75" s="987">
        <f t="shared" si="426"/>
        <v>2.3654358369672394E-3</v>
      </c>
    </row>
    <row r="76" spans="1:36">
      <c r="A76" s="926"/>
      <c r="D76" s="976"/>
      <c r="W76" s="988"/>
      <c r="X76" s="988"/>
      <c r="Y76" s="988"/>
      <c r="Z76" s="988"/>
      <c r="AA76" s="988"/>
      <c r="AG76" s="988"/>
      <c r="AH76" s="988"/>
      <c r="AI76" s="988"/>
      <c r="AJ76" s="988"/>
    </row>
    <row r="77" spans="1:36">
      <c r="A77" s="926" t="s">
        <v>186</v>
      </c>
      <c r="B77" s="933" t="s">
        <v>186</v>
      </c>
      <c r="C77" s="926" t="s">
        <v>186</v>
      </c>
      <c r="D77" s="983" cm="1">
        <f t="array" ref="D77">_xll.FDSRC("-",$C$2,"FE_TIMESERIES("&amp;$B77&amp;",MEAN,"&amp;D$5&amp;",,Q,'CURRENCY=USD')")</f>
        <v>-101.69583</v>
      </c>
      <c r="E77" s="983" cm="1">
        <f t="array" ref="E77">_xll.FDSRC("-",$C$2,"FE_TIMESERIES("&amp;$B77&amp;",MEAN,"&amp;E$5&amp;",,Q,'CURRENCY=USD')")</f>
        <v>137.33199999999999</v>
      </c>
      <c r="F77" s="983" cm="1">
        <f t="array" ref="F77">_xll.FDSRC("-",$C$2,"FE_TIMESERIES("&amp;$B77&amp;",MEAN,"&amp;F$5&amp;",,Q,'CURRENCY=USD')")</f>
        <v>72.653000000000006</v>
      </c>
      <c r="G77" s="983" cm="1">
        <f t="array" ref="G77">_xll.FDSRC("-",$C$2,"FE_TIMESERIES("&amp;$B77&amp;",MEAN,"&amp;G$5&amp;",,Q,'CURRENCY=USD')")</f>
        <v>239.00749999999999</v>
      </c>
      <c r="H77" s="983" cm="1">
        <f t="array" ref="H77">_xll.FDSRC("-",$C$2,"FE_TIMESERIES("&amp;$B77&amp;",MEAN,"&amp;H$5&amp;",,Q,'CURRENCY=USD')")</f>
        <v>130.49562</v>
      </c>
      <c r="I77" s="983" cm="1">
        <f t="array" ref="I77">_xll.FDSRC("-",$C$2,"FE_TIMESERIES("&amp;$B77&amp;",MEAN,"&amp;I$5&amp;",,Q,'CURRENCY=USD')")</f>
        <v>85.336910000000003</v>
      </c>
      <c r="J77" s="983" cm="1">
        <f t="array" ref="J77">_xll.FDSRC("-",$C$2,"FE_TIMESERIES("&amp;$B77&amp;",MEAN,"&amp;J$5&amp;",,Q,'CURRENCY=USD')")</f>
        <v>45.402999999999999</v>
      </c>
      <c r="K77" s="983" cm="1">
        <f t="array" ref="K77">_xll.FDSRC("-",$C$2,"FE_TIMESERIES("&amp;$B77&amp;",MEAN,"&amp;K$5&amp;",,Q,'CURRENCY=USD')")</f>
        <v>229.98567</v>
      </c>
      <c r="L77" s="983" cm="1">
        <f t="array" ref="L77">_xll.FDSRC("-",$C$2,"FE_TIMESERIES("&amp;$B77&amp;",MEAN,"&amp;L$5&amp;",,Q,'CURRENCY=USD')")</f>
        <v>-65.67</v>
      </c>
      <c r="M77" s="983" cm="1">
        <f t="array" ref="M77">_xll.FDSRC("-",$C$2,"FE_TIMESERIES("&amp;$B77&amp;",MEAN,"&amp;M$5&amp;",,Q,'CURRENCY=USD')")</f>
        <v>-220.7698</v>
      </c>
      <c r="N77" s="983" cm="1">
        <f t="array" ref="N77">_xll.FDSRC("-",$C$2,"FE_TIMESERIES("&amp;$B77&amp;",MEAN,"&amp;N$5&amp;",,Q,'CURRENCY=USD')")</f>
        <v>-81.087909999999994</v>
      </c>
      <c r="O77" s="983" cm="1">
        <f t="array" ref="O77">_xll.FDSRC("-",$C$2,"FE_TIMESERIES("&amp;$B77&amp;",MEAN,"&amp;O$5&amp;",,Q,'CURRENCY=USD')")</f>
        <v>220.33885000000001</v>
      </c>
      <c r="P77" s="983" cm="1">
        <f t="array" ref="P77">_xll.FDSRC("-",$C$2,"FE_TIMESERIES("&amp;$B77&amp;",MEAN,"&amp;P$5&amp;",,Q,'CURRENCY=USD')")</f>
        <v>87.764279999999999</v>
      </c>
      <c r="Q77" s="983" cm="1">
        <f t="array" ref="Q77">_xll.FDSRC("-",$C$2,"FE_TIMESERIES("&amp;$B77&amp;",MEAN,"&amp;Q$5&amp;",,Q,'CURRENCY=USD')")</f>
        <v>81.25</v>
      </c>
      <c r="R77" s="983" cm="1">
        <f t="array" ref="R77">_xll.FDSRC("-",$C$2,"FE_TIMESERIES("&amp;$B77&amp;",MEAN,"&amp;R$5&amp;",,Q,'CURRENCY=USD')")</f>
        <v>276</v>
      </c>
      <c r="S77" s="983" cm="1">
        <f t="array" ref="S77">_xll.FDSRC("-",$C$2,"FE_TIMESERIES("&amp;$B77&amp;",MEAN,"&amp;S$5&amp;",,Q,'CURRENCY=USD')")</f>
        <v>446</v>
      </c>
      <c r="T77" s="983" cm="1">
        <f t="array" ref="T77">_xll.FDSRC("-",$C$2,"FE_TIMESERIES("&amp;$B77&amp;",MEAN,"&amp;T$5&amp;",,Q,'CURRENCY=USD')")</f>
        <v>227.2</v>
      </c>
      <c r="U77" s="983" cm="1">
        <f t="array" ref="U77">_xll.FDSRC("-",$C$2,"FE_TIMESERIES("&amp;$B77&amp;",MEAN,"&amp;U$5&amp;",,Q,'CURRENCY=USD')")</f>
        <v>333</v>
      </c>
      <c r="V77" s="983" cm="1">
        <f t="array" ref="V77">_xll.FDSRC("-",$C$2,"FE_TIMESERIES("&amp;$B77&amp;",MEAN,"&amp;V$5&amp;",,Q,'CURRENCY=USD')")</f>
        <v>421</v>
      </c>
      <c r="W77" s="990" cm="1">
        <f t="array" ref="W77">_xll.FDSRC("-",$C$2,"FE_TIMESERIES("&amp;$B77&amp;",MEAN,"&amp;W$5&amp;",,Q,'CURRENCY=USD')")</f>
        <v>546.77940000000001</v>
      </c>
      <c r="X77" s="990" cm="1">
        <f t="array" ref="X77">_xll.FDSRC("-",$C$2,"FE_TIMESERIES("&amp;$B77&amp;",MEAN,"&amp;X$5&amp;",,Q,'CURRENCY=USD')")</f>
        <v>387.28564</v>
      </c>
      <c r="Y77" s="990" cm="1">
        <f t="array" ref="Y77">_xll.FDSRC("-",$C$2,"FE_TIMESERIES("&amp;$B77&amp;",MEAN,"&amp;Y$5&amp;",,Q,'CURRENCY=USD')")</f>
        <v>410.56880000000001</v>
      </c>
      <c r="Z77" s="990" cm="1">
        <f t="array" ref="Z77">_xll.FDSRC("-",$C$2,"FE_TIMESERIES("&amp;$B77&amp;",MEAN,"&amp;Z$5&amp;",,Q,'CURRENCY=USD')")</f>
        <v>463.75243999999998</v>
      </c>
      <c r="AA77" s="990" cm="1">
        <f t="array" ref="AA77">_xll.FDSRC("-",$C$2,"FE_TIMESERIES("&amp;$B77&amp;",MEAN,"&amp;AA$5&amp;",,Q,'CURRENCY=USD')")</f>
        <v>705.52</v>
      </c>
      <c r="AB77" s="984"/>
      <c r="AC77" s="983" cm="1">
        <f t="array" ref="AC77">_xll.FDSRC("-",$C$2,"FE_TIMESERIES("&amp;$B77&amp;",MEAN,"&amp;AC$5&amp;",,Y,'CURRENCY=USD')")</f>
        <v>347.32400000000001</v>
      </c>
      <c r="AD77" s="983" cm="1">
        <f t="array" ref="AD77">_xll.FDSRC("-",$C$2,"FE_TIMESERIES("&amp;$B77&amp;",MEAN,"&amp;AD$5&amp;",,Y,'CURRENCY=USD')")</f>
        <v>474.27332000000001</v>
      </c>
      <c r="AE77" s="983" cm="1">
        <f t="array" ref="AE77">_xll.FDSRC("-",$C$2,"FE_TIMESERIES("&amp;$B77&amp;",MEAN,"&amp;AE$5&amp;",,Y,'CURRENCY=USD')")</f>
        <v>-190.18100000000001</v>
      </c>
      <c r="AF77" s="983" cm="1">
        <f t="array" ref="AF77">_xll.FDSRC("-",$C$2,"FE_TIMESERIES("&amp;$B77&amp;",MEAN,"&amp;AF$5&amp;",,Y,'CURRENCY=USD')")</f>
        <v>904.91330000000005</v>
      </c>
      <c r="AG77" s="990" cm="1">
        <f t="array" ref="AG77">_xll.FDSRC("-",$C$2,"FE_TIMESERIES("&amp;$B77&amp;",MEAN,"&amp;AG$5&amp;",,Y,'CURRENCY=USD')")</f>
        <v>1542.643</v>
      </c>
      <c r="AH77" s="990" cm="1">
        <f t="array" ref="AH77">_xll.FDSRC("-",$C$2,"FE_TIMESERIES("&amp;$B77&amp;",MEAN,"&amp;AH$5&amp;",,Y,'CURRENCY=USD')")</f>
        <v>2012.9906000000001</v>
      </c>
      <c r="AI77" s="990" cm="1">
        <f t="array" ref="AI77">_xll.FDSRC("-",$C$2,"FE_TIMESERIES("&amp;$B77&amp;",MEAN,"&amp;AI$5&amp;",,Y,'CURRENCY=USD')")</f>
        <v>2528.3078999999998</v>
      </c>
      <c r="AJ77" s="990" cm="1">
        <f t="array" ref="AJ77">_xll.FDSRC("-",$C$2,"FE_TIMESERIES("&amp;$B77&amp;",MEAN,"&amp;AJ$5&amp;",,Y,'CURRENCY=USD')")</f>
        <v>3544.9421000000002</v>
      </c>
    </row>
    <row r="78" spans="1:36">
      <c r="A78" s="926" t="s">
        <v>451</v>
      </c>
      <c r="C78" s="926" t="s">
        <v>512</v>
      </c>
      <c r="D78" s="978"/>
      <c r="E78" s="964"/>
      <c r="F78" s="964"/>
      <c r="G78" s="964"/>
      <c r="H78" s="978">
        <f>H77/D77-1</f>
        <v>-2.283195387657488</v>
      </c>
      <c r="I78" s="978">
        <f t="shared" ref="I78" si="427">I77/E77-1</f>
        <v>-0.37860870008446679</v>
      </c>
      <c r="J78" s="978">
        <f t="shared" ref="J78" si="428">J77/F77-1</f>
        <v>-0.37507054078978164</v>
      </c>
      <c r="K78" s="978">
        <f t="shared" ref="K78" si="429">K77/G77-1</f>
        <v>-3.7747058146710866E-2</v>
      </c>
      <c r="L78" s="978">
        <f t="shared" ref="L78" si="430">L77/H77-1</f>
        <v>-1.5032352810002358</v>
      </c>
      <c r="M78" s="978">
        <f t="shared" ref="M78" si="431">M77/I77-1</f>
        <v>-3.5870376604918084</v>
      </c>
      <c r="N78" s="978">
        <f t="shared" ref="N78" si="432">N77/J77-1</f>
        <v>-2.7859592978437546</v>
      </c>
      <c r="O78" s="978">
        <f t="shared" ref="O78" si="433">O77/K77-1</f>
        <v>-4.1945309027297206E-2</v>
      </c>
      <c r="P78" s="978">
        <f t="shared" ref="P78" si="434">P77/L77-1</f>
        <v>-2.3364440383736866</v>
      </c>
      <c r="Q78" s="978">
        <f t="shared" ref="Q78" si="435">Q77/M77-1</f>
        <v>-1.3680304099564342</v>
      </c>
      <c r="R78" s="978">
        <f t="shared" ref="R78" si="436">R77/N77-1</f>
        <v>-4.4037133279178118</v>
      </c>
      <c r="S78" s="978">
        <f t="shared" ref="S78" si="437">S77/O77-1</f>
        <v>1.024155068432099</v>
      </c>
      <c r="T78" s="978">
        <f t="shared" ref="T78" si="438">T77/P77-1</f>
        <v>1.5887525084237004</v>
      </c>
      <c r="U78" s="978">
        <f t="shared" ref="U78" si="439">U77/Q77-1</f>
        <v>3.0984615384615388</v>
      </c>
      <c r="V78" s="978">
        <f t="shared" ref="V78" si="440">V77/R77-1</f>
        <v>0.5253623188405796</v>
      </c>
      <c r="W78" s="987">
        <f t="shared" ref="W78" si="441">W77/S77-1</f>
        <v>0.22596278026905825</v>
      </c>
      <c r="X78" s="987">
        <f t="shared" ref="X78" si="442">X77/T77-1</f>
        <v>0.70460228873239439</v>
      </c>
      <c r="Y78" s="987">
        <f t="shared" ref="Y78" si="443">Y77/U77-1</f>
        <v>0.2329393393393393</v>
      </c>
      <c r="Z78" s="987">
        <f t="shared" ref="Z78" si="444">Z77/V77-1</f>
        <v>0.10154973871733963</v>
      </c>
      <c r="AA78" s="987">
        <f t="shared" ref="AA78" si="445">AA77/W77-1</f>
        <v>0.29031927684181214</v>
      </c>
      <c r="AC78" s="964"/>
      <c r="AD78" s="978">
        <f t="shared" ref="AD78" si="446">AD77/AC77-1</f>
        <v>0.36550690421623622</v>
      </c>
      <c r="AE78" s="978">
        <f t="shared" ref="AE78" si="447">AE77/AD77-1</f>
        <v>-1.4009945151458236</v>
      </c>
      <c r="AF78" s="978">
        <f t="shared" ref="AF78" si="448">AF77/AE77-1</f>
        <v>-5.7581687970932949</v>
      </c>
      <c r="AG78" s="987">
        <f t="shared" ref="AG78" si="449">AG77/AF77-1</f>
        <v>0.70474121664473266</v>
      </c>
      <c r="AH78" s="987">
        <f t="shared" ref="AH78" si="450">AH77/AG77-1</f>
        <v>0.30489724453421818</v>
      </c>
      <c r="AI78" s="987">
        <f t="shared" ref="AI78" si="451">AI77/AH77-1</f>
        <v>0.2559958799608899</v>
      </c>
      <c r="AJ78" s="987">
        <f t="shared" ref="AJ78" si="452">AJ77/AI77-1</f>
        <v>0.4021006302278296</v>
      </c>
    </row>
    <row r="79" spans="1:36">
      <c r="A79" s="926" t="s">
        <v>508</v>
      </c>
      <c r="C79" s="926" t="s">
        <v>513</v>
      </c>
      <c r="D79" s="978"/>
      <c r="E79" s="978">
        <f>E77/D77-1</f>
        <v>-2.3504191863127524</v>
      </c>
      <c r="F79" s="978">
        <f t="shared" ref="F79:AA79" si="453">F77/E77-1</f>
        <v>-0.47096816473946346</v>
      </c>
      <c r="G79" s="978">
        <f t="shared" si="453"/>
        <v>2.2897127441399525</v>
      </c>
      <c r="H79" s="978">
        <f t="shared" si="453"/>
        <v>-0.4540103553235777</v>
      </c>
      <c r="I79" s="978">
        <f t="shared" si="453"/>
        <v>-0.34605536952121452</v>
      </c>
      <c r="J79" s="978">
        <f t="shared" si="453"/>
        <v>-0.46795589387991676</v>
      </c>
      <c r="K79" s="978">
        <f t="shared" si="453"/>
        <v>4.0654289364138938</v>
      </c>
      <c r="L79" s="978">
        <f t="shared" si="453"/>
        <v>-1.2855395294845979</v>
      </c>
      <c r="M79" s="978">
        <f t="shared" si="453"/>
        <v>2.3618059996954468</v>
      </c>
      <c r="N79" s="978">
        <f t="shared" si="453"/>
        <v>-0.63270379372540997</v>
      </c>
      <c r="O79" s="978">
        <f t="shared" si="453"/>
        <v>-3.7172836246488536</v>
      </c>
      <c r="P79" s="978">
        <f t="shared" si="453"/>
        <v>-0.60168495024822</v>
      </c>
      <c r="Q79" s="978">
        <f t="shared" si="453"/>
        <v>-7.4224730152175789E-2</v>
      </c>
      <c r="R79" s="978">
        <f t="shared" si="453"/>
        <v>2.3969230769230769</v>
      </c>
      <c r="S79" s="978">
        <f t="shared" si="453"/>
        <v>0.61594202898550732</v>
      </c>
      <c r="T79" s="978">
        <f t="shared" si="453"/>
        <v>-0.49058295964125564</v>
      </c>
      <c r="U79" s="978">
        <f t="shared" si="453"/>
        <v>0.465669014084507</v>
      </c>
      <c r="V79" s="978">
        <f t="shared" si="453"/>
        <v>0.2642642642642643</v>
      </c>
      <c r="W79" s="987">
        <f t="shared" si="453"/>
        <v>0.29876342042755355</v>
      </c>
      <c r="X79" s="987">
        <f t="shared" si="453"/>
        <v>-0.29169672449254669</v>
      </c>
      <c r="Y79" s="987">
        <f t="shared" si="453"/>
        <v>6.0118831155216546E-2</v>
      </c>
      <c r="Z79" s="987">
        <f t="shared" si="453"/>
        <v>0.12953648694201791</v>
      </c>
      <c r="AA79" s="987">
        <f t="shared" si="453"/>
        <v>0.52132892281925258</v>
      </c>
      <c r="AC79" s="964"/>
      <c r="AD79" s="964"/>
      <c r="AE79" s="964"/>
      <c r="AF79" s="964"/>
      <c r="AG79" s="993"/>
      <c r="AH79" s="993"/>
      <c r="AI79" s="993"/>
      <c r="AJ79" s="993"/>
    </row>
    <row r="80" spans="1:36">
      <c r="A80" s="926" t="s">
        <v>452</v>
      </c>
      <c r="C80" s="926" t="s">
        <v>450</v>
      </c>
      <c r="D80" s="978">
        <f>D77/D$10</f>
        <v>-0.21637364601351913</v>
      </c>
      <c r="E80" s="978">
        <f t="shared" ref="E80:AA80" si="454">E77/E$10</f>
        <v>0.19224991985620313</v>
      </c>
      <c r="F80" s="978">
        <f t="shared" si="454"/>
        <v>9.4673607808132609E-2</v>
      </c>
      <c r="G80" s="978">
        <f t="shared" si="454"/>
        <v>0.24444793320132877</v>
      </c>
      <c r="H80" s="978">
        <f t="shared" si="454"/>
        <v>0.13199414958018382</v>
      </c>
      <c r="I80" s="978">
        <f t="shared" si="454"/>
        <v>7.6234509558692154E-2</v>
      </c>
      <c r="J80" s="978">
        <f t="shared" si="454"/>
        <v>4.0403474113229039E-2</v>
      </c>
      <c r="K80" s="978">
        <f t="shared" si="454"/>
        <v>0.16665338428896889</v>
      </c>
      <c r="L80" s="978">
        <f t="shared" si="454"/>
        <v>-5.4560273441102404E-2</v>
      </c>
      <c r="M80" s="978">
        <f t="shared" si="454"/>
        <v>-0.17047031688805872</v>
      </c>
      <c r="N80" s="978">
        <f t="shared" si="454"/>
        <v>-5.9352883911579557E-2</v>
      </c>
      <c r="O80" s="978">
        <f t="shared" si="454"/>
        <v>0.1269980656815245</v>
      </c>
      <c r="P80" s="978">
        <f t="shared" si="454"/>
        <v>5.8199124668435014E-2</v>
      </c>
      <c r="Q80" s="978">
        <f t="shared" si="454"/>
        <v>4.796340023612751E-2</v>
      </c>
      <c r="R80" s="978">
        <f t="shared" si="454"/>
        <v>0.16102683780630106</v>
      </c>
      <c r="S80" s="978">
        <f t="shared" si="454"/>
        <v>0.2080223880597015</v>
      </c>
      <c r="T80" s="978">
        <f t="shared" si="454"/>
        <v>0.12208490059108006</v>
      </c>
      <c r="U80" s="978">
        <f t="shared" si="454"/>
        <v>0.16283618581907092</v>
      </c>
      <c r="V80" s="978">
        <f t="shared" si="454"/>
        <v>0.19472710453283995</v>
      </c>
      <c r="W80" s="987">
        <f t="shared" si="454"/>
        <v>0.2005944540514269</v>
      </c>
      <c r="X80" s="987">
        <f t="shared" si="454"/>
        <v>0.1669501605332947</v>
      </c>
      <c r="Y80" s="987">
        <f t="shared" si="454"/>
        <v>0.16242852661067086</v>
      </c>
      <c r="Z80" s="987">
        <f t="shared" si="454"/>
        <v>0.17582226951063393</v>
      </c>
      <c r="AA80" s="987">
        <f t="shared" si="454"/>
        <v>0.21317820966502357</v>
      </c>
      <c r="AB80" s="964"/>
      <c r="AC80" s="964"/>
      <c r="AD80" s="978">
        <f t="shared" ref="AD80:AJ80" si="455">AD77/AD$10</f>
        <v>0.10283784229169342</v>
      </c>
      <c r="AE80" s="978">
        <f t="shared" si="455"/>
        <v>-3.3961717641714163E-2</v>
      </c>
      <c r="AF80" s="978">
        <f t="shared" si="455"/>
        <v>0.12817468838526913</v>
      </c>
      <c r="AG80" s="987">
        <f t="shared" si="455"/>
        <v>0.17531564118323054</v>
      </c>
      <c r="AH80" s="987">
        <f t="shared" si="455"/>
        <v>0.18538957549457022</v>
      </c>
      <c r="AI80" s="987">
        <f t="shared" si="455"/>
        <v>0.19220787030346365</v>
      </c>
      <c r="AJ80" s="987">
        <f t="shared" si="455"/>
        <v>0.20486075771170323</v>
      </c>
    </row>
    <row r="81" spans="1:36">
      <c r="A81" s="926"/>
      <c r="D81" s="976"/>
      <c r="W81" s="988"/>
      <c r="X81" s="988"/>
      <c r="Y81" s="988"/>
      <c r="Z81" s="988"/>
      <c r="AA81" s="988"/>
      <c r="AG81" s="988"/>
      <c r="AH81" s="988"/>
      <c r="AI81" s="988"/>
      <c r="AJ81" s="988"/>
    </row>
    <row r="82" spans="1:36">
      <c r="A82" s="926" t="s">
        <v>509</v>
      </c>
      <c r="B82" s="933" t="s">
        <v>530</v>
      </c>
      <c r="C82" s="926" t="s">
        <v>509</v>
      </c>
      <c r="D82" s="983" cm="1">
        <f t="array" ref="D82">_xll.FDSRC("-",$C$2,"FE_TIMESERIES("&amp;$B82&amp;",MEAN,"&amp;D$5&amp;",,Q,'CURRENCY=USD')")</f>
        <v>14.3796</v>
      </c>
      <c r="E82" s="983" cm="1">
        <f t="array" ref="E82">_xll.FDSRC("-",$C$2,"FE_TIMESERIES("&amp;$B82&amp;",MEAN,"&amp;E$5&amp;",,Q,'CURRENCY=USD')")</f>
        <v>19.920666000000001</v>
      </c>
      <c r="F82" s="983" cm="1">
        <f t="array" ref="F82">_xll.FDSRC("-",$C$2,"FE_TIMESERIES("&amp;$B82&amp;",MEAN,"&amp;F$5&amp;",,Q,'CURRENCY=USD')")</f>
        <v>18.013334</v>
      </c>
      <c r="G82" s="983" cm="1">
        <f t="array" ref="G82">_xll.FDSRC("-",$C$2,"FE_TIMESERIES("&amp;$B82&amp;",MEAN,"&amp;G$5&amp;",,Q,'CURRENCY=USD')")</f>
        <v>24.7486</v>
      </c>
      <c r="H82" s="983" cm="1">
        <f t="array" ref="H82">_xll.FDSRC("-",$C$2,"FE_TIMESERIES("&amp;$B82&amp;",MEAN,"&amp;H$5&amp;",,Q,'CURRENCY=USD')")</f>
        <v>15.836364</v>
      </c>
      <c r="I82" s="983" cm="1">
        <f t="array" ref="I82">_xll.FDSRC("-",$C$2,"FE_TIMESERIES("&amp;$B82&amp;",MEAN,"&amp;I$5&amp;",,Q,'CURRENCY=USD')")</f>
        <v>14.7378</v>
      </c>
      <c r="J82" s="983" cm="1">
        <f t="array" ref="J82">_xll.FDSRC("-",$C$2,"FE_TIMESERIES("&amp;$B82&amp;",MEAN,"&amp;J$5&amp;",,Q,'CURRENCY=USD')")</f>
        <v>18.304500000000001</v>
      </c>
      <c r="K82" s="983" cm="1">
        <f t="array" ref="K82">_xll.FDSRC("-",$C$2,"FE_TIMESERIES("&amp;$B82&amp;",MEAN,"&amp;K$5&amp;",,Q,'CURRENCY=USD')")</f>
        <v>20.654667</v>
      </c>
      <c r="L82" s="983" cm="1">
        <f t="array" ref="L82">_xll.FDSRC("-",$C$2,"FE_TIMESERIES("&amp;$B82&amp;",MEAN,"&amp;L$5&amp;",,Q,'CURRENCY=USD')")</f>
        <v>16.745100000000001</v>
      </c>
      <c r="M82" s="983" cm="1">
        <f t="array" ref="M82">_xll.FDSRC("-",$C$2,"FE_TIMESERIES("&amp;$B82&amp;",MEAN,"&amp;M$5&amp;",,Q,'CURRENCY=USD')")</f>
        <v>16.357222</v>
      </c>
      <c r="N82" s="983" cm="1">
        <f t="array" ref="N82">_xll.FDSRC("-",$C$2,"FE_TIMESERIES("&amp;$B82&amp;",MEAN,"&amp;N$5&amp;",,Q,'CURRENCY=USD')")</f>
        <v>27.712499999999999</v>
      </c>
      <c r="O82" s="983" cm="1">
        <f t="array" ref="O82">_xll.FDSRC("-",$C$2,"FE_TIMESERIES("&amp;$B82&amp;",MEAN,"&amp;O$5&amp;",,Q,'CURRENCY=USD')")</f>
        <v>29.832000000000001</v>
      </c>
      <c r="P82" s="983" cm="1">
        <f t="array" ref="P82">_xll.FDSRC("-",$C$2,"FE_TIMESERIES("&amp;$B82&amp;",MEAN,"&amp;P$5&amp;",,Q,'CURRENCY=USD')")</f>
        <v>29</v>
      </c>
      <c r="Q82" s="983" cm="1">
        <f t="array" ref="Q82">_xll.FDSRC("-",$C$2,"FE_TIMESERIES("&amp;$B82&amp;",MEAN,"&amp;Q$5&amp;",,Q,'CURRENCY=USD')")</f>
        <v>17</v>
      </c>
      <c r="R82" s="983" cm="1">
        <f t="array" ref="R82">_xll.FDSRC("-",$C$2,"FE_TIMESERIES("&amp;$B82&amp;",MEAN,"&amp;R$5&amp;",,Q,'CURRENCY=USD')")</f>
        <v>13</v>
      </c>
      <c r="S82" s="983" cm="1">
        <f t="array" ref="S82">_xll.FDSRC("-",$C$2,"FE_TIMESERIES("&amp;$B82&amp;",MEAN,"&amp;S$5&amp;",,Q,'CURRENCY=USD')")</f>
        <v>10</v>
      </c>
      <c r="T82" s="983" cm="1">
        <f t="array" ref="T82">_xll.FDSRC("-",$C$2,"FE_TIMESERIES("&amp;$B82&amp;",MEAN,"&amp;T$5&amp;",,Q,'CURRENCY=USD')")</f>
        <v>10</v>
      </c>
      <c r="U82" s="983" cm="1">
        <f t="array" ref="U82">_xll.FDSRC("-",$C$2,"FE_TIMESERIES("&amp;$B82&amp;",MEAN,"&amp;U$5&amp;",,Q,'CURRENCY=USD')")</f>
        <v>10</v>
      </c>
      <c r="V82" s="983" cm="1">
        <f t="array" ref="V82">_xll.FDSRC("-",$C$2,"FE_TIMESERIES("&amp;$B82&amp;",MEAN,"&amp;V$5&amp;",,Q,'CURRENCY=USD')")</f>
        <v>8</v>
      </c>
      <c r="W82" s="990" cm="1">
        <f t="array" ref="W82">_xll.FDSRC("-",$C$2,"FE_TIMESERIES("&amp;$B82&amp;",MEAN,"&amp;W$5&amp;",,Q,'CURRENCY=USD')")</f>
        <v>10.392693</v>
      </c>
      <c r="X82" s="990" cm="1">
        <f t="array" ref="X82">_xll.FDSRC("-",$C$2,"FE_TIMESERIES("&amp;$B82&amp;",MEAN,"&amp;X$5&amp;",,Q,'CURRENCY=USD')")</f>
        <v>13.510667</v>
      </c>
      <c r="Y82" s="990" cm="1">
        <f t="array" ref="Y82">_xll.FDSRC("-",$C$2,"FE_TIMESERIES("&amp;$B82&amp;",MEAN,"&amp;Y$5&amp;",,Q,'CURRENCY=USD')")</f>
        <v>14.295833999999999</v>
      </c>
      <c r="Z82" s="990" cm="1">
        <f t="array" ref="Z82">_xll.FDSRC("-",$C$2,"FE_TIMESERIES("&amp;$B82&amp;",MEAN,"&amp;Z$5&amp;",,Q,'CURRENCY=USD')")</f>
        <v>14.502000000000001</v>
      </c>
      <c r="AA82" s="990" cm="1">
        <f t="array" ref="AA82">_xll.FDSRC("-",$C$2,"FE_TIMESERIES("&amp;$B82&amp;",MEAN,"&amp;AA$5&amp;",,Q,'CURRENCY=USD')")</f>
        <v>17.055333999999998</v>
      </c>
      <c r="AB82" s="984"/>
      <c r="AC82" s="983" cm="1">
        <f t="array" ref="AC82">_xll.FDSRC("-",$C$2,"FE_TIMESERIES("&amp;$B82&amp;",MEAN,"&amp;AC$5&amp;",,Y,'CURRENCY=USD')")</f>
        <v>66.026229999999998</v>
      </c>
      <c r="AD82" s="983" cm="1">
        <f t="array" ref="AD82">_xll.FDSRC("-",$C$2,"FE_TIMESERIES("&amp;$B82&amp;",MEAN,"&amp;AD$5&amp;",,Y,'CURRENCY=USD')")</f>
        <v>64.227540000000005</v>
      </c>
      <c r="AE82" s="983" cm="1">
        <f t="array" ref="AE82">_xll.FDSRC("-",$C$2,"FE_TIMESERIES("&amp;$B82&amp;",MEAN,"&amp;AE$5&amp;",,Y,'CURRENCY=USD')")</f>
        <v>90.758330000000001</v>
      </c>
      <c r="AF82" s="983" cm="1">
        <f t="array" ref="AF82">_xll.FDSRC("-",$C$2,"FE_TIMESERIES("&amp;$B82&amp;",MEAN,"&amp;AF$5&amp;",,Y,'CURRENCY=USD')")</f>
        <v>69.230770000000007</v>
      </c>
      <c r="AG82" s="990" cm="1">
        <f t="array" ref="AG82">_xll.FDSRC("-",$C$2,"FE_TIMESERIES("&amp;$B82&amp;",MEAN,"&amp;AG$5&amp;",,Y,'CURRENCY=USD')")</f>
        <v>37.94406</v>
      </c>
      <c r="AH82" s="990" cm="1">
        <f t="array" ref="AH82">_xll.FDSRC("-",$C$2,"FE_TIMESERIES("&amp;$B82&amp;",MEAN,"&amp;AH$5&amp;",,Y,'CURRENCY=USD')")</f>
        <v>42.768715</v>
      </c>
      <c r="AI82" s="990" cm="1">
        <f t="array" ref="AI82">_xll.FDSRC("-",$C$2,"FE_TIMESERIES("&amp;$B82&amp;",MEAN,"&amp;AI$5&amp;",,Y,'CURRENCY=USD')")</f>
        <v>48.182499999999997</v>
      </c>
      <c r="AJ82" s="990" t="str" cm="1">
        <f t="array" ref="AJ82">_xll.FDSRC("-",$C$2,"FE_TIMESERIES("&amp;$B82&amp;",MEAN,"&amp;AJ$5&amp;",,Y,'CURRENCY=USD')")</f>
        <v>-</v>
      </c>
    </row>
    <row r="83" spans="1:36">
      <c r="A83" s="926"/>
    </row>
    <row r="84" spans="1:36">
      <c r="A84" s="926"/>
    </row>
    <row r="85" spans="1:36">
      <c r="A85" s="926"/>
    </row>
    <row r="86" spans="1:36">
      <c r="A86" s="926"/>
    </row>
    <row r="87" spans="1:36">
      <c r="A87" s="926"/>
    </row>
    <row r="88" spans="1:36">
      <c r="A88" s="926"/>
    </row>
    <row r="89" spans="1:36">
      <c r="A89" s="926"/>
    </row>
    <row r="90" spans="1:36">
      <c r="A90" s="926"/>
    </row>
    <row r="91" spans="1:36">
      <c r="A91" s="926"/>
    </row>
    <row r="92" spans="1:36">
      <c r="A92" s="926"/>
    </row>
    <row r="93" spans="1:36">
      <c r="A93" s="926"/>
    </row>
    <row r="94" spans="1:36">
      <c r="A94" s="926"/>
    </row>
    <row r="95" spans="1:36">
      <c r="A95" s="926"/>
    </row>
    <row r="96" spans="1:36">
      <c r="A96" s="926"/>
    </row>
    <row r="97" spans="1:1">
      <c r="A97" s="926"/>
    </row>
    <row r="98" spans="1:1">
      <c r="A98" s="926"/>
    </row>
    <row r="99" spans="1:1">
      <c r="A99" s="926"/>
    </row>
    <row r="100" spans="1:1">
      <c r="A100" s="926"/>
    </row>
    <row r="101" spans="1:1">
      <c r="A101" s="926"/>
    </row>
    <row r="102" spans="1:1">
      <c r="A102" s="926"/>
    </row>
    <row r="103" spans="1:1">
      <c r="A103" s="926"/>
    </row>
    <row r="104" spans="1:1">
      <c r="A104" s="926"/>
    </row>
    <row r="105" spans="1:1">
      <c r="A105" s="926"/>
    </row>
    <row r="106" spans="1:1">
      <c r="A106" s="926"/>
    </row>
    <row r="107" spans="1:1">
      <c r="A107" s="926"/>
    </row>
    <row r="108" spans="1:1">
      <c r="A108" s="926"/>
    </row>
    <row r="109" spans="1:1">
      <c r="A109" s="926"/>
    </row>
    <row r="110" spans="1:1">
      <c r="A110" s="926"/>
    </row>
    <row r="111" spans="1:1">
      <c r="A111" s="926"/>
    </row>
    <row r="112" spans="1:1">
      <c r="A112" s="926"/>
    </row>
    <row r="113" spans="1:1">
      <c r="A113" s="926"/>
    </row>
    <row r="114" spans="1:1">
      <c r="A114" s="926"/>
    </row>
    <row r="115" spans="1:1">
      <c r="A115" s="926"/>
    </row>
    <row r="116" spans="1:1">
      <c r="A116" s="926"/>
    </row>
    <row r="117" spans="1:1">
      <c r="A117" s="926"/>
    </row>
    <row r="118" spans="1:1">
      <c r="A118" s="926"/>
    </row>
    <row r="119" spans="1:1">
      <c r="A119" s="926"/>
    </row>
    <row r="120" spans="1:1">
      <c r="A120" s="926"/>
    </row>
    <row r="121" spans="1:1">
      <c r="A121" s="926"/>
    </row>
    <row r="122" spans="1:1">
      <c r="A122" s="926"/>
    </row>
    <row r="123" spans="1:1">
      <c r="A123" s="926"/>
    </row>
    <row r="124" spans="1:1">
      <c r="A124" s="926"/>
    </row>
    <row r="125" spans="1:1">
      <c r="A125" s="92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B60B1-BA19-4BF8-A0E0-DAB48EFE248C}">
  <sheetPr codeName="Sheet14"/>
  <dimension ref="A1:A11"/>
  <sheetViews>
    <sheetView showGridLines="0" workbookViewId="0">
      <pane xSplit="3" ySplit="5" topLeftCell="D6" activePane="bottomRight" state="frozen"/>
      <selection pane="topRight" activeCell="D1" sqref="D1"/>
      <selection pane="bottomLeft" activeCell="A6" sqref="A6"/>
      <selection pane="bottomRight" activeCell="D6" sqref="D6"/>
    </sheetView>
  </sheetViews>
  <sheetFormatPr defaultRowHeight="12.75"/>
  <sheetData>
    <row r="1" spans="1:1">
      <c r="A1" t="s">
        <v>457</v>
      </c>
    </row>
    <row r="2" spans="1:1">
      <c r="A2" t="s">
        <v>458</v>
      </c>
    </row>
    <row r="3" spans="1:1">
      <c r="A3" t="s">
        <v>185</v>
      </c>
    </row>
    <row r="4" spans="1:1">
      <c r="A4" t="s">
        <v>459</v>
      </c>
    </row>
    <row r="5" spans="1:1">
      <c r="A5" t="s">
        <v>456</v>
      </c>
    </row>
    <row r="6" spans="1:1">
      <c r="A6" t="s">
        <v>460</v>
      </c>
    </row>
    <row r="7" spans="1:1">
      <c r="A7" t="s">
        <v>211</v>
      </c>
    </row>
    <row r="8" spans="1:1">
      <c r="A8" t="s">
        <v>461</v>
      </c>
    </row>
    <row r="9" spans="1:1">
      <c r="A9" t="s">
        <v>462</v>
      </c>
    </row>
    <row r="10" spans="1:1">
      <c r="A10" t="s">
        <v>455</v>
      </c>
    </row>
    <row r="11" spans="1:1">
      <c r="A11" t="s">
        <v>463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FF00"/>
    <pageSetUpPr fitToPage="1"/>
  </sheetPr>
  <dimension ref="B1:EL167"/>
  <sheetViews>
    <sheetView showGridLines="0" workbookViewId="0">
      <pane xSplit="3" ySplit="5" topLeftCell="D6" activePane="bottomRight" state="frozen"/>
      <selection pane="topRight" activeCell="D1" sqref="D1"/>
      <selection pane="bottomLeft" activeCell="A6" sqref="A6"/>
      <selection pane="bottomRight" activeCell="D6" sqref="D6"/>
    </sheetView>
  </sheetViews>
  <sheetFormatPr defaultColWidth="6.5703125" defaultRowHeight="10.5" customHeight="1" outlineLevelCol="2"/>
  <cols>
    <col min="1" max="1" width="1.7109375" style="16" customWidth="1"/>
    <col min="2" max="2" width="15.85546875" style="16" hidden="1" customWidth="1" outlineLevel="1"/>
    <col min="3" max="3" width="1.7109375" style="16" hidden="1" customWidth="1" outlineLevel="1"/>
    <col min="4" max="4" width="32.85546875" style="16" bestFit="1" customWidth="1" collapsed="1"/>
    <col min="5" max="5" width="8.7109375" style="16" customWidth="1" outlineLevel="2"/>
    <col min="6" max="11" width="8.7109375" style="16" customWidth="1" outlineLevel="1"/>
    <col min="12" max="12" width="8.7109375" style="16" customWidth="1" outlineLevel="2"/>
    <col min="13" max="17" width="8.7109375" style="16" customWidth="1" outlineLevel="1"/>
    <col min="18" max="18" width="8.7109375" style="16" customWidth="1" outlineLevel="2"/>
    <col min="19" max="23" width="8.7109375" style="16" customWidth="1" outlineLevel="1"/>
    <col min="24" max="24" width="8.7109375" style="16" customWidth="1" outlineLevel="2"/>
    <col min="25" max="29" width="8.7109375" style="16" customWidth="1" outlineLevel="1"/>
    <col min="30" max="30" width="8.7109375" style="16" customWidth="1" outlineLevel="2"/>
    <col min="31" max="34" width="8.7109375" style="16" customWidth="1" outlineLevel="1"/>
    <col min="35" max="35" width="9.5703125" style="16" customWidth="1" outlineLevel="1"/>
    <col min="36" max="36" width="7" style="16" customWidth="1" outlineLevel="1"/>
    <col min="37" max="37" width="6.85546875" style="16" customWidth="1" outlineLevel="2"/>
    <col min="38" max="38" width="8" style="16" customWidth="1" outlineLevel="1"/>
    <col min="39" max="39" width="7.7109375" style="16" customWidth="1" outlineLevel="1"/>
    <col min="40" max="40" width="8.85546875" style="16" customWidth="1" outlineLevel="1"/>
    <col min="41" max="41" width="7.7109375" style="16" customWidth="1" outlineLevel="1"/>
    <col min="42" max="42" width="9.5703125" style="16" customWidth="1" outlineLevel="1"/>
    <col min="43" max="43" width="6.85546875" style="16" customWidth="1" outlineLevel="1"/>
    <col min="44" max="44" width="6.140625" style="16" customWidth="1" outlineLevel="2"/>
    <col min="45" max="45" width="7.140625" style="16" customWidth="1" outlineLevel="1"/>
    <col min="46" max="46" width="7.7109375" style="16" customWidth="1" outlineLevel="1"/>
    <col min="47" max="47" width="7.5703125" style="16" customWidth="1" outlineLevel="1"/>
    <col min="48" max="48" width="9.7109375" style="16" customWidth="1" outlineLevel="1"/>
    <col min="49" max="49" width="8.28515625" style="16" customWidth="1" outlineLevel="1"/>
    <col min="50" max="50" width="6.85546875" style="16" customWidth="1" outlineLevel="1"/>
    <col min="51" max="51" width="6.140625" style="16" customWidth="1" outlineLevel="2"/>
    <col min="52" max="52" width="6.42578125" style="16" customWidth="1" outlineLevel="1"/>
    <col min="53" max="53" width="7.7109375" style="16" customWidth="1" outlineLevel="1"/>
    <col min="54" max="54" width="7.42578125" style="16" customWidth="1" outlineLevel="1"/>
    <col min="55" max="55" width="7.7109375" style="16" customWidth="1" outlineLevel="1"/>
    <col min="56" max="56" width="7.42578125" style="16" customWidth="1" outlineLevel="1"/>
    <col min="57" max="57" width="6.85546875" style="16" customWidth="1" outlineLevel="1"/>
    <col min="58" max="58" width="6.140625" style="16" customWidth="1" outlineLevel="1"/>
    <col min="59" max="59" width="6.42578125" style="16" customWidth="1" outlineLevel="1"/>
    <col min="60" max="60" width="7.7109375" style="16" customWidth="1" outlineLevel="1"/>
    <col min="61" max="61" width="7.42578125" style="16" customWidth="1" outlineLevel="1"/>
    <col min="62" max="62" width="8.28515625" style="16" customWidth="1" outlineLevel="1"/>
    <col min="63" max="63" width="7.42578125" style="16" customWidth="1" outlineLevel="1"/>
    <col min="64" max="64" width="6.7109375" style="16" customWidth="1" outlineLevel="1"/>
    <col min="65" max="65" width="6.7109375" style="16" customWidth="1" outlineLevel="2"/>
    <col min="66" max="66" width="7.5703125" style="16" customWidth="1" outlineLevel="1"/>
    <col min="67" max="67" width="8.42578125" style="16" customWidth="1" outlineLevel="1"/>
    <col min="68" max="68" width="7.42578125" style="16" customWidth="1" outlineLevel="1"/>
    <col min="69" max="69" width="8.42578125" style="16" customWidth="1" outlineLevel="1"/>
    <col min="70" max="70" width="8.28515625" style="16" customWidth="1" outlineLevel="1"/>
    <col min="71" max="71" width="6.85546875" style="16" bestFit="1" customWidth="1"/>
    <col min="72" max="72" width="6.140625" style="16" customWidth="1" outlineLevel="1"/>
    <col min="73" max="73" width="6.42578125" style="16" bestFit="1" customWidth="1"/>
    <col min="74" max="74" width="7.7109375" style="16" bestFit="1" customWidth="1"/>
    <col min="75" max="75" width="7.5703125" style="16" bestFit="1" customWidth="1"/>
    <col min="76" max="76" width="7.7109375" style="16" bestFit="1" customWidth="1"/>
    <col min="77" max="77" width="7.5703125" style="16" bestFit="1" customWidth="1"/>
    <col min="78" max="78" width="6.85546875" style="16" bestFit="1" customWidth="1"/>
    <col min="79" max="79" width="6.140625" style="16" customWidth="1" outlineLevel="1"/>
    <col min="80" max="80" width="6.5703125" style="16" bestFit="1" customWidth="1"/>
    <col min="81" max="81" width="7.7109375" style="16" bestFit="1" customWidth="1"/>
    <col min="82" max="82" width="7.5703125" style="16" bestFit="1" customWidth="1"/>
    <col min="83" max="83" width="7.7109375" style="16" bestFit="1" customWidth="1"/>
    <col min="84" max="85" width="7.5703125" style="16" bestFit="1" customWidth="1"/>
    <col min="86" max="86" width="6.140625" style="16" customWidth="1" outlineLevel="1"/>
    <col min="87" max="87" width="6.42578125" style="16" bestFit="1" customWidth="1"/>
    <col min="88" max="88" width="7.5703125" style="16" customWidth="1"/>
    <col min="89" max="89" width="7.5703125" style="16" bestFit="1" customWidth="1"/>
    <col min="90" max="90" width="7.5703125" style="16" customWidth="1"/>
    <col min="91" max="91" width="7.5703125" style="16" bestFit="1" customWidth="1"/>
    <col min="92" max="92" width="6.85546875" style="16" bestFit="1" customWidth="1"/>
    <col min="93" max="93" width="6.140625" style="16" customWidth="1" outlineLevel="1"/>
    <col min="94" max="94" width="6.42578125" style="16" bestFit="1" customWidth="1"/>
    <col min="95" max="95" width="7.5703125" style="16" customWidth="1"/>
    <col min="96" max="96" width="7.5703125" style="16" bestFit="1" customWidth="1"/>
    <col min="97" max="97" width="7.5703125" style="16" customWidth="1"/>
    <col min="98" max="98" width="7.5703125" style="16" bestFit="1" customWidth="1"/>
    <col min="99" max="99" width="6.85546875" style="16" bestFit="1" customWidth="1"/>
    <col min="100" max="100" width="6.85546875" style="16" customWidth="1" outlineLevel="1"/>
    <col min="101" max="101" width="6.28515625" style="16" bestFit="1" customWidth="1"/>
    <col min="102" max="102" width="8.42578125" style="16" customWidth="1"/>
    <col min="103" max="103" width="7.42578125" style="16" bestFit="1" customWidth="1"/>
    <col min="104" max="104" width="8.42578125" style="16" customWidth="1"/>
    <col min="105" max="105" width="8.28515625" style="16" bestFit="1" customWidth="1"/>
    <col min="106" max="106" width="6.85546875" style="16" customWidth="1" outlineLevel="1"/>
    <col min="107" max="107" width="6.140625" style="16" customWidth="1" outlineLevel="2"/>
    <col min="108" max="108" width="6.42578125" style="16" customWidth="1" outlineLevel="1"/>
    <col min="109" max="112" width="7.5703125" style="16" customWidth="1" outlineLevel="1"/>
    <col min="113" max="113" width="6.85546875" style="16" customWidth="1" outlineLevel="1"/>
    <col min="114" max="114" width="6.140625" style="16" customWidth="1" outlineLevel="2"/>
    <col min="115" max="115" width="6.5703125" style="16" customWidth="1" outlineLevel="1"/>
    <col min="116" max="120" width="7.5703125" style="16" customWidth="1" outlineLevel="1"/>
    <col min="121" max="121" width="6.140625" style="16" customWidth="1" outlineLevel="2"/>
    <col min="122" max="122" width="6.42578125" style="16" customWidth="1" outlineLevel="1"/>
    <col min="123" max="126" width="7.5703125" style="16" customWidth="1" outlineLevel="1"/>
    <col min="127" max="127" width="7.28515625" style="16" customWidth="1" outlineLevel="1"/>
    <col min="128" max="128" width="6.7109375" style="16" customWidth="1" outlineLevel="2"/>
    <col min="129" max="129" width="6.42578125" style="16" customWidth="1" outlineLevel="1"/>
    <col min="130" max="134" width="7.5703125" style="16" customWidth="1" outlineLevel="1"/>
    <col min="135" max="135" width="6.85546875" style="16" bestFit="1" customWidth="1"/>
    <col min="136" max="136" width="6.85546875" style="16" customWidth="1" outlineLevel="1"/>
    <col min="137" max="137" width="6.28515625" style="16" bestFit="1" customWidth="1"/>
    <col min="138" max="138" width="8.42578125" style="16" customWidth="1"/>
    <col min="139" max="139" width="7.42578125" style="16" bestFit="1" customWidth="1"/>
    <col min="140" max="140" width="8.42578125" style="16" customWidth="1"/>
    <col min="141" max="141" width="7.42578125" style="16" bestFit="1" customWidth="1"/>
    <col min="142" max="142" width="8.28515625" style="16" bestFit="1" customWidth="1"/>
    <col min="143" max="16384" width="6.5703125" style="16"/>
  </cols>
  <sheetData>
    <row r="1" spans="2:142" ht="11.25">
      <c r="D1" s="17"/>
    </row>
    <row r="2" spans="2:142" ht="11.25">
      <c r="B2" s="16" t="s">
        <v>367</v>
      </c>
      <c r="D2" s="18" t="s">
        <v>260</v>
      </c>
    </row>
    <row r="3" spans="2:142" ht="11.25">
      <c r="D3" s="19" t="s">
        <v>82</v>
      </c>
    </row>
    <row r="4" spans="2:142" ht="11.25">
      <c r="D4" s="880" t="s">
        <v>349</v>
      </c>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1"/>
      <c r="BM4" s="21"/>
      <c r="BN4" s="21"/>
      <c r="BO4" s="21"/>
      <c r="BP4" s="21"/>
      <c r="BQ4" s="21"/>
      <c r="BR4" s="21"/>
      <c r="BS4" s="20">
        <f>EOMONTH(AX4,3)</f>
        <v>121</v>
      </c>
      <c r="BT4" s="20"/>
      <c r="BU4" s="20"/>
      <c r="BV4" s="20"/>
      <c r="BW4" s="20"/>
      <c r="BX4" s="20"/>
      <c r="BY4" s="20"/>
      <c r="BZ4" s="20">
        <f>EOMONTH(BS4,3)</f>
        <v>213</v>
      </c>
      <c r="CA4" s="20"/>
      <c r="CB4" s="20"/>
      <c r="CC4" s="20"/>
      <c r="CD4" s="20"/>
      <c r="CE4" s="20"/>
      <c r="CF4" s="20"/>
      <c r="CG4" s="20">
        <f>EOMONTH(BZ4,3)</f>
        <v>305</v>
      </c>
      <c r="CH4" s="20"/>
      <c r="CI4" s="20"/>
      <c r="CJ4" s="20"/>
      <c r="CK4" s="20"/>
      <c r="CL4" s="20"/>
      <c r="CM4" s="20"/>
      <c r="CN4" s="20">
        <f>EOMONTH(CG4,3)</f>
        <v>397</v>
      </c>
      <c r="CU4" s="16" t="s">
        <v>177</v>
      </c>
      <c r="DB4" s="20">
        <f>EOMONTH(CN4,3)</f>
        <v>486</v>
      </c>
      <c r="DC4" s="20"/>
      <c r="DD4" s="20"/>
      <c r="DE4" s="20"/>
      <c r="DF4" s="20"/>
      <c r="DG4" s="20"/>
      <c r="DH4" s="20"/>
      <c r="DI4" s="20">
        <f>EOMONTH(DB4,3)</f>
        <v>578</v>
      </c>
      <c r="DJ4" s="20"/>
      <c r="DK4" s="20"/>
      <c r="DL4" s="20"/>
      <c r="DM4" s="20"/>
      <c r="DN4" s="20"/>
      <c r="DO4" s="20"/>
      <c r="DP4" s="20">
        <f>EOMONTH(DI4,3)</f>
        <v>670</v>
      </c>
      <c r="DQ4" s="20"/>
      <c r="DR4" s="20"/>
      <c r="DS4" s="20"/>
      <c r="DT4" s="20"/>
      <c r="DU4" s="20"/>
      <c r="DV4" s="20"/>
      <c r="DW4" s="20">
        <f>EOMONTH(DP4,3)</f>
        <v>762</v>
      </c>
      <c r="EE4" s="20" t="s">
        <v>177</v>
      </c>
    </row>
    <row r="5" spans="2:142" ht="11.25">
      <c r="E5" s="20" t="s">
        <v>176</v>
      </c>
      <c r="F5" s="20"/>
      <c r="G5" s="20"/>
      <c r="H5" s="20"/>
      <c r="I5" s="20"/>
      <c r="J5" s="20"/>
      <c r="K5" s="20" t="s">
        <v>176</v>
      </c>
      <c r="L5" s="20"/>
      <c r="M5" s="20"/>
      <c r="N5" s="20"/>
      <c r="O5" s="20"/>
      <c r="P5" s="20"/>
      <c r="Q5" s="20" t="s">
        <v>177</v>
      </c>
      <c r="R5" s="20"/>
      <c r="S5" s="20"/>
      <c r="T5" s="20"/>
      <c r="U5" s="20"/>
      <c r="V5" s="20"/>
      <c r="W5" s="20" t="s">
        <v>177</v>
      </c>
      <c r="X5" s="20"/>
      <c r="Y5" s="20"/>
      <c r="Z5" s="20"/>
      <c r="AA5" s="20"/>
      <c r="AB5" s="20"/>
      <c r="AC5" s="20" t="s">
        <v>177</v>
      </c>
      <c r="AD5" s="20"/>
      <c r="AE5" s="20"/>
      <c r="AF5" s="20"/>
      <c r="AG5" s="20"/>
      <c r="AH5" s="20"/>
      <c r="AI5" s="20"/>
      <c r="AJ5" s="16" t="s">
        <v>177</v>
      </c>
      <c r="AK5" s="20"/>
      <c r="AL5" s="20"/>
      <c r="AM5" s="20"/>
      <c r="AN5" s="20"/>
      <c r="AO5" s="20"/>
      <c r="AP5" s="20"/>
      <c r="AQ5" s="16" t="s">
        <v>177</v>
      </c>
      <c r="AR5" s="20"/>
      <c r="AS5" s="20"/>
      <c r="AT5" s="20"/>
      <c r="AU5" s="20"/>
      <c r="AV5" s="20"/>
      <c r="AW5" s="20"/>
      <c r="AX5" s="16" t="s">
        <v>177</v>
      </c>
      <c r="AY5" s="20"/>
      <c r="AZ5" s="20"/>
      <c r="BA5" s="20"/>
      <c r="BB5" s="20"/>
      <c r="BC5" s="20"/>
      <c r="BD5" s="20"/>
      <c r="BE5" s="16" t="s">
        <v>177</v>
      </c>
      <c r="BF5" s="20"/>
      <c r="BG5" s="20"/>
      <c r="BH5" s="20"/>
      <c r="BI5" s="20"/>
      <c r="BJ5" s="20"/>
      <c r="BK5" s="20"/>
      <c r="BL5" s="16" t="s">
        <v>177</v>
      </c>
      <c r="BM5" s="21"/>
      <c r="BN5" s="21"/>
      <c r="BO5" s="21"/>
      <c r="BP5" s="21"/>
      <c r="BQ5" s="21"/>
      <c r="BR5" s="21"/>
      <c r="BS5" s="20" t="s">
        <v>177</v>
      </c>
      <c r="BT5" s="20"/>
      <c r="BU5" s="20"/>
      <c r="BV5" s="20"/>
      <c r="BW5" s="20"/>
      <c r="BX5" s="20"/>
      <c r="BY5" s="20"/>
      <c r="BZ5" s="20" t="s">
        <v>177</v>
      </c>
      <c r="CA5" s="20"/>
      <c r="CB5" s="20"/>
      <c r="CC5" s="20"/>
      <c r="CD5" s="20"/>
      <c r="CE5" s="20"/>
      <c r="CF5" s="20"/>
      <c r="CG5" s="20" t="s">
        <v>177</v>
      </c>
      <c r="CH5" s="20"/>
      <c r="CI5" s="20"/>
      <c r="CJ5" s="20"/>
      <c r="CK5" s="20"/>
      <c r="CL5" s="20"/>
      <c r="CM5" s="20"/>
      <c r="CN5" s="20" t="s">
        <v>177</v>
      </c>
      <c r="CU5" s="20" t="str">
        <f>LEFT(RIGHT(CU8,3),2)</f>
        <v>26</v>
      </c>
      <c r="DB5" s="20" t="s">
        <v>177</v>
      </c>
      <c r="DC5" s="20"/>
      <c r="DD5" s="20"/>
      <c r="DE5" s="20"/>
      <c r="DF5" s="20"/>
      <c r="DG5" s="20"/>
      <c r="DH5" s="20"/>
      <c r="DI5" s="20" t="s">
        <v>177</v>
      </c>
      <c r="DJ5" s="20"/>
      <c r="DK5" s="20"/>
      <c r="DL5" s="20"/>
      <c r="DM5" s="20"/>
      <c r="DN5" s="20"/>
      <c r="DO5" s="20"/>
      <c r="DP5" s="20" t="s">
        <v>177</v>
      </c>
      <c r="DQ5" s="20"/>
      <c r="DR5" s="20"/>
      <c r="DS5" s="20"/>
      <c r="DT5" s="20"/>
      <c r="DU5" s="20"/>
      <c r="DV5" s="20"/>
      <c r="DW5" s="20" t="s">
        <v>177</v>
      </c>
      <c r="EE5" s="20" t="str">
        <f>LEFT(RIGHT(EE8,3),2)</f>
        <v>27</v>
      </c>
    </row>
    <row r="6" spans="2:142" ht="11.25">
      <c r="D6" s="16" t="s">
        <v>378</v>
      </c>
      <c r="E6" s="22">
        <v>2024</v>
      </c>
      <c r="G6" s="22"/>
      <c r="H6" s="20"/>
      <c r="I6" s="20"/>
      <c r="J6" s="20"/>
      <c r="K6" s="23">
        <f>E6</f>
        <v>2024</v>
      </c>
      <c r="L6" s="20"/>
      <c r="M6" s="20"/>
      <c r="N6" s="20"/>
      <c r="O6" s="20"/>
      <c r="P6" s="20"/>
      <c r="Q6" s="23">
        <f>K6</f>
        <v>2024</v>
      </c>
      <c r="R6" s="20"/>
      <c r="S6" s="20"/>
      <c r="T6" s="20"/>
      <c r="U6" s="20"/>
      <c r="V6" s="20"/>
      <c r="W6" s="23">
        <f>Q6</f>
        <v>2024</v>
      </c>
      <c r="X6" s="20"/>
      <c r="Y6" s="20"/>
      <c r="Z6" s="20"/>
      <c r="AA6" s="20"/>
      <c r="AB6" s="20"/>
      <c r="AC6" s="23">
        <f>W6</f>
        <v>2024</v>
      </c>
      <c r="AD6" s="20"/>
      <c r="AE6" s="20"/>
      <c r="AF6" s="20"/>
      <c r="AG6" s="20"/>
      <c r="AH6" s="20"/>
      <c r="AI6" s="20"/>
      <c r="AJ6" s="23">
        <f>AC6+1</f>
        <v>2025</v>
      </c>
      <c r="AK6" s="20"/>
      <c r="AL6" s="20"/>
      <c r="AM6" s="20"/>
      <c r="AN6" s="20"/>
      <c r="AO6" s="20"/>
      <c r="AP6" s="20"/>
      <c r="AQ6" s="23">
        <f>AJ6</f>
        <v>2025</v>
      </c>
      <c r="AR6" s="20"/>
      <c r="AS6" s="20"/>
      <c r="AT6" s="20"/>
      <c r="AU6" s="20"/>
      <c r="AV6" s="20"/>
      <c r="AW6" s="20"/>
      <c r="AX6" s="23">
        <f>AQ6</f>
        <v>2025</v>
      </c>
      <c r="AY6" s="20"/>
      <c r="AZ6" s="20"/>
      <c r="BA6" s="20"/>
      <c r="BB6" s="20"/>
      <c r="BC6" s="20"/>
      <c r="BD6" s="20"/>
      <c r="BE6" s="23">
        <f>AX6</f>
        <v>2025</v>
      </c>
      <c r="BF6" s="20"/>
      <c r="BG6" s="20"/>
      <c r="BH6" s="20"/>
      <c r="BI6" s="20"/>
      <c r="BJ6" s="20"/>
      <c r="BK6" s="20"/>
      <c r="BL6" s="23">
        <f>BE6</f>
        <v>2025</v>
      </c>
      <c r="BM6" s="21"/>
      <c r="BN6" s="21"/>
      <c r="BO6" s="21"/>
      <c r="BP6" s="21"/>
      <c r="BQ6" s="21"/>
      <c r="BR6" s="21"/>
      <c r="BS6" s="23">
        <f>BL6+1</f>
        <v>2026</v>
      </c>
      <c r="BT6" s="20"/>
      <c r="BU6" s="20"/>
      <c r="BV6" s="20"/>
      <c r="BW6" s="20"/>
      <c r="BX6" s="20"/>
      <c r="BY6" s="20"/>
      <c r="BZ6" s="23">
        <f>BS6</f>
        <v>2026</v>
      </c>
      <c r="CA6" s="20"/>
      <c r="CB6" s="20"/>
      <c r="CC6" s="20"/>
      <c r="CD6" s="20"/>
      <c r="CE6" s="20"/>
      <c r="CF6" s="20"/>
      <c r="CG6" s="23">
        <f>BZ6</f>
        <v>2026</v>
      </c>
      <c r="CH6" s="20"/>
      <c r="CI6" s="20"/>
      <c r="CJ6" s="20"/>
      <c r="CK6" s="20"/>
      <c r="CL6" s="20"/>
      <c r="CM6" s="20"/>
      <c r="CN6" s="23">
        <f>CG6</f>
        <v>2026</v>
      </c>
      <c r="CO6" s="20"/>
      <c r="CP6" s="20"/>
      <c r="CQ6" s="20"/>
      <c r="CR6" s="20"/>
      <c r="CS6" s="20"/>
      <c r="CT6" s="20"/>
      <c r="CU6" s="23">
        <f>CN6</f>
        <v>2026</v>
      </c>
      <c r="DB6" s="23">
        <f>CU6+1</f>
        <v>2027</v>
      </c>
      <c r="DC6" s="20"/>
      <c r="DD6" s="20"/>
      <c r="DE6" s="20"/>
      <c r="DF6" s="20"/>
      <c r="DG6" s="20"/>
      <c r="DH6" s="20"/>
      <c r="DI6" s="23">
        <f>DB6</f>
        <v>2027</v>
      </c>
      <c r="DJ6" s="20"/>
      <c r="DK6" s="20"/>
      <c r="DL6" s="20"/>
      <c r="DM6" s="20"/>
      <c r="DN6" s="20"/>
      <c r="DO6" s="20"/>
      <c r="DP6" s="23">
        <f>DI6</f>
        <v>2027</v>
      </c>
      <c r="DQ6" s="20"/>
      <c r="DR6" s="20"/>
      <c r="DS6" s="20"/>
      <c r="DT6" s="20"/>
      <c r="DU6" s="20"/>
      <c r="DV6" s="20"/>
      <c r="DW6" s="23">
        <f>DP6</f>
        <v>2027</v>
      </c>
      <c r="DX6" s="20"/>
      <c r="DY6" s="20"/>
      <c r="DZ6" s="20"/>
      <c r="EA6" s="20"/>
      <c r="EB6" s="20"/>
      <c r="EC6" s="20"/>
      <c r="ED6" s="20"/>
      <c r="EE6" s="23">
        <f>DW6</f>
        <v>2027</v>
      </c>
    </row>
    <row r="7" spans="2:142" ht="11.25">
      <c r="D7" s="16" t="s">
        <v>379</v>
      </c>
      <c r="E7" s="22">
        <v>1</v>
      </c>
      <c r="G7" s="23"/>
      <c r="H7" s="20"/>
      <c r="I7" s="20"/>
      <c r="J7" s="20"/>
      <c r="K7" s="23">
        <f>E7+1</f>
        <v>2</v>
      </c>
      <c r="L7" s="20"/>
      <c r="M7" s="20"/>
      <c r="N7" s="20"/>
      <c r="O7" s="20"/>
      <c r="P7" s="20"/>
      <c r="Q7" s="23">
        <f>K7+1</f>
        <v>3</v>
      </c>
      <c r="R7" s="20"/>
      <c r="S7" s="20"/>
      <c r="T7" s="20"/>
      <c r="U7" s="20"/>
      <c r="V7" s="20"/>
      <c r="W7" s="23">
        <f>Q7+1</f>
        <v>4</v>
      </c>
      <c r="X7" s="20"/>
      <c r="Y7" s="20"/>
      <c r="Z7" s="20"/>
      <c r="AA7" s="20"/>
      <c r="AB7" s="20"/>
      <c r="AC7" s="23"/>
      <c r="AD7" s="20"/>
      <c r="AE7" s="20"/>
      <c r="AF7" s="20"/>
      <c r="AG7" s="20"/>
      <c r="AH7" s="20"/>
      <c r="AI7" s="20"/>
      <c r="AJ7" s="23">
        <f>E7</f>
        <v>1</v>
      </c>
      <c r="AK7" s="20"/>
      <c r="AL7" s="20"/>
      <c r="AM7" s="20"/>
      <c r="AN7" s="20"/>
      <c r="AO7" s="20"/>
      <c r="AP7" s="20"/>
      <c r="AQ7" s="23">
        <f>K7</f>
        <v>2</v>
      </c>
      <c r="AR7" s="20"/>
      <c r="AS7" s="20"/>
      <c r="AT7" s="20"/>
      <c r="AU7" s="20"/>
      <c r="AV7" s="20"/>
      <c r="AW7" s="20"/>
      <c r="AX7" s="23">
        <f>Q7</f>
        <v>3</v>
      </c>
      <c r="AY7" s="20"/>
      <c r="AZ7" s="20"/>
      <c r="BA7" s="20"/>
      <c r="BB7" s="20"/>
      <c r="BC7" s="20"/>
      <c r="BD7" s="20"/>
      <c r="BE7" s="23">
        <f>W7</f>
        <v>4</v>
      </c>
      <c r="BF7" s="20"/>
      <c r="BG7" s="20"/>
      <c r="BH7" s="20"/>
      <c r="BI7" s="20"/>
      <c r="BJ7" s="20"/>
      <c r="BK7" s="20"/>
      <c r="BL7" s="23"/>
      <c r="BM7" s="21"/>
      <c r="BN7" s="21"/>
      <c r="BO7" s="21"/>
      <c r="BP7" s="21"/>
      <c r="BQ7" s="21"/>
      <c r="BR7" s="21"/>
      <c r="BS7" s="23">
        <f>AJ7</f>
        <v>1</v>
      </c>
      <c r="BT7" s="20"/>
      <c r="BU7" s="20"/>
      <c r="BV7" s="20"/>
      <c r="BW7" s="20"/>
      <c r="BX7" s="20"/>
      <c r="BY7" s="20"/>
      <c r="BZ7" s="23">
        <f>AQ7</f>
        <v>2</v>
      </c>
      <c r="CA7" s="20"/>
      <c r="CB7" s="20"/>
      <c r="CC7" s="20"/>
      <c r="CD7" s="20"/>
      <c r="CE7" s="20"/>
      <c r="CF7" s="20"/>
      <c r="CG7" s="23">
        <f>AX7</f>
        <v>3</v>
      </c>
      <c r="CH7" s="20"/>
      <c r="CI7" s="20"/>
      <c r="CJ7" s="20"/>
      <c r="CK7" s="20"/>
      <c r="CL7" s="20"/>
      <c r="CM7" s="20"/>
      <c r="CN7" s="23">
        <f>BE7</f>
        <v>4</v>
      </c>
      <c r="CO7" s="20"/>
      <c r="CP7" s="20"/>
      <c r="CQ7" s="20"/>
      <c r="CR7" s="20"/>
      <c r="CS7" s="20"/>
      <c r="CT7" s="20"/>
      <c r="CU7" s="23"/>
      <c r="DB7" s="23">
        <f>BS7</f>
        <v>1</v>
      </c>
      <c r="DC7" s="20"/>
      <c r="DD7" s="20"/>
      <c r="DE7" s="20"/>
      <c r="DF7" s="20"/>
      <c r="DG7" s="20"/>
      <c r="DH7" s="20"/>
      <c r="DI7" s="23">
        <f>BZ7</f>
        <v>2</v>
      </c>
      <c r="DJ7" s="20"/>
      <c r="DK7" s="20"/>
      <c r="DL7" s="20"/>
      <c r="DM7" s="20"/>
      <c r="DN7" s="20"/>
      <c r="DO7" s="20"/>
      <c r="DP7" s="23">
        <f>CG7</f>
        <v>3</v>
      </c>
      <c r="DQ7" s="20"/>
      <c r="DR7" s="20"/>
      <c r="DS7" s="20"/>
      <c r="DT7" s="20"/>
      <c r="DU7" s="20"/>
      <c r="DV7" s="20"/>
      <c r="DW7" s="23">
        <f>CN7</f>
        <v>4</v>
      </c>
      <c r="DX7" s="20"/>
      <c r="DY7" s="20"/>
      <c r="DZ7" s="20"/>
      <c r="EA7" s="20"/>
      <c r="EB7" s="20"/>
      <c r="EC7" s="20"/>
      <c r="ED7" s="20"/>
      <c r="EE7" s="23"/>
    </row>
    <row r="8" spans="2:142" ht="18" customHeight="1">
      <c r="B8" s="16" t="s">
        <v>366</v>
      </c>
      <c r="D8" s="24" t="s">
        <v>146</v>
      </c>
      <c r="E8" s="25" t="str">
        <f>E7&amp;"Q"&amp;RIGHT(E6,2)&amp;E5</f>
        <v>1Q24A</v>
      </c>
      <c r="F8" s="26"/>
      <c r="G8" s="26"/>
      <c r="H8" s="26"/>
      <c r="I8" s="26"/>
      <c r="J8" s="26"/>
      <c r="K8" s="25" t="str">
        <f>K7&amp;"Q"&amp;RIGHT(K6,2)&amp;K5</f>
        <v>2Q24A</v>
      </c>
      <c r="L8" s="26"/>
      <c r="M8" s="26"/>
      <c r="N8" s="26"/>
      <c r="O8" s="26"/>
      <c r="P8" s="26"/>
      <c r="Q8" s="25" t="str">
        <f>Q7&amp;"Q"&amp;RIGHT(Q6,2)&amp;Q5</f>
        <v>3Q24E</v>
      </c>
      <c r="R8" s="26"/>
      <c r="S8" s="26"/>
      <c r="T8" s="26"/>
      <c r="U8" s="26"/>
      <c r="V8" s="26"/>
      <c r="W8" s="25" t="str">
        <f>W7&amp;"Q"&amp;RIGHT(W6,2)&amp;W5</f>
        <v>4Q24E</v>
      </c>
      <c r="X8" s="26"/>
      <c r="Y8" s="26"/>
      <c r="Z8" s="26"/>
      <c r="AA8" s="26"/>
      <c r="AB8" s="26"/>
      <c r="AC8" s="27" t="str">
        <f>AC6&amp;AC5</f>
        <v>2024E</v>
      </c>
      <c r="AD8" s="28"/>
      <c r="AE8" s="29"/>
      <c r="AF8" s="29"/>
      <c r="AG8" s="29"/>
      <c r="AH8" s="29"/>
      <c r="AI8" s="29"/>
      <c r="AJ8" s="25" t="str">
        <f>AJ7&amp;"Q"&amp;RIGHT(AJ6,2)&amp;AJ5</f>
        <v>1Q25E</v>
      </c>
      <c r="AK8" s="26"/>
      <c r="AL8" s="26"/>
      <c r="AM8" s="26"/>
      <c r="AN8" s="26"/>
      <c r="AO8" s="26"/>
      <c r="AP8" s="26"/>
      <c r="AQ8" s="25" t="str">
        <f>AQ7&amp;"Q"&amp;RIGHT(AQ6,2)&amp;AQ5</f>
        <v>2Q25E</v>
      </c>
      <c r="AR8" s="26"/>
      <c r="AS8" s="26"/>
      <c r="AT8" s="26"/>
      <c r="AU8" s="26"/>
      <c r="AV8" s="26"/>
      <c r="AW8" s="26"/>
      <c r="AX8" s="25" t="str">
        <f>AX7&amp;"Q"&amp;RIGHT(AX6,2)&amp;AX5</f>
        <v>3Q25E</v>
      </c>
      <c r="AY8" s="26"/>
      <c r="AZ8" s="26"/>
      <c r="BA8" s="26"/>
      <c r="BB8" s="26"/>
      <c r="BC8" s="26"/>
      <c r="BD8" s="26"/>
      <c r="BE8" s="25" t="str">
        <f>BE7&amp;"Q"&amp;RIGHT(BE6,2)&amp;BE5</f>
        <v>4Q25E</v>
      </c>
      <c r="BF8" s="26"/>
      <c r="BG8" s="26"/>
      <c r="BH8" s="26"/>
      <c r="BI8" s="26"/>
      <c r="BJ8" s="26"/>
      <c r="BK8" s="26"/>
      <c r="BL8" s="27" t="str">
        <f>BL6&amp;BL5</f>
        <v>2025E</v>
      </c>
      <c r="BM8" s="28"/>
      <c r="BN8" s="29"/>
      <c r="BO8" s="29"/>
      <c r="BP8" s="29"/>
      <c r="BQ8" s="29"/>
      <c r="BR8" s="29"/>
      <c r="BS8" s="25" t="str">
        <f>BS7&amp;"Q"&amp;RIGHT(BS6,2)&amp;BS5</f>
        <v>1Q26E</v>
      </c>
      <c r="BT8" s="26"/>
      <c r="BU8" s="26"/>
      <c r="BV8" s="26"/>
      <c r="BW8" s="26"/>
      <c r="BX8" s="26"/>
      <c r="BY8" s="26"/>
      <c r="BZ8" s="25" t="str">
        <f>BZ7&amp;"Q"&amp;RIGHT(BZ6,2)&amp;BZ5</f>
        <v>2Q26E</v>
      </c>
      <c r="CA8" s="26"/>
      <c r="CB8" s="26"/>
      <c r="CC8" s="26"/>
      <c r="CD8" s="26"/>
      <c r="CE8" s="26"/>
      <c r="CF8" s="26"/>
      <c r="CG8" s="25" t="str">
        <f>CG7&amp;"Q"&amp;RIGHT(CG6,2)&amp;CG5</f>
        <v>3Q26E</v>
      </c>
      <c r="CH8" s="26"/>
      <c r="CI8" s="26"/>
      <c r="CJ8" s="26"/>
      <c r="CK8" s="26"/>
      <c r="CL8" s="26"/>
      <c r="CM8" s="26"/>
      <c r="CN8" s="25" t="str">
        <f>CN7&amp;"Q"&amp;RIGHT(CN6,2)&amp;CN5</f>
        <v>4Q26E</v>
      </c>
      <c r="CO8" s="26"/>
      <c r="CP8" s="26"/>
      <c r="CQ8" s="26"/>
      <c r="CR8" s="26"/>
      <c r="CS8" s="26"/>
      <c r="CT8" s="26"/>
      <c r="CU8" s="27" t="str">
        <f>CU6&amp;"E"</f>
        <v>2026E</v>
      </c>
      <c r="CV8" s="28"/>
      <c r="CW8" s="29"/>
      <c r="CX8" s="29"/>
      <c r="CY8" s="29"/>
      <c r="CZ8" s="29"/>
      <c r="DA8" s="29"/>
      <c r="DB8" s="25" t="str">
        <f>DB7&amp;"Q"&amp;RIGHT(DB6,2)&amp;DB5</f>
        <v>1Q27E</v>
      </c>
      <c r="DC8" s="26"/>
      <c r="DD8" s="26"/>
      <c r="DE8" s="26"/>
      <c r="DF8" s="26"/>
      <c r="DG8" s="26"/>
      <c r="DH8" s="26"/>
      <c r="DI8" s="25" t="str">
        <f>DI7&amp;"Q"&amp;RIGHT(DI6,2)&amp;"E"</f>
        <v>2Q27E</v>
      </c>
      <c r="DJ8" s="26"/>
      <c r="DK8" s="26"/>
      <c r="DL8" s="26"/>
      <c r="DM8" s="26"/>
      <c r="DN8" s="26"/>
      <c r="DO8" s="26"/>
      <c r="DP8" s="25" t="str">
        <f>DP7&amp;"Q"&amp;RIGHT(DP6,2)&amp;"E"</f>
        <v>3Q27E</v>
      </c>
      <c r="DQ8" s="26"/>
      <c r="DR8" s="26"/>
      <c r="DS8" s="26"/>
      <c r="DT8" s="26"/>
      <c r="DU8" s="26"/>
      <c r="DV8" s="26"/>
      <c r="DW8" s="25" t="str">
        <f>DW7&amp;"Q"&amp;RIGHT(DW6,2)&amp;"E"</f>
        <v>4Q27E</v>
      </c>
      <c r="DX8" s="26"/>
      <c r="DY8" s="26"/>
      <c r="DZ8" s="26"/>
      <c r="EA8" s="26"/>
      <c r="EB8" s="26"/>
      <c r="EC8" s="26"/>
      <c r="ED8" s="26"/>
      <c r="EE8" s="27" t="str">
        <f>EE6&amp;"E"</f>
        <v>2027E</v>
      </c>
      <c r="EF8" s="28"/>
      <c r="EG8" s="29"/>
      <c r="EH8" s="29"/>
      <c r="EI8" s="29"/>
      <c r="EJ8" s="29"/>
      <c r="EK8" s="29"/>
      <c r="EL8" s="30"/>
    </row>
    <row r="9" spans="2:142" ht="45">
      <c r="D9" s="31" t="s">
        <v>132</v>
      </c>
      <c r="E9" s="32" t="s">
        <v>80</v>
      </c>
      <c r="F9" s="33" t="s">
        <v>79</v>
      </c>
      <c r="G9" s="33" t="s">
        <v>382</v>
      </c>
      <c r="H9" s="34" t="s">
        <v>381</v>
      </c>
      <c r="I9" s="35" t="s">
        <v>81</v>
      </c>
      <c r="J9" s="33" t="s">
        <v>382</v>
      </c>
      <c r="K9" s="32" t="s">
        <v>80</v>
      </c>
      <c r="L9" s="33" t="s">
        <v>79</v>
      </c>
      <c r="M9" s="33" t="s">
        <v>382</v>
      </c>
      <c r="N9" s="34" t="s">
        <v>381</v>
      </c>
      <c r="O9" s="35" t="s">
        <v>81</v>
      </c>
      <c r="P9" s="33" t="s">
        <v>382</v>
      </c>
      <c r="Q9" s="32" t="s">
        <v>80</v>
      </c>
      <c r="R9" s="33" t="s">
        <v>79</v>
      </c>
      <c r="S9" s="33" t="s">
        <v>382</v>
      </c>
      <c r="T9" s="34" t="s">
        <v>381</v>
      </c>
      <c r="U9" s="35" t="s">
        <v>81</v>
      </c>
      <c r="V9" s="33" t="s">
        <v>382</v>
      </c>
      <c r="W9" s="32" t="s">
        <v>80</v>
      </c>
      <c r="X9" s="33" t="s">
        <v>79</v>
      </c>
      <c r="Y9" s="33" t="s">
        <v>382</v>
      </c>
      <c r="Z9" s="34" t="s">
        <v>381</v>
      </c>
      <c r="AA9" s="35" t="s">
        <v>81</v>
      </c>
      <c r="AB9" s="33" t="s">
        <v>382</v>
      </c>
      <c r="AC9" s="36" t="s">
        <v>80</v>
      </c>
      <c r="AD9" s="37" t="s">
        <v>79</v>
      </c>
      <c r="AE9" s="37" t="s">
        <v>382</v>
      </c>
      <c r="AF9" s="38" t="s">
        <v>381</v>
      </c>
      <c r="AG9" s="38" t="s">
        <v>385</v>
      </c>
      <c r="AH9" s="38" t="s">
        <v>384</v>
      </c>
      <c r="AI9" s="38" t="s">
        <v>383</v>
      </c>
      <c r="AJ9" s="32" t="s">
        <v>80</v>
      </c>
      <c r="AK9" s="33" t="s">
        <v>79</v>
      </c>
      <c r="AL9" s="33" t="s">
        <v>382</v>
      </c>
      <c r="AM9" s="34" t="s">
        <v>381</v>
      </c>
      <c r="AN9" s="34" t="s">
        <v>385</v>
      </c>
      <c r="AO9" s="34" t="s">
        <v>384</v>
      </c>
      <c r="AP9" s="39" t="s">
        <v>383</v>
      </c>
      <c r="AQ9" s="32" t="s">
        <v>80</v>
      </c>
      <c r="AR9" s="33" t="s">
        <v>79</v>
      </c>
      <c r="AS9" s="33" t="s">
        <v>382</v>
      </c>
      <c r="AT9" s="34" t="s">
        <v>381</v>
      </c>
      <c r="AU9" s="34" t="s">
        <v>385</v>
      </c>
      <c r="AV9" s="34" t="s">
        <v>384</v>
      </c>
      <c r="AW9" s="39" t="s">
        <v>383</v>
      </c>
      <c r="AX9" s="32" t="s">
        <v>80</v>
      </c>
      <c r="AY9" s="33" t="s">
        <v>79</v>
      </c>
      <c r="AZ9" s="33" t="s">
        <v>382</v>
      </c>
      <c r="BA9" s="34" t="s">
        <v>381</v>
      </c>
      <c r="BB9" s="34" t="s">
        <v>385</v>
      </c>
      <c r="BC9" s="34" t="s">
        <v>384</v>
      </c>
      <c r="BD9" s="39" t="s">
        <v>383</v>
      </c>
      <c r="BE9" s="32" t="s">
        <v>80</v>
      </c>
      <c r="BF9" s="33" t="s">
        <v>79</v>
      </c>
      <c r="BG9" s="33" t="s">
        <v>382</v>
      </c>
      <c r="BH9" s="34" t="s">
        <v>381</v>
      </c>
      <c r="BI9" s="34" t="s">
        <v>385</v>
      </c>
      <c r="BJ9" s="34" t="s">
        <v>384</v>
      </c>
      <c r="BK9" s="39" t="s">
        <v>383</v>
      </c>
      <c r="BL9" s="36" t="s">
        <v>80</v>
      </c>
      <c r="BM9" s="37" t="s">
        <v>79</v>
      </c>
      <c r="BN9" s="37" t="s">
        <v>382</v>
      </c>
      <c r="BO9" s="38" t="s">
        <v>381</v>
      </c>
      <c r="BP9" s="38" t="s">
        <v>385</v>
      </c>
      <c r="BQ9" s="38" t="s">
        <v>384</v>
      </c>
      <c r="BR9" s="38" t="s">
        <v>383</v>
      </c>
      <c r="BS9" s="32" t="s">
        <v>80</v>
      </c>
      <c r="BT9" s="33" t="s">
        <v>79</v>
      </c>
      <c r="BU9" s="33" t="s">
        <v>382</v>
      </c>
      <c r="BV9" s="804" t="s">
        <v>381</v>
      </c>
      <c r="BW9" s="804" t="s">
        <v>385</v>
      </c>
      <c r="BX9" s="804" t="s">
        <v>384</v>
      </c>
      <c r="BY9" s="805" t="s">
        <v>383</v>
      </c>
      <c r="BZ9" s="32" t="s">
        <v>80</v>
      </c>
      <c r="CA9" s="33" t="s">
        <v>79</v>
      </c>
      <c r="CB9" s="33" t="s">
        <v>382</v>
      </c>
      <c r="CC9" s="34" t="s">
        <v>381</v>
      </c>
      <c r="CD9" s="34" t="s">
        <v>385</v>
      </c>
      <c r="CE9" s="34" t="s">
        <v>384</v>
      </c>
      <c r="CF9" s="39" t="s">
        <v>383</v>
      </c>
      <c r="CG9" s="32" t="s">
        <v>80</v>
      </c>
      <c r="CH9" s="33" t="s">
        <v>79</v>
      </c>
      <c r="CI9" s="33" t="s">
        <v>382</v>
      </c>
      <c r="CJ9" s="34" t="s">
        <v>381</v>
      </c>
      <c r="CK9" s="34" t="s">
        <v>385</v>
      </c>
      <c r="CL9" s="34" t="s">
        <v>384</v>
      </c>
      <c r="CM9" s="39" t="s">
        <v>383</v>
      </c>
      <c r="CN9" s="32" t="s">
        <v>80</v>
      </c>
      <c r="CO9" s="33" t="s">
        <v>79</v>
      </c>
      <c r="CP9" s="33" t="s">
        <v>382</v>
      </c>
      <c r="CQ9" s="34" t="s">
        <v>381</v>
      </c>
      <c r="CR9" s="34" t="s">
        <v>385</v>
      </c>
      <c r="CS9" s="34" t="s">
        <v>384</v>
      </c>
      <c r="CT9" s="39" t="s">
        <v>383</v>
      </c>
      <c r="CU9" s="36" t="s">
        <v>80</v>
      </c>
      <c r="CV9" s="37" t="s">
        <v>79</v>
      </c>
      <c r="CW9" s="37" t="s">
        <v>382</v>
      </c>
      <c r="CX9" s="38" t="s">
        <v>381</v>
      </c>
      <c r="CY9" s="38" t="s">
        <v>385</v>
      </c>
      <c r="CZ9" s="38" t="s">
        <v>384</v>
      </c>
      <c r="DA9" s="38" t="s">
        <v>383</v>
      </c>
      <c r="DB9" s="32" t="s">
        <v>80</v>
      </c>
      <c r="DC9" s="33" t="s">
        <v>79</v>
      </c>
      <c r="DD9" s="33" t="s">
        <v>382</v>
      </c>
      <c r="DE9" s="34" t="s">
        <v>381</v>
      </c>
      <c r="DF9" s="34" t="s">
        <v>385</v>
      </c>
      <c r="DG9" s="34" t="s">
        <v>384</v>
      </c>
      <c r="DH9" s="39" t="s">
        <v>383</v>
      </c>
      <c r="DI9" s="32" t="s">
        <v>80</v>
      </c>
      <c r="DJ9" s="33" t="s">
        <v>79</v>
      </c>
      <c r="DK9" s="33" t="s">
        <v>382</v>
      </c>
      <c r="DL9" s="34" t="s">
        <v>381</v>
      </c>
      <c r="DM9" s="34" t="s">
        <v>385</v>
      </c>
      <c r="DN9" s="34" t="s">
        <v>384</v>
      </c>
      <c r="DO9" s="39" t="s">
        <v>383</v>
      </c>
      <c r="DP9" s="32" t="s">
        <v>80</v>
      </c>
      <c r="DQ9" s="33" t="s">
        <v>79</v>
      </c>
      <c r="DR9" s="33" t="s">
        <v>382</v>
      </c>
      <c r="DS9" s="34" t="s">
        <v>381</v>
      </c>
      <c r="DT9" s="34" t="s">
        <v>385</v>
      </c>
      <c r="DU9" s="34" t="s">
        <v>384</v>
      </c>
      <c r="DV9" s="39" t="s">
        <v>383</v>
      </c>
      <c r="DW9" s="32" t="s">
        <v>80</v>
      </c>
      <c r="DX9" s="33" t="s">
        <v>79</v>
      </c>
      <c r="DY9" s="33" t="s">
        <v>382</v>
      </c>
      <c r="DZ9" s="34" t="s">
        <v>381</v>
      </c>
      <c r="EA9" s="34" t="s">
        <v>385</v>
      </c>
      <c r="EB9" s="34" t="s">
        <v>384</v>
      </c>
      <c r="EC9" s="34" t="s">
        <v>386</v>
      </c>
      <c r="ED9" s="39" t="s">
        <v>383</v>
      </c>
      <c r="EE9" s="36" t="s">
        <v>80</v>
      </c>
      <c r="EF9" s="37" t="s">
        <v>79</v>
      </c>
      <c r="EG9" s="37" t="s">
        <v>382</v>
      </c>
      <c r="EH9" s="38" t="s">
        <v>381</v>
      </c>
      <c r="EI9" s="38" t="s">
        <v>385</v>
      </c>
      <c r="EJ9" s="38" t="s">
        <v>384</v>
      </c>
      <c r="EK9" s="40" t="s">
        <v>386</v>
      </c>
      <c r="EL9" s="41" t="s">
        <v>383</v>
      </c>
    </row>
    <row r="10" spans="2:142" ht="18" customHeight="1">
      <c r="B10" s="42" t="s">
        <v>368</v>
      </c>
      <c r="D10" s="43" t="s">
        <v>313</v>
      </c>
      <c r="E10" s="44">
        <v>43199.951999999997</v>
      </c>
      <c r="F10" s="45" t="e">
        <f ca="1">OFFSET('Revenue Build'!$C$6,MATCH($D10,'Revenue Build'!$C$6:$C$69,0)-1,MATCH(E$8,'Revenue Build'!$C$4:$ED$4,0)-1)</f>
        <v>#N/A</v>
      </c>
      <c r="G10" s="46" t="e">
        <f ca="1">F10/E10-1</f>
        <v>#N/A</v>
      </c>
      <c r="H10" s="47">
        <v>43200</v>
      </c>
      <c r="I10" s="48" cm="1">
        <f t="array" ref="I10">_xll.FDS("SHOP-US","FE_ESTIMATE("&amp;$B10&amp;",MEAN,QTR,"&amp;E$6&amp;"/"&amp;E$7&amp;"F,NOW,,,'')")</f>
        <v>60855</v>
      </c>
      <c r="J10" s="46">
        <f>I10/H10-1</f>
        <v>0.40868055555555549</v>
      </c>
      <c r="K10" s="44">
        <v>46850.218999999997</v>
      </c>
      <c r="L10" s="45" t="e">
        <f ca="1">OFFSET('Revenue Build'!$C$6,MATCH($D10,'Revenue Build'!$C$6:$C$69,0)-1,MATCH(K$8,'Revenue Build'!$C$4:$ED$4,0)-1)</f>
        <v>#N/A</v>
      </c>
      <c r="M10" s="46" t="e">
        <f ca="1">L10/K10-1</f>
        <v>#N/A</v>
      </c>
      <c r="N10" s="47">
        <v>46891.667999999998</v>
      </c>
      <c r="O10" s="48" cm="1">
        <f t="array" ref="O10">_xll.FDS("SHOP-US","FE_ESTIMATE("&amp;$B10&amp;",MEAN,QTR,"&amp;K$6&amp;"/"&amp;K$7&amp;"F,NOW,,,'')")</f>
        <v>67245</v>
      </c>
      <c r="P10" s="46">
        <f>O10/N10-1</f>
        <v>0.43405007473822432</v>
      </c>
      <c r="Q10" s="44">
        <v>46200</v>
      </c>
      <c r="R10" s="45" t="e">
        <f ca="1">OFFSET('Revenue Build'!$C$6,MATCH($D10,'Revenue Build'!$C$6:$C$69,0)-1,MATCH(Q$8,'Revenue Build'!$C$4:$ED$4,0)-1)</f>
        <v>#N/A</v>
      </c>
      <c r="S10" s="46" t="e">
        <f ca="1">R10/Q10-1</f>
        <v>#N/A</v>
      </c>
      <c r="T10" s="47">
        <v>46179.855000000003</v>
      </c>
      <c r="U10" s="48" cm="1">
        <f t="array" ref="U10">_xll.FDS("SHOP-US","FE_ESTIMATE("&amp;$B10&amp;",MEAN,QTR,"&amp;Q$6&amp;"/"&amp;Q$7&amp;"F,NOW,,,'')")</f>
        <v>69715</v>
      </c>
      <c r="V10" s="46">
        <f>U10/T10-1</f>
        <v>0.50964094625242962</v>
      </c>
      <c r="W10" s="44">
        <v>61000</v>
      </c>
      <c r="X10" s="45" t="e">
        <f ca="1">OFFSET('Revenue Build'!$C$6,MATCH($D10,'Revenue Build'!$C$6:$C$69,0)-1,MATCH(W$8,'Revenue Build'!$C$4:$ED$4,0)-1)</f>
        <v>#N/A</v>
      </c>
      <c r="Y10" s="46" t="e">
        <f ca="1">X10/W10-1</f>
        <v>#N/A</v>
      </c>
      <c r="Z10" s="47">
        <v>60984.25</v>
      </c>
      <c r="AA10" s="48" cm="1">
        <f t="array" ref="AA10">_xll.FDS("SHOP-US","FE_ESTIMATE("&amp;$B10&amp;",MEAN,QTR,"&amp;W$6&amp;"/"&amp;W$7&amp;"F,NOW,,,'')")</f>
        <v>92277.09</v>
      </c>
      <c r="AB10" s="46">
        <f>AA10/Z10-1</f>
        <v>0.51312986549805895</v>
      </c>
      <c r="AC10" s="49">
        <v>197250.171</v>
      </c>
      <c r="AD10" s="45" t="e">
        <f ca="1">OFFSET('Revenue Build'!$C$6,MATCH($D10,'Revenue Build'!$C$6:$C$69,0)-1,MATCH(AC$8,'Revenue Build'!$C$4:$ED$4,0)-1)</f>
        <v>#N/A</v>
      </c>
      <c r="AE10" s="46" t="e">
        <f ca="1">AD10/AC10-1</f>
        <v>#N/A</v>
      </c>
      <c r="AF10" s="47">
        <v>197242.28</v>
      </c>
      <c r="AG10" s="46" t="e">
        <f ca="1">AD10/AF10-1</f>
        <v>#N/A</v>
      </c>
      <c r="AH10" s="48" cm="1">
        <f t="array" ref="AH10">_xll.FDS("SHOP-US","FE_ESTIMATE("&amp;$B10&amp;",MEAN,ANNUAL_ROLL,"&amp;AC$6&amp;",NOW,,,'')")</f>
        <v>289784.2</v>
      </c>
      <c r="AI10" s="46">
        <f>AH10/AF10-1</f>
        <v>0.46917892046269194</v>
      </c>
      <c r="AJ10" s="44">
        <v>49600</v>
      </c>
      <c r="AK10" s="45" t="e">
        <f ca="1">OFFSET('Revenue Build'!$C$6,MATCH($D10,'Revenue Build'!$C$6:$C$69,0)-1,MATCH(AJ$8,'Revenue Build'!$C$4:$ED$4,0)-1)</f>
        <v>#N/A</v>
      </c>
      <c r="AL10" s="46" t="e">
        <f ca="1">AK10/AJ10-1</f>
        <v>#N/A</v>
      </c>
      <c r="AM10" s="47">
        <v>49610.8</v>
      </c>
      <c r="AN10" s="50" t="e">
        <f ca="1">AK10/AM10-1</f>
        <v>#N/A</v>
      </c>
      <c r="AO10" s="48" cm="1">
        <f t="array" ref="AO10">_xll.FDS("SHOP-US","FE_ESTIMATE("&amp;$B10&amp;",MEAN,QTR,"&amp;AJ$6&amp;"/"&amp;AJ$7&amp;"F,NOW,,,'')")</f>
        <v>74473.41</v>
      </c>
      <c r="AP10" s="46">
        <f>AO10/AM10-1</f>
        <v>0.50115317632451006</v>
      </c>
      <c r="AQ10" s="44">
        <v>55000</v>
      </c>
      <c r="AR10" s="45" t="e">
        <f ca="1">OFFSET('Revenue Build'!$C$6,MATCH($D10,'Revenue Build'!$C$6:$C$69,0)-1,MATCH(AQ$8,'Revenue Build'!$C$4:$ED$4,0)-1)</f>
        <v>#N/A</v>
      </c>
      <c r="AS10" s="46" t="e">
        <f ca="1">AR10/AQ10-1</f>
        <v>#N/A</v>
      </c>
      <c r="AT10" s="47">
        <v>55012</v>
      </c>
      <c r="AU10" s="50" t="e">
        <f ca="1">AR10/AT10-1</f>
        <v>#N/A</v>
      </c>
      <c r="AV10" s="48" cm="1">
        <f t="array" ref="AV10">_xll.FDS("SHOP-US","FE_ESTIMATE("&amp;$B10&amp;",MEAN,QTR,"&amp;AQ$6&amp;"/"&amp;AQ$7&amp;"F,NOW,,,'')")</f>
        <v>81665.945000000007</v>
      </c>
      <c r="AW10" s="46">
        <f>AV10/AT10-1</f>
        <v>0.48451147022467844</v>
      </c>
      <c r="AX10" s="44">
        <v>56200</v>
      </c>
      <c r="AY10" s="45" t="e">
        <f ca="1">OFFSET('Revenue Build'!$C$6,MATCH($D10,'Revenue Build'!$C$6:$C$69,0)-1,MATCH(AX$8,'Revenue Build'!$C$4:$ED$4,0)-1)</f>
        <v>#N/A</v>
      </c>
      <c r="AZ10" s="46" t="e">
        <f ca="1">AY10/AX10-1</f>
        <v>#N/A</v>
      </c>
      <c r="BA10" s="47">
        <v>56205</v>
      </c>
      <c r="BB10" s="50" t="e">
        <f ca="1">AY10/BA10-1</f>
        <v>#N/A</v>
      </c>
      <c r="BC10" s="48" cm="1">
        <f t="array" ref="BC10">_xll.FDS("SHOP-US","FE_ESTIMATE("&amp;$B10&amp;",MEAN,QTR,"&amp;AX$6&amp;"/"&amp;AX$7&amp;"F,NOW,,,'')")</f>
        <v>83821.759999999995</v>
      </c>
      <c r="BD10" s="46">
        <f>BC10/BA10-1</f>
        <v>0.49135770838893333</v>
      </c>
      <c r="BE10" s="44">
        <v>76250</v>
      </c>
      <c r="BF10" s="45" t="e">
        <f ca="1">OFFSET('Revenue Build'!$C$6,MATCH($D10,'Revenue Build'!$C$6:$C$69,0)-1,MATCH(BE$8,'Revenue Build'!$C$4:$ED$4,0)-1)</f>
        <v>#N/A</v>
      </c>
      <c r="BG10" s="46" t="e">
        <f ca="1">BF10/BE10-1</f>
        <v>#N/A</v>
      </c>
      <c r="BH10" s="47">
        <v>71981.625</v>
      </c>
      <c r="BI10" s="50" t="e">
        <f ca="1">BF10/BH10-1</f>
        <v>#N/A</v>
      </c>
      <c r="BJ10" s="48" cm="1">
        <f t="array" ref="BJ10">_xll.FDS("SHOP-US","FE_ESTIMATE("&amp;$B10&amp;",MEAN,QTR,"&amp;BE$6&amp;"/"&amp;BE$7&amp;"F,NOW,,,'')")</f>
        <v>107817.516</v>
      </c>
      <c r="BK10" s="46">
        <f>BJ10/BH10-1</f>
        <v>0.49784776323124125</v>
      </c>
      <c r="BL10" s="49">
        <v>237050</v>
      </c>
      <c r="BM10" s="45" t="e">
        <f ca="1">OFFSET('Revenue Build'!$C$6,MATCH($D10,'Revenue Build'!$C$6:$C$69,0)-1,MATCH(BL$8,'Revenue Build'!$C$4:$ED$4,0)-1)</f>
        <v>#N/A</v>
      </c>
      <c r="BN10" s="46" t="e">
        <f ca="1">BM10/BL10-1</f>
        <v>#N/A</v>
      </c>
      <c r="BO10" s="47">
        <v>232302.1</v>
      </c>
      <c r="BP10" s="46" t="e">
        <f ca="1">BM10/BO10-1</f>
        <v>#N/A</v>
      </c>
      <c r="BQ10" s="48" cm="1">
        <f t="array" ref="BQ10">_xll.FDS("SHOP-US","FE_ESTIMATE("&amp;$B10&amp;",MEAN,ANNUAL_ROLL,"&amp;BL$6&amp;",NOW,,,'')")</f>
        <v>348713.47</v>
      </c>
      <c r="BR10" s="46">
        <f>BQ10/BO10-1</f>
        <v>0.50112060975772477</v>
      </c>
      <c r="BS10" s="44">
        <v>59520</v>
      </c>
      <c r="BT10" s="45" t="e">
        <f ca="1">OFFSET('Revenue Build'!$C$6,MATCH($D10,'Revenue Build'!$C$6:$C$69,0)-1,MATCH(BS$8,'Revenue Build'!$C$4:$ED$4,0)-1)</f>
        <v>#N/A</v>
      </c>
      <c r="BU10" s="46" t="e">
        <f ca="1">BT10/BS10-1</f>
        <v>#N/A</v>
      </c>
      <c r="BV10" s="47">
        <v>58371.4</v>
      </c>
      <c r="BW10" s="50" t="e">
        <f ca="1">BT10/BV10-1</f>
        <v>#N/A</v>
      </c>
      <c r="BX10" s="48" cm="1">
        <f t="array" ref="BX10">_xll.FDS("SHOP-US","FE_ESTIMATE("&amp;$B10&amp;",MEAN,QTR,"&amp;BS$6&amp;"/"&amp;BS$7&amp;"F,NOW,,,'')")</f>
        <v>90423.8</v>
      </c>
      <c r="BY10" s="46">
        <f>BX10/BV10-1</f>
        <v>0.549111379888096</v>
      </c>
      <c r="BZ10" s="44">
        <v>64900</v>
      </c>
      <c r="CA10" s="45" t="e">
        <f ca="1">OFFSET('Revenue Build'!$C$6,MATCH($D10,'Revenue Build'!$C$6:$C$69,0)-1,MATCH(BZ$8,'Revenue Build'!$C$4:$ED$4,0)-1)</f>
        <v>#N/A</v>
      </c>
      <c r="CB10" s="46" t="e">
        <f ca="1">CA10/BZ10-1</f>
        <v>#N/A</v>
      </c>
      <c r="CC10" s="47">
        <v>64165.25</v>
      </c>
      <c r="CD10" s="50" t="e">
        <f ca="1">CA10/CC10-1</f>
        <v>#N/A</v>
      </c>
      <c r="CE10" s="48" cm="1">
        <f t="array" ref="CE10">_xll.FDS("SHOP-US","FE_ESTIMATE("&amp;$B10&amp;",MEAN,QTR,"&amp;BZ$6&amp;"/"&amp;BZ$7&amp;"F,NOW,,,'')")</f>
        <v>98876.1</v>
      </c>
      <c r="CF10" s="46">
        <f>CE10/CC10-1</f>
        <v>0.54096025496666811</v>
      </c>
      <c r="CG10" s="44">
        <v>65754</v>
      </c>
      <c r="CH10" s="45" t="e">
        <f ca="1">OFFSET('Revenue Build'!$C$6,MATCH($D10,'Revenue Build'!$C$6:$C$69,0)-1,MATCH(CG$8,'Revenue Build'!$C$4:$ED$4,0)-1)</f>
        <v>#N/A</v>
      </c>
      <c r="CI10" s="46" t="e">
        <f ca="1">CH10/CG10-1</f>
        <v>#N/A</v>
      </c>
      <c r="CJ10" s="47">
        <v>65305.527000000002</v>
      </c>
      <c r="CK10" s="50" t="e">
        <f ca="1">CH10/CJ10-1</f>
        <v>#N/A</v>
      </c>
      <c r="CL10" s="48" cm="1">
        <f t="array" ref="CL10">_xll.FDS("SHOP-US","FE_ESTIMATE("&amp;$B10&amp;",MEAN,QTR,"&amp;CG$6&amp;"/"&amp;CG$7&amp;"F,NOW,,,'')")</f>
        <v>101578</v>
      </c>
      <c r="CM10" s="46">
        <f>CL10/CJ10-1</f>
        <v>0.55542730709454347</v>
      </c>
      <c r="CN10" s="44">
        <v>87687.5</v>
      </c>
      <c r="CO10" s="45" t="e">
        <f ca="1">OFFSET('Revenue Build'!$C$6,MATCH($D10,'Revenue Build'!$C$6:$C$69,0)-1,MATCH(CN$8,'Revenue Build'!$C$4:$ED$4,0)-1)</f>
        <v>#N/A</v>
      </c>
      <c r="CP10" s="46" t="e">
        <f ca="1">CO10/CN10-1</f>
        <v>#N/A</v>
      </c>
      <c r="CQ10" s="47">
        <v>83370.850000000006</v>
      </c>
      <c r="CR10" s="50" t="e">
        <f ca="1">CO10/CQ10-1</f>
        <v>#N/A</v>
      </c>
      <c r="CS10" s="48" cm="1">
        <f t="array" ref="CS10">_xll.FDS("SHOP-US","FE_ESTIMATE("&amp;$B10&amp;",MEAN,QTR,"&amp;CN$6&amp;"/"&amp;CN$7&amp;"F,NOW,,,'')")</f>
        <v>133418.70000000001</v>
      </c>
      <c r="CT10" s="46">
        <f>CS10/CQ10-1</f>
        <v>0.60030394316478719</v>
      </c>
      <c r="CU10" s="49">
        <v>277861.5</v>
      </c>
      <c r="CV10" s="45" t="e">
        <f ca="1">OFFSET('Revenue Build'!$C$6,MATCH($D10,'Revenue Build'!$C$6:$C$69,0)-1,MATCH(CU$8,'Revenue Build'!$C$4:$ED$4,0)-1)</f>
        <v>#N/A</v>
      </c>
      <c r="CW10" s="46" t="e">
        <f ca="1">CV10/CU10-1</f>
        <v>#N/A</v>
      </c>
      <c r="CX10" s="47">
        <v>271622.09999999998</v>
      </c>
      <c r="CY10" s="46" t="e">
        <f ca="1">CV10/CX10-1</f>
        <v>#N/A</v>
      </c>
      <c r="CZ10" s="48" cm="1">
        <f t="array" ref="CZ10">_xll.FDS("SHOP-US","FE_ESTIMATE("&amp;$B10&amp;",MEAN,ANNUAL_ROLL,"&amp;CU$6&amp;",NOW,,,'')")</f>
        <v>415727.38</v>
      </c>
      <c r="DA10" s="46">
        <f>CZ10/CX10-1</f>
        <v>0.53053591736460337</v>
      </c>
      <c r="DB10" s="44">
        <v>68448</v>
      </c>
      <c r="DC10" s="45" t="e">
        <f ca="1">OFFSET('Revenue Build'!$C$6,MATCH($D10,'Revenue Build'!$C$6:$C$69,0)-1,MATCH(DB$8,'Revenue Build'!$C$4:$ED$4,0)-1)</f>
        <v>#N/A</v>
      </c>
      <c r="DD10" s="46" t="e">
        <f ca="1">DC10/DB10-1</f>
        <v>#N/A</v>
      </c>
      <c r="DE10" s="47">
        <v>66113.8</v>
      </c>
      <c r="DF10" s="50" t="e">
        <f ca="1">DC10/DE10-1</f>
        <v>#N/A</v>
      </c>
      <c r="DG10" s="48" t="e" cm="1">
        <f t="array" ref="DG10">_xll.FDS("SHOP-US","FE_ESTIMATE("&amp;$B10&amp;",MEAN,QTR,"&amp;DB$6&amp;"/"&amp;DB$7&amp;"F,NOW,,,'')")</f>
        <v>#N/A</v>
      </c>
      <c r="DH10" s="46" t="e">
        <f>DG10/DE10-1</f>
        <v>#N/A</v>
      </c>
      <c r="DI10" s="44">
        <v>74635</v>
      </c>
      <c r="DJ10" s="45" t="e">
        <f ca="1">OFFSET('Revenue Build'!$C$6,MATCH($D10,'Revenue Build'!$C$6:$C$69,0)-1,MATCH(DI$8,'Revenue Build'!$C$4:$ED$4,0)-1)</f>
        <v>#N/A</v>
      </c>
      <c r="DK10" s="46" t="e">
        <f ca="1">DJ10/DI10-1</f>
        <v>#N/A</v>
      </c>
      <c r="DL10" s="47">
        <v>72747.87</v>
      </c>
      <c r="DM10" s="50" t="e">
        <f ca="1">DJ10/DL10-1</f>
        <v>#N/A</v>
      </c>
      <c r="DN10" s="48" t="e" cm="1">
        <f t="array" ref="DN10">_xll.FDS("SHOP-US","FE_ESTIMATE("&amp;$B10&amp;",MEAN,QTR,"&amp;DI$6&amp;"/"&amp;DI$7&amp;"F,NOW,,,'')")</f>
        <v>#N/A</v>
      </c>
      <c r="DO10" s="46" t="e">
        <f>DN10/DL10-1</f>
        <v>#N/A</v>
      </c>
      <c r="DP10" s="44">
        <v>75617.099999999991</v>
      </c>
      <c r="DQ10" s="45" t="e">
        <f ca="1">OFFSET('Revenue Build'!$C$6,MATCH($D10,'Revenue Build'!$C$6:$C$69,0)-1,MATCH(DP$8,'Revenue Build'!$C$4:$ED$4,0)-1)</f>
        <v>#N/A</v>
      </c>
      <c r="DR10" s="46" t="e">
        <f ca="1">DQ10/DP10-1</f>
        <v>#N/A</v>
      </c>
      <c r="DS10" s="47">
        <v>73684.759999999995</v>
      </c>
      <c r="DT10" s="50" t="e">
        <f ca="1">DQ10/DS10-1</f>
        <v>#N/A</v>
      </c>
      <c r="DU10" s="48" t="e" cm="1">
        <f t="array" ref="DU10">_xll.FDS("SHOP-US","FE_ESTIMATE("&amp;$B10&amp;",MEAN,QTR,"&amp;DP$6&amp;"/"&amp;DP$7&amp;"F,NOW,,,'')")</f>
        <v>#N/A</v>
      </c>
      <c r="DV10" s="46" t="e">
        <f>DU10/DS10-1</f>
        <v>#N/A</v>
      </c>
      <c r="DW10" s="44">
        <v>100840.62499999999</v>
      </c>
      <c r="DX10" s="45" t="e">
        <f ca="1">OFFSET('Revenue Build'!$C$6,MATCH($D10,'Revenue Build'!$C$6:$C$69,0)-1,MATCH(DW$8,'Revenue Build'!$C$4:$ED$4,0)-1)</f>
        <v>#N/A</v>
      </c>
      <c r="DY10" s="46" t="e">
        <f ca="1">DX10/DW10-1</f>
        <v>#N/A</v>
      </c>
      <c r="DZ10" s="47">
        <v>94365.78</v>
      </c>
      <c r="EA10" s="50" t="e">
        <f ca="1">DX10/DZ10-1</f>
        <v>#N/A</v>
      </c>
      <c r="EB10" s="48" t="e" cm="1">
        <f t="array" ref="EB10">_xll.FDS("SHOP-US","FE_ESTIMATE("&amp;$B10&amp;",MEAN,QTR,"&amp;DW$6&amp;"/"&amp;DW$7&amp;"F,NOW,,,'')")</f>
        <v>#N/A</v>
      </c>
      <c r="EC10" s="46" t="e">
        <f ca="1">DX10/EB10-1</f>
        <v>#N/A</v>
      </c>
      <c r="ED10" s="46" t="e">
        <f>EB10/DZ10-1</f>
        <v>#N/A</v>
      </c>
      <c r="EE10" s="49">
        <v>319540.72499999998</v>
      </c>
      <c r="EF10" s="45" t="e">
        <f ca="1">OFFSET('Revenue Build'!$C$6,MATCH($D10,'Revenue Build'!$C$6:$C$69,0)-1,MATCH(EE$8,'Revenue Build'!$C$4:$ED$4,0)-1)</f>
        <v>#N/A</v>
      </c>
      <c r="EG10" s="46" t="e">
        <f ca="1">EF10/EE10-1</f>
        <v>#N/A</v>
      </c>
      <c r="EH10" s="47">
        <v>316070.7</v>
      </c>
      <c r="EI10" s="46" t="e">
        <f ca="1">EF10/EH10-1</f>
        <v>#N/A</v>
      </c>
      <c r="EJ10" s="48" cm="1">
        <f t="array" ref="EJ10">_xll.FDS("SHOP-US","FE_ESTIMATE("&amp;$B10&amp;",MEAN,ANNUAL_ROLL,"&amp;EE$6&amp;",NOW,,,'')")</f>
        <v>504811.16</v>
      </c>
      <c r="EK10" s="46" t="e">
        <f ca="1">EF10/EJ10-1</f>
        <v>#N/A</v>
      </c>
      <c r="EL10" s="51">
        <f>EJ10/EH10-1</f>
        <v>0.59714633466499722</v>
      </c>
    </row>
    <row r="11" spans="2:142" ht="18" customHeight="1">
      <c r="B11" s="42" t="s">
        <v>369</v>
      </c>
      <c r="D11" s="52" t="s">
        <v>283</v>
      </c>
      <c r="E11" s="53">
        <v>105.2</v>
      </c>
      <c r="F11" s="54" t="e">
        <f ca="1">OFFSET('Revenue Build'!$C$6,MATCH($D11,'Revenue Build'!$C$6:$C$69,0)-1,MATCH(E$8,'Revenue Build'!$C$4:$ED$4,0)-1)</f>
        <v>#N/A</v>
      </c>
      <c r="G11" s="55" t="e">
        <f t="shared" ref="G11:G23" ca="1" si="0">F11/E11-1</f>
        <v>#N/A</v>
      </c>
      <c r="H11" s="56">
        <v>105.1</v>
      </c>
      <c r="I11" s="57" cm="1">
        <f t="array" ref="I11">_xll.FDS("SHOP-US","FE_ESTIMATE("&amp;$B11&amp;",MEAN,QTR,"&amp;E$6&amp;"/"&amp;E$7&amp;"F,NOW,,,'')")</f>
        <v>151</v>
      </c>
      <c r="J11" s="58">
        <f t="shared" ref="J11:J23" si="1">I11/H11-1</f>
        <v>0.43672692673644153</v>
      </c>
      <c r="K11" s="53">
        <v>107.2</v>
      </c>
      <c r="L11" s="54" t="e">
        <f ca="1">OFFSET('Revenue Build'!$C$6,MATCH($D11,'Revenue Build'!$C$6:$C$69,0)-1,MATCH(K$8,'Revenue Build'!$C$4:$ED$4,0)-1)</f>
        <v>#N/A</v>
      </c>
      <c r="M11" s="55" t="e">
        <f t="shared" ref="M11:M12" ca="1" si="2">L11/K11-1</f>
        <v>#N/A</v>
      </c>
      <c r="N11" s="56">
        <v>107.16</v>
      </c>
      <c r="O11" s="57" cm="1">
        <f t="array" ref="O11">_xll.FDS("SHOP-US","FE_ESTIMATE("&amp;$B11&amp;",MEAN,QTR,"&amp;K$6&amp;"/"&amp;K$7&amp;"F,NOW,,,'')")</f>
        <v>169</v>
      </c>
      <c r="P11" s="58">
        <f t="shared" ref="P11:P12" si="3">O11/N11-1</f>
        <v>0.57708100037327359</v>
      </c>
      <c r="Q11" s="53">
        <v>107</v>
      </c>
      <c r="R11" s="54" t="e">
        <f ca="1">OFFSET('Revenue Build'!$C$6,MATCH($D11,'Revenue Build'!$C$6:$C$69,0)-1,MATCH(Q$8,'Revenue Build'!$C$4:$ED$4,0)-1)</f>
        <v>#N/A</v>
      </c>
      <c r="S11" s="55" t="e">
        <f t="shared" ref="S11:S12" ca="1" si="4">R11/Q11-1</f>
        <v>#N/A</v>
      </c>
      <c r="T11" s="56">
        <v>107</v>
      </c>
      <c r="U11" s="57" cm="1">
        <f t="array" ref="U11">_xll.FDS("SHOP-US","FE_ESTIMATE("&amp;$B11&amp;",MEAN,QTR,"&amp;Q$6&amp;"/"&amp;Q$7&amp;"F,NOW,,,'')")</f>
        <v>175</v>
      </c>
      <c r="V11" s="58">
        <f t="shared" ref="V11:V12" si="5">U11/T11-1</f>
        <v>0.63551401869158886</v>
      </c>
      <c r="W11" s="53">
        <v>109.5</v>
      </c>
      <c r="X11" s="54" t="e">
        <f ca="1">OFFSET('Revenue Build'!$C$6,MATCH($D11,'Revenue Build'!$C$6:$C$69,0)-1,MATCH(W$8,'Revenue Build'!$C$4:$ED$4,0)-1)</f>
        <v>#N/A</v>
      </c>
      <c r="Y11" s="55" t="e">
        <f t="shared" ref="Y11:Y12" ca="1" si="6">X11/W11-1</f>
        <v>#N/A</v>
      </c>
      <c r="Z11" s="56">
        <v>109.59345</v>
      </c>
      <c r="AA11" s="57" cm="1">
        <f t="array" ref="AA11">_xll.FDS("SHOP-US","FE_ESTIMATE("&amp;$B11&amp;",MEAN,QTR,"&amp;W$6&amp;"/"&amp;W$7&amp;"F,NOW,,,'')")</f>
        <v>181.75308000000001</v>
      </c>
      <c r="AB11" s="58">
        <f t="shared" ref="AB11:AB12" si="7">AA11/Z11-1</f>
        <v>0.65843013428266017</v>
      </c>
      <c r="AC11" s="49">
        <v>109.5</v>
      </c>
      <c r="AD11" s="54" t="e">
        <f ca="1">OFFSET('Revenue Build'!$C$6,MATCH($D11,'Revenue Build'!$C$6:$C$69,0)-1,MATCH(AC$8,'Revenue Build'!$C$4:$ED$4,0)-1)</f>
        <v>#N/A</v>
      </c>
      <c r="AE11" s="55" t="e">
        <f t="shared" ref="AE11:AE12" ca="1" si="8">AD11/AC11-1</f>
        <v>#N/A</v>
      </c>
      <c r="AF11" s="56">
        <v>109.5</v>
      </c>
      <c r="AG11" s="55" t="e">
        <f ca="1">AD11/AF11-1</f>
        <v>#N/A</v>
      </c>
      <c r="AH11" s="57" cm="1">
        <f t="array" ref="AH11">_xll.FDS("SHOP-US","FE_ESTIMATE("&amp;$B11&amp;",MEAN,ANNUAL_ROLL,"&amp;AC$6&amp;",NOW,,,'')")</f>
        <v>178.91164000000001</v>
      </c>
      <c r="AI11" s="55">
        <f>AH11/AF11-1</f>
        <v>0.63389625570776253</v>
      </c>
      <c r="AJ11" s="53">
        <v>116</v>
      </c>
      <c r="AK11" s="54" t="e">
        <f ca="1">OFFSET('Revenue Build'!$C$6,MATCH($D11,'Revenue Build'!$C$6:$C$69,0)-1,MATCH(AJ$8,'Revenue Build'!$C$4:$ED$4,0)-1)</f>
        <v>#N/A</v>
      </c>
      <c r="AL11" s="55" t="e">
        <f t="shared" ref="AL11:AL12" ca="1" si="9">AK11/AJ11-1</f>
        <v>#N/A</v>
      </c>
      <c r="AM11" s="56">
        <v>116</v>
      </c>
      <c r="AN11" s="55" t="e">
        <f ca="1">AK11/AM11-1</f>
        <v>#N/A</v>
      </c>
      <c r="AO11" s="57" cm="1">
        <f t="array" ref="AO11">_xll.FDS("SHOP-US","FE_ESTIMATE("&amp;$B11&amp;",MEAN,QTR,"&amp;AJ$6&amp;"/"&amp;AJ$7&amp;"F,NOW,,,'')")</f>
        <v>188.28713999999999</v>
      </c>
      <c r="AP11" s="58">
        <f t="shared" ref="AP11:AP12" si="10">AO11/AM11-1</f>
        <v>0.62316499999999997</v>
      </c>
      <c r="AQ11" s="53">
        <v>139</v>
      </c>
      <c r="AR11" s="54" t="e">
        <f ca="1">OFFSET('Revenue Build'!$C$6,MATCH($D11,'Revenue Build'!$C$6:$C$69,0)-1,MATCH(AQ$8,'Revenue Build'!$C$4:$ED$4,0)-1)</f>
        <v>#N/A</v>
      </c>
      <c r="AS11" s="55" t="e">
        <f t="shared" ref="AS11:AS12" ca="1" si="11">AR11/AQ11-1</f>
        <v>#N/A</v>
      </c>
      <c r="AT11" s="56">
        <v>139</v>
      </c>
      <c r="AU11" s="55" t="e">
        <f ca="1">AR11/AT11-1</f>
        <v>#N/A</v>
      </c>
      <c r="AV11" s="57" cm="1">
        <f t="array" ref="AV11">_xll.FDS("SHOP-US","FE_ESTIMATE("&amp;$B11&amp;",MEAN,QTR,"&amp;AQ$6&amp;"/"&amp;AQ$7&amp;"F,NOW,,,'')")</f>
        <v>202.34143</v>
      </c>
      <c r="AW11" s="58">
        <f t="shared" ref="AW11:AW12" si="12">AV11/AT11-1</f>
        <v>0.45569374100719418</v>
      </c>
      <c r="AX11" s="53">
        <v>141</v>
      </c>
      <c r="AY11" s="54" t="e">
        <f ca="1">OFFSET('Revenue Build'!$C$6,MATCH($D11,'Revenue Build'!$C$6:$C$69,0)-1,MATCH(AX$8,'Revenue Build'!$C$4:$ED$4,0)-1)</f>
        <v>#N/A</v>
      </c>
      <c r="AZ11" s="55" t="e">
        <f t="shared" ref="AZ11:AZ12" ca="1" si="13">AY11/AX11-1</f>
        <v>#N/A</v>
      </c>
      <c r="BA11" s="56">
        <v>141</v>
      </c>
      <c r="BB11" s="55" t="e">
        <f ca="1">AY11/BA11-1</f>
        <v>#N/A</v>
      </c>
      <c r="BC11" s="57" cm="1">
        <f t="array" ref="BC11">_xll.FDS("SHOP-US","FE_ESTIMATE("&amp;$B11&amp;",MEAN,QTR,"&amp;AX$6&amp;"/"&amp;AX$7&amp;"F,NOW,,,'')")</f>
        <v>207.93333000000001</v>
      </c>
      <c r="BD11" s="58">
        <f t="shared" ref="BD11:BD12" si="14">BC11/BA11-1</f>
        <v>0.47470446808510647</v>
      </c>
      <c r="BE11" s="53">
        <v>145.04101382812496</v>
      </c>
      <c r="BF11" s="54" t="e">
        <f ca="1">OFFSET('Revenue Build'!$C$6,MATCH($D11,'Revenue Build'!$C$6:$C$69,0)-1,MATCH(BE$8,'Revenue Build'!$C$4:$ED$4,0)-1)</f>
        <v>#N/A</v>
      </c>
      <c r="BG11" s="55" t="e">
        <f t="shared" ref="BG11:BG12" ca="1" si="15">BF11/BE11-1</f>
        <v>#N/A</v>
      </c>
      <c r="BH11" s="56">
        <v>144.35843</v>
      </c>
      <c r="BI11" s="55" t="e">
        <f ca="1">BF11/BH11-1</f>
        <v>#N/A</v>
      </c>
      <c r="BJ11" s="57" cm="1">
        <f t="array" ref="BJ11">_xll.FDS("SHOP-US","FE_ESTIMATE("&amp;$B11&amp;",MEAN,QTR,"&amp;BE$6&amp;"/"&amp;BE$7&amp;"F,NOW,,,'')")</f>
        <v>215.64133000000001</v>
      </c>
      <c r="BK11" s="58">
        <f t="shared" ref="BK11:BK12" si="16">BJ11/BH11-1</f>
        <v>0.49379104497049475</v>
      </c>
      <c r="BL11" s="49">
        <v>145.04101382812496</v>
      </c>
      <c r="BM11" s="54" t="e">
        <f ca="1">OFFSET('Revenue Build'!$C$6,MATCH($D11,'Revenue Build'!$C$6:$C$69,0)-1,MATCH(BL$8,'Revenue Build'!$C$4:$ED$4,0)-1)</f>
        <v>#N/A</v>
      </c>
      <c r="BN11" s="55" t="e">
        <f t="shared" ref="BN11:BN12" ca="1" si="17">BM11/BL11-1</f>
        <v>#N/A</v>
      </c>
      <c r="BO11" s="56">
        <v>143.95081999999999</v>
      </c>
      <c r="BP11" s="55" t="e">
        <f ca="1">BM11/BO11-1</f>
        <v>#N/A</v>
      </c>
      <c r="BQ11" s="57" cm="1">
        <f t="array" ref="BQ11">_xll.FDS("SHOP-US","FE_ESTIMATE("&amp;$B11&amp;",MEAN,ANNUAL_ROLL,"&amp;BL$6&amp;",NOW,,,'')")</f>
        <v>208.3801</v>
      </c>
      <c r="BR11" s="55">
        <f>BQ11/BO11-1</f>
        <v>0.44757841601735926</v>
      </c>
      <c r="BS11" s="53">
        <v>147.24863960937495</v>
      </c>
      <c r="BT11" s="54" t="e">
        <f ca="1">OFFSET('Revenue Build'!$C$6,MATCH($D11,'Revenue Build'!$C$6:$C$69,0)-1,MATCH(BS$8,'Revenue Build'!$C$4:$ED$4,0)-1)</f>
        <v>#N/A</v>
      </c>
      <c r="BU11" s="55" t="e">
        <f t="shared" ref="BU11:BU12" ca="1" si="18">BT11/BS11-1</f>
        <v>#N/A</v>
      </c>
      <c r="BV11" s="56">
        <v>147.95372</v>
      </c>
      <c r="BW11" s="55" t="e">
        <f ca="1">BT11/BV11-1</f>
        <v>#N/A</v>
      </c>
      <c r="BX11" s="57" cm="1">
        <f t="array" ref="BX11">_xll.FDS("SHOP-US","FE_ESTIMATE("&amp;$B11&amp;",MEAN,QTR,"&amp;BS$6&amp;"/"&amp;BS$7&amp;"F,NOW,,,'')")</f>
        <v>220.4</v>
      </c>
      <c r="BY11" s="58">
        <f t="shared" ref="BY11:BY12" si="19">BX11/BV11-1</f>
        <v>0.48965500833639064</v>
      </c>
      <c r="BZ11" s="53">
        <v>153.42999179687496</v>
      </c>
      <c r="CA11" s="54" t="e">
        <f ca="1">OFFSET('Revenue Build'!$C$6,MATCH($D11,'Revenue Build'!$C$6:$C$69,0)-1,MATCH(BZ$8,'Revenue Build'!$C$4:$ED$4,0)-1)</f>
        <v>#N/A</v>
      </c>
      <c r="CB11" s="55" t="e">
        <f t="shared" ref="CB11:CB12" ca="1" si="20">CA11/BZ11-1</f>
        <v>#N/A</v>
      </c>
      <c r="CC11" s="56">
        <v>152.09549999999999</v>
      </c>
      <c r="CD11" s="55" t="e">
        <f ca="1">CA11/CC11-1</f>
        <v>#N/A</v>
      </c>
      <c r="CE11" s="57" cm="1">
        <f t="array" ref="CE11">_xll.FDS("SHOP-US","FE_ESTIMATE("&amp;$B11&amp;",MEAN,QTR,"&amp;BZ$6&amp;"/"&amp;BZ$7&amp;"F,NOW,,,'')")</f>
        <v>227.2</v>
      </c>
      <c r="CF11" s="58">
        <f t="shared" ref="CF11:CF12" si="21">CE11/CC11-1</f>
        <v>0.49379830435482974</v>
      </c>
      <c r="CG11" s="53">
        <v>155.63761757812497</v>
      </c>
      <c r="CH11" s="54" t="e">
        <f ca="1">OFFSET('Revenue Build'!$C$6,MATCH($D11,'Revenue Build'!$C$6:$C$69,0)-1,MATCH(CG$8,'Revenue Build'!$C$4:$ED$4,0)-1)</f>
        <v>#N/A</v>
      </c>
      <c r="CI11" s="55" t="e">
        <f t="shared" ref="CI11:CI12" ca="1" si="22">CH11/CG11-1</f>
        <v>#N/A</v>
      </c>
      <c r="CJ11" s="56">
        <v>154.26560000000001</v>
      </c>
      <c r="CK11" s="55" t="e">
        <f ca="1">CH11/CJ11-1</f>
        <v>#N/A</v>
      </c>
      <c r="CL11" s="57" cm="1">
        <f t="array" ref="CL11">_xll.FDS("SHOP-US","FE_ESTIMATE("&amp;$B11&amp;",MEAN,QTR,"&amp;CG$6&amp;"/"&amp;CG$7&amp;"F,NOW,,,'')")</f>
        <v>233.6</v>
      </c>
      <c r="CM11" s="58">
        <f t="shared" ref="CM11:CM12" si="23">CL11/CJ11-1</f>
        <v>0.51427149020909391</v>
      </c>
      <c r="CN11" s="53">
        <v>160.09814073280316</v>
      </c>
      <c r="CO11" s="54" t="e">
        <f ca="1">OFFSET('Revenue Build'!$C$6,MATCH($D11,'Revenue Build'!$C$6:$C$69,0)-1,MATCH(CN$8,'Revenue Build'!$C$4:$ED$4,0)-1)</f>
        <v>#N/A</v>
      </c>
      <c r="CP11" s="55" t="e">
        <f t="shared" ref="CP11:CP12" ca="1" si="24">CO11/CN11-1</f>
        <v>#N/A</v>
      </c>
      <c r="CQ11" s="56">
        <v>157.70519999999999</v>
      </c>
      <c r="CR11" s="55" t="e">
        <f ca="1">CO11/CQ11-1</f>
        <v>#N/A</v>
      </c>
      <c r="CS11" s="57" cm="1">
        <f t="array" ref="CS11">_xll.FDS("SHOP-US","FE_ESTIMATE("&amp;$B11&amp;",MEAN,QTR,"&amp;CN$6&amp;"/"&amp;CN$7&amp;"F,NOW,,,'')")</f>
        <v>242.55</v>
      </c>
      <c r="CT11" s="58">
        <f t="shared" ref="CT11:CT12" si="25">CS11/CQ11-1</f>
        <v>0.5379962106512659</v>
      </c>
      <c r="CU11" s="49">
        <v>160.09814073280316</v>
      </c>
      <c r="CV11" s="54" t="e">
        <f ca="1">OFFSET('Revenue Build'!$C$6,MATCH($D11,'Revenue Build'!$C$6:$C$69,0)-1,MATCH(CU$8,'Revenue Build'!$C$4:$ED$4,0)-1)</f>
        <v>#N/A</v>
      </c>
      <c r="CW11" s="55" t="e">
        <f t="shared" ref="CW11:CW12" ca="1" si="26">CV11/CU11-1</f>
        <v>#N/A</v>
      </c>
      <c r="CX11" s="56">
        <v>160.26053999999999</v>
      </c>
      <c r="CY11" s="55" t="e">
        <f ca="1">CV11/CX11-1</f>
        <v>#N/A</v>
      </c>
      <c r="CZ11" s="57" cm="1">
        <f t="array" ref="CZ11">_xll.FDS("SHOP-US","FE_ESTIMATE("&amp;$B11&amp;",MEAN,ANNUAL_ROLL,"&amp;CU$6&amp;",NOW,,,'')")</f>
        <v>248.959</v>
      </c>
      <c r="DA11" s="55">
        <f>CZ11/CX11-1</f>
        <v>0.55346412785081101</v>
      </c>
      <c r="DB11" s="53">
        <v>162.53494652782297</v>
      </c>
      <c r="DC11" s="54" t="e">
        <f ca="1">OFFSET('Revenue Build'!$C$6,MATCH($D11,'Revenue Build'!$C$6:$C$69,0)-1,MATCH(DB$8,'Revenue Build'!$C$4:$ED$4,0)-1)</f>
        <v>#N/A</v>
      </c>
      <c r="DD11" s="55" t="e">
        <f t="shared" ref="DD11:DD12" ca="1" si="27">DC11/DB11-1</f>
        <v>#N/A</v>
      </c>
      <c r="DE11" s="56">
        <v>165.29</v>
      </c>
      <c r="DF11" s="55" t="e">
        <f ca="1">DC11/DE11-1</f>
        <v>#N/A</v>
      </c>
      <c r="DG11" s="57" t="e" cm="1">
        <f t="array" ref="DG11">_xll.FDS("SHOP-US","FE_ESTIMATE("&amp;$B11&amp;",MEAN,QTR,"&amp;DB$6&amp;"/"&amp;DB$7&amp;"F,NOW,,,'')")</f>
        <v>#N/A</v>
      </c>
      <c r="DH11" s="58" t="e">
        <f t="shared" ref="DH11:DH12" si="28">DG11/DE11-1</f>
        <v>#N/A</v>
      </c>
      <c r="DI11" s="53">
        <v>169.35800275387854</v>
      </c>
      <c r="DJ11" s="54" t="e">
        <f ca="1">OFFSET('Revenue Build'!$C$6,MATCH($D11,'Revenue Build'!$C$6:$C$69,0)-1,MATCH(DI$8,'Revenue Build'!$C$4:$ED$4,0)-1)</f>
        <v>#N/A</v>
      </c>
      <c r="DK11" s="55" t="e">
        <f t="shared" ref="DK11:DK12" ca="1" si="29">DJ11/DI11-1</f>
        <v>#N/A</v>
      </c>
      <c r="DL11" s="56">
        <v>168.05199999999999</v>
      </c>
      <c r="DM11" s="55" t="e">
        <f ca="1">DJ11/DL11-1</f>
        <v>#N/A</v>
      </c>
      <c r="DN11" s="57" t="e" cm="1">
        <f t="array" ref="DN11">_xll.FDS("SHOP-US","FE_ESTIMATE("&amp;$B11&amp;",MEAN,QTR,"&amp;DI$6&amp;"/"&amp;DI$7&amp;"F,NOW,,,'')")</f>
        <v>#N/A</v>
      </c>
      <c r="DO11" s="58" t="e">
        <f t="shared" ref="DO11:DO12" si="30">DN11/DL11-1</f>
        <v>#N/A</v>
      </c>
      <c r="DP11" s="53">
        <v>171.79480854889837</v>
      </c>
      <c r="DQ11" s="54" t="e">
        <f ca="1">OFFSET('Revenue Build'!$C$6,MATCH($D11,'Revenue Build'!$C$6:$C$69,0)-1,MATCH(DP$8,'Revenue Build'!$C$4:$ED$4,0)-1)</f>
        <v>#N/A</v>
      </c>
      <c r="DR11" s="55" t="e">
        <f t="shared" ref="DR11:DR12" ca="1" si="31">DQ11/DP11-1</f>
        <v>#N/A</v>
      </c>
      <c r="DS11" s="56">
        <v>170.74100000000001</v>
      </c>
      <c r="DT11" s="55" t="e">
        <f ca="1">DQ11/DS11-1</f>
        <v>#N/A</v>
      </c>
      <c r="DU11" s="57" t="e" cm="1">
        <f t="array" ref="DU11">_xll.FDS("SHOP-US","FE_ESTIMATE("&amp;$B11&amp;",MEAN,QTR,"&amp;DP$6&amp;"/"&amp;DP$7&amp;"F,NOW,,,'')")</f>
        <v>#N/A</v>
      </c>
      <c r="DV11" s="58" t="e">
        <f t="shared" ref="DV11:DV12" si="32">DU11/DS11-1</f>
        <v>#N/A</v>
      </c>
      <c r="DW11" s="53">
        <v>176.71839150596347</v>
      </c>
      <c r="DX11" s="54" t="e">
        <f ca="1">OFFSET('Revenue Build'!$C$6,MATCH($D11,'Revenue Build'!$C$6:$C$69,0)-1,MATCH(DW$8,'Revenue Build'!$C$4:$ED$4,0)-1)</f>
        <v>#N/A</v>
      </c>
      <c r="DY11" s="55" t="e">
        <f t="shared" ref="DY11:DY12" ca="1" si="33">DX11/DW11-1</f>
        <v>#N/A</v>
      </c>
      <c r="DZ11" s="56">
        <v>175.809</v>
      </c>
      <c r="EA11" s="55" t="e">
        <f ca="1">DX11/DZ11-1</f>
        <v>#N/A</v>
      </c>
      <c r="EB11" s="57" t="e" cm="1">
        <f t="array" ref="EB11">_xll.FDS("SHOP-US","FE_ESTIMATE("&amp;$B11&amp;",MEAN,QTR,"&amp;DW$6&amp;"/"&amp;DW$7&amp;"F,NOW,,,'')")</f>
        <v>#N/A</v>
      </c>
      <c r="EC11" s="55" t="e">
        <f ca="1">DX11/EB11-1</f>
        <v>#N/A</v>
      </c>
      <c r="ED11" s="58" t="e">
        <f t="shared" ref="ED11:ED12" si="34">EB11/DZ11-1</f>
        <v>#N/A</v>
      </c>
      <c r="EE11" s="49">
        <v>176.71839150596347</v>
      </c>
      <c r="EF11" s="54" t="e">
        <f ca="1">OFFSET('Revenue Build'!$C$6,MATCH($D11,'Revenue Build'!$C$6:$C$69,0)-1,MATCH(EE$8,'Revenue Build'!$C$4:$ED$4,0)-1)</f>
        <v>#N/A</v>
      </c>
      <c r="EG11" s="55" t="e">
        <f t="shared" ref="EG11:EG12" ca="1" si="35">EF11/EE11-1</f>
        <v>#N/A</v>
      </c>
      <c r="EH11" s="56">
        <v>178.44286</v>
      </c>
      <c r="EI11" s="55" t="e">
        <f ca="1">EF11/EH11-1</f>
        <v>#N/A</v>
      </c>
      <c r="EJ11" s="57" cm="1">
        <f t="array" ref="EJ11">_xll.FDS("SHOP-US","FE_ESTIMATE("&amp;$B11&amp;",MEAN,ANNUAL_ROLL,"&amp;EE$6&amp;",NOW,,,'')")</f>
        <v>270.3</v>
      </c>
      <c r="EK11" s="55" t="e">
        <f ca="1">EF11/EJ11-1</f>
        <v>#N/A</v>
      </c>
      <c r="EL11" s="58">
        <f>EJ11/EH11-1</f>
        <v>0.51477061060330476</v>
      </c>
    </row>
    <row r="12" spans="2:142" s="59" customFormat="1" ht="24.95" customHeight="1">
      <c r="B12" s="42" t="s">
        <v>370</v>
      </c>
      <c r="D12" s="60" t="s">
        <v>197</v>
      </c>
      <c r="E12" s="61">
        <v>1203.623</v>
      </c>
      <c r="F12" s="62">
        <f ca="1">OFFSET('Revenue Build'!$C$6,MATCH($D12,'Revenue Build'!$C$6:$C$69,0)-1,MATCH(E$8,'Revenue Build'!$C$4:$EE$4,0)-1)</f>
        <v>1861</v>
      </c>
      <c r="G12" s="46">
        <f t="shared" ca="1" si="0"/>
        <v>0.54616520289160309</v>
      </c>
      <c r="H12" s="63">
        <v>1203.623</v>
      </c>
      <c r="I12" s="64" cm="1">
        <f t="array" ref="I12">_xll.FDS("SHOP-US","FE_ESTIMATE("&amp;$B12&amp;",MEAN,QTR,"&amp;E$6&amp;"/"&amp;E$7&amp;"F,NOW,,,'')")</f>
        <v>1861</v>
      </c>
      <c r="J12" s="46">
        <f t="shared" si="1"/>
        <v>0.54616520289160309</v>
      </c>
      <c r="K12" s="61">
        <v>1295.0630000000001</v>
      </c>
      <c r="L12" s="62">
        <f ca="1">OFFSET('Revenue Build'!$C$6,MATCH($D12,'Revenue Build'!$C$6:$C$69,0)-1,MATCH(K$8,'Revenue Build'!$C$4:$EE$4,0)-1)</f>
        <v>2045</v>
      </c>
      <c r="M12" s="46">
        <f t="shared" ca="1" si="2"/>
        <v>0.57907375934607019</v>
      </c>
      <c r="N12" s="63">
        <v>1295.0630000000001</v>
      </c>
      <c r="O12" s="64" cm="1">
        <f t="array" ref="O12">_xll.FDS("SHOP-US","FE_ESTIMATE("&amp;$B12&amp;",MEAN,QTR,"&amp;K$6&amp;"/"&amp;K$7&amp;"F,NOW,,,'')")</f>
        <v>2045</v>
      </c>
      <c r="P12" s="46">
        <f t="shared" si="3"/>
        <v>0.57907375934607019</v>
      </c>
      <c r="Q12" s="61">
        <v>1366.2</v>
      </c>
      <c r="R12" s="62" t="e">
        <f ca="1">OFFSET('Revenue Build'!$C$6,MATCH($D12,'Revenue Build'!$C$6:$C$69,0)-1,MATCH(Q$8,'Revenue Build'!$C$4:$EE$4,0)-1)</f>
        <v>#N/A</v>
      </c>
      <c r="S12" s="46" t="e">
        <f t="shared" ca="1" si="4"/>
        <v>#N/A</v>
      </c>
      <c r="T12" s="63">
        <v>1366.2</v>
      </c>
      <c r="U12" s="64" cm="1">
        <f t="array" ref="U12">_xll.FDS("SHOP-US","FE_ESTIMATE("&amp;$B12&amp;",MEAN,QTR,"&amp;Q$6&amp;"/"&amp;Q$7&amp;"F,NOW,,,'')")</f>
        <v>2162</v>
      </c>
      <c r="V12" s="46">
        <f t="shared" si="5"/>
        <v>0.58249158249158239</v>
      </c>
      <c r="W12" s="61">
        <v>1734.9780000000001</v>
      </c>
      <c r="X12" s="62">
        <f ca="1">OFFSET('Revenue Build'!$C$6,MATCH($D12,'Revenue Build'!$C$6:$C$69,0)-1,MATCH(W$8,'Revenue Build'!$C$4:$EE$4,0)-1)</f>
        <v>2703.5891937011711</v>
      </c>
      <c r="Y12" s="46">
        <f t="shared" ca="1" si="6"/>
        <v>0.55828442418357516</v>
      </c>
      <c r="Z12" s="63">
        <v>1734.9780000000001</v>
      </c>
      <c r="AA12" s="64" cm="1">
        <f t="array" ref="AA12">_xll.FDS("SHOP-US","FE_ESTIMATE("&amp;$B12&amp;",MEAN,QTR,"&amp;W$6&amp;"/"&amp;W$7&amp;"F,NOW,,,'')")</f>
        <v>2725.7952</v>
      </c>
      <c r="AB12" s="46">
        <f t="shared" si="7"/>
        <v>0.57108343736923461</v>
      </c>
      <c r="AC12" s="65">
        <v>5599.8640000000005</v>
      </c>
      <c r="AD12" s="62">
        <f ca="1">OFFSET('Revenue Build'!$C$6,MATCH($D12,'Revenue Build'!$C$6:$C$69,0)-1,MATCH(AC$8,'Revenue Build'!$C$4:$EE$4,0)-1)</f>
        <v>8771.5891937011711</v>
      </c>
      <c r="AE12" s="46">
        <f t="shared" ca="1" si="8"/>
        <v>0.56639325413995234</v>
      </c>
      <c r="AF12" s="63">
        <v>5599.8639999999996</v>
      </c>
      <c r="AG12" s="46">
        <f ca="1">AD12/AF12-1</f>
        <v>0.56639325413995256</v>
      </c>
      <c r="AH12" s="64" cm="1">
        <f t="array" ref="AH12">_xll.FDS("SHOP-US","FE_ESTIMATE("&amp;$B12&amp;",MEAN,ANNUAL_ROLL,"&amp;AC$6&amp;",NOW,,,'')")</f>
        <v>8799.232</v>
      </c>
      <c r="AI12" s="46">
        <f>AH12/AF12-1</f>
        <v>0.57132958943288625</v>
      </c>
      <c r="AJ12" s="61">
        <v>1508</v>
      </c>
      <c r="AK12" s="62">
        <f ca="1">OFFSET('Revenue Build'!$C$6,MATCH($D12,'Revenue Build'!$C$6:$C$69,0)-1,MATCH(AJ$8,'Revenue Build'!$C$4:$EE$4,0)-1)</f>
        <v>2338.8834242070311</v>
      </c>
      <c r="AL12" s="46">
        <f t="shared" ca="1" si="9"/>
        <v>0.55098370305506039</v>
      </c>
      <c r="AM12" s="63">
        <v>1508</v>
      </c>
      <c r="AN12" s="46">
        <f ca="1">AK12/AM12-1</f>
        <v>0.55098370305506039</v>
      </c>
      <c r="AO12" s="64" cm="1">
        <f t="array" ref="AO12">_xll.FDS("SHOP-US","FE_ESTIMATE("&amp;$B12&amp;",MEAN,QTR,"&amp;AJ$6&amp;"/"&amp;AJ$7&amp;"F,NOW,,,'')")</f>
        <v>2319.768</v>
      </c>
      <c r="AP12" s="46">
        <f t="shared" si="10"/>
        <v>0.53830769230769238</v>
      </c>
      <c r="AQ12" s="61">
        <v>1694</v>
      </c>
      <c r="AR12" s="62">
        <f ca="1">OFFSET('Revenue Build'!$C$6,MATCH($D12,'Revenue Build'!$C$6:$C$69,0)-1,MATCH(AQ$8,'Revenue Build'!$C$4:$EE$4,0)-1)</f>
        <v>2508.0283815145549</v>
      </c>
      <c r="AS12" s="46">
        <f t="shared" ca="1" si="11"/>
        <v>0.48053623466030393</v>
      </c>
      <c r="AT12" s="63">
        <v>1694</v>
      </c>
      <c r="AU12" s="46">
        <f ca="1">AR12/AT12-1</f>
        <v>0.48053623466030393</v>
      </c>
      <c r="AV12" s="64" cm="1">
        <f t="array" ref="AV12">_xll.FDS("SHOP-US","FE_ESTIMATE("&amp;$B12&amp;",MEAN,QTR,"&amp;AQ$6&amp;"/"&amp;AQ$7&amp;"F,NOW,,,'')")</f>
        <v>2527.6889999999999</v>
      </c>
      <c r="AW12" s="46">
        <f t="shared" si="12"/>
        <v>0.49214226682408491</v>
      </c>
      <c r="AX12" s="61">
        <v>1714</v>
      </c>
      <c r="AY12" s="62">
        <f ca="1">OFFSET('Revenue Build'!$C$6,MATCH($D12,'Revenue Build'!$C$6:$C$69,0)-1,MATCH(AX$8,'Revenue Build'!$C$4:$EE$4,0)-1)</f>
        <v>2631.9056487290545</v>
      </c>
      <c r="AZ12" s="46">
        <f t="shared" ca="1" si="13"/>
        <v>0.53553421746152541</v>
      </c>
      <c r="BA12" s="63">
        <v>1714</v>
      </c>
      <c r="BB12" s="46">
        <f ca="1">AY12/BA12-1</f>
        <v>0.53553421746152541</v>
      </c>
      <c r="BC12" s="64" cm="1">
        <f t="array" ref="BC12">_xll.FDS("SHOP-US","FE_ESTIMATE("&amp;$B12&amp;",MEAN,QTR,"&amp;AX$6&amp;"/"&amp;AX$7&amp;"F,NOW,,,'')")</f>
        <v>2637.6206000000002</v>
      </c>
      <c r="BD12" s="46">
        <f t="shared" si="14"/>
        <v>0.5388684947491249</v>
      </c>
      <c r="BE12" s="61">
        <v>2204.0673692729397</v>
      </c>
      <c r="BF12" s="62">
        <f ca="1">OFFSET('Revenue Build'!$C$6,MATCH($D12,'Revenue Build'!$C$6:$C$69,0)-1,MATCH(BE$8,'Revenue Build'!$C$4:$EE$4,0)-1)</f>
        <v>3317.9390336843499</v>
      </c>
      <c r="BG12" s="46">
        <f t="shared" ca="1" si="15"/>
        <v>0.5053709700256781</v>
      </c>
      <c r="BH12" s="63">
        <v>2072.2579999999998</v>
      </c>
      <c r="BI12" s="46">
        <f ca="1">BF12/BH12-1</f>
        <v>0.60112255987640051</v>
      </c>
      <c r="BJ12" s="64" cm="1">
        <f t="array" ref="BJ12">_xll.FDS("SHOP-US","FE_ESTIMATE("&amp;$B12&amp;",MEAN,QTR,"&amp;BE$6&amp;"/"&amp;BE$7&amp;"F,NOW,,,'')")</f>
        <v>3309.5315000000001</v>
      </c>
      <c r="BK12" s="46">
        <f t="shared" si="16"/>
        <v>0.59706537506430202</v>
      </c>
      <c r="BL12" s="65">
        <v>7120.0673692729397</v>
      </c>
      <c r="BM12" s="62">
        <f ca="1">OFFSET('Revenue Build'!$C$6,MATCH($D12,'Revenue Build'!$C$6:$C$69,0)-1,MATCH(BL$8,'Revenue Build'!$C$4:$EE$4,0)-1)</f>
        <v>10796.75648813499</v>
      </c>
      <c r="BN12" s="46">
        <f t="shared" ca="1" si="17"/>
        <v>0.51638403517486564</v>
      </c>
      <c r="BO12" s="63">
        <v>6988.0663999999997</v>
      </c>
      <c r="BP12" s="46">
        <f ca="1">BM12/BO12-1</f>
        <v>0.54502774732292036</v>
      </c>
      <c r="BQ12" s="64" cm="1">
        <f t="array" ref="BQ12">_xll.FDS("SHOP-US","FE_ESTIMATE("&amp;$B12&amp;",MEAN,ANNUAL_ROLL,"&amp;BL$6&amp;",NOW,,,'')")</f>
        <v>10858.165000000001</v>
      </c>
      <c r="BR12" s="46">
        <f>BQ12/BO12-1</f>
        <v>0.55381537301935224</v>
      </c>
      <c r="BS12" s="61">
        <v>1825.7044692209502</v>
      </c>
      <c r="BT12" s="62">
        <f ca="1">OFFSET('Revenue Build'!$C$6,MATCH($D12,'Revenue Build'!$C$6:$C$69,0)-1,MATCH(BS$8,'Revenue Build'!$C$4:$EE$4,0)-1)</f>
        <v>2799.2052568575727</v>
      </c>
      <c r="BU12" s="46">
        <f t="shared" ca="1" si="18"/>
        <v>0.53321926086538363</v>
      </c>
      <c r="BV12" s="63">
        <v>1808.5343</v>
      </c>
      <c r="BW12" s="46">
        <f ca="1">BT12/BV12-1</f>
        <v>0.54777559754192806</v>
      </c>
      <c r="BX12" s="64" cm="1">
        <f t="array" ref="BX12">_xll.FDS("SHOP-US","FE_ESTIMATE("&amp;$B12&amp;",MEAN,QTR,"&amp;BS$6&amp;"/"&amp;BS$7&amp;"F,NOW,,,'')")</f>
        <v>2786.8683999999998</v>
      </c>
      <c r="BY12" s="46">
        <f t="shared" si="19"/>
        <v>0.54095413064601527</v>
      </c>
      <c r="BZ12" s="61">
        <v>2010.3857635365353</v>
      </c>
      <c r="CA12" s="62">
        <f ca="1">OFFSET('Revenue Build'!$C$6,MATCH($D12,'Revenue Build'!$C$6:$C$69,0)-1,MATCH(BZ$8,'Revenue Build'!$C$4:$EE$4,0)-1)</f>
        <v>3001.1461139124062</v>
      </c>
      <c r="CB12" s="46">
        <f t="shared" ca="1" si="20"/>
        <v>0.49282101392968092</v>
      </c>
      <c r="CC12" s="63">
        <v>1985.4606000000001</v>
      </c>
      <c r="CD12" s="46">
        <f ca="1">CA12/CC12-1</f>
        <v>0.51156165673214882</v>
      </c>
      <c r="CE12" s="64" cm="1">
        <f t="array" ref="CE12">_xll.FDS("SHOP-US","FE_ESTIMATE("&amp;$B12&amp;",MEAN,QTR,"&amp;BZ$6&amp;"/"&amp;BZ$7&amp;"F,NOW,,,'')")</f>
        <v>3026.1296000000002</v>
      </c>
      <c r="CF12" s="46">
        <f t="shared" si="21"/>
        <v>0.52414487600509418</v>
      </c>
      <c r="CG12" s="61">
        <v>2122.9236625295921</v>
      </c>
      <c r="CH12" s="62">
        <f ca="1">OFFSET('Revenue Build'!$C$6,MATCH($D12,'Revenue Build'!$C$6:$C$69,0)-1,MATCH(CG$8,'Revenue Build'!$C$4:$EE$4,0)-1)</f>
        <v>3147.5647910031289</v>
      </c>
      <c r="CI12" s="46">
        <f t="shared" ca="1" si="22"/>
        <v>0.48265566330002407</v>
      </c>
      <c r="CJ12" s="63">
        <v>2037.9618</v>
      </c>
      <c r="CK12" s="46">
        <f ca="1">CH12/CJ12-1</f>
        <v>0.54446702141479242</v>
      </c>
      <c r="CL12" s="64" cm="1">
        <f t="array" ref="CL12">_xll.FDS("SHOP-US","FE_ESTIMATE("&amp;$B12&amp;",MEAN,QTR,"&amp;CG$6&amp;"/"&amp;CG$7&amp;"F,NOW,,,'')")</f>
        <v>3153.4596999999999</v>
      </c>
      <c r="CM12" s="46">
        <f t="shared" si="23"/>
        <v>0.54735957268678925</v>
      </c>
      <c r="CN12" s="61">
        <v>2675.9486943621077</v>
      </c>
      <c r="CO12" s="62">
        <f ca="1">OFFSET('Revenue Build'!$C$6,MATCH($D12,'Revenue Build'!$C$6:$C$69,0)-1,MATCH(CN$8,'Revenue Build'!$C$4:$EE$4,0)-1)</f>
        <v>3975.5145410092937</v>
      </c>
      <c r="CP12" s="46">
        <f t="shared" ca="1" si="24"/>
        <v>0.48564677244567878</v>
      </c>
      <c r="CQ12" s="63">
        <v>2484.3254000000002</v>
      </c>
      <c r="CR12" s="46">
        <f ca="1">CO12/CQ12-1</f>
        <v>0.60023905926707233</v>
      </c>
      <c r="CS12" s="64" cm="1">
        <f t="array" ref="CS12">_xll.FDS("SHOP-US","FE_ESTIMATE("&amp;$B12&amp;",MEAN,QTR,"&amp;CN$6&amp;"/"&amp;CN$7&amp;"F,NOW,,,'')")</f>
        <v>3918.6129999999998</v>
      </c>
      <c r="CT12" s="46">
        <f t="shared" si="25"/>
        <v>0.5773348370547593</v>
      </c>
      <c r="CU12" s="65">
        <v>8634.9625896491852</v>
      </c>
      <c r="CV12" s="62">
        <f ca="1">OFFSET('Revenue Build'!$C$6,MATCH($D12,'Revenue Build'!$C$6:$C$69,0)-1,MATCH(CU$8,'Revenue Build'!$C$4:$EE$4,0)-1)</f>
        <v>12923.430702782402</v>
      </c>
      <c r="CW12" s="46">
        <f t="shared" ca="1" si="26"/>
        <v>0.49664003388663724</v>
      </c>
      <c r="CX12" s="63">
        <v>8335.9560000000001</v>
      </c>
      <c r="CY12" s="46">
        <f ca="1">CV12/CX12-1</f>
        <v>0.55032376643811487</v>
      </c>
      <c r="CZ12" s="64" cm="1">
        <f t="array" ref="CZ12">_xll.FDS("SHOP-US","FE_ESTIMATE("&amp;$B12&amp;",MEAN,ANNUAL_ROLL,"&amp;CU$6&amp;",NOW,,,'')")</f>
        <v>13154.029</v>
      </c>
      <c r="DA12" s="46">
        <f>CZ12/CX12-1</f>
        <v>0.57798685597668698</v>
      </c>
      <c r="DB12" s="61">
        <v>2206.4081788777248</v>
      </c>
      <c r="DC12" s="62">
        <f ca="1">OFFSET('Revenue Build'!$C$6,MATCH($D12,'Revenue Build'!$C$6:$C$69,0)-1,MATCH(DB$8,'Revenue Build'!$C$4:$EE$4,0)-1)</f>
        <v>3300.3679789037724</v>
      </c>
      <c r="DD12" s="46">
        <f t="shared" ca="1" si="27"/>
        <v>0.49581025419443603</v>
      </c>
      <c r="DE12" s="63">
        <v>2160.8074000000001</v>
      </c>
      <c r="DF12" s="46">
        <f ca="1">DC12/DE12-1</f>
        <v>0.52737721043706731</v>
      </c>
      <c r="DG12" s="64" cm="1">
        <f t="array" ref="DG12">_xll.FDS("SHOP-US","FE_ESTIMATE("&amp;$B12&amp;",MEAN,QTR,"&amp;DB$6&amp;"/"&amp;DB$7&amp;"F,NOW,,,'')")</f>
        <v>3549</v>
      </c>
      <c r="DH12" s="46">
        <f t="shared" si="28"/>
        <v>0.64244161696225199</v>
      </c>
      <c r="DI12" s="61">
        <v>2428.661702442294</v>
      </c>
      <c r="DJ12" s="62">
        <f ca="1">OFFSET('Revenue Build'!$C$6,MATCH($D12,'Revenue Build'!$C$6:$C$69,0)-1,MATCH(DI$8,'Revenue Build'!$C$4:$EE$4,0)-1)</f>
        <v>3537.9380225337027</v>
      </c>
      <c r="DK12" s="46">
        <f t="shared" ca="1" si="29"/>
        <v>0.45674385978743182</v>
      </c>
      <c r="DL12" s="63">
        <v>2370.5679</v>
      </c>
      <c r="DM12" s="46">
        <f ca="1">DJ12/DL12-1</f>
        <v>0.49244323376423971</v>
      </c>
      <c r="DN12" s="64" cm="1">
        <f t="array" ref="DN12">_xll.FDS("SHOP-US","FE_ESTIMATE("&amp;$B12&amp;",MEAN,QTR,"&amp;DI$6&amp;"/"&amp;DI$7&amp;"F,NOW,,,'')")</f>
        <v>3782</v>
      </c>
      <c r="DO12" s="46">
        <f t="shared" si="30"/>
        <v>0.59539830097252233</v>
      </c>
      <c r="DP12" s="61">
        <v>2559.9559341200593</v>
      </c>
      <c r="DQ12" s="62">
        <f ca="1">OFFSET('Revenue Build'!$C$6,MATCH($D12,'Revenue Build'!$C$6:$C$69,0)-1,MATCH(DP$8,'Revenue Build'!$C$4:$EE$4,0)-1)</f>
        <v>3708.9052382572477</v>
      </c>
      <c r="DR12" s="46">
        <f t="shared" ca="1" si="31"/>
        <v>0.44881604750439585</v>
      </c>
      <c r="DS12" s="63">
        <v>2445.8618000000001</v>
      </c>
      <c r="DT12" s="46">
        <f ca="1">DQ12/DS12-1</f>
        <v>0.51640016547837964</v>
      </c>
      <c r="DU12" s="64" cm="1">
        <f t="array" ref="DU12">_xll.FDS("SHOP-US","FE_ESTIMATE("&amp;$B12&amp;",MEAN,QTR,"&amp;DP$6&amp;"/"&amp;DP$7&amp;"F,NOW,,,'')")</f>
        <v>3975</v>
      </c>
      <c r="DV12" s="46">
        <f t="shared" si="32"/>
        <v>0.62519403181324473</v>
      </c>
      <c r="DW12" s="61">
        <v>3233.7215618172336</v>
      </c>
      <c r="DX12" s="62">
        <f ca="1">OFFSET('Revenue Build'!$C$6,MATCH($D12,'Revenue Build'!$C$6:$C$69,0)-1,MATCH(DW$8,'Revenue Build'!$C$4:$EE$4,0)-1)</f>
        <v>4691.55714204166</v>
      </c>
      <c r="DY12" s="46">
        <f t="shared" ca="1" si="33"/>
        <v>0.45082285297475511</v>
      </c>
      <c r="DZ12" s="63">
        <v>2962.1433000000002</v>
      </c>
      <c r="EA12" s="46">
        <f ca="1">DX12/DZ12-1</f>
        <v>0.58383868263282857</v>
      </c>
      <c r="EB12" s="64" cm="1">
        <f t="array" ref="EB12">_xll.FDS("SHOP-US","FE_ESTIMATE("&amp;$B12&amp;",MEAN,QTR,"&amp;DW$6&amp;"/"&amp;DW$7&amp;"F,NOW,,,'')")</f>
        <v>4965</v>
      </c>
      <c r="EC12" s="46">
        <f ca="1">DX12/EB12-1</f>
        <v>-5.5074090223230621E-2</v>
      </c>
      <c r="ED12" s="46">
        <f t="shared" si="34"/>
        <v>0.67615118417802389</v>
      </c>
      <c r="EE12" s="65">
        <v>10428.747377257312</v>
      </c>
      <c r="EF12" s="62">
        <f ca="1">OFFSET('Revenue Build'!$C$6,MATCH($D12,'Revenue Build'!$C$6:$C$69,0)-1,MATCH(EE$8,'Revenue Build'!$C$4:$EE$4,0)-1)</f>
        <v>15238.768381736383</v>
      </c>
      <c r="EG12" s="46">
        <f t="shared" ca="1" si="35"/>
        <v>0.4612271091127027</v>
      </c>
      <c r="EH12" s="63">
        <v>10015.603999999999</v>
      </c>
      <c r="EI12" s="46">
        <f ca="1">EF12/EH12-1</f>
        <v>0.52150268538336619</v>
      </c>
      <c r="EJ12" s="64" cm="1">
        <f t="array" ref="EJ12">_xll.FDS("SHOP-US","FE_ESTIMATE("&amp;$B12&amp;",MEAN,ANNUAL_ROLL,"&amp;EE$6&amp;",NOW,,,'')")</f>
        <v>17304.153999999999</v>
      </c>
      <c r="EK12" s="46">
        <f ca="1">EF12/EJ12-1</f>
        <v>-0.11935779225402265</v>
      </c>
      <c r="EL12" s="51">
        <f>EJ12/EH12-1</f>
        <v>0.727719466544404</v>
      </c>
    </row>
    <row r="13" spans="2:142" s="59" customFormat="1" ht="24.75" customHeight="1">
      <c r="B13" s="42"/>
      <c r="D13" s="779" t="s">
        <v>140</v>
      </c>
      <c r="E13" s="780">
        <v>0.2174446491012465</v>
      </c>
      <c r="F13" s="781">
        <f ca="1">OFFSET('Revenue Build'!$C$6,MATCH($D12,'Revenue Build'!$C$6:$C$69,0)+1,MATCH(E$8,'Revenue Build'!$C$4:$EE$4,0)-1)</f>
        <v>0.23408488063660471</v>
      </c>
      <c r="G13" s="46">
        <f ca="1">F13-E13</f>
        <v>1.6640231535358208E-2</v>
      </c>
      <c r="H13" s="782"/>
      <c r="I13" s="628"/>
      <c r="J13" s="46">
        <f>I13-H13</f>
        <v>0</v>
      </c>
      <c r="K13" s="780">
        <v>0.15687952512182401</v>
      </c>
      <c r="L13" s="781">
        <f ca="1">OFFSET('Revenue Build'!$C$6,MATCH($D12,'Revenue Build'!$C$6:$C$69,0)+1,MATCH(K$8,'Revenue Build'!$C$4:$EE$4,0)-1)</f>
        <v>0.20720188902007086</v>
      </c>
      <c r="M13" s="46">
        <f ca="1">L13-K13</f>
        <v>5.0322363898246847E-2</v>
      </c>
      <c r="N13" s="782"/>
      <c r="O13" s="628"/>
      <c r="P13" s="46">
        <f>O13-N13</f>
        <v>0</v>
      </c>
      <c r="Q13" s="780">
        <v>0.2157616530514177</v>
      </c>
      <c r="R13" s="781" t="e">
        <f ca="1">OFFSET('Revenue Build'!$C$6,MATCH($D12,'Revenue Build'!$C$6:$C$69,0)+1,MATCH(Q$8,'Revenue Build'!$C$4:$EE$4,0)-1)</f>
        <v>#N/A</v>
      </c>
      <c r="S13" s="46" t="e">
        <f ca="1">R13-Q13</f>
        <v>#N/A</v>
      </c>
      <c r="T13" s="782"/>
      <c r="U13" s="628"/>
      <c r="V13" s="46">
        <f>U13-T13</f>
        <v>0</v>
      </c>
      <c r="W13" s="780">
        <v>0.25720857028573407</v>
      </c>
      <c r="X13" s="781">
        <f ca="1">OFFSET('Revenue Build'!$C$6,MATCH($D12,'Revenue Build'!$C$6:$C$69,0)+1,MATCH(W$8,'Revenue Build'!$C$4:$EE$4,0)-1)</f>
        <v>0.26100242243524763</v>
      </c>
      <c r="Y13" s="46">
        <f ca="1">X13-W13</f>
        <v>3.7938521495135547E-3</v>
      </c>
      <c r="Z13" s="782"/>
      <c r="AA13" s="628"/>
      <c r="AB13" s="46">
        <f>AA13-Z13</f>
        <v>0</v>
      </c>
      <c r="AC13" s="783">
        <v>0.21423218764853047</v>
      </c>
      <c r="AD13" s="781">
        <f ca="1">OFFSET('Revenue Build'!$C$6,MATCH($D12,'Revenue Build'!$C$6:$C$69,0)+1,MATCH(AC$8,'Revenue Build'!$C$4:$EE$4,0)-1)</f>
        <v>0.24243472998600146</v>
      </c>
      <c r="AE13" s="46">
        <f ca="1">AD13-AC13</f>
        <v>2.8202542337470993E-2</v>
      </c>
      <c r="AF13" s="782"/>
      <c r="AH13" s="628"/>
      <c r="AI13" s="46"/>
      <c r="AJ13" s="780">
        <v>0.25288400105348607</v>
      </c>
      <c r="AK13" s="781">
        <f ca="1">OFFSET('Revenue Build'!$C$6,MATCH($D12,'Revenue Build'!$C$6:$C$69,0)+1,MATCH(AJ$8,'Revenue Build'!$C$4:$EE$4,0)-1)</f>
        <v>0.25678851381355772</v>
      </c>
      <c r="AL13" s="46">
        <f ca="1">AK13-AJ13</f>
        <v>3.9045127600716434E-3</v>
      </c>
      <c r="AM13" s="628">
        <f ca="1">AM12/F12-1</f>
        <v>-0.18968296614723268</v>
      </c>
      <c r="AN13" s="46">
        <f ca="1">AK13-AM13</f>
        <v>0.4464714799607904</v>
      </c>
      <c r="AO13" s="628">
        <f ca="1">AO12/F12-1</f>
        <v>0.24651692638366463</v>
      </c>
      <c r="AP13" s="46">
        <f ca="1">AO13-AM13</f>
        <v>0.4361998925308973</v>
      </c>
      <c r="AQ13" s="780">
        <v>0.30804447351209929</v>
      </c>
      <c r="AR13" s="781">
        <f ca="1">OFFSET('Revenue Build'!$C$6,MATCH($D12,'Revenue Build'!$C$6:$C$69,0)+1,MATCH(AQ$8,'Revenue Build'!$C$4:$EE$4,0)-1)</f>
        <v>0.22641974646188512</v>
      </c>
      <c r="AS13" s="46">
        <f ca="1">AR13-AQ13</f>
        <v>-8.1624727050214174E-2</v>
      </c>
      <c r="AT13" s="628" t="e">
        <v>#DIV/0!</v>
      </c>
      <c r="AU13" s="46" t="e">
        <f ca="1">AR13-AT13</f>
        <v>#DIV/0!</v>
      </c>
      <c r="AV13" s="628">
        <f ca="1">AV12/M12-1</f>
        <v>4364.0553305237654</v>
      </c>
      <c r="AW13" s="46" t="e">
        <f ca="1">AV13-AT13</f>
        <v>#DIV/0!</v>
      </c>
      <c r="AX13" s="780">
        <v>0.25457473283560228</v>
      </c>
      <c r="AY13" s="781">
        <f ca="1">OFFSET('Revenue Build'!$C$6,MATCH($D12,'Revenue Build'!$C$6:$C$69,0)+1,MATCH(AX$8,'Revenue Build'!$C$4:$EE$4,0)-1)</f>
        <v>0.21734766361195867</v>
      </c>
      <c r="AZ13" s="46">
        <f ca="1">AY13-AX13</f>
        <v>-3.7227069223643605E-2</v>
      </c>
      <c r="BA13" s="628">
        <v>0.25457473283560228</v>
      </c>
      <c r="BB13" s="46">
        <f ca="1">AY13-BA13</f>
        <v>-3.7227069223643605E-2</v>
      </c>
      <c r="BC13" s="628">
        <f>BC12/T12-1</f>
        <v>0.93062553066900899</v>
      </c>
      <c r="BD13" s="46">
        <f>BC13-BA13</f>
        <v>0.67605079783340671</v>
      </c>
      <c r="BE13" s="780">
        <v>0.27037194089662209</v>
      </c>
      <c r="BF13" s="781">
        <f ca="1">OFFSET('Revenue Build'!$C$6,MATCH($D12,'Revenue Build'!$C$6:$C$69,0)+1,MATCH(BE$8,'Revenue Build'!$C$4:$EE$4,0)-1)</f>
        <v>0.227234907364807</v>
      </c>
      <c r="BG13" s="46">
        <f ca="1">BF13-BE13</f>
        <v>-4.3137033531815083E-2</v>
      </c>
      <c r="BH13" s="628">
        <v>0.19440015954092771</v>
      </c>
      <c r="BI13" s="46">
        <f ca="1">BF13-BH13</f>
        <v>3.2834747823879296E-2</v>
      </c>
      <c r="BJ13" s="628">
        <f>BJ12/AA12-1</f>
        <v>0.21415266267986688</v>
      </c>
      <c r="BK13" s="46">
        <f>BJ13-BH13</f>
        <v>1.975250313893917E-2</v>
      </c>
      <c r="BL13" s="783">
        <v>0.27147148024897372</v>
      </c>
      <c r="BM13" s="781">
        <f ca="1">OFFSET('Revenue Build'!$C$6,MATCH($D12,'Revenue Build'!$C$6:$C$69,0)+1,MATCH(BL$8,'Revenue Build'!$C$4:$EE$4,0)-1)</f>
        <v>0.23087803700247167</v>
      </c>
      <c r="BN13" s="46">
        <f ca="1">BM13-BL13</f>
        <v>-4.0593443246502048E-2</v>
      </c>
      <c r="BO13" s="781">
        <f ca="1">BO12/AD12-1</f>
        <v>-0.20332949415619106</v>
      </c>
      <c r="BP13" s="46">
        <f ca="1">BO13-BM13</f>
        <v>-0.43420753115866273</v>
      </c>
      <c r="BQ13" s="628">
        <f ca="1">BQ12/AD12-1</f>
        <v>0.23787887921121387</v>
      </c>
      <c r="BR13" s="46">
        <f ca="1">BQ13-BO13</f>
        <v>0.44120837336740493</v>
      </c>
      <c r="BS13" s="780">
        <v>0.21067935624731438</v>
      </c>
      <c r="BT13" s="781">
        <f ca="1">OFFSET('Revenue Build'!$C$6,MATCH($D12,'Revenue Build'!$C$6:$C$69,0)+1,MATCH(BS$8,'Revenue Build'!$C$4:$EE$4,0)-1)</f>
        <v>0.19681264482286376</v>
      </c>
      <c r="BU13" s="46">
        <f ca="1">BT13-BS13</f>
        <v>-1.3866711424450617E-2</v>
      </c>
      <c r="BV13" s="628">
        <v>0.19929330238726783</v>
      </c>
      <c r="BW13" s="46">
        <f ca="1">BT13-BV13</f>
        <v>-2.4806575644040763E-3</v>
      </c>
      <c r="BX13" s="628">
        <f>BX12/AO12-1</f>
        <v>0.20135651496184082</v>
      </c>
      <c r="BY13" s="46">
        <f>BX13-BV13</f>
        <v>2.0632125745729812E-3</v>
      </c>
      <c r="BZ13" s="780">
        <v>0.1867684554525002</v>
      </c>
      <c r="CA13" s="781">
        <f ca="1">OFFSET('Revenue Build'!$C$6,MATCH($D12,'Revenue Build'!$C$6:$C$69,0)+1,MATCH(BZ$8,'Revenue Build'!$C$4:$EE$4,0)-1)</f>
        <v>0.19661569064863049</v>
      </c>
      <c r="CB13" s="46">
        <f ca="1">CA13-BZ13</f>
        <v>9.8472351961302884E-3</v>
      </c>
      <c r="CC13" s="628">
        <v>0.17205466351830001</v>
      </c>
      <c r="CD13" s="46">
        <f ca="1">CA13-CC13</f>
        <v>2.4561027130330482E-2</v>
      </c>
      <c r="CE13" s="628">
        <f>CE12/AV12-1</f>
        <v>0.19719221787174002</v>
      </c>
      <c r="CF13" s="46">
        <f>CE13-CC13</f>
        <v>2.5137554353440006E-2</v>
      </c>
      <c r="CG13" s="780">
        <v>0.23857856623663487</v>
      </c>
      <c r="CH13" s="781">
        <f ca="1">OFFSET('Revenue Build'!$C$6,MATCH($D12,'Revenue Build'!$C$6:$C$69,0)+1,MATCH(CG$8,'Revenue Build'!$C$4:$EE$4,0)-1)</f>
        <v>0.19592615051496454</v>
      </c>
      <c r="CI13" s="46">
        <f ca="1">CH13-CG13</f>
        <v>-4.2652415721670334E-2</v>
      </c>
      <c r="CJ13" s="628">
        <v>0.18900921820303385</v>
      </c>
      <c r="CK13" s="46">
        <f ca="1">CH13-CJ13</f>
        <v>6.9169323119306902E-3</v>
      </c>
      <c r="CL13" s="628">
        <f>CL12/BC12-1</f>
        <v>0.19556986323203551</v>
      </c>
      <c r="CM13" s="46">
        <f>CL13-CJ13</f>
        <v>6.560645029001666E-3</v>
      </c>
      <c r="CN13" s="780">
        <v>0.21409569038936804</v>
      </c>
      <c r="CO13" s="781">
        <f ca="1">OFFSET('Revenue Build'!$C$6,MATCH($D12,'Revenue Build'!$C$6:$C$69,0)+1,MATCH(CN$8,'Revenue Build'!$C$4:$EE$4,0)-1)</f>
        <v>0.19818794156526431</v>
      </c>
      <c r="CP13" s="46">
        <f ca="1">CO13-CN13</f>
        <v>-1.5907748824103729E-2</v>
      </c>
      <c r="CQ13" s="628">
        <v>0.19884946758560007</v>
      </c>
      <c r="CR13" s="46">
        <f ca="1">CO13-CQ13</f>
        <v>-6.6152602033575647E-4</v>
      </c>
      <c r="CS13" s="628">
        <f>CS12/BJ12-1</f>
        <v>0.18403858673047835</v>
      </c>
      <c r="CT13" s="46">
        <f>CS13-CQ13</f>
        <v>-1.4810880855121722E-2</v>
      </c>
      <c r="CU13" s="783">
        <v>0.21276416946753374</v>
      </c>
      <c r="CV13" s="781">
        <f ca="1">OFFSET('Revenue Build'!$C$6,MATCH($D12,'Revenue Build'!$C$6:$C$69,0)+1,MATCH(CU$8,'Revenue Build'!$C$4:$EE$4,0)-1)</f>
        <v>0.19697343521496502</v>
      </c>
      <c r="CW13" s="46">
        <f ca="1">CV13-CU13</f>
        <v>-1.5790734252568717E-2</v>
      </c>
      <c r="CX13" s="781">
        <v>0.17076925928739062</v>
      </c>
      <c r="CY13" s="46">
        <f ca="1">CX13-CV13</f>
        <v>-2.6204175927574402E-2</v>
      </c>
      <c r="CZ13" s="628">
        <f ca="1">CZ12/BM12-1</f>
        <v>0.21833154377942265</v>
      </c>
      <c r="DA13" s="46">
        <f ca="1">CZ13-CX13</f>
        <v>4.7562284492032036E-2</v>
      </c>
      <c r="DB13" s="780">
        <v>0.20852427984646682</v>
      </c>
      <c r="DC13" s="781">
        <f ca="1">OFFSET('Revenue Build'!$C$6,MATCH($D12,'Revenue Build'!$C$6:$C$69,0)+1,MATCH(DB$8,'Revenue Build'!$C$4:$EE$4,0)-1)</f>
        <v>0.17903750388380302</v>
      </c>
      <c r="DD13" s="46">
        <f ca="1">DC13-DB13</f>
        <v>-2.9486775962663803E-2</v>
      </c>
      <c r="DE13" s="628">
        <v>0.19478375389396829</v>
      </c>
      <c r="DF13" s="46">
        <f ca="1">DC13-DE13</f>
        <v>-1.5746250010165275E-2</v>
      </c>
      <c r="DG13" s="628">
        <f>DG12/BX12-1</f>
        <v>0.27347240364848235</v>
      </c>
      <c r="DH13" s="46">
        <f>DG13-DE13</f>
        <v>7.8688649754514062E-2</v>
      </c>
      <c r="DI13" s="780">
        <v>0.20805755118856184</v>
      </c>
      <c r="DJ13" s="781">
        <f ca="1">OFFSET('Revenue Build'!$C$6,MATCH($D12,'Revenue Build'!$C$6:$C$69,0)+1,MATCH(DI$8,'Revenue Build'!$C$4:$EE$4,0)-1)</f>
        <v>0.1788623040154198</v>
      </c>
      <c r="DK13" s="46">
        <f ca="1">DJ13-DI13</f>
        <v>-2.9195247173142036E-2</v>
      </c>
      <c r="DL13" s="628">
        <v>0.19396370796781359</v>
      </c>
      <c r="DM13" s="46">
        <f ca="1">DJ13-DL13</f>
        <v>-1.5101403952393788E-2</v>
      </c>
      <c r="DN13" s="628">
        <f>DN12/CE12-1</f>
        <v>0.24978123871495783</v>
      </c>
      <c r="DO13" s="46">
        <f>DN13-DL13</f>
        <v>5.5817530747144239E-2</v>
      </c>
      <c r="DP13" s="780">
        <v>0.20586339457430936</v>
      </c>
      <c r="DQ13" s="781">
        <f ca="1">OFFSET('Revenue Build'!$C$6,MATCH($D12,'Revenue Build'!$C$6:$C$69,0)+1,MATCH(DP$8,'Revenue Build'!$C$4:$EE$4,0)-1)</f>
        <v>0.17834118899113105</v>
      </c>
      <c r="DR13" s="46">
        <f ca="1">DQ13-DP13</f>
        <v>-2.7522205583178305E-2</v>
      </c>
      <c r="DS13" s="628">
        <v>0.20015095474311639</v>
      </c>
      <c r="DT13" s="46">
        <f ca="1">DQ13-DS13</f>
        <v>-2.1809765751985344E-2</v>
      </c>
      <c r="DU13" s="628">
        <f>DU12/CL12-1</f>
        <v>0.26052031043872237</v>
      </c>
      <c r="DV13" s="46">
        <f>DU13-DS13</f>
        <v>6.0369355695605975E-2</v>
      </c>
      <c r="DW13" s="780">
        <v>0.20843929804419803</v>
      </c>
      <c r="DX13" s="781">
        <f ca="1">OFFSET('Revenue Build'!$C$6,MATCH($D12,'Revenue Build'!$C$6:$C$69,0)+1,MATCH(DW$8,'Revenue Build'!$C$4:$EE$4,0)-1)</f>
        <v>0.18011318878249627</v>
      </c>
      <c r="DY13" s="46">
        <f ca="1">DX13-DW13</f>
        <v>-2.832610926170176E-2</v>
      </c>
      <c r="DZ13" s="628">
        <v>0.19233305749721841</v>
      </c>
      <c r="EA13" s="46">
        <f ca="1">DX13-DZ13</f>
        <v>-1.2219868714722137E-2</v>
      </c>
      <c r="EB13" s="628">
        <f>EB12/CS12-1</f>
        <v>0.26702994146143033</v>
      </c>
      <c r="EC13" s="46">
        <f ca="1">DX13-DZ13</f>
        <v>-1.2219868714722137E-2</v>
      </c>
      <c r="ED13" s="46">
        <f>EB13-DZ13</f>
        <v>7.4696883964211924E-2</v>
      </c>
      <c r="EE13" s="783">
        <v>0.20773509658957345</v>
      </c>
      <c r="EF13" s="781">
        <f ca="1">OFFSET('Revenue Build'!$C$6,MATCH($D12,'Revenue Build'!$C$6:$C$69,0)+1,MATCH(EE$8,'Revenue Build'!$C$4:$EE$4,0)-1)</f>
        <v>0.17915813008193648</v>
      </c>
      <c r="EG13" s="46">
        <f ca="1">EF13-EE13</f>
        <v>-2.8576966507636969E-2</v>
      </c>
      <c r="EH13" s="781">
        <v>0.15988968058828679</v>
      </c>
      <c r="EI13" s="46">
        <f ca="1">EF13-EH13</f>
        <v>1.9268449493649698E-2</v>
      </c>
      <c r="EJ13" s="628">
        <f ca="1">EJ12/CV12-1</f>
        <v>0.33897526113359611</v>
      </c>
      <c r="EK13" s="46">
        <f ca="1">EF13-EH13</f>
        <v>1.9268449493649698E-2</v>
      </c>
      <c r="EL13" s="51">
        <f ca="1">EJ13-EH13</f>
        <v>0.17908558054530932</v>
      </c>
    </row>
    <row r="14" spans="2:142" s="59" customFormat="1" ht="18.95" customHeight="1">
      <c r="B14" s="42" t="s">
        <v>371</v>
      </c>
      <c r="D14" s="66" t="s">
        <v>348</v>
      </c>
      <c r="E14" s="67">
        <v>344.76100000000002</v>
      </c>
      <c r="F14" s="62" t="e">
        <f ca="1">OFFSET('Revenue Build'!$C$6,MATCH($D14,'Revenue Build'!$C$6:$C$69,0)-1,MATCH(E$8,'Revenue Build'!$C$4:$EE$4,0)-1)</f>
        <v>#N/A</v>
      </c>
      <c r="G14" s="46" t="e">
        <f t="shared" ca="1" si="0"/>
        <v>#N/A</v>
      </c>
      <c r="H14" s="63">
        <v>344.76100000000002</v>
      </c>
      <c r="I14" s="64" cm="1">
        <f t="array" ref="I14">_xll.FDS("SHOP-US","FE_ESTIMATE("&amp;$B14&amp;",MEAN,QTR,"&amp;E$6&amp;"/"&amp;E$7&amp;"F,NOW,,,'')")</f>
        <v>511</v>
      </c>
      <c r="J14" s="46">
        <f t="shared" si="1"/>
        <v>0.48218621015718122</v>
      </c>
      <c r="K14" s="67">
        <v>366.44299999999998</v>
      </c>
      <c r="L14" s="62" t="e">
        <f ca="1">OFFSET('Revenue Build'!$C$6,MATCH($D14,'Revenue Build'!$C$6:$C$69,0)-1,MATCH(K$8,'Revenue Build'!$C$4:$EE$4,0)-1)</f>
        <v>#N/A</v>
      </c>
      <c r="M14" s="46" t="e">
        <f t="shared" ref="M14" ca="1" si="36">L14/K14-1</f>
        <v>#N/A</v>
      </c>
      <c r="N14" s="63">
        <v>366.44299999999998</v>
      </c>
      <c r="O14" s="64" cm="1">
        <f t="array" ref="O14">_xll.FDS("SHOP-US","FE_ESTIMATE("&amp;$B14&amp;",MEAN,QTR,"&amp;K$6&amp;"/"&amp;K$7&amp;"F,NOW,,,'')")</f>
        <v>563</v>
      </c>
      <c r="P14" s="46">
        <f t="shared" ref="P14" si="37">O14/N14-1</f>
        <v>0.53639174441864079</v>
      </c>
      <c r="Q14" s="67">
        <v>376.30099999999999</v>
      </c>
      <c r="R14" s="62" t="e">
        <f ca="1">OFFSET('Revenue Build'!$C$6,MATCH($D14,'Revenue Build'!$C$6:$C$69,0)-1,MATCH(Q$8,'Revenue Build'!$C$4:$EE$4,0)-1)</f>
        <v>#N/A</v>
      </c>
      <c r="S14" s="46" t="e">
        <f t="shared" ref="S14" ca="1" si="38">R14/Q14-1</f>
        <v>#N/A</v>
      </c>
      <c r="T14" s="63">
        <v>376.30099999999999</v>
      </c>
      <c r="U14" s="64" cm="1">
        <f t="array" ref="U14">_xll.FDS("SHOP-US","FE_ESTIMATE("&amp;$B14&amp;",MEAN,QTR,"&amp;Q$6&amp;"/"&amp;Q$7&amp;"F,NOW,,,'')")</f>
        <v>610</v>
      </c>
      <c r="V14" s="46">
        <f t="shared" ref="V14" si="39">U14/T14-1</f>
        <v>0.62104272909187075</v>
      </c>
      <c r="W14" s="67">
        <v>400.25400000000002</v>
      </c>
      <c r="X14" s="62" t="e">
        <f ca="1">OFFSET('Revenue Build'!$C$6,MATCH($D14,'Revenue Build'!$C$6:$C$69,0)-1,MATCH(W$8,'Revenue Build'!$C$4:$EE$4,0)-1)</f>
        <v>#N/A</v>
      </c>
      <c r="Y14" s="46" t="e">
        <f t="shared" ref="Y14" ca="1" si="40">X14/W14-1</f>
        <v>#N/A</v>
      </c>
      <c r="Z14" s="63">
        <v>400.25400000000002</v>
      </c>
      <c r="AA14" s="64" cm="1">
        <f t="array" ref="AA14">_xll.FDS("SHOP-US","FE_ESTIMATE("&amp;$B14&amp;",MEAN,QTR,"&amp;W$6&amp;"/"&amp;W$7&amp;"F,NOW,,,'')")</f>
        <v>648.89260000000002</v>
      </c>
      <c r="AB14" s="46">
        <f t="shared" ref="AB14" si="41">AA14/Z14-1</f>
        <v>0.62120203670669127</v>
      </c>
      <c r="AC14" s="67">
        <v>1487.759</v>
      </c>
      <c r="AD14" s="62" t="e">
        <f ca="1">OFFSET('Revenue Build'!$C$6,MATCH($D14,'Revenue Build'!$C$6:$C$69,0)-1,MATCH(AC$8,'Revenue Build'!$C$4:$EE$4,0)-1)</f>
        <v>#N/A</v>
      </c>
      <c r="AE14" s="46" t="e">
        <f t="shared" ref="AE14" ca="1" si="42">AD14/AC14-1</f>
        <v>#N/A</v>
      </c>
      <c r="AF14" s="63">
        <v>1487.759</v>
      </c>
      <c r="AG14" s="46" t="e">
        <f ca="1">AD14/AF14-1</f>
        <v>#N/A</v>
      </c>
      <c r="AH14" s="64" cm="1">
        <f t="array" ref="AH14">_xll.FDS("SHOP-US","FE_ESTIMATE("&amp;$B14&amp;",MEAN,ANNUAL_ROLL,"&amp;AC$6&amp;",NOW,,,'')")</f>
        <v>2330.2125999999998</v>
      </c>
      <c r="AI14" s="46">
        <f>AH14/AF14-1</f>
        <v>0.56625676604880204</v>
      </c>
      <c r="AJ14" s="67">
        <v>382</v>
      </c>
      <c r="AK14" s="62" t="e">
        <f ca="1">OFFSET('Revenue Build'!$C$6,MATCH($D14,'Revenue Build'!$C$6:$C$69,0)-1,MATCH(AJ$8,'Revenue Build'!$C$4:$EE$4,0)-1)</f>
        <v>#N/A</v>
      </c>
      <c r="AL14" s="46" t="e">
        <f t="shared" ref="AL14" ca="1" si="43">AK14/AJ14-1</f>
        <v>#N/A</v>
      </c>
      <c r="AM14" s="63">
        <v>382</v>
      </c>
      <c r="AN14" s="46" t="e">
        <f ca="1">AK14/AM14-1</f>
        <v>#N/A</v>
      </c>
      <c r="AO14" s="64" cm="1">
        <f t="array" ref="AO14">_xll.FDS("SHOP-US","FE_ESTIMATE("&amp;$B14&amp;",MEAN,QTR,"&amp;AJ$6&amp;"/"&amp;AJ$7&amp;"F,NOW,,,'')")</f>
        <v>633.16089999999997</v>
      </c>
      <c r="AP14" s="46">
        <f t="shared" ref="AP14" si="44">AO14/AM14-1</f>
        <v>0.65748926701570665</v>
      </c>
      <c r="AQ14" s="67">
        <v>444</v>
      </c>
      <c r="AR14" s="62" t="e">
        <f ca="1">OFFSET('Revenue Build'!$C$6,MATCH($D14,'Revenue Build'!$C$6:$C$69,0)-1,MATCH(AQ$8,'Revenue Build'!$C$4:$EE$4,0)-1)</f>
        <v>#N/A</v>
      </c>
      <c r="AS14" s="46" t="e">
        <f t="shared" ref="AS14" ca="1" si="45">AR14/AQ14-1</f>
        <v>#N/A</v>
      </c>
      <c r="AT14" s="63">
        <v>444</v>
      </c>
      <c r="AU14" s="46" t="e">
        <f ca="1">AR14/AT14-1</f>
        <v>#N/A</v>
      </c>
      <c r="AV14" s="64" cm="1">
        <f t="array" ref="AV14">_xll.FDS("SHOP-US","FE_ESTIMATE("&amp;$B14&amp;",MEAN,QTR,"&amp;AQ$6&amp;"/"&amp;AQ$7&amp;"F,NOW,,,'')")</f>
        <v>673.83167000000003</v>
      </c>
      <c r="AW14" s="46">
        <f t="shared" ref="AW14" si="46">AV14/AT14-1</f>
        <v>0.51763889639639649</v>
      </c>
      <c r="AX14" s="67">
        <v>486</v>
      </c>
      <c r="AY14" s="62" t="e">
        <f ca="1">OFFSET('Revenue Build'!$C$6,MATCH($D14,'Revenue Build'!$C$6:$C$69,0)-1,MATCH(AX$8,'Revenue Build'!$C$4:$EE$4,0)-1)</f>
        <v>#N/A</v>
      </c>
      <c r="AZ14" s="46" t="e">
        <f t="shared" ref="AZ14" ca="1" si="47">AY14/AX14-1</f>
        <v>#N/A</v>
      </c>
      <c r="BA14" s="63">
        <v>486</v>
      </c>
      <c r="BB14" s="46" t="e">
        <f ca="1">AY14/BA14-1</f>
        <v>#N/A</v>
      </c>
      <c r="BC14" s="64" cm="1">
        <f t="array" ref="BC14">_xll.FDS("SHOP-US","FE_ESTIMATE("&amp;$B14&amp;",MEAN,QTR,"&amp;AX$6&amp;"/"&amp;AX$7&amp;"F,NOW,,,'')")</f>
        <v>711.47400000000005</v>
      </c>
      <c r="BD14" s="46">
        <f t="shared" ref="BD14" si="48">BC14/BA14-1</f>
        <v>0.46393827160493828</v>
      </c>
      <c r="BE14" s="67">
        <v>485.98607719664051</v>
      </c>
      <c r="BF14" s="62" t="e">
        <f ca="1">OFFSET('Revenue Build'!$C$6,MATCH($D14,'Revenue Build'!$C$6:$C$69,0)-1,MATCH(BE$8,'Revenue Build'!$C$4:$EE$4,0)-1)</f>
        <v>#N/A</v>
      </c>
      <c r="BG14" s="46" t="e">
        <f t="shared" ref="BG14" ca="1" si="49">BF14/BE14-1</f>
        <v>#N/A</v>
      </c>
      <c r="BH14" s="63">
        <v>499.44922000000003</v>
      </c>
      <c r="BI14" s="46" t="e">
        <f ca="1">BF14/BH14-1</f>
        <v>#N/A</v>
      </c>
      <c r="BJ14" s="64" cm="1">
        <f t="array" ref="BJ14">_xll.FDS("SHOP-US","FE_ESTIMATE("&amp;$B14&amp;",MEAN,QTR,"&amp;BE$6&amp;"/"&amp;BE$7&amp;"F,NOW,,,'')")</f>
        <v>759.76520000000005</v>
      </c>
      <c r="BK14" s="46">
        <f t="shared" ref="BK14" si="50">BJ14/BH14-1</f>
        <v>0.52120609979128618</v>
      </c>
      <c r="BL14" s="67">
        <v>1797.9860771966405</v>
      </c>
      <c r="BM14" s="62" t="e">
        <f ca="1">OFFSET('Revenue Build'!$C$6,MATCH($D14,'Revenue Build'!$C$6:$C$69,0)-1,MATCH(BL$8,'Revenue Build'!$C$4:$EE$4,0)-1)</f>
        <v>#N/A</v>
      </c>
      <c r="BN14" s="46" t="e">
        <f t="shared" ref="BN14" ca="1" si="51">BM14/BL14-1</f>
        <v>#N/A</v>
      </c>
      <c r="BO14" s="63">
        <v>1811.1665</v>
      </c>
      <c r="BP14" s="46" t="e">
        <f ca="1">BM14/BO14-1</f>
        <v>#N/A</v>
      </c>
      <c r="BQ14" s="64" cm="1">
        <f t="array" ref="BQ14">_xll.FDS("SHOP-US","FE_ESTIMATE("&amp;$B14&amp;",MEAN,ANNUAL_ROLL,"&amp;BL$6&amp;",NOW,,,'')")</f>
        <v>2769.6774999999998</v>
      </c>
      <c r="BR14" s="46">
        <f>BQ14/BO14-1</f>
        <v>0.52922301732060517</v>
      </c>
      <c r="BS14" s="67">
        <v>463.82217664062483</v>
      </c>
      <c r="BT14" s="62" t="e">
        <f ca="1">OFFSET('Revenue Build'!$C$6,MATCH($D14,'Revenue Build'!$C$6:$C$69,0)-1,MATCH(BS$8,'Revenue Build'!$C$4:$EE$4,0)-1)</f>
        <v>#N/A</v>
      </c>
      <c r="BU14" s="46" t="e">
        <f t="shared" ref="BU14" ca="1" si="52">BT14/BS14-1</f>
        <v>#N/A</v>
      </c>
      <c r="BV14" s="63">
        <v>490.57240000000002</v>
      </c>
      <c r="BW14" s="46" t="e">
        <f ca="1">BT14/BV14-1</f>
        <v>#N/A</v>
      </c>
      <c r="BX14" s="64" cm="1">
        <f t="array" ref="BX14">_xll.FDS("SHOP-US","FE_ESTIMATE("&amp;$B14&amp;",MEAN,QTR,"&amp;BS$6&amp;"/"&amp;BS$7&amp;"F,NOW,,,'')")</f>
        <v>749.44970000000001</v>
      </c>
      <c r="BY14" s="46">
        <f t="shared" ref="BY14" si="53">BX14/BV14-1</f>
        <v>0.52770457530835402</v>
      </c>
      <c r="BZ14" s="67">
        <v>529.30035731249984</v>
      </c>
      <c r="CA14" s="62" t="e">
        <f ca="1">OFFSET('Revenue Build'!$C$6,MATCH($D14,'Revenue Build'!$C$6:$C$69,0)-1,MATCH(BZ$8,'Revenue Build'!$C$4:$EE$4,0)-1)</f>
        <v>#N/A</v>
      </c>
      <c r="CB14" s="46" t="e">
        <f t="shared" ref="CB14" ca="1" si="54">CA14/BZ14-1</f>
        <v>#N/A</v>
      </c>
      <c r="CC14" s="63">
        <v>517.95276000000001</v>
      </c>
      <c r="CD14" s="46" t="e">
        <f ca="1">CA14/CC14-1</f>
        <v>#N/A</v>
      </c>
      <c r="CE14" s="64" cm="1">
        <f t="array" ref="CE14">_xll.FDS("SHOP-US","FE_ESTIMATE("&amp;$B14&amp;",MEAN,QTR,"&amp;BZ$6&amp;"/"&amp;BZ$7&amp;"F,NOW,,,'')")</f>
        <v>798.77279999999996</v>
      </c>
      <c r="CF14" s="46">
        <f t="shared" ref="CF14" si="55">CE14/CC14-1</f>
        <v>0.54217307385329883</v>
      </c>
      <c r="CG14" s="67">
        <v>574.00477938281244</v>
      </c>
      <c r="CH14" s="62" t="e">
        <f ca="1">OFFSET('Revenue Build'!$C$6,MATCH($D14,'Revenue Build'!$C$6:$C$69,0)-1,MATCH(CG$8,'Revenue Build'!$C$4:$EE$4,0)-1)</f>
        <v>#N/A</v>
      </c>
      <c r="CI14" s="46" t="e">
        <f t="shared" ref="CI14" ca="1" si="56">CH14/CG14-1</f>
        <v>#N/A</v>
      </c>
      <c r="CJ14" s="63">
        <v>542.19039999999995</v>
      </c>
      <c r="CK14" s="46" t="e">
        <f ca="1">CH14/CJ14-1</f>
        <v>#N/A</v>
      </c>
      <c r="CL14" s="64" cm="1">
        <f t="array" ref="CL14">_xll.FDS("SHOP-US","FE_ESTIMATE("&amp;$B14&amp;",MEAN,QTR,"&amp;CG$6&amp;"/"&amp;CG$7&amp;"F,NOW,,,'')")</f>
        <v>842.76930000000004</v>
      </c>
      <c r="CM14" s="46">
        <f t="shared" ref="CM14" si="57">CL14/CJ14-1</f>
        <v>0.55437886764501942</v>
      </c>
      <c r="CN14" s="67">
        <v>568.62395847436369</v>
      </c>
      <c r="CO14" s="62" t="e">
        <f ca="1">OFFSET('Revenue Build'!$C$6,MATCH($D14,'Revenue Build'!$C$6:$C$69,0)-1,MATCH(CN$8,'Revenue Build'!$C$4:$EE$4,0)-1)</f>
        <v>#N/A</v>
      </c>
      <c r="CP14" s="46" t="e">
        <f t="shared" ref="CP14" ca="1" si="58">CO14/CN14-1</f>
        <v>#N/A</v>
      </c>
      <c r="CQ14" s="63">
        <v>566.02300000000002</v>
      </c>
      <c r="CR14" s="46" t="e">
        <f ca="1">CO14/CQ14-1</f>
        <v>#N/A</v>
      </c>
      <c r="CS14" s="64" cm="1">
        <f t="array" ref="CS14">_xll.FDS("SHOP-US","FE_ESTIMATE("&amp;$B14&amp;",MEAN,QTR,"&amp;CN$6&amp;"/"&amp;CN$7&amp;"F,NOW,,,'')")</f>
        <v>916.15</v>
      </c>
      <c r="CT14" s="46">
        <f t="shared" ref="CT14" si="59">CS14/CQ14-1</f>
        <v>0.61857380353801861</v>
      </c>
      <c r="CU14" s="67">
        <v>2135.7512718103008</v>
      </c>
      <c r="CV14" s="62" t="e">
        <f ca="1">OFFSET('Revenue Build'!$C$6,MATCH($D14,'Revenue Build'!$C$6:$C$69,0)-1,MATCH(CU$8,'Revenue Build'!$C$4:$EE$4,0)-1)</f>
        <v>#N/A</v>
      </c>
      <c r="CW14" s="46" t="e">
        <f t="shared" ref="CW14" ca="1" si="60">CV14/CU14-1</f>
        <v>#N/A</v>
      </c>
      <c r="CX14" s="63">
        <v>2121.9292</v>
      </c>
      <c r="CY14" s="46" t="e">
        <f ca="1">CV14/CX14-1</f>
        <v>#N/A</v>
      </c>
      <c r="CZ14" s="64" cm="1">
        <f t="array" ref="CZ14">_xll.FDS("SHOP-US","FE_ESTIMATE("&amp;$B14&amp;",MEAN,ANNUAL_ROLL,"&amp;CU$6&amp;",NOW,,,'')")</f>
        <v>3247.7937000000002</v>
      </c>
      <c r="DA14" s="46">
        <f>CZ14/CX14-1</f>
        <v>0.53058532772912503</v>
      </c>
      <c r="DB14" s="67">
        <v>537.57154241035062</v>
      </c>
      <c r="DC14" s="62" t="e">
        <f ca="1">OFFSET('Revenue Build'!$C$6,MATCH($D14,'Revenue Build'!$C$6:$C$69,0)-1,MATCH(DB$8,'Revenue Build'!$C$4:$EE$4,0)-1)</f>
        <v>#N/A</v>
      </c>
      <c r="DD14" s="46" t="e">
        <f t="shared" ref="DD14" ca="1" si="61">DC14/DB14-1</f>
        <v>#N/A</v>
      </c>
      <c r="DE14" s="63">
        <v>572.04219999999998</v>
      </c>
      <c r="DF14" s="46" t="e">
        <f ca="1">DC14/DE14-1</f>
        <v>#N/A</v>
      </c>
      <c r="DG14" s="64" cm="1">
        <f t="array" ref="DG14">_xll.FDS("SHOP-US","FE_ESTIMATE("&amp;$B14&amp;",MEAN,QTR,"&amp;DB$6&amp;"/"&amp;DB$7&amp;"F,NOW,,,'')")</f>
        <v>908</v>
      </c>
      <c r="DH14" s="46">
        <f t="shared" ref="DH14" si="62">DG14/DE14-1</f>
        <v>0.58729548274585341</v>
      </c>
      <c r="DI14" s="67">
        <v>613.46098528465347</v>
      </c>
      <c r="DJ14" s="62" t="e">
        <f ca="1">OFFSET('Revenue Build'!$C$6,MATCH($D14,'Revenue Build'!$C$6:$C$69,0)-1,MATCH(DI$8,'Revenue Build'!$C$4:$EE$4,0)-1)</f>
        <v>#N/A</v>
      </c>
      <c r="DK14" s="46" t="e">
        <f t="shared" ref="DK14" ca="1" si="63">DJ14/DI14-1</f>
        <v>#N/A</v>
      </c>
      <c r="DL14" s="63">
        <v>608.78700000000003</v>
      </c>
      <c r="DM14" s="46" t="e">
        <f ca="1">DJ14/DL14-1</f>
        <v>#N/A</v>
      </c>
      <c r="DN14" s="64" cm="1">
        <f t="array" ref="DN14">_xll.FDS("SHOP-US","FE_ESTIMATE("&amp;$B14&amp;",MEAN,QTR,"&amp;DI$6&amp;"/"&amp;DI$7&amp;"F,NOW,,,'')")</f>
        <v>953</v>
      </c>
      <c r="DO14" s="46">
        <f t="shared" ref="DO14" si="64">DN14/DL14-1</f>
        <v>0.56540793413788393</v>
      </c>
      <c r="DP14" s="67">
        <v>665.27356850126284</v>
      </c>
      <c r="DQ14" s="62" t="e">
        <f ca="1">OFFSET('Revenue Build'!$C$6,MATCH($D14,'Revenue Build'!$C$6:$C$69,0)-1,MATCH(DP$8,'Revenue Build'!$C$4:$EE$4,0)-1)</f>
        <v>#N/A</v>
      </c>
      <c r="DR14" s="46" t="e">
        <f t="shared" ref="DR14" ca="1" si="65">DQ14/DP14-1</f>
        <v>#N/A</v>
      </c>
      <c r="DS14" s="63">
        <v>650.51260000000002</v>
      </c>
      <c r="DT14" s="46" t="e">
        <f ca="1">DQ14/DS14-1</f>
        <v>#N/A</v>
      </c>
      <c r="DU14" s="64" cm="1">
        <f t="array" ref="DU14">_xll.FDS("SHOP-US","FE_ESTIMATE("&amp;$B14&amp;",MEAN,QTR,"&amp;DP$6&amp;"/"&amp;DP$7&amp;"F,NOW,,,'')")</f>
        <v>1007</v>
      </c>
      <c r="DV14" s="46">
        <f t="shared" ref="DV14" si="66">DU14/DS14-1</f>
        <v>0.54800998474126406</v>
      </c>
      <c r="DW14" s="67">
        <v>659.03717804632799</v>
      </c>
      <c r="DX14" s="62" t="e">
        <f ca="1">OFFSET('Revenue Build'!$C$6,MATCH($D14,'Revenue Build'!$C$6:$C$69,0)-1,MATCH(DW$8,'Revenue Build'!$C$4:$EE$4,0)-1)</f>
        <v>#N/A</v>
      </c>
      <c r="DY14" s="46" t="e">
        <f t="shared" ref="DY14" ca="1" si="67">DX14/DW14-1</f>
        <v>#N/A</v>
      </c>
      <c r="DZ14" s="63">
        <v>680.85739999999998</v>
      </c>
      <c r="EA14" s="46" t="e">
        <f ca="1">DX14/DZ14-1</f>
        <v>#N/A</v>
      </c>
      <c r="EB14" s="64" cm="1">
        <f t="array" ref="EB14">_xll.FDS("SHOP-US","FE_ESTIMATE("&amp;$B14&amp;",MEAN,QTR,"&amp;DW$6&amp;"/"&amp;DW$7&amp;"F,NOW,,,'')")</f>
        <v>1038</v>
      </c>
      <c r="EC14" s="46" t="e">
        <f ca="1">DX14/EB14-1</f>
        <v>#N/A</v>
      </c>
      <c r="ED14" s="46">
        <f t="shared" ref="ED14" si="68">EB14/DZ14-1</f>
        <v>0.52454831217226983</v>
      </c>
      <c r="EE14" s="67">
        <v>2475.3432742425948</v>
      </c>
      <c r="EF14" s="62" t="e">
        <f ca="1">OFFSET('Revenue Build'!$C$6,MATCH($D14,'Revenue Build'!$C$6:$C$69,0)-1,MATCH(EE$8,'Revenue Build'!$C$4:$EE$4,0)-1)</f>
        <v>#N/A</v>
      </c>
      <c r="EG14" s="46" t="e">
        <f t="shared" ref="EG14" ca="1" si="69">EF14/EE14-1</f>
        <v>#N/A</v>
      </c>
      <c r="EH14" s="63">
        <v>2421.25</v>
      </c>
      <c r="EI14" s="46" t="e">
        <f ca="1">EF14/EH14-1</f>
        <v>#N/A</v>
      </c>
      <c r="EJ14" s="64" cm="1">
        <f t="array" ref="EJ14">_xll.FDS("SHOP-US","FE_ESTIMATE("&amp;$B14&amp;",MEAN,ANNUAL_ROLL,"&amp;EE$6&amp;",NOW,,,'')")</f>
        <v>3739.4333000000001</v>
      </c>
      <c r="EK14" s="46" t="e">
        <f ca="1">EF14/EJ14-1</f>
        <v>#N/A</v>
      </c>
      <c r="EL14" s="51">
        <f>EJ14/EH14-1</f>
        <v>0.54442263293753235</v>
      </c>
    </row>
    <row r="15" spans="2:142" s="59" customFormat="1" ht="18.95" customHeight="1">
      <c r="B15" s="42"/>
      <c r="D15" s="784" t="s">
        <v>140</v>
      </c>
      <c r="E15" s="780">
        <v>7.5090198670953567E-2</v>
      </c>
      <c r="F15" s="781" t="e">
        <f ca="1">OFFSET('Revenue Build'!$C$6,MATCH($D14,'Revenue Build'!$C$6:$C$69,0)+1,MATCH(E$8,'Revenue Build'!$C$4:$EE$4,0)-1)</f>
        <v>#N/A</v>
      </c>
      <c r="G15" s="46" t="e">
        <f ca="1">F15-E15</f>
        <v>#N/A</v>
      </c>
      <c r="H15" s="782"/>
      <c r="I15" s="628"/>
      <c r="J15" s="46">
        <f>I15-H15</f>
        <v>0</v>
      </c>
      <c r="K15" s="780">
        <v>9.6356776778154352E-2</v>
      </c>
      <c r="L15" s="781" t="e">
        <f ca="1">OFFSET('Revenue Build'!$C$6,MATCH($D14,'Revenue Build'!$C$6:$C$69,0)+1,MATCH(K$8,'Revenue Build'!$C$4:$EE$4,0)-1)</f>
        <v>#N/A</v>
      </c>
      <c r="M15" s="46" t="e">
        <f ca="1">L15-K15</f>
        <v>#N/A</v>
      </c>
      <c r="N15" s="782"/>
      <c r="O15" s="628"/>
      <c r="P15" s="46">
        <f>O15-N15</f>
        <v>0</v>
      </c>
      <c r="Q15" s="780">
        <v>0.11925058297244551</v>
      </c>
      <c r="R15" s="781" t="e">
        <f ca="1">OFFSET('Revenue Build'!$C$6,MATCH($D14,'Revenue Build'!$C$6:$C$69,0)+1,MATCH(Q$8,'Revenue Build'!$C$4:$EE$4,0)-1)</f>
        <v>#N/A</v>
      </c>
      <c r="S15" s="46" t="e">
        <f ca="1">R15-Q15</f>
        <v>#N/A</v>
      </c>
      <c r="T15" s="782"/>
      <c r="U15" s="628"/>
      <c r="V15" s="46">
        <f>U15-T15</f>
        <v>0</v>
      </c>
      <c r="W15" s="780">
        <v>0.13964943850937339</v>
      </c>
      <c r="X15" s="781" t="e">
        <f ca="1">OFFSET('Revenue Build'!$C$6,MATCH($D14,'Revenue Build'!$C$6:$C$69,0)+1,MATCH(W$8,'Revenue Build'!$C$4:$EE$4,0)-1)</f>
        <v>#N/A</v>
      </c>
      <c r="Y15" s="46" t="e">
        <f ca="1">X15-W15</f>
        <v>#N/A</v>
      </c>
      <c r="Z15" s="782"/>
      <c r="AA15" s="628"/>
      <c r="AB15" s="46">
        <f>AA15-Z15</f>
        <v>0</v>
      </c>
      <c r="AC15" s="783">
        <v>0.10833741825804899</v>
      </c>
      <c r="AD15" s="781" t="e">
        <f ca="1">OFFSET('Revenue Build'!$C$6,MATCH($D14,'Revenue Build'!$C$6:$C$69,0)+1,MATCH(AC$8,'Revenue Build'!$C$4:$EE$4,0)-1)</f>
        <v>#N/A</v>
      </c>
      <c r="AE15" s="46" t="e">
        <f ca="1">AD15-AC15</f>
        <v>#N/A</v>
      </c>
      <c r="AF15" s="782"/>
      <c r="AH15" s="628"/>
      <c r="AI15" s="46"/>
      <c r="AJ15" s="780">
        <v>0.10801395749519216</v>
      </c>
      <c r="AK15" s="781" t="e">
        <f ca="1">OFFSET('Revenue Build'!$C$6,MATCH($D14,'Revenue Build'!$C$6:$C$69,0)+1,MATCH(AJ$8,'Revenue Build'!$C$4:$EE$4,0)-1)</f>
        <v>#N/A</v>
      </c>
      <c r="AL15" s="46" t="e">
        <f ca="1">AK15-AJ15</f>
        <v>#N/A</v>
      </c>
      <c r="AM15" s="628" t="e">
        <f ca="1">AM14/F14-1</f>
        <v>#N/A</v>
      </c>
      <c r="AN15" s="46" t="e">
        <f ca="1">AK15-AM15</f>
        <v>#N/A</v>
      </c>
      <c r="AO15" s="628" t="e">
        <f ca="1">AO14/F14-1</f>
        <v>#N/A</v>
      </c>
      <c r="AP15" s="46" t="e">
        <f ca="1">AO15-AM15</f>
        <v>#N/A</v>
      </c>
      <c r="AQ15" s="780">
        <v>0.21164819630883946</v>
      </c>
      <c r="AR15" s="781" t="e">
        <f ca="1">OFFSET('Revenue Build'!$C$6,MATCH($D14,'Revenue Build'!$C$6:$C$69,0)+1,MATCH(AQ$8,'Revenue Build'!$C$4:$EE$4,0)-1)</f>
        <v>#N/A</v>
      </c>
      <c r="AS15" s="46" t="e">
        <f ca="1">AR15-AQ15</f>
        <v>#N/A</v>
      </c>
      <c r="AT15" s="628" t="e">
        <v>#DIV/0!</v>
      </c>
      <c r="AU15" s="46" t="e">
        <f ca="1">AR15-AT15</f>
        <v>#N/A</v>
      </c>
      <c r="AV15" s="628" t="e">
        <f ca="1">AV14/M14-1</f>
        <v>#N/A</v>
      </c>
      <c r="AW15" s="46" t="e">
        <f ca="1">AV15-AT15</f>
        <v>#N/A</v>
      </c>
      <c r="AX15" s="780">
        <v>0.29151928907975266</v>
      </c>
      <c r="AY15" s="781" t="e">
        <f ca="1">OFFSET('Revenue Build'!$C$6,MATCH($D14,'Revenue Build'!$C$6:$C$69,0)+1,MATCH(AX$8,'Revenue Build'!$C$4:$EE$4,0)-1)</f>
        <v>#N/A</v>
      </c>
      <c r="AZ15" s="46" t="e">
        <f ca="1">AY15-AX15</f>
        <v>#N/A</v>
      </c>
      <c r="BA15" s="628">
        <v>0.29151928907975266</v>
      </c>
      <c r="BB15" s="46" t="e">
        <f ca="1">AY15-BA15</f>
        <v>#N/A</v>
      </c>
      <c r="BC15" s="628">
        <f>BC14/T14-1</f>
        <v>0.89070451579985188</v>
      </c>
      <c r="BD15" s="46">
        <f>BC15-BA15</f>
        <v>0.59918522672009922</v>
      </c>
      <c r="BE15" s="780">
        <v>0.21419417968749954</v>
      </c>
      <c r="BF15" s="781" t="e">
        <f ca="1">OFFSET('Revenue Build'!$C$6,MATCH($D14,'Revenue Build'!$C$6:$C$69,0)+1,MATCH(BE$8,'Revenue Build'!$C$4:$EE$4,0)-1)</f>
        <v>#N/A</v>
      </c>
      <c r="BG15" s="46" t="e">
        <f ca="1">BF15-BE15</f>
        <v>#N/A</v>
      </c>
      <c r="BH15" s="628">
        <v>0.24783067751977494</v>
      </c>
      <c r="BI15" s="46" t="e">
        <f ca="1">BF15-BH15</f>
        <v>#N/A</v>
      </c>
      <c r="BJ15" s="628">
        <f>BJ14/AA14-1</f>
        <v>0.17086433101564125</v>
      </c>
      <c r="BK15" s="46">
        <f>BJ15-BH15</f>
        <v>-7.6966346504133698E-2</v>
      </c>
      <c r="BL15" s="783">
        <v>0.20851971132195501</v>
      </c>
      <c r="BM15" s="781" t="e">
        <f ca="1">OFFSET('Revenue Build'!$C$6,MATCH($D14,'Revenue Build'!$C$6:$C$69,0)+1,MATCH(BL$8,'Revenue Build'!$C$4:$EE$4,0)-1)</f>
        <v>#N/A</v>
      </c>
      <c r="BN15" s="46" t="e">
        <f ca="1">BM15-BL15</f>
        <v>#N/A</v>
      </c>
      <c r="BO15" s="781" t="e">
        <f ca="1">BO14/AD14-1</f>
        <v>#N/A</v>
      </c>
      <c r="BP15" s="46" t="e">
        <f ca="1">BO15-BM15</f>
        <v>#N/A</v>
      </c>
      <c r="BQ15" s="628" t="e">
        <f ca="1">BQ14/AD14-1</f>
        <v>#N/A</v>
      </c>
      <c r="BR15" s="46" t="e">
        <f ca="1">BQ15-BO15</f>
        <v>#N/A</v>
      </c>
      <c r="BS15" s="780">
        <v>0.21419417968749954</v>
      </c>
      <c r="BT15" s="781" t="e">
        <f ca="1">OFFSET('Revenue Build'!$C$6,MATCH($D14,'Revenue Build'!$C$6:$C$69,0)+1,MATCH(BS$8,'Revenue Build'!$C$4:$EE$4,0)-1)</f>
        <v>#N/A</v>
      </c>
      <c r="BU15" s="46" t="e">
        <f ca="1">BT15-BS15</f>
        <v>#N/A</v>
      </c>
      <c r="BV15" s="628">
        <v>0.28422094240837703</v>
      </c>
      <c r="BW15" s="46" t="e">
        <f ca="1">BT15-BV15</f>
        <v>#N/A</v>
      </c>
      <c r="BX15" s="628">
        <f>BX14/AO14-1</f>
        <v>0.18366389965015228</v>
      </c>
      <c r="BY15" s="46">
        <f>BX15-BV15</f>
        <v>-0.10055704275822475</v>
      </c>
      <c r="BZ15" s="780">
        <v>0.19211792187499954</v>
      </c>
      <c r="CA15" s="781" t="e">
        <f ca="1">OFFSET('Revenue Build'!$C$6,MATCH($D14,'Revenue Build'!$C$6:$C$69,0)+1,MATCH(BZ$8,'Revenue Build'!$C$4:$EE$4,0)-1)</f>
        <v>#N/A</v>
      </c>
      <c r="CB15" s="46" t="e">
        <f ca="1">CA15-BZ15</f>
        <v>#N/A</v>
      </c>
      <c r="CC15" s="628">
        <v>0.16656027027027021</v>
      </c>
      <c r="CD15" s="46" t="e">
        <f ca="1">CA15-CC15</f>
        <v>#N/A</v>
      </c>
      <c r="CE15" s="628">
        <f>CE14/AV14-1</f>
        <v>0.18541890439788911</v>
      </c>
      <c r="CF15" s="46">
        <f>CE15-CC15</f>
        <v>1.8858634127618901E-2</v>
      </c>
      <c r="CG15" s="780">
        <v>0.18107979296874999</v>
      </c>
      <c r="CH15" s="781" t="e">
        <f ca="1">OFFSET('Revenue Build'!$C$6,MATCH($D14,'Revenue Build'!$C$6:$C$69,0)+1,MATCH(CG$8,'Revenue Build'!$C$4:$EE$4,0)-1)</f>
        <v>#N/A</v>
      </c>
      <c r="CI15" s="46" t="e">
        <f ca="1">CH15-CG15</f>
        <v>#N/A</v>
      </c>
      <c r="CJ15" s="628">
        <v>0.1156181069958846</v>
      </c>
      <c r="CK15" s="46" t="e">
        <f ca="1">CH15-CJ15</f>
        <v>#N/A</v>
      </c>
      <c r="CL15" s="628">
        <f>CL14/BC14-1</f>
        <v>0.18453984263655454</v>
      </c>
      <c r="CM15" s="46">
        <f>CL15-CJ15</f>
        <v>6.8921735640669946E-2</v>
      </c>
      <c r="CN15" s="780">
        <v>0.17004166406249976</v>
      </c>
      <c r="CO15" s="781" t="e">
        <f ca="1">OFFSET('Revenue Build'!$C$6,MATCH($D14,'Revenue Build'!$C$6:$C$69,0)+1,MATCH(CN$8,'Revenue Build'!$C$4:$EE$4,0)-1)</f>
        <v>#N/A</v>
      </c>
      <c r="CP15" s="46" t="e">
        <f ca="1">CO15-CN15</f>
        <v>#N/A</v>
      </c>
      <c r="CQ15" s="628">
        <v>0.13329439177019831</v>
      </c>
      <c r="CR15" s="46" t="e">
        <f ca="1">CO15-CQ15</f>
        <v>#N/A</v>
      </c>
      <c r="CS15" s="628">
        <f>CS14/BJ14-1</f>
        <v>0.20583306526805911</v>
      </c>
      <c r="CT15" s="46">
        <f>CS15-CQ15</f>
        <v>7.2538673497860806E-2</v>
      </c>
      <c r="CU15" s="783">
        <v>0.18785751396934747</v>
      </c>
      <c r="CV15" s="781" t="e">
        <f ca="1">OFFSET('Revenue Build'!$C$6,MATCH($D14,'Revenue Build'!$C$6:$C$69,0)+1,MATCH(CU$8,'Revenue Build'!$C$4:$EE$4,0)-1)</f>
        <v>#N/A</v>
      </c>
      <c r="CW15" s="46" t="e">
        <f ca="1">CV15-CU15</f>
        <v>#N/A</v>
      </c>
      <c r="CX15" s="781">
        <v>0.18016998402370321</v>
      </c>
      <c r="CY15" s="46" t="e">
        <f ca="1">CX15-CV15</f>
        <v>#N/A</v>
      </c>
      <c r="CZ15" s="628" t="e">
        <f ca="1">CZ14/BM14-1</f>
        <v>#N/A</v>
      </c>
      <c r="DA15" s="46" t="e">
        <f ca="1">CZ15-CX15</f>
        <v>#N/A</v>
      </c>
      <c r="DB15" s="780">
        <v>0.15900353515624954</v>
      </c>
      <c r="DC15" s="781" t="e">
        <f ca="1">OFFSET('Revenue Build'!$C$6,MATCH($D14,'Revenue Build'!$C$6:$C$69,0)+1,MATCH(DB$8,'Revenue Build'!$C$4:$EE$4,0)-1)</f>
        <v>#N/A</v>
      </c>
      <c r="DD15" s="46" t="e">
        <f ca="1">DC15-DB15</f>
        <v>#N/A</v>
      </c>
      <c r="DE15" s="628">
        <v>0.16607090003432723</v>
      </c>
      <c r="DF15" s="46" t="e">
        <f ca="1">DC15-DE15</f>
        <v>#N/A</v>
      </c>
      <c r="DG15" s="628">
        <f>DG14/BX14-1</f>
        <v>0.21155562541422057</v>
      </c>
      <c r="DH15" s="46">
        <f>DG15-DE15</f>
        <v>4.5484725379893343E-2</v>
      </c>
      <c r="DI15" s="780">
        <v>0.15900353515624976</v>
      </c>
      <c r="DJ15" s="781" t="e">
        <f ca="1">OFFSET('Revenue Build'!$C$6,MATCH($D14,'Revenue Build'!$C$6:$C$69,0)+1,MATCH(DI$8,'Revenue Build'!$C$4:$EE$4,0)-1)</f>
        <v>#N/A</v>
      </c>
      <c r="DK15" s="46" t="e">
        <f ca="1">DJ15-DI15</f>
        <v>#N/A</v>
      </c>
      <c r="DL15" s="628">
        <v>0.17537166903020274</v>
      </c>
      <c r="DM15" s="46" t="e">
        <f ca="1">DJ15-DL15</f>
        <v>#N/A</v>
      </c>
      <c r="DN15" s="628">
        <f>DN14/CE14-1</f>
        <v>0.19308018500379598</v>
      </c>
      <c r="DO15" s="46">
        <f>DN15-DL15</f>
        <v>1.7708515973593242E-2</v>
      </c>
      <c r="DP15" s="780">
        <v>0.15900353515624976</v>
      </c>
      <c r="DQ15" s="781" t="e">
        <f ca="1">OFFSET('Revenue Build'!$C$6,MATCH($D14,'Revenue Build'!$C$6:$C$69,0)+1,MATCH(DP$8,'Revenue Build'!$C$4:$EE$4,0)-1)</f>
        <v>#N/A</v>
      </c>
      <c r="DR15" s="46" t="e">
        <f ca="1">DQ15-DP15</f>
        <v>#N/A</v>
      </c>
      <c r="DS15" s="628">
        <v>0.19978627434200247</v>
      </c>
      <c r="DT15" s="46" t="e">
        <f ca="1">DQ15-DS15</f>
        <v>#N/A</v>
      </c>
      <c r="DU15" s="628">
        <f>DU14/CL14-1</f>
        <v>0.19487029249878929</v>
      </c>
      <c r="DV15" s="46">
        <f>DU15-DS15</f>
        <v>-4.9159818432131797E-3</v>
      </c>
      <c r="DW15" s="780">
        <v>0.15900353515624954</v>
      </c>
      <c r="DX15" s="781" t="e">
        <f ca="1">OFFSET('Revenue Build'!$C$6,MATCH($D14,'Revenue Build'!$C$6:$C$69,0)+1,MATCH(DW$8,'Revenue Build'!$C$4:$EE$4,0)-1)</f>
        <v>#N/A</v>
      </c>
      <c r="DY15" s="46" t="e">
        <f ca="1">DX15-DW15</f>
        <v>#N/A</v>
      </c>
      <c r="DZ15" s="628">
        <v>0.20287938829340857</v>
      </c>
      <c r="EA15" s="46" t="e">
        <f ca="1">DX15-DZ15</f>
        <v>#N/A</v>
      </c>
      <c r="EB15" s="628">
        <f>EB14/CS14-1</f>
        <v>0.1330022376248432</v>
      </c>
      <c r="EC15" s="46" t="e">
        <f ca="1">DX15-DZ15</f>
        <v>#N/A</v>
      </c>
      <c r="ED15" s="46">
        <f>EB15-DZ15</f>
        <v>-6.9877150668565369E-2</v>
      </c>
      <c r="EE15" s="783">
        <v>0.15900353515624976</v>
      </c>
      <c r="EF15" s="781" t="e">
        <f ca="1">OFFSET('Revenue Build'!$C$6,MATCH($D14,'Revenue Build'!$C$6:$C$69,0)+1,MATCH(EE$8,'Revenue Build'!$C$4:$EE$4,0)-1)</f>
        <v>#N/A</v>
      </c>
      <c r="EG15" s="46" t="e">
        <f ca="1">EF15-EE15</f>
        <v>#N/A</v>
      </c>
      <c r="EH15" s="781">
        <v>0.13367601928089012</v>
      </c>
      <c r="EI15" s="46" t="e">
        <f ca="1">EF15-EH15</f>
        <v>#N/A</v>
      </c>
      <c r="EJ15" s="628" t="e">
        <f ca="1">EJ14/CV14-1</f>
        <v>#N/A</v>
      </c>
      <c r="EK15" s="46" t="e">
        <f ca="1">EF15-EH15</f>
        <v>#N/A</v>
      </c>
      <c r="EL15" s="51" t="e">
        <f ca="1">EJ15-EH15</f>
        <v>#N/A</v>
      </c>
    </row>
    <row r="16" spans="2:142" s="59" customFormat="1" ht="18.95" customHeight="1">
      <c r="B16" s="42" t="s">
        <v>372</v>
      </c>
      <c r="D16" s="68" t="s">
        <v>346</v>
      </c>
      <c r="E16" s="67">
        <v>858.86199999999997</v>
      </c>
      <c r="F16" s="62" t="e">
        <f ca="1">OFFSET('Revenue Build'!$C$6,MATCH($D16,'Revenue Build'!$C$6:$C$69,0)-1,MATCH(E$8,'Revenue Build'!$C$4:$EE$4,0)-1)</f>
        <v>#N/A</v>
      </c>
      <c r="G16" s="46" t="e">
        <f t="shared" ca="1" si="0"/>
        <v>#N/A</v>
      </c>
      <c r="H16" s="63">
        <v>858.86199999999997</v>
      </c>
      <c r="I16" s="64" cm="1">
        <f t="array" ref="I16">_xll.FDS("SHOP-US","FE_ESTIMATE("&amp;$B16&amp;",MEAN,QTR,"&amp;E$6&amp;"/"&amp;E$7&amp;"F,NOW,,,'')")</f>
        <v>1350</v>
      </c>
      <c r="J16" s="46">
        <f t="shared" si="1"/>
        <v>0.57184739806860718</v>
      </c>
      <c r="K16" s="67">
        <v>928.62</v>
      </c>
      <c r="L16" s="62" t="e">
        <f ca="1">OFFSET('Revenue Build'!$C$6,MATCH($D16,'Revenue Build'!$C$6:$C$69,0)-1,MATCH(K$8,'Revenue Build'!$C$4:$EE$4,0)-1)</f>
        <v>#N/A</v>
      </c>
      <c r="M16" s="46" t="e">
        <f t="shared" ref="M16" ca="1" si="70">L16/K16-1</f>
        <v>#N/A</v>
      </c>
      <c r="N16" s="63">
        <v>928.62</v>
      </c>
      <c r="O16" s="64" cm="1">
        <f t="array" ref="O16">_xll.FDS("SHOP-US","FE_ESTIMATE("&amp;$B16&amp;",MEAN,QTR,"&amp;K$6&amp;"/"&amp;K$7&amp;"F,NOW,,,'')")</f>
        <v>1482</v>
      </c>
      <c r="P16" s="46">
        <f t="shared" ref="P16" si="71">O16/N16-1</f>
        <v>0.59591652128965555</v>
      </c>
      <c r="Q16" s="67">
        <v>989.899</v>
      </c>
      <c r="R16" s="62" t="e">
        <f ca="1">OFFSET('Revenue Build'!$C$6,MATCH($D16,'Revenue Build'!$C$6:$C$69,0)-1,MATCH(Q$8,'Revenue Build'!$C$4:$EE$4,0)-1)</f>
        <v>#N/A</v>
      </c>
      <c r="S16" s="46" t="e">
        <f t="shared" ref="S16" ca="1" si="72">R16/Q16-1</f>
        <v>#N/A</v>
      </c>
      <c r="T16" s="63">
        <v>989.899</v>
      </c>
      <c r="U16" s="64" cm="1">
        <f t="array" ref="U16">_xll.FDS("SHOP-US","FE_ESTIMATE("&amp;$B16&amp;",MEAN,QTR,"&amp;Q$6&amp;"/"&amp;Q$7&amp;"F,NOW,,,'')")</f>
        <v>1552</v>
      </c>
      <c r="V16" s="46">
        <f t="shared" ref="V16" si="73">U16/T16-1</f>
        <v>0.56783671869554375</v>
      </c>
      <c r="W16" s="67">
        <v>1334.7239999999999</v>
      </c>
      <c r="X16" s="62" t="e">
        <f ca="1">OFFSET('Revenue Build'!$C$6,MATCH($D16,'Revenue Build'!$C$6:$C$69,0)-1,MATCH(W$8,'Revenue Build'!$C$4:$EE$4,0)-1)</f>
        <v>#N/A</v>
      </c>
      <c r="Y16" s="46" t="e">
        <f t="shared" ref="Y16" ca="1" si="74">X16/W16-1</f>
        <v>#N/A</v>
      </c>
      <c r="Z16" s="63">
        <v>1334.7239999999999</v>
      </c>
      <c r="AA16" s="64" cm="1">
        <f t="array" ref="AA16">_xll.FDS("SHOP-US","FE_ESTIMATE("&amp;$B16&amp;",MEAN,QTR,"&amp;W$6&amp;"/"&amp;W$7&amp;"F,NOW,,,'')")</f>
        <v>2069.3555000000001</v>
      </c>
      <c r="AB16" s="46">
        <f t="shared" ref="AB16" si="75">AA16/Z16-1</f>
        <v>0.55039955826073417</v>
      </c>
      <c r="AC16" s="67">
        <v>4112.1049999999996</v>
      </c>
      <c r="AD16" s="62" t="e">
        <f ca="1">OFFSET('Revenue Build'!$C$6,MATCH($D16,'Revenue Build'!$C$6:$C$69,0)-1,MATCH(AC$8,'Revenue Build'!$C$4:$EE$4,0)-1)</f>
        <v>#N/A</v>
      </c>
      <c r="AE16" s="46" t="e">
        <f t="shared" ref="AE16" ca="1" si="76">AD16/AC16-1</f>
        <v>#N/A</v>
      </c>
      <c r="AF16" s="63">
        <v>4112.1049999999996</v>
      </c>
      <c r="AG16" s="46" t="e">
        <f ca="1">AD16/AF16-1</f>
        <v>#N/A</v>
      </c>
      <c r="AH16" s="64" cm="1">
        <f t="array" ref="AH16">_xll.FDS("SHOP-US","FE_ESTIMATE("&amp;$B16&amp;",MEAN,ANNUAL_ROLL,"&amp;AC$6&amp;",NOW,,,'')")</f>
        <v>6460.0054</v>
      </c>
      <c r="AI16" s="46">
        <f>AH16/AF16-1</f>
        <v>0.57097287155848431</v>
      </c>
      <c r="AJ16" s="67">
        <v>1126</v>
      </c>
      <c r="AK16" s="62" t="e">
        <f ca="1">OFFSET('Revenue Build'!$C$6,MATCH($D16,'Revenue Build'!$C$6:$C$69,0)-1,MATCH(AJ$8,'Revenue Build'!$C$4:$EE$4,0)-1)</f>
        <v>#N/A</v>
      </c>
      <c r="AL16" s="46" t="e">
        <f t="shared" ref="AL16" ca="1" si="77">AK16/AJ16-1</f>
        <v>#N/A</v>
      </c>
      <c r="AM16" s="63">
        <v>1126</v>
      </c>
      <c r="AN16" s="46" t="e">
        <f ca="1">AK16/AM16-1</f>
        <v>#N/A</v>
      </c>
      <c r="AO16" s="64" cm="1">
        <f t="array" ref="AO16">_xll.FDS("SHOP-US","FE_ESTIMATE("&amp;$B16&amp;",MEAN,QTR,"&amp;AJ$6&amp;"/"&amp;AJ$7&amp;"F,NOW,,,'')")</f>
        <v>1688.2764</v>
      </c>
      <c r="AP16" s="46">
        <f t="shared" ref="AP16" si="78">AO16/AM16-1</f>
        <v>0.49935737122557722</v>
      </c>
      <c r="AQ16" s="67">
        <v>1250</v>
      </c>
      <c r="AR16" s="62" t="e">
        <f ca="1">OFFSET('Revenue Build'!$C$6,MATCH($D16,'Revenue Build'!$C$6:$C$69,0)-1,MATCH(AQ$8,'Revenue Build'!$C$4:$EE$4,0)-1)</f>
        <v>#N/A</v>
      </c>
      <c r="AS16" s="46" t="e">
        <f t="shared" ref="AS16" ca="1" si="79">AR16/AQ16-1</f>
        <v>#N/A</v>
      </c>
      <c r="AT16" s="63">
        <v>1250</v>
      </c>
      <c r="AU16" s="46" t="e">
        <f ca="1">AR16/AT16-1</f>
        <v>#N/A</v>
      </c>
      <c r="AV16" s="64" cm="1">
        <f t="array" ref="AV16">_xll.FDS("SHOP-US","FE_ESTIMATE("&amp;$B16&amp;",MEAN,QTR,"&amp;AQ$6&amp;"/"&amp;AQ$7&amp;"F,NOW,,,'')")</f>
        <v>1848.4647</v>
      </c>
      <c r="AW16" s="46">
        <f t="shared" ref="AW16" si="80">AV16/AT16-1</f>
        <v>0.4787717600000001</v>
      </c>
      <c r="AX16" s="67">
        <v>1228</v>
      </c>
      <c r="AY16" s="62" t="e">
        <f ca="1">OFFSET('Revenue Build'!$C$6,MATCH($D16,'Revenue Build'!$C$6:$C$69,0)-1,MATCH(AX$8,'Revenue Build'!$C$4:$EE$4,0)-1)</f>
        <v>#N/A</v>
      </c>
      <c r="AZ16" s="46" t="e">
        <f t="shared" ref="AZ16" ca="1" si="81">AY16/AX16-1</f>
        <v>#N/A</v>
      </c>
      <c r="BA16" s="63">
        <v>1228</v>
      </c>
      <c r="BB16" s="46" t="e">
        <f ca="1">AY16/BA16-1</f>
        <v>#N/A</v>
      </c>
      <c r="BC16" s="64" cm="1">
        <f t="array" ref="BC16">_xll.FDS("SHOP-US","FE_ESTIMATE("&amp;$B16&amp;",MEAN,QTR,"&amp;AX$6&amp;"/"&amp;AX$7&amp;"F,NOW,,,'')")</f>
        <v>1913.0763999999999</v>
      </c>
      <c r="BD16" s="46">
        <f t="shared" ref="BD16" si="82">BC16/BA16-1</f>
        <v>0.55787980456026043</v>
      </c>
      <c r="BE16" s="67">
        <v>1718.0812920762992</v>
      </c>
      <c r="BF16" s="62" t="e">
        <f ca="1">OFFSET('Revenue Build'!$C$6,MATCH($D16,'Revenue Build'!$C$6:$C$69,0)-1,MATCH(BE$8,'Revenue Build'!$C$4:$EE$4,0)-1)</f>
        <v>#N/A</v>
      </c>
      <c r="BG16" s="46" t="e">
        <f t="shared" ref="BG16" ca="1" si="83">BF16/BE16-1</f>
        <v>#N/A</v>
      </c>
      <c r="BH16" s="63">
        <v>1570.9265</v>
      </c>
      <c r="BI16" s="46" t="e">
        <f ca="1">BF16/BH16-1</f>
        <v>#N/A</v>
      </c>
      <c r="BJ16" s="64" cm="1">
        <f t="array" ref="BJ16">_xll.FDS("SHOP-US","FE_ESTIMATE("&amp;$B16&amp;",MEAN,QTR,"&amp;BE$6&amp;"/"&amp;BE$7&amp;"F,NOW,,,'')")</f>
        <v>2531.8539999999998</v>
      </c>
      <c r="BK16" s="46">
        <f t="shared" ref="BK16" si="84">BJ16/BH16-1</f>
        <v>0.61169475465593059</v>
      </c>
      <c r="BL16" s="67">
        <v>5322.0812920762992</v>
      </c>
      <c r="BM16" s="62" t="e">
        <f ca="1">OFFSET('Revenue Build'!$C$6,MATCH($D16,'Revenue Build'!$C$6:$C$69,0)-1,MATCH(BL$8,'Revenue Build'!$C$4:$EE$4,0)-1)</f>
        <v>#N/A</v>
      </c>
      <c r="BN16" s="46" t="e">
        <f t="shared" ref="BN16" ca="1" si="85">BM16/BL16-1</f>
        <v>#N/A</v>
      </c>
      <c r="BO16" s="63">
        <v>5174.3370000000004</v>
      </c>
      <c r="BP16" s="46" t="e">
        <f ca="1">BM16/BO16-1</f>
        <v>#N/A</v>
      </c>
      <c r="BQ16" s="64" cm="1">
        <f t="array" ref="BQ16">_xll.FDS("SHOP-US","FE_ESTIMATE("&amp;$B16&amp;",MEAN,ANNUAL_ROLL,"&amp;BL$6&amp;",NOW,,,'')")</f>
        <v>8000.8755000000001</v>
      </c>
      <c r="BR16" s="46">
        <f>BQ16/BO16-1</f>
        <v>0.54626099923526428</v>
      </c>
      <c r="BS16" s="67">
        <v>1361.8822925803254</v>
      </c>
      <c r="BT16" s="62" t="e">
        <f ca="1">OFFSET('Revenue Build'!$C$6,MATCH($D16,'Revenue Build'!$C$6:$C$69,0)-1,MATCH(BS$8,'Revenue Build'!$C$4:$EE$4,0)-1)</f>
        <v>#N/A</v>
      </c>
      <c r="BU16" s="46" t="e">
        <f t="shared" ref="BU16" ca="1" si="86">BT16/BS16-1</f>
        <v>#N/A</v>
      </c>
      <c r="BV16" s="63">
        <v>1322.7509</v>
      </c>
      <c r="BW16" s="46" t="e">
        <f ca="1">BT16/BV16-1</f>
        <v>#N/A</v>
      </c>
      <c r="BX16" s="64" cm="1">
        <f t="array" ref="BX16">_xll.FDS("SHOP-US","FE_ESTIMATE("&amp;$B16&amp;",MEAN,QTR,"&amp;BS$6&amp;"/"&amp;BS$7&amp;"F,NOW,,,'')")</f>
        <v>2031.7443000000001</v>
      </c>
      <c r="BY16" s="46">
        <f t="shared" ref="BY16" si="87">BX16/BV16-1</f>
        <v>0.53599918170533845</v>
      </c>
      <c r="BZ16" s="67">
        <v>1481.0854062240353</v>
      </c>
      <c r="CA16" s="62" t="e">
        <f ca="1">OFFSET('Revenue Build'!$C$6,MATCH($D16,'Revenue Build'!$C$6:$C$69,0)-1,MATCH(BZ$8,'Revenue Build'!$C$4:$EE$4,0)-1)</f>
        <v>#N/A</v>
      </c>
      <c r="CB16" s="46" t="e">
        <f t="shared" ref="CB16" ca="1" si="88">CA16/BZ16-1</f>
        <v>#N/A</v>
      </c>
      <c r="CC16" s="63">
        <v>1463.64</v>
      </c>
      <c r="CD16" s="46" t="e">
        <f ca="1">CA16/CC16-1</f>
        <v>#N/A</v>
      </c>
      <c r="CE16" s="64" cm="1">
        <f t="array" ref="CE16">_xll.FDS("SHOP-US","FE_ESTIMATE("&amp;$B16&amp;",MEAN,QTR,"&amp;BZ$6&amp;"/"&amp;BZ$7&amp;"F,NOW,,,'')")</f>
        <v>2208.6367</v>
      </c>
      <c r="CF16" s="46">
        <f t="shared" ref="CF16" si="89">CE16/CC16-1</f>
        <v>0.50900269191877778</v>
      </c>
      <c r="CG16" s="67">
        <v>1548.9188831467798</v>
      </c>
      <c r="CH16" s="62" t="e">
        <f ca="1">OFFSET('Revenue Build'!$C$6,MATCH($D16,'Revenue Build'!$C$6:$C$69,0)-1,MATCH(CG$8,'Revenue Build'!$C$4:$EE$4,0)-1)</f>
        <v>#N/A</v>
      </c>
      <c r="CI16" s="46" t="e">
        <f t="shared" ref="CI16" ca="1" si="90">CH16/CG16-1</f>
        <v>#N/A</v>
      </c>
      <c r="CJ16" s="63">
        <v>1483.6270999999999</v>
      </c>
      <c r="CK16" s="46" t="e">
        <f ca="1">CH16/CJ16-1</f>
        <v>#N/A</v>
      </c>
      <c r="CL16" s="64" cm="1">
        <f t="array" ref="CL16">_xll.FDS("SHOP-US","FE_ESTIMATE("&amp;$B16&amp;",MEAN,QTR,"&amp;CG$6&amp;"/"&amp;CG$7&amp;"F,NOW,,,'')")</f>
        <v>2295.6624000000002</v>
      </c>
      <c r="CM16" s="46">
        <f t="shared" ref="CM16" si="91">CL16/CJ16-1</f>
        <v>0.54733113192661431</v>
      </c>
      <c r="CN16" s="67">
        <v>2107.3247358877443</v>
      </c>
      <c r="CO16" s="62" t="e">
        <f ca="1">OFFSET('Revenue Build'!$C$6,MATCH($D16,'Revenue Build'!$C$6:$C$69,0)-1,MATCH(CN$8,'Revenue Build'!$C$4:$EE$4,0)-1)</f>
        <v>#N/A</v>
      </c>
      <c r="CP16" s="46" t="e">
        <f t="shared" ref="CP16" ca="1" si="92">CO16/CN16-1</f>
        <v>#N/A</v>
      </c>
      <c r="CQ16" s="63">
        <v>1916.5413000000001</v>
      </c>
      <c r="CR16" s="46" t="e">
        <f ca="1">CO16/CQ16-1</f>
        <v>#N/A</v>
      </c>
      <c r="CS16" s="64" cm="1">
        <f t="array" ref="CS16">_xll.FDS("SHOP-US","FE_ESTIMATE("&amp;$B16&amp;",MEAN,QTR,"&amp;CN$6&amp;"/"&amp;CN$7&amp;"F,NOW,,,'')")</f>
        <v>3025.4333000000001</v>
      </c>
      <c r="CT16" s="46">
        <f t="shared" ref="CT16" si="93">CS16/CQ16-1</f>
        <v>0.57859019265590561</v>
      </c>
      <c r="CU16" s="67">
        <v>6499.2113178388845</v>
      </c>
      <c r="CV16" s="62" t="e">
        <f ca="1">OFFSET('Revenue Build'!$C$6,MATCH($D16,'Revenue Build'!$C$6:$C$69,0)-1,MATCH(CU$8,'Revenue Build'!$C$4:$EE$4,0)-1)</f>
        <v>#N/A</v>
      </c>
      <c r="CW16" s="46" t="e">
        <f t="shared" ref="CW16" ca="1" si="94">CV16/CU16-1</f>
        <v>#N/A</v>
      </c>
      <c r="CX16" s="63">
        <v>6192.3734999999997</v>
      </c>
      <c r="CY16" s="46" t="e">
        <f ca="1">CV16/CX16-1</f>
        <v>#N/A</v>
      </c>
      <c r="CZ16" s="64" cm="1">
        <f t="array" ref="CZ16">_xll.FDS("SHOP-US","FE_ESTIMATE("&amp;$B16&amp;",MEAN,ANNUAL_ROLL,"&amp;CU$6&amp;",NOW,,,'')")</f>
        <v>9683.0169999999998</v>
      </c>
      <c r="DA16" s="46">
        <f>CZ16/CX16-1</f>
        <v>0.56370041309685215</v>
      </c>
      <c r="DB16" s="67">
        <v>1668.8366364673743</v>
      </c>
      <c r="DC16" s="62" t="e">
        <f ca="1">OFFSET('Revenue Build'!$C$6,MATCH($D16,'Revenue Build'!$C$6:$C$69,0)-1,MATCH(DB$8,'Revenue Build'!$C$4:$EE$4,0)-1)</f>
        <v>#N/A</v>
      </c>
      <c r="DD16" s="46" t="e">
        <f t="shared" ref="DD16" ca="1" si="95">DC16/DB16-1</f>
        <v>#N/A</v>
      </c>
      <c r="DE16" s="63">
        <v>1653.2393999999999</v>
      </c>
      <c r="DF16" s="46" t="e">
        <f ca="1">DC16/DE16-1</f>
        <v>#N/A</v>
      </c>
      <c r="DG16" s="64" cm="1">
        <f t="array" ref="DG16">_xll.FDS("SHOP-US","FE_ESTIMATE("&amp;$B16&amp;",MEAN,QTR,"&amp;DB$6&amp;"/"&amp;DB$7&amp;"F,NOW,,,'')")</f>
        <v>2641</v>
      </c>
      <c r="DH16" s="46">
        <f t="shared" ref="DH16" si="96">DG16/DE16-1</f>
        <v>0.59746979173131254</v>
      </c>
      <c r="DI16" s="67">
        <v>1815.2007171576406</v>
      </c>
      <c r="DJ16" s="62" t="e">
        <f ca="1">OFFSET('Revenue Build'!$C$6,MATCH($D16,'Revenue Build'!$C$6:$C$69,0)-1,MATCH(DI$8,'Revenue Build'!$C$4:$EE$4,0)-1)</f>
        <v>#N/A</v>
      </c>
      <c r="DK16" s="46" t="e">
        <f t="shared" ref="DK16" ca="1" si="97">DJ16/DI16-1</f>
        <v>#N/A</v>
      </c>
      <c r="DL16" s="63">
        <v>1783.4698000000001</v>
      </c>
      <c r="DM16" s="46" t="e">
        <f ca="1">DJ16/DL16-1</f>
        <v>#N/A</v>
      </c>
      <c r="DN16" s="64" cm="1">
        <f t="array" ref="DN16">_xll.FDS("SHOP-US","FE_ESTIMATE("&amp;$B16&amp;",MEAN,QTR,"&amp;DI$6&amp;"/"&amp;DI$7&amp;"F,NOW,,,'')")</f>
        <v>2828</v>
      </c>
      <c r="DO16" s="46">
        <f t="shared" ref="DO16" si="98">DN16/DL16-1</f>
        <v>0.58567305148648985</v>
      </c>
      <c r="DP16" s="67">
        <v>1894.6823656187964</v>
      </c>
      <c r="DQ16" s="62" t="e">
        <f ca="1">OFFSET('Revenue Build'!$C$6,MATCH($D16,'Revenue Build'!$C$6:$C$69,0)-1,MATCH(DP$8,'Revenue Build'!$C$4:$EE$4,0)-1)</f>
        <v>#N/A</v>
      </c>
      <c r="DR16" s="46" t="e">
        <f t="shared" ref="DR16" ca="1" si="99">DQ16/DP16-1</f>
        <v>#N/A</v>
      </c>
      <c r="DS16" s="63">
        <v>1797.1952000000001</v>
      </c>
      <c r="DT16" s="46" t="e">
        <f ca="1">DQ16/DS16-1</f>
        <v>#N/A</v>
      </c>
      <c r="DU16" s="64" cm="1">
        <f t="array" ref="DU16">_xll.FDS("SHOP-US","FE_ESTIMATE("&amp;$B16&amp;",MEAN,QTR,"&amp;DP$6&amp;"/"&amp;DP$7&amp;"F,NOW,,,'')")</f>
        <v>2967</v>
      </c>
      <c r="DV16" s="46">
        <f t="shared" ref="DV16" si="100">DU16/DS16-1</f>
        <v>0.65090581145553905</v>
      </c>
      <c r="DW16" s="67">
        <v>2574.6843837709057</v>
      </c>
      <c r="DX16" s="62" t="e">
        <f ca="1">OFFSET('Revenue Build'!$C$6,MATCH($D16,'Revenue Build'!$C$6:$C$69,0)-1,MATCH(DW$8,'Revenue Build'!$C$4:$EE$4,0)-1)</f>
        <v>#N/A</v>
      </c>
      <c r="DY16" s="46" t="e">
        <f t="shared" ref="DY16" ca="1" si="101">DX16/DW16-1</f>
        <v>#N/A</v>
      </c>
      <c r="DZ16" s="63">
        <v>2323.4340000000002</v>
      </c>
      <c r="EA16" s="46" t="e">
        <f ca="1">DX16/DZ16-1</f>
        <v>#N/A</v>
      </c>
      <c r="EB16" s="64" cm="1">
        <f t="array" ref="EB16">_xll.FDS("SHOP-US","FE_ESTIMATE("&amp;$B16&amp;",MEAN,QTR,"&amp;DW$6&amp;"/"&amp;DW$7&amp;"F,NOW,,,'')")</f>
        <v>3927</v>
      </c>
      <c r="EC16" s="46" t="e">
        <f ca="1">DX16/EB16-1</f>
        <v>#N/A</v>
      </c>
      <c r="ED16" s="46">
        <f t="shared" ref="ED16" si="102">EB16/DZ16-1</f>
        <v>0.6901706697930734</v>
      </c>
      <c r="EE16" s="67">
        <v>7953.4041030147173</v>
      </c>
      <c r="EF16" s="62" t="e">
        <f ca="1">OFFSET('Revenue Build'!$C$6,MATCH($D16,'Revenue Build'!$C$6:$C$69,0)-1,MATCH(EE$8,'Revenue Build'!$C$4:$EE$4,0)-1)</f>
        <v>#N/A</v>
      </c>
      <c r="EG16" s="46" t="e">
        <f t="shared" ref="EG16" ca="1" si="103">EF16/EE16-1</f>
        <v>#N/A</v>
      </c>
      <c r="EH16" s="63">
        <v>7467.0326999999997</v>
      </c>
      <c r="EI16" s="46" t="e">
        <f ca="1">EF16/EH16-1</f>
        <v>#N/A</v>
      </c>
      <c r="EJ16" s="64" cm="1">
        <f t="array" ref="EJ16">_xll.FDS("SHOP-US","FE_ESTIMATE("&amp;$B16&amp;",MEAN,ANNUAL_ROLL,"&amp;EE$6&amp;",NOW,,,'')")</f>
        <v>12144.833000000001</v>
      </c>
      <c r="EK16" s="46" t="e">
        <f ca="1">EF16/EJ16-1</f>
        <v>#N/A</v>
      </c>
      <c r="EL16" s="51">
        <f>EJ16/EH16-1</f>
        <v>0.62646040106399981</v>
      </c>
    </row>
    <row r="17" spans="2:142" s="59" customFormat="1" ht="18.95" customHeight="1">
      <c r="B17" s="42"/>
      <c r="D17" s="785" t="s">
        <v>140</v>
      </c>
      <c r="E17" s="786">
        <v>0.28578700113478828</v>
      </c>
      <c r="F17" s="787" t="e">
        <f ca="1">OFFSET('Revenue Build'!$C$6,MATCH($D16,'Revenue Build'!$C$6:$C$69,0)+1,MATCH(E$8,'Revenue Build'!$C$4:$EE$4,0)-1)</f>
        <v>#N/A</v>
      </c>
      <c r="G17" s="55" t="e">
        <f ca="1">F17-E17</f>
        <v>#N/A</v>
      </c>
      <c r="H17" s="788"/>
      <c r="I17" s="789"/>
      <c r="J17" s="58">
        <f>I17-H17</f>
        <v>0</v>
      </c>
      <c r="K17" s="786">
        <v>0.18264205153284241</v>
      </c>
      <c r="L17" s="787" t="e">
        <f ca="1">OFFSET('Revenue Build'!$C$6,MATCH($D16,'Revenue Build'!$C$6:$C$69,0)+1,MATCH(K$8,'Revenue Build'!$C$4:$EE$4,0)-1)</f>
        <v>#N/A</v>
      </c>
      <c r="M17" s="55" t="e">
        <f ca="1">L17-K17</f>
        <v>#N/A</v>
      </c>
      <c r="N17" s="788"/>
      <c r="O17" s="789"/>
      <c r="P17" s="58">
        <f>O17-N17</f>
        <v>0</v>
      </c>
      <c r="Q17" s="786">
        <v>0.25696352656146026</v>
      </c>
      <c r="R17" s="787" t="e">
        <f ca="1">OFFSET('Revenue Build'!$C$6,MATCH($D16,'Revenue Build'!$C$6:$C$69,0)+1,MATCH(Q$8,'Revenue Build'!$C$4:$EE$4,0)-1)</f>
        <v>#N/A</v>
      </c>
      <c r="S17" s="55" t="e">
        <f ca="1">R17-Q17</f>
        <v>#N/A</v>
      </c>
      <c r="T17" s="788"/>
      <c r="U17" s="789"/>
      <c r="V17" s="58">
        <f>U17-T17</f>
        <v>0</v>
      </c>
      <c r="W17" s="786">
        <v>0.29733985474564917</v>
      </c>
      <c r="X17" s="787" t="e">
        <f ca="1">OFFSET('Revenue Build'!$C$6,MATCH($D16,'Revenue Build'!$C$6:$C$69,0)+1,MATCH(W$8,'Revenue Build'!$C$4:$EE$4,0)-1)</f>
        <v>#N/A</v>
      </c>
      <c r="Y17" s="55" t="e">
        <f ca="1">X17-W17</f>
        <v>#N/A</v>
      </c>
      <c r="Z17" s="788"/>
      <c r="AA17" s="789"/>
      <c r="AB17" s="58">
        <f>AA17-Z17</f>
        <v>0</v>
      </c>
      <c r="AC17" s="790">
        <v>0.25770831332531174</v>
      </c>
      <c r="AD17" s="787" t="e">
        <f ca="1">OFFSET('Revenue Build'!$C$6,MATCH($D16,'Revenue Build'!$C$6:$C$69,0)+1,MATCH(AC$8,'Revenue Build'!$C$4:$EE$4,0)-1)</f>
        <v>#N/A</v>
      </c>
      <c r="AE17" s="55" t="e">
        <f ca="1">AD17-AC17</f>
        <v>#N/A</v>
      </c>
      <c r="AF17" s="788"/>
      <c r="AG17" s="69"/>
      <c r="AH17" s="789"/>
      <c r="AI17" s="55"/>
      <c r="AJ17" s="786">
        <v>0.31103716312981611</v>
      </c>
      <c r="AK17" s="787" t="e">
        <f ca="1">OFFSET('Revenue Build'!$C$6,MATCH($D16,'Revenue Build'!$C$6:$C$69,0)+1,MATCH(AJ$8,'Revenue Build'!$C$4:$EE$4,0)-1)</f>
        <v>#N/A</v>
      </c>
      <c r="AL17" s="55" t="e">
        <f ca="1">AK17-AJ17</f>
        <v>#N/A</v>
      </c>
      <c r="AM17" s="789" t="e">
        <f ca="1">AM16/F16-1</f>
        <v>#N/A</v>
      </c>
      <c r="AN17" s="46" t="e">
        <f ca="1">AK17-AM17</f>
        <v>#N/A</v>
      </c>
      <c r="AO17" s="789" t="e">
        <f ca="1">AO16/F16-1</f>
        <v>#N/A</v>
      </c>
      <c r="AP17" s="58" t="e">
        <f ca="1">AO17-AM17</f>
        <v>#N/A</v>
      </c>
      <c r="AQ17" s="786">
        <v>0.34608343563567434</v>
      </c>
      <c r="AR17" s="787" t="e">
        <f ca="1">OFFSET('Revenue Build'!$C$6,MATCH($D16,'Revenue Build'!$C$6:$C$69,0)+1,MATCH(AQ$8,'Revenue Build'!$C$4:$EE$4,0)-1)</f>
        <v>#N/A</v>
      </c>
      <c r="AS17" s="55" t="e">
        <f ca="1">AR17-AQ17</f>
        <v>#N/A</v>
      </c>
      <c r="AT17" s="789" t="e">
        <v>#DIV/0!</v>
      </c>
      <c r="AU17" s="46" t="e">
        <f ca="1">AR17-AT17</f>
        <v>#N/A</v>
      </c>
      <c r="AV17" s="789" t="e">
        <f ca="1">AV16/M16-1</f>
        <v>#N/A</v>
      </c>
      <c r="AW17" s="58" t="e">
        <f ca="1">AV17-AT17</f>
        <v>#N/A</v>
      </c>
      <c r="AX17" s="786">
        <v>0.24053059958642242</v>
      </c>
      <c r="AY17" s="787" t="e">
        <f ca="1">OFFSET('Revenue Build'!$C$6,MATCH($D16,'Revenue Build'!$C$6:$C$69,0)+1,MATCH(AX$8,'Revenue Build'!$C$4:$EE$4,0)-1)</f>
        <v>#N/A</v>
      </c>
      <c r="AZ17" s="55" t="e">
        <f ca="1">AY17-AX17</f>
        <v>#N/A</v>
      </c>
      <c r="BA17" s="789">
        <v>0.24053059958642242</v>
      </c>
      <c r="BB17" s="46" t="e">
        <f ca="1">AY17-BA17</f>
        <v>#N/A</v>
      </c>
      <c r="BC17" s="789">
        <f>BC16/T16-1</f>
        <v>0.93259756803471872</v>
      </c>
      <c r="BD17" s="58">
        <f>BC17-BA17</f>
        <v>0.69206696844829629</v>
      </c>
      <c r="BE17" s="786">
        <v>0.28721840026574719</v>
      </c>
      <c r="BF17" s="787" t="e">
        <f ca="1">OFFSET('Revenue Build'!$C$6,MATCH($D16,'Revenue Build'!$C$6:$C$69,0)+1,MATCH(BE$8,'Revenue Build'!$C$4:$EE$4,0)-1)</f>
        <v>#N/A</v>
      </c>
      <c r="BG17" s="55" t="e">
        <f ca="1">BF17-BE17</f>
        <v>#N/A</v>
      </c>
      <c r="BH17" s="789">
        <v>0.17696729810807343</v>
      </c>
      <c r="BI17" s="46" t="e">
        <f ca="1">BF17-BH17</f>
        <v>#N/A</v>
      </c>
      <c r="BJ17" s="789">
        <f>BJ16/AA16-1</f>
        <v>0.22349881400271721</v>
      </c>
      <c r="BK17" s="58">
        <f>BJ17-BH17</f>
        <v>4.6531515894643771E-2</v>
      </c>
      <c r="BL17" s="790">
        <v>0.29424742122983227</v>
      </c>
      <c r="BM17" s="787" t="e">
        <f ca="1">OFFSET('Revenue Build'!$C$6,MATCH($D16,'Revenue Build'!$C$6:$C$69,0)+1,MATCH(BL$8,'Revenue Build'!$C$4:$EE$4,0)-1)</f>
        <v>#N/A</v>
      </c>
      <c r="BN17" s="55" t="e">
        <f ca="1">BM17-BL17</f>
        <v>#N/A</v>
      </c>
      <c r="BO17" s="787" t="e">
        <f ca="1">BO16/AD16-1</f>
        <v>#N/A</v>
      </c>
      <c r="BP17" s="55" t="e">
        <f ca="1">BO17-BM17</f>
        <v>#N/A</v>
      </c>
      <c r="BQ17" s="789" t="e">
        <f ca="1">BQ16/AD16-1</f>
        <v>#N/A</v>
      </c>
      <c r="BR17" s="58" t="e">
        <f ca="1">BQ17-BO17</f>
        <v>#N/A</v>
      </c>
      <c r="BS17" s="786">
        <v>0.20948693834842391</v>
      </c>
      <c r="BT17" s="787" t="e">
        <f ca="1">OFFSET('Revenue Build'!$C$6,MATCH($D16,'Revenue Build'!$C$6:$C$69,0)+1,MATCH(BS$8,'Revenue Build'!$C$4:$EE$4,0)-1)</f>
        <v>#N/A</v>
      </c>
      <c r="BU17" s="55" t="e">
        <f ca="1">BT17-BS17</f>
        <v>#N/A</v>
      </c>
      <c r="BV17" s="789">
        <v>0.17473436944937837</v>
      </c>
      <c r="BW17" s="46" t="e">
        <f ca="1">BT17-BV17</f>
        <v>#N/A</v>
      </c>
      <c r="BX17" s="789">
        <f>BX16/AO16-1</f>
        <v>0.20344293150102688</v>
      </c>
      <c r="BY17" s="58">
        <f>BX17-BV17</f>
        <v>2.8708562051648512E-2</v>
      </c>
      <c r="BZ17" s="786">
        <v>0.18486832497922823</v>
      </c>
      <c r="CA17" s="787" t="e">
        <f ca="1">OFFSET('Revenue Build'!$C$6,MATCH($D16,'Revenue Build'!$C$6:$C$69,0)+1,MATCH(BZ$8,'Revenue Build'!$C$4:$EE$4,0)-1)</f>
        <v>#N/A</v>
      </c>
      <c r="CB17" s="55" t="e">
        <f ca="1">CA17-BZ17</f>
        <v>#N/A</v>
      </c>
      <c r="CC17" s="789">
        <v>0.17091200000000017</v>
      </c>
      <c r="CD17" s="46" t="e">
        <f ca="1">CA17-CC17</f>
        <v>#N/A</v>
      </c>
      <c r="CE17" s="789">
        <f>CE16/AV16-1</f>
        <v>0.19484927139804187</v>
      </c>
      <c r="CF17" s="58">
        <f>CE17-CC17</f>
        <v>2.3937271398041693E-2</v>
      </c>
      <c r="CG17" s="786">
        <v>0.26133459539640036</v>
      </c>
      <c r="CH17" s="787" t="e">
        <f ca="1">OFFSET('Revenue Build'!$C$6,MATCH($D16,'Revenue Build'!$C$6:$C$69,0)+1,MATCH(CG$8,'Revenue Build'!$C$4:$EE$4,0)-1)</f>
        <v>#N/A</v>
      </c>
      <c r="CI17" s="55" t="e">
        <f ca="1">CH17-CG17</f>
        <v>#N/A</v>
      </c>
      <c r="CJ17" s="789">
        <v>0.20816539087947872</v>
      </c>
      <c r="CK17" s="46" t="e">
        <f ca="1">CH17-CJ17</f>
        <v>#N/A</v>
      </c>
      <c r="CL17" s="789">
        <f>CL16/BC16-1</f>
        <v>0.19998469480884307</v>
      </c>
      <c r="CM17" s="58">
        <f>CL17-CJ17</f>
        <v>-8.1806960706356513E-3</v>
      </c>
      <c r="CN17" s="786">
        <v>0.22655705850859054</v>
      </c>
      <c r="CO17" s="787" t="e">
        <f ca="1">OFFSET('Revenue Build'!$C$6,MATCH($D16,'Revenue Build'!$C$6:$C$69,0)+1,MATCH(CN$8,'Revenue Build'!$C$4:$EE$4,0)-1)</f>
        <v>#N/A</v>
      </c>
      <c r="CP17" s="55" t="e">
        <f ca="1">CO17-CN17</f>
        <v>#N/A</v>
      </c>
      <c r="CQ17" s="789">
        <v>0.22000698314020428</v>
      </c>
      <c r="CR17" s="46" t="e">
        <f ca="1">CO17-CQ17</f>
        <v>#N/A</v>
      </c>
      <c r="CS17" s="789">
        <f>CS16/BJ16-1</f>
        <v>0.19494777344981196</v>
      </c>
      <c r="CT17" s="58">
        <f>CS17-CQ17</f>
        <v>-2.5059209690392326E-2</v>
      </c>
      <c r="CU17" s="790">
        <v>0.22117851290906398</v>
      </c>
      <c r="CV17" s="787" t="e">
        <f ca="1">OFFSET('Revenue Build'!$C$6,MATCH($D16,'Revenue Build'!$C$6:$C$69,0)+1,MATCH(CU$8,'Revenue Build'!$C$4:$EE$4,0)-1)</f>
        <v>#N/A</v>
      </c>
      <c r="CW17" s="55" t="e">
        <f ca="1">CV17-CU17</f>
        <v>#N/A</v>
      </c>
      <c r="CX17" s="787">
        <v>0.16352478666934722</v>
      </c>
      <c r="CY17" s="55" t="e">
        <f ca="1">CX17-CV17</f>
        <v>#N/A</v>
      </c>
      <c r="CZ17" s="789" t="e">
        <f ca="1">CZ16/BM16-1</f>
        <v>#N/A</v>
      </c>
      <c r="DA17" s="58" t="e">
        <f ca="1">CZ17-CX17</f>
        <v>#N/A</v>
      </c>
      <c r="DB17" s="786">
        <v>0.22538977528334692</v>
      </c>
      <c r="DC17" s="787" t="e">
        <f ca="1">OFFSET('Revenue Build'!$C$6,MATCH($D16,'Revenue Build'!$C$6:$C$69,0)+1,MATCH(DB$8,'Revenue Build'!$C$4:$EE$4,0)-1)</f>
        <v>#N/A</v>
      </c>
      <c r="DD17" s="55" t="e">
        <f ca="1">DC17-DB17</f>
        <v>#N/A</v>
      </c>
      <c r="DE17" s="789">
        <v>0.24984938585186356</v>
      </c>
      <c r="DF17" s="46" t="e">
        <f ca="1">DC17-DE17</f>
        <v>#N/A</v>
      </c>
      <c r="DG17" s="789">
        <f>DG16/BX16-1</f>
        <v>0.29986829543461746</v>
      </c>
      <c r="DH17" s="58">
        <f>DG17-DE17</f>
        <v>5.0018909582753901E-2</v>
      </c>
      <c r="DI17" s="786">
        <v>0.22558814605122479</v>
      </c>
      <c r="DJ17" s="787" t="e">
        <f ca="1">OFFSET('Revenue Build'!$C$6,MATCH($D16,'Revenue Build'!$C$6:$C$69,0)+1,MATCH(DI$8,'Revenue Build'!$C$4:$EE$4,0)-1)</f>
        <v>#N/A</v>
      </c>
      <c r="DK17" s="55" t="e">
        <f ca="1">DJ17-DI17</f>
        <v>#N/A</v>
      </c>
      <c r="DL17" s="789">
        <v>0.2185167117597222</v>
      </c>
      <c r="DM17" s="46" t="e">
        <f ca="1">DJ17-DL17</f>
        <v>#N/A</v>
      </c>
      <c r="DN17" s="789">
        <f>DN16/CE16-1</f>
        <v>0.28042787661728164</v>
      </c>
      <c r="DO17" s="58">
        <f>DN17-DL17</f>
        <v>6.1911164857559431E-2</v>
      </c>
      <c r="DP17" s="786">
        <v>0.22322891549334356</v>
      </c>
      <c r="DQ17" s="787" t="e">
        <f ca="1">OFFSET('Revenue Build'!$C$6,MATCH($D16,'Revenue Build'!$C$6:$C$69,0)+1,MATCH(DP$8,'Revenue Build'!$C$4:$EE$4,0)-1)</f>
        <v>#N/A</v>
      </c>
      <c r="DR17" s="55" t="e">
        <f ca="1">DQ17-DP17</f>
        <v>#N/A</v>
      </c>
      <c r="DS17" s="789">
        <v>0.2113523674513631</v>
      </c>
      <c r="DT17" s="46" t="e">
        <f ca="1">DQ17-DS17</f>
        <v>#N/A</v>
      </c>
      <c r="DU17" s="789">
        <f>DU16/CL16-1</f>
        <v>0.29243742459692679</v>
      </c>
      <c r="DV17" s="58">
        <f>DU17-DS17</f>
        <v>8.1085057145563688E-2</v>
      </c>
      <c r="DW17" s="786">
        <v>0.22177865609605663</v>
      </c>
      <c r="DX17" s="787" t="e">
        <f ca="1">OFFSET('Revenue Build'!$C$6,MATCH($D16,'Revenue Build'!$C$6:$C$69,0)+1,MATCH(DW$8,'Revenue Build'!$C$4:$EE$4,0)-1)</f>
        <v>#N/A</v>
      </c>
      <c r="DY17" s="55" t="e">
        <f ca="1">DX17-DW17</f>
        <v>#N/A</v>
      </c>
      <c r="DZ17" s="789">
        <v>0.21230573011914755</v>
      </c>
      <c r="EA17" s="46" t="e">
        <f ca="1">DX17-DZ17</f>
        <v>#N/A</v>
      </c>
      <c r="EB17" s="789">
        <f>EB16/CS16-1</f>
        <v>0.29799589367909718</v>
      </c>
      <c r="EC17" s="55" t="e">
        <f ca="1">DX17-DZ17</f>
        <v>#N/A</v>
      </c>
      <c r="ED17" s="58">
        <f>EB17-DZ17</f>
        <v>8.5690163559949628E-2</v>
      </c>
      <c r="EE17" s="790">
        <v>0.22374911570953193</v>
      </c>
      <c r="EF17" s="787" t="e">
        <f ca="1">OFFSET('Revenue Build'!$C$6,MATCH($D16,'Revenue Build'!$C$6:$C$69,0)+1,MATCH(EE$8,'Revenue Build'!$C$4:$EE$4,0)-1)</f>
        <v>#N/A</v>
      </c>
      <c r="EG17" s="55" t="e">
        <f ca="1">EF17-EE17</f>
        <v>#N/A</v>
      </c>
      <c r="EH17" s="787">
        <v>0.1489136658019814</v>
      </c>
      <c r="EI17" s="55" t="e">
        <f ca="1">EF17-EH17</f>
        <v>#N/A</v>
      </c>
      <c r="EJ17" s="789" t="e">
        <f ca="1">EJ16/CV16-1</f>
        <v>#N/A</v>
      </c>
      <c r="EK17" s="55" t="e">
        <f ca="1">EF17-EH17</f>
        <v>#N/A</v>
      </c>
      <c r="EL17" s="58" t="e">
        <f ca="1">EJ17-EH17</f>
        <v>#N/A</v>
      </c>
    </row>
    <row r="18" spans="2:142" ht="24.75" customHeight="1">
      <c r="B18" s="42" t="s">
        <v>373</v>
      </c>
      <c r="D18" s="60" t="s">
        <v>97</v>
      </c>
      <c r="E18" s="61">
        <v>36.683000000000106</v>
      </c>
      <c r="F18" s="70">
        <f ca="1">OFFSET(Income!$C$4,MATCH($D18,Income!$C$4:$C$127,0)-1,MATCH(E$8,Income!$C$4:$EE$4,0)-1)</f>
        <v>207</v>
      </c>
      <c r="G18" s="46">
        <f t="shared" ca="1" si="0"/>
        <v>4.6429408717934573</v>
      </c>
      <c r="H18" s="63">
        <v>47.487569999999998</v>
      </c>
      <c r="I18" s="64" cm="1">
        <f t="array" ref="I18">_xll.FDS("SHOP-US","FE_ESTIMATE("&amp;$B18&amp;",MEAN,QTR,"&amp;E$6&amp;"/"&amp;E$7&amp;"F,NOW,,,'')")</f>
        <v>209.07142999999999</v>
      </c>
      <c r="J18" s="46">
        <f t="shared" si="1"/>
        <v>3.4026558950057879</v>
      </c>
      <c r="K18" s="61">
        <v>-34.385999999999967</v>
      </c>
      <c r="L18" s="70">
        <f ca="1">OFFSET(Income!$C$4,MATCH($D18,Income!$C$4:$C$127,0)-1,MATCH(K$8,Income!$C$4:$EE$4,0)-1)</f>
        <v>305</v>
      </c>
      <c r="M18" s="46">
        <f t="shared" ref="M18" ca="1" si="104">L18/K18-1</f>
        <v>-9.8698889082766321</v>
      </c>
      <c r="N18" s="63">
        <v>-27.44143</v>
      </c>
      <c r="O18" s="64" cm="1">
        <f t="array" ref="O18">_xll.FDS("SHOP-US","FE_ESTIMATE("&amp;$B18&amp;",MEAN,QTR,"&amp;K$6&amp;"/"&amp;K$7&amp;"F,NOW,,,'')")</f>
        <v>307.92856</v>
      </c>
      <c r="P18" s="46">
        <f t="shared" ref="P18" si="105">O18/N18-1</f>
        <v>-12.221301513805949</v>
      </c>
      <c r="Q18" s="61">
        <v>-40.27000000000001</v>
      </c>
      <c r="R18" s="70" t="e">
        <f ca="1">OFFSET(Income!$C$4,MATCH($D18,Income!$C$4:$C$127,0)-1,MATCH(Q$8,Income!$C$4:$EE$4,0)-1)</f>
        <v>#N/A</v>
      </c>
      <c r="S18" s="46" t="e">
        <f t="shared" ref="S18" ca="1" si="106">R18/Q18-1</f>
        <v>#N/A</v>
      </c>
      <c r="T18" s="63">
        <v>-23.876249999999999</v>
      </c>
      <c r="U18" s="64" cm="1">
        <f t="array" ref="U18">_xll.FDS("SHOP-US","FE_ESTIMATE("&amp;$B18&amp;",MEAN,QTR,"&amp;Q$6&amp;"/"&amp;Q$7&amp;"F,NOW,,,'')")</f>
        <v>405.69232</v>
      </c>
      <c r="V18" s="46">
        <f t="shared" ref="V18" si="107">U18/T18-1</f>
        <v>-17.991458876498612</v>
      </c>
      <c r="W18" s="61">
        <v>67.131000000000085</v>
      </c>
      <c r="X18" s="70">
        <f ca="1">OFFSET(Income!$C$4,MATCH($D18,Income!$C$4:$C$127,0)-1,MATCH(W$8,Income!$C$4:$EE$4,0)-1)</f>
        <v>549.27709980785721</v>
      </c>
      <c r="Y18" s="46">
        <f t="shared" ref="Y18" ca="1" si="108">X18/W18-1</f>
        <v>7.1821676990936609</v>
      </c>
      <c r="Z18" s="63">
        <v>85.808390000000003</v>
      </c>
      <c r="AA18" s="64" cm="1">
        <f t="array" ref="AA18">_xll.FDS("SHOP-US","FE_ESTIMATE("&amp;$B18&amp;",MEAN,QTR,"&amp;W$6&amp;"/"&amp;W$7&amp;"F,NOW,,,'')")</f>
        <v>565.91003000000001</v>
      </c>
      <c r="AB18" s="46">
        <f t="shared" ref="AB18" si="109">AA18/Z18-1</f>
        <v>5.5950430954362389</v>
      </c>
      <c r="AC18" s="61">
        <v>29.158000000000214</v>
      </c>
      <c r="AD18" s="70">
        <f ca="1">OFFSET(Income!$C$4,MATCH($D18,Income!$C$4:$C$127,0)-1,MATCH(AC$8,Income!$C$4:$EE$4,0)-1)</f>
        <v>1462.2770998078572</v>
      </c>
      <c r="AE18" s="46">
        <f t="shared" ref="AE18" ca="1" si="110">AD18/AC18-1</f>
        <v>49.150116599487156</v>
      </c>
      <c r="AF18" s="63">
        <v>79.164000000000001</v>
      </c>
      <c r="AG18" s="46">
        <f t="shared" ref="AG18:AG23" ca="1" si="111">AD18/AF18-1</f>
        <v>17.471490826737622</v>
      </c>
      <c r="AH18" s="64" cm="1">
        <f t="array" ref="AH18">_xll.FDS("SHOP-US","FE_ESTIMATE("&amp;$B18&amp;",MEAN,ANNUAL_ROLL,"&amp;AC$6&amp;",NOW,,,'')")</f>
        <v>1485.8966</v>
      </c>
      <c r="AI18" s="46">
        <f>AH18/AF18-1</f>
        <v>17.769852458188065</v>
      </c>
      <c r="AJ18" s="61">
        <v>-29</v>
      </c>
      <c r="AK18" s="70">
        <f ca="1">OFFSET(Income!$C$4,MATCH($D18,Income!$C$4:$C$127,0)-1,MATCH(AJ$8,Income!$C$4:$EE$4,0)-1)</f>
        <v>282.68689269859328</v>
      </c>
      <c r="AL18" s="46">
        <f t="shared" ref="AL18" ca="1" si="112">AK18/AJ18-1</f>
        <v>-10.74782388615839</v>
      </c>
      <c r="AM18" s="63">
        <v>-1.9851000000000001</v>
      </c>
      <c r="AN18" s="50">
        <f ca="1">AK18/AM18-1</f>
        <v>-143.40435882252444</v>
      </c>
      <c r="AO18" s="64" cm="1">
        <f t="array" ref="AO18">_xll.FDS("SHOP-US","FE_ESTIMATE("&amp;$B18&amp;",MEAN,QTR,"&amp;AJ$6&amp;"/"&amp;AJ$7&amp;"F,NOW,,,'')")</f>
        <v>345.72888</v>
      </c>
      <c r="AP18" s="46">
        <f t="shared" ref="AP18" si="113">AO18/AM18-1</f>
        <v>-175.16194650143569</v>
      </c>
      <c r="AQ18" s="61">
        <v>148</v>
      </c>
      <c r="AR18" s="70">
        <f ca="1">OFFSET(Income!$C$4,MATCH($D18,Income!$C$4:$C$127,0)-1,MATCH(AQ$8,Income!$C$4:$EE$4,0)-1)</f>
        <v>457.3332967886696</v>
      </c>
      <c r="AS18" s="46">
        <f t="shared" ref="AS18" ca="1" si="114">AR18/AQ18-1</f>
        <v>2.0900898431666866</v>
      </c>
      <c r="AT18" s="63">
        <v>157.85714999999999</v>
      </c>
      <c r="AU18" s="50">
        <f ca="1">AR18/AT18-1</f>
        <v>1.8971338757140215</v>
      </c>
      <c r="AV18" s="64" cm="1">
        <f t="array" ref="AV18">_xll.FDS("SHOP-US","FE_ESTIMATE("&amp;$B18&amp;",MEAN,QTR,"&amp;AQ$6&amp;"/"&amp;AQ$7&amp;"F,NOW,,,'')")</f>
        <v>438.14517000000001</v>
      </c>
      <c r="AW18" s="46">
        <f t="shared" ref="AW18" si="115">AV18/AT18-1</f>
        <v>1.7755801368515778</v>
      </c>
      <c r="AX18" s="61">
        <v>280</v>
      </c>
      <c r="AY18" s="70">
        <f ca="1">OFFSET(Income!$C$4,MATCH($D18,Income!$C$4:$C$127,0)-1,MATCH(AX$8,Income!$C$4:$EE$4,0)-1)</f>
        <v>536.22031611460159</v>
      </c>
      <c r="AZ18" s="46">
        <f t="shared" ref="AZ18" ca="1" si="116">AY18/AX18-1</f>
        <v>0.91507255755214856</v>
      </c>
      <c r="BA18" s="63">
        <v>281.92856</v>
      </c>
      <c r="BB18" s="50">
        <f ca="1">AY18/BA18-1</f>
        <v>0.90197231566252656</v>
      </c>
      <c r="BC18" s="64" cm="1">
        <f t="array" ref="BC18">_xll.FDS("SHOP-US","FE_ESTIMATE("&amp;$B18&amp;",MEAN,QTR,"&amp;AX$6&amp;"/"&amp;AX$7&amp;"F,NOW,,,'')")</f>
        <v>504.27816999999999</v>
      </c>
      <c r="BD18" s="46">
        <f t="shared" ref="BD18" si="117">BC18/BA18-1</f>
        <v>0.78867359163612227</v>
      </c>
      <c r="BE18" s="61">
        <v>401.07395946087627</v>
      </c>
      <c r="BF18" s="70">
        <f ca="1">OFFSET(Income!$C$4,MATCH($D18,Income!$C$4:$C$127,0)-1,MATCH(BE$8,Income!$C$4:$EE$4,0)-1)</f>
        <v>738.65574022977648</v>
      </c>
      <c r="BG18" s="46">
        <f t="shared" ref="BG18" ca="1" si="118">BF18/BE18-1</f>
        <v>0.84169458725936175</v>
      </c>
      <c r="BH18" s="63">
        <v>384.18819999999999</v>
      </c>
      <c r="BI18" s="50">
        <f ca="1">BF18/BH18-1</f>
        <v>0.9226403627955686</v>
      </c>
      <c r="BJ18" s="64" cm="1">
        <f t="array" ref="BJ18">_xll.FDS("SHOP-US","FE_ESTIMATE("&amp;$B18&amp;",MEAN,QTR,"&amp;BE$6&amp;"/"&amp;BE$7&amp;"F,NOW,,,'')")</f>
        <v>716.18853999999999</v>
      </c>
      <c r="BK18" s="46">
        <f t="shared" ref="BK18" si="119">BJ18/BH18-1</f>
        <v>0.86416068999516393</v>
      </c>
      <c r="BL18" s="61">
        <v>800.07395946087627</v>
      </c>
      <c r="BM18" s="70">
        <f ca="1">OFFSET(Income!$C$4,MATCH($D18,Income!$C$4:$C$127,0)-1,MATCH(BL$8,Income!$C$4:$EE$4,0)-1)</f>
        <v>2014.896245831641</v>
      </c>
      <c r="BN18" s="46">
        <f t="shared" ref="BN18" ca="1" si="120">BM18/BL18-1</f>
        <v>1.5183874840638025</v>
      </c>
      <c r="BO18" s="63">
        <v>804.6825</v>
      </c>
      <c r="BP18" s="46">
        <f t="shared" ref="BP18:BP23" ca="1" si="121">BM18/BO18-1</f>
        <v>1.503964291297053</v>
      </c>
      <c r="BQ18" s="64" cm="1">
        <f t="array" ref="BQ18">_xll.FDS("SHOP-US","FE_ESTIMATE("&amp;$B18&amp;",MEAN,ANNUAL_ROLL,"&amp;BL$6&amp;",NOW,,,'')")</f>
        <v>1996.2725</v>
      </c>
      <c r="BR18" s="46">
        <f>BQ18/BO18-1</f>
        <v>1.4808200749985243</v>
      </c>
      <c r="BS18" s="61">
        <v>260.69968791924987</v>
      </c>
      <c r="BT18" s="70">
        <f ca="1">OFFSET(Income!$C$4,MATCH($D18,Income!$C$4:$C$127,0)-1,MATCH(BS$8,Income!$C$4:$EE$4,0)-1)</f>
        <v>373.08077332406918</v>
      </c>
      <c r="BU18" s="46">
        <f t="shared" ref="BU18" ca="1" si="122">BT18/BS18-1</f>
        <v>0.43107487508626652</v>
      </c>
      <c r="BV18" s="63">
        <v>233.29166000000001</v>
      </c>
      <c r="BW18" s="50">
        <f ca="1">BT18/BV18-1</f>
        <v>0.59920321765496953</v>
      </c>
      <c r="BX18" s="64" cm="1">
        <f t="array" ref="BX18">_xll.FDS("SHOP-US","FE_ESTIMATE("&amp;$B18&amp;",MEAN,QTR,"&amp;BS$6&amp;"/"&amp;BS$7&amp;"F,NOW,,,'')")</f>
        <v>450.05329999999998</v>
      </c>
      <c r="BY18" s="46">
        <f t="shared" ref="BY18" si="123">BX18/BV18-1</f>
        <v>0.92914440233311368</v>
      </c>
      <c r="BZ18" s="61">
        <v>288.07682209645253</v>
      </c>
      <c r="CA18" s="70">
        <f ca="1">OFFSET(Income!$C$4,MATCH($D18,Income!$C$4:$C$127,0)-1,MATCH(BZ$8,Income!$C$4:$EE$4,0)-1)</f>
        <v>583.80980626420114</v>
      </c>
      <c r="CB18" s="46">
        <f t="shared" ref="CB18" ca="1" si="124">CA18/BZ18-1</f>
        <v>1.0265768068933108</v>
      </c>
      <c r="CC18" s="63">
        <v>292.42219999999998</v>
      </c>
      <c r="CD18" s="50">
        <f ca="1">CA18/CC18-1</f>
        <v>0.9964619863478259</v>
      </c>
      <c r="CE18" s="64" cm="1">
        <f t="array" ref="CE18">_xll.FDS("SHOP-US","FE_ESTIMATE("&amp;$B18&amp;",MEAN,QTR,"&amp;BZ$6&amp;"/"&amp;BZ$7&amp;"F,NOW,,,'')")</f>
        <v>578.63239999999996</v>
      </c>
      <c r="CF18" s="46">
        <f t="shared" ref="CF18" si="125">CE18/CC18-1</f>
        <v>0.97875674281911573</v>
      </c>
      <c r="CG18" s="61">
        <v>342.85397288623983</v>
      </c>
      <c r="CH18" s="70">
        <f ca="1">OFFSET(Income!$C$4,MATCH($D18,Income!$C$4:$C$127,0)-1,MATCH(CG$8,Income!$C$4:$EE$4,0)-1)</f>
        <v>679.96298036631788</v>
      </c>
      <c r="CI18" s="46">
        <f t="shared" ref="CI18" ca="1" si="126">CH18/CG18-1</f>
        <v>0.98324369597412264</v>
      </c>
      <c r="CJ18" s="63">
        <v>337.6841</v>
      </c>
      <c r="CK18" s="50">
        <f ca="1">CH18/CJ18-1</f>
        <v>1.0136067418226617</v>
      </c>
      <c r="CL18" s="64" cm="1">
        <f t="array" ref="CL18">_xll.FDS("SHOP-US","FE_ESTIMATE("&amp;$B18&amp;",MEAN,QTR,"&amp;CG$6&amp;"/"&amp;CG$7&amp;"F,NOW,,,'')")</f>
        <v>657.76610000000005</v>
      </c>
      <c r="CM18" s="46">
        <f t="shared" ref="CM18" si="127">CL18/CJ18-1</f>
        <v>0.94787406336277025</v>
      </c>
      <c r="CN18" s="61">
        <v>493.90720490900759</v>
      </c>
      <c r="CO18" s="70">
        <f ca="1">OFFSET(Income!$C$4,MATCH($D18,Income!$C$4:$C$127,0)-1,MATCH(CN$8,Income!$C$4:$EE$4,0)-1)</f>
        <v>934.85609748712091</v>
      </c>
      <c r="CP18" s="46">
        <f t="shared" ref="CP18" ca="1" si="128">CO18/CN18-1</f>
        <v>0.89277679733250537</v>
      </c>
      <c r="CQ18" s="63">
        <v>488.88510000000002</v>
      </c>
      <c r="CR18" s="50">
        <f ca="1">CO18/CQ18-1</f>
        <v>0.9122204736595998</v>
      </c>
      <c r="CS18" s="64" cm="1">
        <f t="array" ref="CS18">_xll.FDS("SHOP-US","FE_ESTIMATE("&amp;$B18&amp;",MEAN,QTR,"&amp;CN$6&amp;"/"&amp;CN$7&amp;"F,NOW,,,'')")</f>
        <v>939.15769999999998</v>
      </c>
      <c r="CT18" s="46">
        <f t="shared" ref="CT18" si="129">CS18/CQ18-1</f>
        <v>0.92101927426301167</v>
      </c>
      <c r="CU18" s="61">
        <v>1385.5376878109498</v>
      </c>
      <c r="CV18" s="70">
        <f ca="1">OFFSET(Income!$C$4,MATCH($D18,Income!$C$4:$C$127,0)-1,MATCH(CU$8,Income!$C$4:$EE$4,0)-1)</f>
        <v>2571.7096574417092</v>
      </c>
      <c r="CW18" s="46">
        <f t="shared" ref="CW18" ca="1" si="130">CV18/CU18-1</f>
        <v>0.85610949457811292</v>
      </c>
      <c r="CX18" s="63">
        <v>1361.9473</v>
      </c>
      <c r="CY18" s="46">
        <f t="shared" ref="CY18:CY23" ca="1" si="131">CV18/CX18-1</f>
        <v>0.88825930154691668</v>
      </c>
      <c r="CZ18" s="64" cm="1">
        <f t="array" ref="CZ18">_xll.FDS("SHOP-US","FE_ESTIMATE("&amp;$B18&amp;",MEAN,ANNUAL_ROLL,"&amp;CU$6&amp;",NOW,,,'')")</f>
        <v>2602.1291999999999</v>
      </c>
      <c r="DA18" s="46">
        <f>CZ18/CX18-1</f>
        <v>0.91059463167187138</v>
      </c>
      <c r="DB18" s="61">
        <v>305.92031240155973</v>
      </c>
      <c r="DC18" s="70">
        <f ca="1">OFFSET(Income!$C$4,MATCH($D18,Income!$C$4:$C$127,0)-1,MATCH(DB$8,Income!$C$4:$EE$4,0)-1)</f>
        <v>486.47692623950076</v>
      </c>
      <c r="DD18" s="46">
        <f t="shared" ref="DD18" ca="1" si="132">DC18/DB18-1</f>
        <v>0.59020799377629185</v>
      </c>
      <c r="DE18" s="63">
        <v>360.43027000000001</v>
      </c>
      <c r="DF18" s="50">
        <f ca="1">DC18/DE18-1</f>
        <v>0.34971162727120775</v>
      </c>
      <c r="DG18" s="64" cm="1">
        <f t="array" ref="DG18">_xll.FDS("SHOP-US","FE_ESTIMATE("&amp;$B18&amp;",MEAN,QTR,"&amp;DB$6&amp;"/"&amp;DB$7&amp;"F,NOW,,,'')")</f>
        <v>640</v>
      </c>
      <c r="DH18" s="46">
        <f t="shared" ref="DH18" si="133">DG18/DE18-1</f>
        <v>0.77565552416005445</v>
      </c>
      <c r="DI18" s="61">
        <v>337.67958558704385</v>
      </c>
      <c r="DJ18" s="70">
        <f ca="1">OFFSET(Income!$C$4,MATCH($D18,Income!$C$4:$C$127,0)-1,MATCH(DI$8,Income!$C$4:$EE$4,0)-1)</f>
        <v>737.51874063819628</v>
      </c>
      <c r="DK18" s="46">
        <f t="shared" ref="DK18" ca="1" si="134">DJ18/DI18-1</f>
        <v>1.1840785529159139</v>
      </c>
      <c r="DL18" s="63">
        <v>404.03255999999999</v>
      </c>
      <c r="DM18" s="50">
        <f ca="1">DJ18/DL18-1</f>
        <v>0.82539432128488932</v>
      </c>
      <c r="DN18" s="64" cm="1">
        <f t="array" ref="DN18">_xll.FDS("SHOP-US","FE_ESTIMATE("&amp;$B18&amp;",MEAN,QTR,"&amp;DI$6&amp;"/"&amp;DI$7&amp;"F,NOW,,,'')")</f>
        <v>795</v>
      </c>
      <c r="DO18" s="46">
        <f t="shared" ref="DO18" si="135">DN18/DL18-1</f>
        <v>0.96766320021336893</v>
      </c>
      <c r="DP18" s="61">
        <v>402.72973784755459</v>
      </c>
      <c r="DQ18" s="70">
        <f ca="1">OFFSET(Income!$C$4,MATCH($D18,Income!$C$4:$C$127,0)-1,MATCH(DP$8,Income!$C$4:$EE$4,0)-1)</f>
        <v>853.20736651707318</v>
      </c>
      <c r="DR18" s="46">
        <f t="shared" ref="DR18" ca="1" si="136">DQ18/DP18-1</f>
        <v>1.1185606284680127</v>
      </c>
      <c r="DS18" s="63">
        <v>476.17117000000002</v>
      </c>
      <c r="DT18" s="50">
        <f ca="1">DQ18/DS18-1</f>
        <v>0.79180811496225845</v>
      </c>
      <c r="DU18" s="64" cm="1">
        <f t="array" ref="DU18">_xll.FDS("SHOP-US","FE_ESTIMATE("&amp;$B18&amp;",MEAN,QTR,"&amp;DP$6&amp;"/"&amp;DP$7&amp;"F,NOW,,,'')")</f>
        <v>902</v>
      </c>
      <c r="DV18" s="46">
        <f t="shared" ref="DV18" si="137">DU18/DS18-1</f>
        <v>0.89427679966428864</v>
      </c>
      <c r="DW18" s="61">
        <v>585.66895304416209</v>
      </c>
      <c r="DX18" s="70">
        <f ca="1">OFFSET(Income!$C$4,MATCH($D18,Income!$C$4:$C$127,0)-1,MATCH(DW$8,Income!$C$4:$EE$4,0)-1)</f>
        <v>1169.8982047678903</v>
      </c>
      <c r="DY18" s="46">
        <f t="shared" ref="DY18" ca="1" si="138">DX18/DW18-1</f>
        <v>0.99754178309614905</v>
      </c>
      <c r="DZ18" s="63">
        <v>652.19470000000001</v>
      </c>
      <c r="EA18" s="50">
        <f ca="1">DX18/DZ18-1</f>
        <v>0.79378674001473848</v>
      </c>
      <c r="EB18" s="64" cm="1">
        <f t="array" ref="EB18">_xll.FDS("SHOP-US","FE_ESTIMATE("&amp;$B18&amp;",MEAN,QTR,"&amp;DW$6&amp;"/"&amp;DW$7&amp;"F,NOW,,,'')")</f>
        <v>1394</v>
      </c>
      <c r="EC18" s="46">
        <f ca="1">DX18/EB18-1</f>
        <v>-0.16076168954957648</v>
      </c>
      <c r="ED18" s="46">
        <f t="shared" ref="ED18" si="139">EB18/DZ18-1</f>
        <v>1.1373985406505143</v>
      </c>
      <c r="EE18" s="61">
        <v>1631.9985888803203</v>
      </c>
      <c r="EF18" s="70">
        <f ca="1">OFFSET(Income!$C$4,MATCH($D18,Income!$C$4:$C$127,0)-1,MATCH(EE$8,Income!$C$4:$EE$4,0)-1)</f>
        <v>3247.1012381626606</v>
      </c>
      <c r="EG18" s="46">
        <f t="shared" ref="EG18" ca="1" si="140">EF18/EE18-1</f>
        <v>0.98964708688285574</v>
      </c>
      <c r="EH18" s="63">
        <v>1853.0806</v>
      </c>
      <c r="EI18" s="46">
        <f ca="1">EF18/EH18-1</f>
        <v>0.75227199408523338</v>
      </c>
      <c r="EJ18" s="64" cm="1">
        <f t="array" ref="EJ18">_xll.FDS("SHOP-US","FE_ESTIMATE("&amp;$B18&amp;",MEAN,ANNUAL_ROLL,"&amp;EE$6&amp;",NOW,,,'')")</f>
        <v>3219.5</v>
      </c>
      <c r="EK18" s="46">
        <f ca="1">EF18/EJ18-1</f>
        <v>8.5731443275851582E-3</v>
      </c>
      <c r="EL18" s="51">
        <f>EJ18/EH18-1</f>
        <v>0.7373772085250907</v>
      </c>
    </row>
    <row r="19" spans="2:142" ht="24.95" customHeight="1">
      <c r="B19" s="42"/>
      <c r="D19" s="71" t="s">
        <v>172</v>
      </c>
      <c r="E19" s="780">
        <v>3.0477151068067081E-2</v>
      </c>
      <c r="F19" s="628">
        <f ca="1">F18/F12</f>
        <v>0.11123052122514777</v>
      </c>
      <c r="G19" s="46">
        <f ca="1">F19-E19</f>
        <v>8.0753370157080701E-2</v>
      </c>
      <c r="H19" s="782">
        <v>3.945385722938162E-2</v>
      </c>
      <c r="I19" s="628">
        <f>I18/I12</f>
        <v>0.11234359484148307</v>
      </c>
      <c r="J19" s="46">
        <f>I19-H19</f>
        <v>7.2889737612101449E-2</v>
      </c>
      <c r="K19" s="780">
        <v>-2.6551604053239083E-2</v>
      </c>
      <c r="L19" s="628">
        <f ca="1">L18/L12</f>
        <v>0.1491442542787286</v>
      </c>
      <c r="M19" s="46">
        <f ca="1">L19-K19</f>
        <v>0.17569585833196769</v>
      </c>
      <c r="N19" s="782">
        <v>-2.118926260730173E-2</v>
      </c>
      <c r="O19" s="628">
        <f>O18/O12</f>
        <v>0.15057631295843521</v>
      </c>
      <c r="P19" s="46">
        <f>O19-N19</f>
        <v>0.17176557556573693</v>
      </c>
      <c r="Q19" s="780">
        <v>-2.9475918606353395E-2</v>
      </c>
      <c r="R19" s="628" t="e">
        <f ca="1">R18/R12</f>
        <v>#N/A</v>
      </c>
      <c r="S19" s="46" t="e">
        <f ca="1">R19-Q19</f>
        <v>#N/A</v>
      </c>
      <c r="T19" s="782">
        <v>-1.7476394378568291E-2</v>
      </c>
      <c r="U19" s="628">
        <f>U18/U12</f>
        <v>0.18764677150786307</v>
      </c>
      <c r="V19" s="46">
        <f>U19-T19</f>
        <v>0.20512316588643137</v>
      </c>
      <c r="W19" s="780">
        <v>3.8692709648191555E-2</v>
      </c>
      <c r="X19" s="628">
        <f ca="1">X18/X12</f>
        <v>0.20316588817841275</v>
      </c>
      <c r="Y19" s="46">
        <f ca="1">X19-W19</f>
        <v>0.1644731785302212</v>
      </c>
      <c r="Z19" s="782">
        <v>4.9457912434624531E-2</v>
      </c>
      <c r="AA19" s="628">
        <f>AA18/AA12</f>
        <v>0.20761282065505141</v>
      </c>
      <c r="AB19" s="46">
        <f>AA19-Z19</f>
        <v>0.15815490822042688</v>
      </c>
      <c r="AC19" s="780">
        <v>5.2069121678669714E-3</v>
      </c>
      <c r="AD19" s="628">
        <f ca="1">AD18/AD12</f>
        <v>0.16670606289427123</v>
      </c>
      <c r="AE19" s="46">
        <f ca="1">AD19-AC19</f>
        <v>0.16149915072640425</v>
      </c>
      <c r="AF19" s="782">
        <v>1.413677189303169E-2</v>
      </c>
      <c r="AG19" s="46">
        <f t="shared" ca="1" si="111"/>
        <v>10.79237128219096</v>
      </c>
      <c r="AH19" s="628">
        <f>AH18/AH12</f>
        <v>0.16886662381444198</v>
      </c>
      <c r="AI19" s="46">
        <f>AH19-AF19</f>
        <v>0.15472985192141028</v>
      </c>
      <c r="AJ19" s="72">
        <v>-1.9230769230769232E-2</v>
      </c>
      <c r="AK19" s="46">
        <f ca="1">AK18/AK12</f>
        <v>0.12086403698997299</v>
      </c>
      <c r="AL19" s="46">
        <f ca="1">AK19-AJ19</f>
        <v>0.14009480622074222</v>
      </c>
      <c r="AM19" s="73">
        <v>-1.3163793103448276E-3</v>
      </c>
      <c r="AN19" s="46">
        <f ca="1">AK19-AM19</f>
        <v>0.12218041630031781</v>
      </c>
      <c r="AO19" s="46">
        <f>AO18/AO12</f>
        <v>0.14903597256277351</v>
      </c>
      <c r="AP19" s="51">
        <f>AO19-AM19</f>
        <v>0.15035235187311835</v>
      </c>
      <c r="AQ19" s="72">
        <v>8.7367178276269192E-2</v>
      </c>
      <c r="AR19" s="46">
        <f ca="1">AR18/AR12</f>
        <v>0.18234773583881611</v>
      </c>
      <c r="AS19" s="46">
        <f ca="1">AR19-AQ19</f>
        <v>9.4980557562546919E-2</v>
      </c>
      <c r="AT19" s="73">
        <v>9.3186038961038956E-2</v>
      </c>
      <c r="AU19" s="46">
        <f ca="1">AR19-AT19</f>
        <v>8.9161696877777155E-2</v>
      </c>
      <c r="AV19" s="46">
        <f>AV18/AV12</f>
        <v>0.17333824295631306</v>
      </c>
      <c r="AW19" s="51">
        <f>AV19-AT19</f>
        <v>8.0152203995274104E-2</v>
      </c>
      <c r="AX19" s="72">
        <v>0.1633605600933489</v>
      </c>
      <c r="AY19" s="46">
        <f ca="1">AY18/AY12</f>
        <v>0.20373842670748551</v>
      </c>
      <c r="AZ19" s="46">
        <f ca="1">AY19-AX19</f>
        <v>4.0377866614136615E-2</v>
      </c>
      <c r="BA19" s="73">
        <v>0.16448574095682614</v>
      </c>
      <c r="BB19" s="46">
        <f ca="1">AY19-BA19</f>
        <v>3.9252685750659377E-2</v>
      </c>
      <c r="BC19" s="46">
        <f>BC18/BC12</f>
        <v>0.19118677265411105</v>
      </c>
      <c r="BD19" s="51">
        <f>BC19-BA19</f>
        <v>2.670103169728491E-2</v>
      </c>
      <c r="BE19" s="72">
        <v>0.18196991845724725</v>
      </c>
      <c r="BF19" s="46">
        <f ca="1">BF18/BF12</f>
        <v>0.22262486824827177</v>
      </c>
      <c r="BG19" s="46">
        <f ca="1">BF19-BE19</f>
        <v>4.0654949791024519E-2</v>
      </c>
      <c r="BH19" s="73">
        <v>0.18539593042951216</v>
      </c>
      <c r="BI19" s="46">
        <f ca="1">BF19-BH19</f>
        <v>3.7228937818759605E-2</v>
      </c>
      <c r="BJ19" s="46">
        <f>BJ18/BJ12</f>
        <v>0.21640178980015751</v>
      </c>
      <c r="BK19" s="51">
        <f>BJ19-BH19</f>
        <v>3.1005859370645344E-2</v>
      </c>
      <c r="BL19" s="780">
        <v>0.11236887489486988</v>
      </c>
      <c r="BM19" s="628">
        <f ca="1">BM18/BM12</f>
        <v>0.18662051404474067</v>
      </c>
      <c r="BN19" s="46">
        <f ca="1">BM19-BL19</f>
        <v>7.4251639149870791E-2</v>
      </c>
      <c r="BO19" s="782">
        <v>0.1151509522004542</v>
      </c>
      <c r="BP19" s="46">
        <f t="shared" ca="1" si="121"/>
        <v>0.62065975555176145</v>
      </c>
      <c r="BQ19" s="628">
        <f>BQ18/BQ12</f>
        <v>0.18384989544734306</v>
      </c>
      <c r="BR19" s="46">
        <f>BQ19-BO19</f>
        <v>6.8698943246888869E-2</v>
      </c>
      <c r="BS19" s="72">
        <v>0.14279402406814151</v>
      </c>
      <c r="BT19" s="46">
        <f ca="1">BT18/BT12</f>
        <v>0.13328096337704615</v>
      </c>
      <c r="BU19" s="46">
        <f ca="1">BT19-BS19</f>
        <v>-9.5130606910953652E-3</v>
      </c>
      <c r="BV19" s="73">
        <v>0.12899487723290623</v>
      </c>
      <c r="BW19" s="46">
        <f ca="1">BT19-BV19</f>
        <v>4.2860861441399167E-3</v>
      </c>
      <c r="BX19" s="46">
        <f>BX18/BX12</f>
        <v>0.16149068969313371</v>
      </c>
      <c r="BY19" s="51">
        <f>BX19-BV19</f>
        <v>3.249581246022748E-2</v>
      </c>
      <c r="BZ19" s="72">
        <v>0.14329430068669369</v>
      </c>
      <c r="CA19" s="46">
        <f ca="1">CA18/CA12</f>
        <v>0.1945289513089134</v>
      </c>
      <c r="CB19" s="46">
        <f ca="1">CA19-BZ19</f>
        <v>5.1234650622219713E-2</v>
      </c>
      <c r="CC19" s="73">
        <v>0.14728179446119452</v>
      </c>
      <c r="CD19" s="46">
        <f ca="1">CA19-CC19</f>
        <v>4.724715684771888E-2</v>
      </c>
      <c r="CE19" s="46">
        <f>CE18/CE12</f>
        <v>0.19121203533384687</v>
      </c>
      <c r="CF19" s="51">
        <f>CE19-CC19</f>
        <v>4.3930240872652349E-2</v>
      </c>
      <c r="CG19" s="72">
        <v>0.16150084854097324</v>
      </c>
      <c r="CH19" s="46">
        <f ca="1">CH18/CH12</f>
        <v>0.21602827122412108</v>
      </c>
      <c r="CI19" s="46">
        <f ca="1">CH19-CG19</f>
        <v>5.4527422683147836E-2</v>
      </c>
      <c r="CJ19" s="73">
        <v>0.16569697233775432</v>
      </c>
      <c r="CK19" s="46">
        <f ca="1">CH19-CJ19</f>
        <v>5.0331298886366754E-2</v>
      </c>
      <c r="CL19" s="46">
        <f>CL18/CL12</f>
        <v>0.20858554177813024</v>
      </c>
      <c r="CM19" s="51">
        <f>CL19-CJ19</f>
        <v>4.2888569440375918E-2</v>
      </c>
      <c r="CN19" s="72">
        <v>0.18457274833019366</v>
      </c>
      <c r="CO19" s="46">
        <f ca="1">CO18/CO12</f>
        <v>0.2351534846228438</v>
      </c>
      <c r="CP19" s="46">
        <f ca="1">CO19-CN19</f>
        <v>5.0580736292650141E-2</v>
      </c>
      <c r="CQ19" s="73">
        <v>0.196787868449117</v>
      </c>
      <c r="CR19" s="46">
        <f ca="1">CO19-CQ19</f>
        <v>3.8365616173726802E-2</v>
      </c>
      <c r="CS19" s="46">
        <f>CS18/CS12</f>
        <v>0.23966584605318259</v>
      </c>
      <c r="CT19" s="51">
        <f>CS19-CQ19</f>
        <v>4.2877977604065587E-2</v>
      </c>
      <c r="CU19" s="780">
        <v>0.16045670996557732</v>
      </c>
      <c r="CV19" s="628">
        <f ca="1">CV18/CV12</f>
        <v>0.19899589486621558</v>
      </c>
      <c r="CW19" s="46">
        <f ca="1">CV19-CU19</f>
        <v>3.8539184900638263E-2</v>
      </c>
      <c r="CX19" s="782">
        <v>0.16338225633628584</v>
      </c>
      <c r="CY19" s="46">
        <f t="shared" ca="1" si="131"/>
        <v>0.21797739441562758</v>
      </c>
      <c r="CZ19" s="628">
        <f>CZ18/CZ12</f>
        <v>0.19781993790647714</v>
      </c>
      <c r="DA19" s="46">
        <f>CZ19-CX19</f>
        <v>3.4437681570191309E-2</v>
      </c>
      <c r="DB19" s="72">
        <v>0.13865082414495222</v>
      </c>
      <c r="DC19" s="46">
        <f ca="1">DC18/DC12</f>
        <v>0.14740081389381485</v>
      </c>
      <c r="DD19" s="46">
        <f ca="1">DC19-DB19</f>
        <v>8.7499897488626244E-3</v>
      </c>
      <c r="DE19" s="73">
        <v>0.16680351520454806</v>
      </c>
      <c r="DF19" s="46">
        <f ca="1">DC19-DE19</f>
        <v>-1.9402701310733211E-2</v>
      </c>
      <c r="DG19" s="46">
        <f>DG18/DG12</f>
        <v>0.18033248802479571</v>
      </c>
      <c r="DH19" s="51">
        <f>DG19-DE19</f>
        <v>1.3528972820247648E-2</v>
      </c>
      <c r="DI19" s="72">
        <v>0.13903936692684241</v>
      </c>
      <c r="DJ19" s="46">
        <f ca="1">DJ18/DJ12</f>
        <v>0.20846005100734369</v>
      </c>
      <c r="DK19" s="46">
        <f ca="1">DJ19-DI19</f>
        <v>6.9420684080501283E-2</v>
      </c>
      <c r="DL19" s="73">
        <v>0.1704370332526649</v>
      </c>
      <c r="DM19" s="46">
        <f ca="1">DJ19-DL19</f>
        <v>3.8023017754678784E-2</v>
      </c>
      <c r="DN19" s="46">
        <f>DN18/DN12</f>
        <v>0.21020624008461131</v>
      </c>
      <c r="DO19" s="51">
        <f>DN19-DL19</f>
        <v>3.9769206831946402E-2</v>
      </c>
      <c r="DP19" s="72">
        <v>0.15731901181571939</v>
      </c>
      <c r="DQ19" s="46">
        <f ca="1">DQ18/DQ12</f>
        <v>0.23004291339564692</v>
      </c>
      <c r="DR19" s="46">
        <f ca="1">DQ19-DP19</f>
        <v>7.272390157992753E-2</v>
      </c>
      <c r="DS19" s="73">
        <v>0.19468441348566792</v>
      </c>
      <c r="DT19" s="46">
        <f ca="1">DQ19-DS19</f>
        <v>3.5358499909978997E-2</v>
      </c>
      <c r="DU19" s="46">
        <f>DU18/DU12</f>
        <v>0.22691823899371069</v>
      </c>
      <c r="DV19" s="51">
        <f>DU19-DS19</f>
        <v>3.2233825508042768E-2</v>
      </c>
      <c r="DW19" s="72">
        <v>0.18111298138947915</v>
      </c>
      <c r="DX19" s="46">
        <f ca="1">DX18/DX12</f>
        <v>0.24936245458555301</v>
      </c>
      <c r="DY19" s="46">
        <f ca="1">DX19-DW19</f>
        <v>6.8249473196073857E-2</v>
      </c>
      <c r="DZ19" s="73">
        <v>0.22017662008451785</v>
      </c>
      <c r="EA19" s="46">
        <f ca="1">DX19-DZ19</f>
        <v>2.9185834501035152E-2</v>
      </c>
      <c r="EB19" s="46">
        <f>EB18/EB12</f>
        <v>0.28076535750251763</v>
      </c>
      <c r="EC19" s="46">
        <f ca="1">DX19-DZ19</f>
        <v>2.9185834501035152E-2</v>
      </c>
      <c r="ED19" s="51">
        <f>EB19-DZ19</f>
        <v>6.0588737417999777E-2</v>
      </c>
      <c r="EE19" s="780">
        <v>0.15649037509905858</v>
      </c>
      <c r="EF19" s="628">
        <f ca="1">EF18/EF12</f>
        <v>0.21308160586352251</v>
      </c>
      <c r="EG19" s="46">
        <f ca="1">EF19-EE19</f>
        <v>5.6591230764463929E-2</v>
      </c>
      <c r="EH19" s="782">
        <v>0.18501935579721404</v>
      </c>
      <c r="EI19" s="46">
        <f ca="1">EF19-EH19</f>
        <v>2.806225006630847E-2</v>
      </c>
      <c r="EJ19" s="628">
        <f>EJ18/EJ12</f>
        <v>0.18605359152490206</v>
      </c>
      <c r="EK19" s="46">
        <f ca="1">EF19-EH19</f>
        <v>2.806225006630847E-2</v>
      </c>
      <c r="EL19" s="51">
        <f>EJ19-EH19</f>
        <v>1.0342357276880154E-3</v>
      </c>
    </row>
    <row r="20" spans="2:142" ht="24.95" customHeight="1">
      <c r="B20" s="42" t="s">
        <v>374</v>
      </c>
      <c r="D20" s="74" t="s">
        <v>184</v>
      </c>
      <c r="E20" s="61">
        <v>25.082000000000079</v>
      </c>
      <c r="F20" s="70">
        <f ca="1">OFFSET(Income!$C$4,MATCH($D20,Income!$C$4:$C$127,0)-1,MATCH(E$8,Income!$C$4:$EE$4,0)-1)</f>
        <v>256</v>
      </c>
      <c r="G20" s="46">
        <f t="shared" ca="1" si="0"/>
        <v>9.2065226058527703</v>
      </c>
      <c r="H20" s="63">
        <v>25.082000000000001</v>
      </c>
      <c r="I20" s="64" cm="1">
        <f t="array" ref="I20">_xll.FDS("SHOP-US","FE_ESTIMATE("&amp;$B20&amp;",MEAN,QTR,"&amp;E$6&amp;"/"&amp;E$7&amp;"F,NOW,,,'')")</f>
        <v>256</v>
      </c>
      <c r="J20" s="46">
        <f t="shared" si="1"/>
        <v>9.2065226058528022</v>
      </c>
      <c r="K20" s="61">
        <v>-38.452999999999861</v>
      </c>
      <c r="L20" s="70">
        <f ca="1">OFFSET(Income!$C$4,MATCH($D20,Income!$C$4:$C$127,0)-1,MATCH(K$8,Income!$C$4:$EE$4,0)-1)</f>
        <v>345</v>
      </c>
      <c r="M20" s="46">
        <f t="shared" ref="M20:M23" ca="1" si="141">L20/K20-1</f>
        <v>-9.9719917821756763</v>
      </c>
      <c r="N20" s="63">
        <v>-38.453000000000003</v>
      </c>
      <c r="O20" s="64" cm="1">
        <f t="array" ref="O20">_xll.FDS("SHOP-US","FE_ESTIMATE("&amp;$B20&amp;",MEAN,QTR,"&amp;K$6&amp;"/"&amp;K$7&amp;"F,NOW,,,'')")</f>
        <v>345</v>
      </c>
      <c r="P20" s="46">
        <f t="shared" ref="P20:P23" si="142">O20/N20-1</f>
        <v>-9.9719917821756425</v>
      </c>
      <c r="Q20" s="61">
        <v>-30.039000000000016</v>
      </c>
      <c r="R20" s="70" t="e">
        <f ca="1">OFFSET(Income!$C$4,MATCH($D20,Income!$C$4:$C$127,0)-1,MATCH(Q$8,Income!$C$4:$EE$4,0)-1)</f>
        <v>#N/A</v>
      </c>
      <c r="S20" s="46" t="e">
        <f t="shared" ref="S20:S23" ca="1" si="143">R20/Q20-1</f>
        <v>#N/A</v>
      </c>
      <c r="T20" s="63">
        <v>-30</v>
      </c>
      <c r="U20" s="64" cm="1">
        <f t="array" ref="U20">_xll.FDS("SHOP-US","FE_ESTIMATE("&amp;$B20&amp;",MEAN,QTR,"&amp;Q$6&amp;"/"&amp;Q$7&amp;"F,NOW,,,'')")</f>
        <v>344</v>
      </c>
      <c r="V20" s="46">
        <f t="shared" ref="V20:V23" si="144">U20/T20-1</f>
        <v>-12.466666666666667</v>
      </c>
      <c r="W20" s="61">
        <v>90.996000000000151</v>
      </c>
      <c r="X20" s="70">
        <f ca="1">OFFSET(Income!$C$4,MATCH($D20,Income!$C$4:$C$127,0)-1,MATCH(W$8,Income!$C$4:$EE$4,0)-1)</f>
        <v>515.43629645547639</v>
      </c>
      <c r="Y20" s="46">
        <f t="shared" ref="Y20:Y23" ca="1" si="145">X20/W20-1</f>
        <v>4.6643841098012606</v>
      </c>
      <c r="Z20" s="63">
        <v>90.995999999999995</v>
      </c>
      <c r="AA20" s="64" cm="1">
        <f t="array" ref="AA20">_xll.FDS("SHOP-US","FE_ESTIMATE("&amp;$B20&amp;",MEAN,QTR,"&amp;W$6&amp;"/"&amp;W$7&amp;"F,NOW,,,'')")</f>
        <v>568.64549999999997</v>
      </c>
      <c r="AB20" s="46">
        <f t="shared" ref="AB20:AB23" si="146">AA20/Z20-1</f>
        <v>5.2491263352235267</v>
      </c>
      <c r="AC20" s="61">
        <v>47.586000000000354</v>
      </c>
      <c r="AD20" s="70">
        <f ca="1">OFFSET(Income!$C$4,MATCH($D20,Income!$C$4:$C$127,0)-1,MATCH(AC$8,Income!$C$4:$EE$4,0)-1)</f>
        <v>1590.5851336647786</v>
      </c>
      <c r="AE20" s="46">
        <f t="shared" ref="AE20:AE23" ca="1" si="147">AD20/AC20-1</f>
        <v>32.425485093615073</v>
      </c>
      <c r="AF20" s="63">
        <v>47.585999999999999</v>
      </c>
      <c r="AG20" s="46">
        <f t="shared" ca="1" si="111"/>
        <v>32.425485093615322</v>
      </c>
      <c r="AH20" s="64" cm="1">
        <f t="array" ref="AH20">_xll.FDS("SHOP-US","FE_ESTIMATE("&amp;$B20&amp;",MEAN,ANNUAL_ROLL,"&amp;AC$6&amp;",NOW,,,'')")</f>
        <v>1625.3815999999999</v>
      </c>
      <c r="AI20" s="46">
        <f>AH20/AF20-1</f>
        <v>33.156718362543607</v>
      </c>
      <c r="AJ20" s="61">
        <v>1514.1721097027425</v>
      </c>
      <c r="AK20" s="70">
        <f>Income!DS124</f>
        <v>1944.9522284877239</v>
      </c>
      <c r="AL20" s="46">
        <f t="shared" ref="AL20:AL23" si="148">AK20/AJ20-1</f>
        <v>0.28449878057095557</v>
      </c>
      <c r="AM20" s="63">
        <v>12</v>
      </c>
      <c r="AN20" s="46">
        <f>AK20/AM20-1</f>
        <v>161.079352373977</v>
      </c>
      <c r="AO20" s="64" cm="1">
        <f t="array" ref="AO20">_xll.FDS("SHOP-US","FE_ESTIMATE("&amp;$B20&amp;",MEAN,QTR,"&amp;AJ$6&amp;"/"&amp;AJ$7&amp;"F,NOW,,,'')")</f>
        <v>349.97969999999998</v>
      </c>
      <c r="AP20" s="46">
        <f t="shared" ref="AP20:AP23" si="149">AO20/AM20-1</f>
        <v>28.164974999999998</v>
      </c>
      <c r="AQ20" s="61">
        <v>0</v>
      </c>
      <c r="AR20" s="70" t="e">
        <f>Income!#REF!</f>
        <v>#REF!</v>
      </c>
      <c r="AS20" s="46" t="e">
        <f t="shared" ref="AS20:AS23" si="150">AR20/AQ20-1</f>
        <v>#REF!</v>
      </c>
      <c r="AT20" s="63">
        <v>178</v>
      </c>
      <c r="AU20" s="46" t="e">
        <f>AR20/AT20-1</f>
        <v>#REF!</v>
      </c>
      <c r="AV20" s="64" cm="1">
        <f t="array" ref="AV20">_xll.FDS("SHOP-US","FE_ESTIMATE("&amp;$B20&amp;",MEAN,QTR,"&amp;AQ$6&amp;"/"&amp;AQ$7&amp;"F,NOW,,,'')")</f>
        <v>434.8261</v>
      </c>
      <c r="AW20" s="46">
        <f t="shared" ref="AW20:AW23" si="151">AV20/AT20-1</f>
        <v>1.4428432584269664</v>
      </c>
      <c r="AX20" s="61">
        <v>0</v>
      </c>
      <c r="AY20" s="70" t="e">
        <f>Income!#REF!</f>
        <v>#REF!</v>
      </c>
      <c r="AZ20" s="46" t="e">
        <f t="shared" ref="AZ20:AZ23" si="152">AY20/AX20-1</f>
        <v>#REF!</v>
      </c>
      <c r="BA20" s="63">
        <v>316</v>
      </c>
      <c r="BB20" s="46" t="e">
        <f>AY20/BA20-1</f>
        <v>#REF!</v>
      </c>
      <c r="BC20" s="64" cm="1">
        <f t="array" ref="BC20">_xll.FDS("SHOP-US","FE_ESTIMATE("&amp;$B20&amp;",MEAN,QTR,"&amp;AX$6&amp;"/"&amp;AX$7&amp;"F,NOW,,,'')")</f>
        <v>492.61970000000002</v>
      </c>
      <c r="BD20" s="46">
        <f t="shared" ref="BD20:BD23" si="153">BC20/BA20-1</f>
        <v>0.5589231012658229</v>
      </c>
      <c r="BE20" s="61">
        <v>0</v>
      </c>
      <c r="BF20" s="70">
        <f>Income!EH124</f>
        <v>0</v>
      </c>
      <c r="BG20" s="46" t="e">
        <f t="shared" ref="BG20:BG23" si="154">BF20/BE20-1</f>
        <v>#DIV/0!</v>
      </c>
      <c r="BH20" s="63">
        <v>387.87151999999998</v>
      </c>
      <c r="BI20" s="46">
        <f>BF20/BH20-1</f>
        <v>-1</v>
      </c>
      <c r="BJ20" s="64" cm="1">
        <f t="array" ref="BJ20">_xll.FDS("SHOP-US","FE_ESTIMATE("&amp;$B20&amp;",MEAN,QTR,"&amp;BE$6&amp;"/"&amp;BE$7&amp;"F,NOW,,,'')")</f>
        <v>690.45299999999997</v>
      </c>
      <c r="BK20" s="46">
        <f t="shared" ref="BK20:BK23" si="155">BJ20/BH20-1</f>
        <v>0.78010749538919488</v>
      </c>
      <c r="BL20" s="61">
        <v>870.45022414713435</v>
      </c>
      <c r="BM20" s="70">
        <f ca="1">OFFSET(Income!$C$4,MATCH($D20,Income!$C$4:$C$127,0)-1,MATCH(BL$8,Income!$C$4:$EE$4,0)-1)</f>
        <v>1944.9522284877239</v>
      </c>
      <c r="BN20" s="46">
        <f t="shared" ref="BN20:BN23" ca="1" si="156">BM20/BL20-1</f>
        <v>1.234420963465642</v>
      </c>
      <c r="BO20" s="63">
        <v>888.23375999999996</v>
      </c>
      <c r="BP20" s="46">
        <f t="shared" ca="1" si="121"/>
        <v>1.1896850987601777</v>
      </c>
      <c r="BQ20" s="64" cm="1">
        <f t="array" ref="BQ20">_xll.FDS("SHOP-US","FE_ESTIMATE("&amp;$B20&amp;",MEAN,ANNUAL_ROLL,"&amp;BL$6&amp;",NOW,,,'')")</f>
        <v>2017.6532</v>
      </c>
      <c r="BR20" s="46">
        <f>BQ20/BO20-1</f>
        <v>1.2715340160004729</v>
      </c>
      <c r="BS20" s="61">
        <v>0</v>
      </c>
      <c r="BT20" s="70">
        <f>Income!EV124</f>
        <v>0</v>
      </c>
      <c r="BU20" s="46" t="e">
        <f t="shared" ref="BU20:BU23" si="157">BT20/BS20-1</f>
        <v>#DIV/0!</v>
      </c>
      <c r="BV20" s="63">
        <v>264.94045999999997</v>
      </c>
      <c r="BW20" s="46">
        <f>BT20/BV20-1</f>
        <v>-1</v>
      </c>
      <c r="BX20" s="64" cm="1">
        <f t="array" ref="BX20">_xll.FDS("SHOP-US","FE_ESTIMATE("&amp;$B20&amp;",MEAN,QTR,"&amp;BS$6&amp;"/"&amp;BS$7&amp;"F,NOW,,,'')")</f>
        <v>447.52667000000002</v>
      </c>
      <c r="BY20" s="46">
        <f t="shared" ref="BY20:BY23" si="158">BX20/BV20-1</f>
        <v>0.6891594058529229</v>
      </c>
      <c r="BZ20" s="61">
        <v>0</v>
      </c>
      <c r="CA20" s="70">
        <f>Income!FC124</f>
        <v>0</v>
      </c>
      <c r="CB20" s="46" t="e">
        <f t="shared" ref="CB20:CB23" si="159">CA20/BZ20-1</f>
        <v>#DIV/0!</v>
      </c>
      <c r="CC20" s="63">
        <v>317.79126000000002</v>
      </c>
      <c r="CD20" s="46">
        <f>CA20/CC20-1</f>
        <v>-1</v>
      </c>
      <c r="CE20" s="64" cm="1">
        <f t="array" ref="CE20">_xll.FDS("SHOP-US","FE_ESTIMATE("&amp;$B20&amp;",MEAN,QTR,"&amp;BZ$6&amp;"/"&amp;BZ$7&amp;"F,NOW,,,'')")</f>
        <v>566.52670000000001</v>
      </c>
      <c r="CF20" s="46">
        <f t="shared" ref="CF20:CF23" si="160">CE20/CC20-1</f>
        <v>0.78270069478940352</v>
      </c>
      <c r="CG20" s="61">
        <v>0</v>
      </c>
      <c r="CH20" s="70">
        <f>Income!FJ124</f>
        <v>0</v>
      </c>
      <c r="CI20" s="46" t="e">
        <f t="shared" ref="CI20:CI23" si="161">CH20/CG20-1</f>
        <v>#DIV/0!</v>
      </c>
      <c r="CJ20" s="63">
        <v>343.43466000000001</v>
      </c>
      <c r="CK20" s="46">
        <f>CH20/CJ20-1</f>
        <v>-1</v>
      </c>
      <c r="CL20" s="64" cm="1">
        <f t="array" ref="CL20">_xll.FDS("SHOP-US","FE_ESTIMATE("&amp;$B20&amp;",MEAN,QTR,"&amp;CG$6&amp;"/"&amp;CG$7&amp;"F,NOW,,,'')")</f>
        <v>644.37270000000001</v>
      </c>
      <c r="CM20" s="46">
        <f t="shared" ref="CM20:CM23" si="162">CL20/CJ20-1</f>
        <v>0.87625995582391125</v>
      </c>
      <c r="CN20" s="61">
        <v>0</v>
      </c>
      <c r="CO20" s="70">
        <f>Income!FQ124</f>
        <v>0</v>
      </c>
      <c r="CP20" s="46" t="e">
        <f t="shared" ref="CP20:CP23" si="163">CO20/CN20-1</f>
        <v>#DIV/0!</v>
      </c>
      <c r="CQ20" s="63">
        <v>470.0188</v>
      </c>
      <c r="CR20" s="46">
        <f>CO20/CQ20-1</f>
        <v>-1</v>
      </c>
      <c r="CS20" s="64" cm="1">
        <f t="array" ref="CS20">_xll.FDS("SHOP-US","FE_ESTIMATE("&amp;$B20&amp;",MEAN,QTR,"&amp;CN$6&amp;"/"&amp;CN$7&amp;"F,NOW,,,'')")</f>
        <v>925.97990000000004</v>
      </c>
      <c r="CT20" s="46">
        <f t="shared" ref="CT20:CT23" si="164">CS20/CQ20-1</f>
        <v>0.97009119635214591</v>
      </c>
      <c r="CU20" s="61">
        <v>1287.0297579211128</v>
      </c>
      <c r="CV20" s="70">
        <f ca="1">OFFSET(Income!$C$4,MATCH($D20,Income!$C$4:$C$127,0)-1,MATCH(CU$8,Income!$C$4:$EE$4,0)-1)</f>
        <v>2376.8480342005128</v>
      </c>
      <c r="CW20" s="46">
        <f t="shared" ref="CW20:CW23" ca="1" si="165">CV20/CU20-1</f>
        <v>0.84677006850233161</v>
      </c>
      <c r="CX20" s="63">
        <v>1429.2572</v>
      </c>
      <c r="CY20" s="46">
        <f t="shared" ca="1" si="131"/>
        <v>0.6629953196671059</v>
      </c>
      <c r="CZ20" s="64" cm="1">
        <f t="array" ref="CZ20">_xll.FDS("SHOP-US","FE_ESTIMATE("&amp;$B20&amp;",MEAN,ANNUAL_ROLL,"&amp;CU$6&amp;",NOW,,,'')")</f>
        <v>2556.7402000000002</v>
      </c>
      <c r="DA20" s="46">
        <f>CZ20/CX20-1</f>
        <v>0.78885941592597897</v>
      </c>
      <c r="DB20" s="61">
        <v>0</v>
      </c>
      <c r="DC20" s="70">
        <f>Income!GE124</f>
        <v>0</v>
      </c>
      <c r="DD20" s="46" t="e">
        <f t="shared" ref="DD20:DD23" si="166">DC20/DB20-1</f>
        <v>#DIV/0!</v>
      </c>
      <c r="DE20" s="63">
        <v>392.57852000000003</v>
      </c>
      <c r="DF20" s="46">
        <f>DC20/DE20-1</f>
        <v>-1</v>
      </c>
      <c r="DG20" s="64" cm="1">
        <f t="array" ref="DG20">_xll.FDS("SHOP-US","FE_ESTIMATE("&amp;$B20&amp;",MEAN,QTR,"&amp;DB$6&amp;"/"&amp;DB$7&amp;"F,NOW,,,'')")</f>
        <v>623</v>
      </c>
      <c r="DH20" s="46">
        <f t="shared" ref="DH20:DH23" si="167">DG20/DE20-1</f>
        <v>0.58694367689806359</v>
      </c>
      <c r="DI20" s="61">
        <v>0</v>
      </c>
      <c r="DJ20" s="70">
        <f>Income!GL124</f>
        <v>0</v>
      </c>
      <c r="DK20" s="46" t="e">
        <f t="shared" ref="DK20:DK23" si="168">DJ20/DI20-1</f>
        <v>#DIV/0!</v>
      </c>
      <c r="DL20" s="63">
        <v>430.3116</v>
      </c>
      <c r="DM20" s="46">
        <f>DJ20/DL20-1</f>
        <v>-1</v>
      </c>
      <c r="DN20" s="64" cm="1">
        <f t="array" ref="DN20">_xll.FDS("SHOP-US","FE_ESTIMATE("&amp;$B20&amp;",MEAN,QTR,"&amp;DI$6&amp;"/"&amp;DI$7&amp;"F,NOW,,,'')")</f>
        <v>778</v>
      </c>
      <c r="DO20" s="46">
        <f t="shared" ref="DO20:DO23" si="169">DN20/DL20-1</f>
        <v>0.80799216195891543</v>
      </c>
      <c r="DP20" s="61">
        <v>0</v>
      </c>
      <c r="DQ20" s="70">
        <f>Income!GS124</f>
        <v>0</v>
      </c>
      <c r="DR20" s="46" t="e">
        <f t="shared" ref="DR20:DR23" si="170">DQ20/DP20-1</f>
        <v>#DIV/0!</v>
      </c>
      <c r="DS20" s="63">
        <v>463.24734000000001</v>
      </c>
      <c r="DT20" s="46">
        <f>DQ20/DS20-1</f>
        <v>-1</v>
      </c>
      <c r="DU20" s="64" cm="1">
        <f t="array" ref="DU20">_xll.FDS("SHOP-US","FE_ESTIMATE("&amp;$B20&amp;",MEAN,QTR,"&amp;DP$6&amp;"/"&amp;DP$7&amp;"F,NOW,,,'')")</f>
        <v>880</v>
      </c>
      <c r="DV20" s="46">
        <f t="shared" ref="DV20:DV23" si="171">DU20/DS20-1</f>
        <v>0.89963314198415034</v>
      </c>
      <c r="DW20" s="61">
        <v>0</v>
      </c>
      <c r="DX20" s="70">
        <f>Income!GZ124</f>
        <v>0</v>
      </c>
      <c r="DY20" s="46" t="e">
        <f t="shared" ref="DY20:DY23" si="172">DX20/DW20-1</f>
        <v>#DIV/0!</v>
      </c>
      <c r="DZ20" s="63">
        <v>649.11519999999996</v>
      </c>
      <c r="EA20" s="46">
        <f>DX20/DZ20-1</f>
        <v>-1</v>
      </c>
      <c r="EB20" s="64" cm="1">
        <f t="array" ref="EB20">_xll.FDS("SHOP-US","FE_ESTIMATE("&amp;$B20&amp;",MEAN,QTR,"&amp;DW$6&amp;"/"&amp;DW$7&amp;"F,NOW,,,'')")</f>
        <v>1380</v>
      </c>
      <c r="EC20" s="46">
        <f>DX20/EB20-1</f>
        <v>-1</v>
      </c>
      <c r="ED20" s="46">
        <f t="shared" ref="ED20:ED23" si="173">EB20/DZ20-1</f>
        <v>1.1259708600260785</v>
      </c>
      <c r="EE20" s="61">
        <v>1514.1721097027425</v>
      </c>
      <c r="EF20" s="70">
        <f ca="1">OFFSET(Income!$C$4,MATCH($D20,Income!$C$4:$C$127,0)-1,MATCH(EE$8,Income!$C$4:$EE$4,0)-1)</f>
        <v>2890.3552108383683</v>
      </c>
      <c r="EG20" s="46">
        <f t="shared" ref="EG20:EG23" ca="1" si="174">EF20/EE20-1</f>
        <v>0.90886834615240253</v>
      </c>
      <c r="EH20" s="63">
        <v>1812.3785</v>
      </c>
      <c r="EI20" s="46">
        <f ca="1">EF20/EH20-1</f>
        <v>0.59478564264493761</v>
      </c>
      <c r="EJ20" s="64" cm="1">
        <f t="array" ref="EJ20">_xll.FDS("SHOP-US","FE_ESTIMATE("&amp;$B20&amp;",MEAN,ANNUAL_ROLL,"&amp;EE$6&amp;",NOW,,,'')")</f>
        <v>3289.4587000000001</v>
      </c>
      <c r="EK20" s="46">
        <f ca="1">EF20/EJ20-1</f>
        <v>-0.12132801337850263</v>
      </c>
      <c r="EL20" s="51">
        <f>EJ20/EH20-1</f>
        <v>0.81499543279728814</v>
      </c>
    </row>
    <row r="21" spans="2:142" ht="24.95" customHeight="1">
      <c r="B21" s="42" t="s">
        <v>375</v>
      </c>
      <c r="D21" s="74" t="s">
        <v>183</v>
      </c>
      <c r="E21" s="780">
        <v>0.19904285163571911</v>
      </c>
      <c r="F21" s="70">
        <f ca="1">OFFSET(Income!$C$4,MATCH($D21,Income!$C$4:$C$127,0)-1,MATCH(E$8,Income!$C$4:$EE$4,0)-1)</f>
        <v>0.19885399217010385</v>
      </c>
      <c r="G21" s="46">
        <f t="shared" ca="1" si="0"/>
        <v>-9.4883822284108632E-4</v>
      </c>
      <c r="H21" s="75">
        <v>0.02</v>
      </c>
      <c r="I21" s="76" cm="1">
        <f t="array" ref="I21">_xll.FDS("SHOP-US","FE_ESTIMATE("&amp;$B21&amp;",MEAN,QTR,"&amp;E$6&amp;"/"&amp;E$7&amp;"F,NOW,,,'')")</f>
        <v>0.2</v>
      </c>
      <c r="J21" s="46">
        <f t="shared" si="1"/>
        <v>9</v>
      </c>
      <c r="K21" s="780">
        <v>-3.0469607426330612E-2</v>
      </c>
      <c r="L21" s="70">
        <f ca="1">OFFSET(Income!$C$4,MATCH($D21,Income!$C$4:$C$127,0)-1,MATCH(K$8,Income!$C$4:$EE$4,0)-1)</f>
        <v>0.26540236079892543</v>
      </c>
      <c r="M21" s="46">
        <f t="shared" ca="1" si="141"/>
        <v>-9.7103964644314829</v>
      </c>
      <c r="N21" s="75">
        <v>-0.03</v>
      </c>
      <c r="O21" s="76" cm="1">
        <f t="array" ref="O21">_xll.FDS("SHOP-US","FE_ESTIMATE("&amp;$B21&amp;",MEAN,QTR,"&amp;K$6&amp;"/"&amp;K$7&amp;"F,NOW,,,'')")</f>
        <v>0.26</v>
      </c>
      <c r="P21" s="46">
        <f t="shared" si="142"/>
        <v>-9.6666666666666679</v>
      </c>
      <c r="Q21" s="780">
        <v>-2.3663465468268561E-2</v>
      </c>
      <c r="R21" s="70" t="e">
        <f ca="1">OFFSET(Income!$C$4,MATCH($D21,Income!$C$4:$C$127,0)-1,MATCH(Q$8,Income!$C$4:$EE$4,0)-1)</f>
        <v>#N/A</v>
      </c>
      <c r="S21" s="46" t="e">
        <f t="shared" ca="1" si="143"/>
        <v>#N/A</v>
      </c>
      <c r="T21" s="75">
        <v>-0.02</v>
      </c>
      <c r="U21" s="76" cm="1">
        <f t="array" ref="U21">_xll.FDS("SHOP-US","FE_ESTIMATE("&amp;$B21&amp;",MEAN,QTR,"&amp;Q$6&amp;"/"&amp;Q$7&amp;"F,NOW,,,'')")</f>
        <v>0.34206286000000002</v>
      </c>
      <c r="V21" s="46">
        <f t="shared" si="144"/>
        <v>-18.103142999999999</v>
      </c>
      <c r="W21" s="780">
        <v>7.1462520198198681E-2</v>
      </c>
      <c r="X21" s="70">
        <f ca="1">OFFSET(Income!$C$4,MATCH($D21,Income!$C$4:$C$127,0)-1,MATCH(W$8,Income!$C$4:$EE$4,0)-1)</f>
        <v>0.39524272461946863</v>
      </c>
      <c r="Y21" s="46">
        <f t="shared" ca="1" si="145"/>
        <v>4.5307694652144566</v>
      </c>
      <c r="Z21" s="75">
        <v>7.0000000000000007E-2</v>
      </c>
      <c r="AA21" s="76" cm="1">
        <f t="array" ref="AA21">_xll.FDS("SHOP-US","FE_ESTIMATE("&amp;$B21&amp;",MEAN,QTR,"&amp;W$6&amp;"/"&amp;W$7&amp;"F,NOW,,,'')")</f>
        <v>0.42742746999999998</v>
      </c>
      <c r="AB21" s="46">
        <f t="shared" si="146"/>
        <v>5.1061067142857137</v>
      </c>
      <c r="AC21" s="77">
        <v>4.8423868992537152E-2</v>
      </c>
      <c r="AD21" s="70">
        <f ca="1">OFFSET(Income!$C$4,MATCH($D21,Income!$C$4:$C$127,0)-1,MATCH(AC$8,Income!$C$4:$EE$4,0)-1)</f>
        <v>1.2251783990939886</v>
      </c>
      <c r="AE21" s="46">
        <f t="shared" ca="1" si="147"/>
        <v>24.30112575851399</v>
      </c>
      <c r="AF21" s="75">
        <v>0.04</v>
      </c>
      <c r="AG21" s="46">
        <f t="shared" ca="1" si="111"/>
        <v>29.629459977349715</v>
      </c>
      <c r="AH21" s="76" cm="1">
        <f t="array" ref="AH21">_xll.FDS("SHOP-US","FE_ESTIMATE("&amp;$B21&amp;",MEAN,ANNUAL_ROLL,"&amp;AC$6&amp;",NOW,,,'')")</f>
        <v>1.2719381000000001</v>
      </c>
      <c r="AI21" s="46">
        <f>AH21/AF21-1</f>
        <v>30.7984525</v>
      </c>
      <c r="AJ21" s="780">
        <v>1.1518294003855341</v>
      </c>
      <c r="AK21" s="78">
        <f>Income!DS125</f>
        <v>1.4842990458942646</v>
      </c>
      <c r="AL21" s="46">
        <f t="shared" si="148"/>
        <v>0.28864486823955704</v>
      </c>
      <c r="AM21" s="75">
        <v>0.01</v>
      </c>
      <c r="AN21" s="46">
        <f>AK21/AM21-1</f>
        <v>147.42990458942646</v>
      </c>
      <c r="AO21" s="76" cm="1">
        <f t="array" ref="AO21">_xll.FDS("SHOP-US","FE_ESTIMATE("&amp;$B21&amp;",MEAN,QTR,"&amp;AJ$6&amp;"/"&amp;AJ$7&amp;"F,NOW,,,'')")</f>
        <v>0.27411987999999998</v>
      </c>
      <c r="AP21" s="46">
        <f t="shared" si="149"/>
        <v>26.411987999999997</v>
      </c>
      <c r="AQ21" s="780">
        <v>0</v>
      </c>
      <c r="AR21" s="78" t="e">
        <f>Income!#REF!</f>
        <v>#REF!</v>
      </c>
      <c r="AS21" s="46" t="e">
        <f t="shared" si="150"/>
        <v>#REF!</v>
      </c>
      <c r="AT21" s="75">
        <v>0.14000000000000001</v>
      </c>
      <c r="AU21" s="46" t="e">
        <f>AR21/AT21-1</f>
        <v>#REF!</v>
      </c>
      <c r="AV21" s="76" cm="1">
        <f t="array" ref="AV21">_xll.FDS("SHOP-US","FE_ESTIMATE("&amp;$B21&amp;",MEAN,QTR,"&amp;AQ$6&amp;"/"&amp;AQ$7&amp;"F,NOW,,,'')")</f>
        <v>0.33338045999999999</v>
      </c>
      <c r="AW21" s="46">
        <f t="shared" si="151"/>
        <v>1.3812889999999998</v>
      </c>
      <c r="AX21" s="780">
        <v>0</v>
      </c>
      <c r="AY21" s="78" t="e">
        <f>Income!#REF!</f>
        <v>#REF!</v>
      </c>
      <c r="AZ21" s="46" t="e">
        <f t="shared" si="152"/>
        <v>#REF!</v>
      </c>
      <c r="BA21" s="75">
        <v>0.24</v>
      </c>
      <c r="BB21" s="46" t="e">
        <f>AY21/BA21-1</f>
        <v>#REF!</v>
      </c>
      <c r="BC21" s="76" cm="1">
        <f t="array" ref="BC21">_xll.FDS("SHOP-US","FE_ESTIMATE("&amp;$B21&amp;",MEAN,QTR,"&amp;AX$6&amp;"/"&amp;AX$7&amp;"F,NOW,,,'')")</f>
        <v>0.37531054000000003</v>
      </c>
      <c r="BD21" s="46">
        <f t="shared" si="153"/>
        <v>0.56379391666666678</v>
      </c>
      <c r="BE21" s="780">
        <v>0</v>
      </c>
      <c r="BF21" s="78">
        <f>Income!EH125</f>
        <v>0</v>
      </c>
      <c r="BG21" s="46" t="e">
        <f t="shared" si="154"/>
        <v>#DIV/0!</v>
      </c>
      <c r="BH21" s="75">
        <v>0.30118918</v>
      </c>
      <c r="BI21" s="46">
        <f>BF21/BH21-1</f>
        <v>-1</v>
      </c>
      <c r="BJ21" s="76" cm="1">
        <f t="array" ref="BJ21">_xll.FDS("SHOP-US","FE_ESTIMATE("&amp;$B21&amp;",MEAN,QTR,"&amp;BE$6&amp;"/"&amp;BE$7&amp;"F,NOW,,,'')")</f>
        <v>0.51861979999999996</v>
      </c>
      <c r="BK21" s="46">
        <f t="shared" si="155"/>
        <v>0.72190714155136626</v>
      </c>
      <c r="BL21" s="77">
        <v>0.67395128963675754</v>
      </c>
      <c r="BM21" s="70">
        <f ca="1">OFFSET(Income!$C$4,MATCH($D21,Income!$C$4:$C$127,0)-1,MATCH(BL$8,Income!$C$4:$EE$4,0)-1)</f>
        <v>1.4842990458942646</v>
      </c>
      <c r="BN21" s="46">
        <f t="shared" ca="1" si="156"/>
        <v>1.2023832711919935</v>
      </c>
      <c r="BO21" s="75">
        <v>0.69120484999999998</v>
      </c>
      <c r="BP21" s="46">
        <f t="shared" ca="1" si="121"/>
        <v>1.1474083202602885</v>
      </c>
      <c r="BQ21" s="76" cm="1">
        <f t="array" ref="BQ21">_xll.FDS("SHOP-US","FE_ESTIMATE("&amp;$B21&amp;",MEAN,ANNUAL_ROLL,"&amp;BL$6&amp;",NOW,,,'')")</f>
        <v>1.5340446999999999</v>
      </c>
      <c r="BR21" s="46">
        <f>BQ21/BO21-1</f>
        <v>1.2193778009514835</v>
      </c>
      <c r="BS21" s="780">
        <v>0</v>
      </c>
      <c r="BT21" s="78">
        <f>Income!EV125</f>
        <v>0</v>
      </c>
      <c r="BU21" s="46" t="e">
        <f t="shared" si="157"/>
        <v>#DIV/0!</v>
      </c>
      <c r="BV21" s="75">
        <v>0.20397323000000001</v>
      </c>
      <c r="BW21" s="46">
        <f>BT21/BV21-1</f>
        <v>-1</v>
      </c>
      <c r="BX21" s="76" cm="1">
        <f t="array" ref="BX21">_xll.FDS("SHOP-US","FE_ESTIMATE("&amp;$B21&amp;",MEAN,QTR,"&amp;BS$6&amp;"/"&amp;BS$7&amp;"F,NOW,,,'')")</f>
        <v>0.33127089999999998</v>
      </c>
      <c r="BY21" s="46">
        <f t="shared" si="158"/>
        <v>0.62409008280155187</v>
      </c>
      <c r="BZ21" s="780">
        <v>0</v>
      </c>
      <c r="CA21" s="78">
        <f>Income!FC125</f>
        <v>0</v>
      </c>
      <c r="CB21" s="46" t="e">
        <f t="shared" si="159"/>
        <v>#DIV/0!</v>
      </c>
      <c r="CC21" s="75">
        <v>0.24201033999999999</v>
      </c>
      <c r="CD21" s="46">
        <f>CA21/CC21-1</f>
        <v>-1</v>
      </c>
      <c r="CE21" s="76" cm="1">
        <f t="array" ref="CE21">_xll.FDS("SHOP-US","FE_ESTIMATE("&amp;$B21&amp;",MEAN,QTR,"&amp;BZ$6&amp;"/"&amp;BZ$7&amp;"F,NOW,,,'')")</f>
        <v>0.42760354</v>
      </c>
      <c r="CF21" s="46">
        <f t="shared" si="160"/>
        <v>0.76688128284105561</v>
      </c>
      <c r="CG21" s="780">
        <v>0</v>
      </c>
      <c r="CH21" s="78">
        <f>Income!FJ125</f>
        <v>0</v>
      </c>
      <c r="CI21" s="46" t="e">
        <f t="shared" si="161"/>
        <v>#DIV/0!</v>
      </c>
      <c r="CJ21" s="75">
        <v>0.26639797999999998</v>
      </c>
      <c r="CK21" s="46">
        <f>CH21/CJ21-1</f>
        <v>-1</v>
      </c>
      <c r="CL21" s="76" cm="1">
        <f t="array" ref="CL21">_xll.FDS("SHOP-US","FE_ESTIMATE("&amp;$B21&amp;",MEAN,QTR,"&amp;CG$6&amp;"/"&amp;CG$7&amp;"F,NOW,,,'')")</f>
        <v>0.48378875999999998</v>
      </c>
      <c r="CM21" s="46">
        <f t="shared" si="162"/>
        <v>0.81603764412928359</v>
      </c>
      <c r="CN21" s="780">
        <v>0</v>
      </c>
      <c r="CO21" s="78">
        <f>Income!FQ125</f>
        <v>0</v>
      </c>
      <c r="CP21" s="46" t="e">
        <f t="shared" si="163"/>
        <v>#DIV/0!</v>
      </c>
      <c r="CQ21" s="75">
        <v>0.3647803</v>
      </c>
      <c r="CR21" s="46">
        <f>CO21/CQ21-1</f>
        <v>-1</v>
      </c>
      <c r="CS21" s="76" cm="1">
        <f t="array" ref="CS21">_xll.FDS("SHOP-US","FE_ESTIMATE("&amp;$B21&amp;",MEAN,QTR,"&amp;CN$6&amp;"/"&amp;CN$7&amp;"F,NOW,,,'')")</f>
        <v>0.67592830000000004</v>
      </c>
      <c r="CT21" s="46">
        <f t="shared" si="164"/>
        <v>0.85297369402898138</v>
      </c>
      <c r="CU21" s="77">
        <v>0.98654706683397286</v>
      </c>
      <c r="CV21" s="70">
        <f ca="1">OFFSET(Income!$C$4,MATCH($D21,Income!$C$4:$C$127,0)-1,MATCH(CU$8,Income!$C$4:$EE$4,0)-1)</f>
        <v>1.8001642392492685</v>
      </c>
      <c r="CW21" s="46">
        <f t="shared" ca="1" si="165"/>
        <v>0.8247119673938681</v>
      </c>
      <c r="CX21" s="75">
        <v>1.0338609999999999</v>
      </c>
      <c r="CY21" s="46">
        <f t="shared" ca="1" si="131"/>
        <v>0.74120528702530475</v>
      </c>
      <c r="CZ21" s="76" cm="1">
        <f t="array" ref="CZ21">_xll.FDS("SHOP-US","FE_ESTIMATE("&amp;$B21&amp;",MEAN,ANNUAL_ROLL,"&amp;CU$6&amp;",NOW,,,'')")</f>
        <v>1.928615</v>
      </c>
      <c r="DA21" s="46">
        <f>CZ21/CX21-1</f>
        <v>0.86544903038222754</v>
      </c>
      <c r="DB21" s="780">
        <v>0</v>
      </c>
      <c r="DC21" s="78">
        <f>Income!GE125</f>
        <v>0</v>
      </c>
      <c r="DD21" s="46" t="e">
        <f t="shared" si="166"/>
        <v>#DIV/0!</v>
      </c>
      <c r="DE21" s="75">
        <v>0.28306478000000002</v>
      </c>
      <c r="DF21" s="46">
        <f>DC21/DE21-1</f>
        <v>-1</v>
      </c>
      <c r="DG21" s="76" cm="1">
        <f t="array" ref="DG21">_xll.FDS("SHOP-US","FE_ESTIMATE("&amp;$B21&amp;",MEAN,QTR,"&amp;DB$6&amp;"/"&amp;DB$7&amp;"F,NOW,,,'')")</f>
        <v>0.47</v>
      </c>
      <c r="DH21" s="46">
        <f t="shared" si="167"/>
        <v>0.66039731258689249</v>
      </c>
      <c r="DI21" s="780">
        <v>0</v>
      </c>
      <c r="DJ21" s="78">
        <f>Income!GL125</f>
        <v>0</v>
      </c>
      <c r="DK21" s="46" t="e">
        <f t="shared" si="168"/>
        <v>#DIV/0!</v>
      </c>
      <c r="DL21" s="75">
        <v>0.32543463</v>
      </c>
      <c r="DM21" s="46">
        <f>DJ21/DL21-1</f>
        <v>-1</v>
      </c>
      <c r="DN21" s="76" cm="1">
        <f t="array" ref="DN21">_xll.FDS("SHOP-US","FE_ESTIMATE("&amp;$B21&amp;",MEAN,QTR,"&amp;DI$6&amp;"/"&amp;DI$7&amp;"F,NOW,,,'')")</f>
        <v>0.59</v>
      </c>
      <c r="DO21" s="46">
        <f t="shared" si="169"/>
        <v>0.81296010200266622</v>
      </c>
      <c r="DP21" s="780">
        <v>0</v>
      </c>
      <c r="DQ21" s="78">
        <f>Income!GS125</f>
        <v>0</v>
      </c>
      <c r="DR21" s="46" t="e">
        <f t="shared" si="170"/>
        <v>#DIV/0!</v>
      </c>
      <c r="DS21" s="75">
        <v>0.35467884</v>
      </c>
      <c r="DT21" s="46">
        <f>DQ21/DS21-1</f>
        <v>-1</v>
      </c>
      <c r="DU21" s="76" cm="1">
        <f t="array" ref="DU21">_xll.FDS("SHOP-US","FE_ESTIMATE("&amp;$B21&amp;",MEAN,QTR,"&amp;DP$6&amp;"/"&amp;DP$7&amp;"F,NOW,,,'')")</f>
        <v>0.67</v>
      </c>
      <c r="DV21" s="46">
        <f t="shared" si="171"/>
        <v>0.88903290650211897</v>
      </c>
      <c r="DW21" s="780">
        <v>0</v>
      </c>
      <c r="DX21" s="78">
        <f>Income!GZ125</f>
        <v>0</v>
      </c>
      <c r="DY21" s="46" t="e">
        <f t="shared" si="172"/>
        <v>#DIV/0!</v>
      </c>
      <c r="DZ21" s="75">
        <v>0.48246392999999999</v>
      </c>
      <c r="EA21" s="46">
        <f>DX21/DZ21-1</f>
        <v>-1</v>
      </c>
      <c r="EB21" s="76" cm="1">
        <f t="array" ref="EB21">_xll.FDS("SHOP-US","FE_ESTIMATE("&amp;$B21&amp;",MEAN,QTR,"&amp;DW$6&amp;"/"&amp;DW$7&amp;"F,NOW,,,'')")</f>
        <v>1.04</v>
      </c>
      <c r="EC21" s="46">
        <f>DX21/EB21-1</f>
        <v>-1</v>
      </c>
      <c r="ED21" s="46">
        <f t="shared" si="173"/>
        <v>1.1556015596855085</v>
      </c>
      <c r="EE21" s="77">
        <v>1.1518294003855341</v>
      </c>
      <c r="EF21" s="70">
        <f ca="1">OFFSET(Income!$C$4,MATCH($D21,Income!$C$4:$C$127,0)-1,MATCH(EE$8,Income!$C$4:$EE$4,0)-1)</f>
        <v>2.1726265911942906</v>
      </c>
      <c r="EG21" s="46">
        <f t="shared" ca="1" si="174"/>
        <v>0.88623991579576011</v>
      </c>
      <c r="EH21" s="75">
        <v>1.3711163</v>
      </c>
      <c r="EI21" s="46">
        <f ca="1">EF21/EH21-1</f>
        <v>0.58456769217482907</v>
      </c>
      <c r="EJ21" s="76" cm="1">
        <f t="array" ref="EJ21">_xll.FDS("SHOP-US","FE_ESTIMATE("&amp;$B21&amp;",MEAN,ANNUAL_ROLL,"&amp;EE$6&amp;",NOW,,,'')")</f>
        <v>2.5437373999999999</v>
      </c>
      <c r="EK21" s="46">
        <f ca="1">EF21/EJ21-1</f>
        <v>-0.14589194969799535</v>
      </c>
      <c r="EL21" s="51">
        <f>EJ21/EH21-1</f>
        <v>0.85523095305627983</v>
      </c>
    </row>
    <row r="22" spans="2:142" ht="24.95" customHeight="1">
      <c r="B22" s="42" t="s">
        <v>376</v>
      </c>
      <c r="D22" s="74" t="s">
        <v>242</v>
      </c>
      <c r="E22" s="61">
        <v>-1474.4079999999997</v>
      </c>
      <c r="F22" s="70">
        <f ca="1">OFFSET(Income!$C$4,MATCH($D22,Income!$C$4:$C$127,0)-1,MATCH(E$8,Income!$C$4:$EE$4,0)-1)</f>
        <v>-273</v>
      </c>
      <c r="G22" s="46">
        <f t="shared" ca="1" si="0"/>
        <v>-0.81484093954997527</v>
      </c>
      <c r="H22" s="63">
        <v>-1474.4079999999999</v>
      </c>
      <c r="I22" s="64" cm="1">
        <f t="array" ref="I22">_xll.FDS("SHOP-US","FE_ESTIMATE("&amp;$B22&amp;",MEAN,QTR,"&amp;E$6&amp;"/"&amp;E$7&amp;"F,NOW,,,'')")</f>
        <v>-273</v>
      </c>
      <c r="J22" s="46">
        <f t="shared" si="1"/>
        <v>-0.81484093954997527</v>
      </c>
      <c r="K22" s="61">
        <v>-1203.9069999999999</v>
      </c>
      <c r="L22" s="70">
        <f ca="1">OFFSET(Income!$C$4,MATCH($D22,Income!$C$4:$C$127,0)-1,MATCH(K$8,Income!$C$4:$EE$4,0)-1)</f>
        <v>171</v>
      </c>
      <c r="M22" s="46">
        <f t="shared" ca="1" si="141"/>
        <v>-1.1420375494120394</v>
      </c>
      <c r="N22" s="63">
        <v>-1203.9069999999999</v>
      </c>
      <c r="O22" s="64" cm="1">
        <f t="array" ref="O22">_xll.FDS("SHOP-US","FE_ESTIMATE("&amp;$B22&amp;",MEAN,QTR,"&amp;K$6&amp;"/"&amp;K$7&amp;"F,NOW,,,'')")</f>
        <v>171</v>
      </c>
      <c r="P22" s="46">
        <f t="shared" si="142"/>
        <v>-1.1420375494120394</v>
      </c>
      <c r="Q22" s="61">
        <v>-158.40899999999996</v>
      </c>
      <c r="R22" s="70" t="e">
        <f ca="1">OFFSET(Income!$C$4,MATCH($D22,Income!$C$4:$C$127,0)-1,MATCH(Q$8,Income!$C$4:$EE$4,0)-1)</f>
        <v>#N/A</v>
      </c>
      <c r="S22" s="46" t="e">
        <f t="shared" ca="1" si="143"/>
        <v>#N/A</v>
      </c>
      <c r="T22" s="63">
        <v>-158.40899999999999</v>
      </c>
      <c r="U22" s="64" cm="1">
        <f t="array" ref="U22">_xll.FDS("SHOP-US","FE_ESTIMATE("&amp;$B22&amp;",MEAN,QTR,"&amp;Q$6&amp;"/"&amp;Q$7&amp;"F,NOW,,,'')")</f>
        <v>828</v>
      </c>
      <c r="V22" s="46">
        <f t="shared" si="144"/>
        <v>-6.2269757400147725</v>
      </c>
      <c r="W22" s="61">
        <v>-623.69400000000019</v>
      </c>
      <c r="X22" s="70">
        <f ca="1">OFFSET(Income!$C$4,MATCH($D22,Income!$C$4:$C$127,0)-1,MATCH(W$8,Income!$C$4:$EE$4,0)-1)</f>
        <v>394.8646892579668</v>
      </c>
      <c r="Y22" s="46">
        <f t="shared" ca="1" si="145"/>
        <v>-1.6331064420340211</v>
      </c>
      <c r="Z22" s="63">
        <v>-623.69399999999996</v>
      </c>
      <c r="AA22" s="64" cm="1">
        <f t="array" ref="AA22">_xll.FDS("SHOP-US","FE_ESTIMATE("&amp;$B22&amp;",MEAN,QTR,"&amp;W$6&amp;"/"&amp;W$7&amp;"F,NOW,,,'')")</f>
        <v>447.14105000000001</v>
      </c>
      <c r="AB22" s="46">
        <f t="shared" si="146"/>
        <v>-1.7169237638970394</v>
      </c>
      <c r="AC22" s="61">
        <v>-3460.4179999999997</v>
      </c>
      <c r="AD22" s="70">
        <f ca="1">OFFSET(Income!$C$4,MATCH($D22,Income!$C$4:$C$127,0)-1,MATCH(AC$8,Income!$C$4:$EE$4,0)-1)</f>
        <v>1120.8646892579668</v>
      </c>
      <c r="AE22" s="46">
        <f t="shared" ca="1" si="147"/>
        <v>-1.323910200807523</v>
      </c>
      <c r="AF22" s="63">
        <v>-3460.4180000000001</v>
      </c>
      <c r="AG22" s="46">
        <f t="shared" ca="1" si="111"/>
        <v>-1.323910200807523</v>
      </c>
      <c r="AH22" s="64" cm="1">
        <f t="array" ref="AH22">_xll.FDS("SHOP-US","FE_ESTIMATE("&amp;$B22&amp;",MEAN,ANNUAL_ROLL,"&amp;AC$6&amp;",NOW,,,'')")</f>
        <v>1155.2559000000001</v>
      </c>
      <c r="AI22" s="46">
        <f>AH22/AF22-1</f>
        <v>-1.3338486564339915</v>
      </c>
      <c r="AJ22" s="61">
        <v>807.41589994601441</v>
      </c>
      <c r="AK22" s="70">
        <f>Income!DS63</f>
        <v>1412.4719661970353</v>
      </c>
      <c r="AL22" s="46">
        <f t="shared" si="148"/>
        <v>0.74937348433623385</v>
      </c>
      <c r="AM22" s="63">
        <v>68</v>
      </c>
      <c r="AN22" s="46">
        <f>AK22/AM22-1</f>
        <v>19.771646561721106</v>
      </c>
      <c r="AO22" s="64" cm="1">
        <f t="array" ref="AO22">_xll.FDS("SHOP-US","FE_ESTIMATE("&amp;$B22&amp;",MEAN,QTR,"&amp;AJ$6&amp;"/"&amp;AJ$7&amp;"F,NOW,,,'')")</f>
        <v>242.79966999999999</v>
      </c>
      <c r="AP22" s="46">
        <f t="shared" si="149"/>
        <v>2.5705833823529409</v>
      </c>
      <c r="AQ22" s="61">
        <v>0</v>
      </c>
      <c r="AR22" s="70" t="e">
        <f>Income!#REF!</f>
        <v>#REF!</v>
      </c>
      <c r="AS22" s="46" t="e">
        <f t="shared" si="150"/>
        <v>#REF!</v>
      </c>
      <c r="AT22" s="63">
        <v>-1311</v>
      </c>
      <c r="AU22" s="46" t="e">
        <f>AR22/AT22-1</f>
        <v>#REF!</v>
      </c>
      <c r="AV22" s="64" cm="1">
        <f t="array" ref="AV22">_xll.FDS("SHOP-US","FE_ESTIMATE("&amp;$B22&amp;",MEAN,QTR,"&amp;AQ$6&amp;"/"&amp;AQ$7&amp;"F,NOW,,,'')")</f>
        <v>328.10091999999997</v>
      </c>
      <c r="AW22" s="46">
        <f t="shared" si="151"/>
        <v>-1.2502676735316551</v>
      </c>
      <c r="AX22" s="61">
        <v>0</v>
      </c>
      <c r="AY22" s="70" t="e">
        <f>Income!#REF!</f>
        <v>#REF!</v>
      </c>
      <c r="AZ22" s="46" t="e">
        <f t="shared" si="152"/>
        <v>#REF!</v>
      </c>
      <c r="BA22" s="63">
        <v>718</v>
      </c>
      <c r="BB22" s="46" t="e">
        <f>AY22/BA22-1</f>
        <v>#REF!</v>
      </c>
      <c r="BC22" s="64" cm="1">
        <f t="array" ref="BC22">_xll.FDS("SHOP-US","FE_ESTIMATE("&amp;$B22&amp;",MEAN,QTR,"&amp;AX$6&amp;"/"&amp;AX$7&amp;"F,NOW,,,'')")</f>
        <v>381.7996</v>
      </c>
      <c r="BD22" s="46">
        <f t="shared" si="153"/>
        <v>-0.46824568245125353</v>
      </c>
      <c r="BE22" s="61">
        <v>0</v>
      </c>
      <c r="BF22" s="70">
        <f>Income!EH63</f>
        <v>0</v>
      </c>
      <c r="BG22" s="46" t="e">
        <f t="shared" si="154"/>
        <v>#DIV/0!</v>
      </c>
      <c r="BH22" s="63">
        <v>283.37826999999999</v>
      </c>
      <c r="BI22" s="46">
        <f>BF22/BH22-1</f>
        <v>-1</v>
      </c>
      <c r="BJ22" s="64" cm="1">
        <f t="array" ref="BJ22">_xll.FDS("SHOP-US","FE_ESTIMATE("&amp;$B22&amp;",MEAN,QTR,"&amp;BE$6&amp;"/"&amp;BE$7&amp;"F,NOW,,,'')")</f>
        <v>572.29200000000003</v>
      </c>
      <c r="BK22" s="46">
        <f t="shared" si="155"/>
        <v>1.0195338195832733</v>
      </c>
      <c r="BL22" s="61">
        <v>-318.00226513245576</v>
      </c>
      <c r="BM22" s="70">
        <f ca="1">OFFSET(Income!$C$4,MATCH($D22,Income!$C$4:$C$127,0)-1,MATCH(BL$8,Income!$C$4:$EE$4,0)-1)</f>
        <v>1412.4719661970353</v>
      </c>
      <c r="BN22" s="46">
        <f t="shared" ca="1" si="156"/>
        <v>-5.4417041042418548</v>
      </c>
      <c r="BO22" s="63">
        <v>-275.42829999999998</v>
      </c>
      <c r="BP22" s="46">
        <f t="shared" ca="1" si="121"/>
        <v>-6.1282746406125854</v>
      </c>
      <c r="BQ22" s="64" cm="1">
        <f t="array" ref="BQ22">_xll.FDS("SHOP-US","FE_ESTIMATE("&amp;$B22&amp;",MEAN,ANNUAL_ROLL,"&amp;BL$6&amp;",NOW,,,'')")</f>
        <v>1529.5283999999999</v>
      </c>
      <c r="BR22" s="46">
        <f>BQ22/BO22-1</f>
        <v>-6.5532724850714326</v>
      </c>
      <c r="BS22" s="61">
        <v>0</v>
      </c>
      <c r="BT22" s="70">
        <f>Income!EV63</f>
        <v>0</v>
      </c>
      <c r="BU22" s="46" t="e">
        <f t="shared" si="157"/>
        <v>#DIV/0!</v>
      </c>
      <c r="BV22" s="63">
        <v>142.13024999999999</v>
      </c>
      <c r="BW22" s="46">
        <f>BT22/BV22-1</f>
        <v>-1</v>
      </c>
      <c r="BX22" s="64" cm="1">
        <f t="array" ref="BX22">_xll.FDS("SHOP-US","FE_ESTIMATE("&amp;$B22&amp;",MEAN,QTR,"&amp;BS$6&amp;"/"&amp;BS$7&amp;"F,NOW,,,'')")</f>
        <v>377.68954000000002</v>
      </c>
      <c r="BY22" s="46">
        <f t="shared" si="158"/>
        <v>1.6573480311193434</v>
      </c>
      <c r="BZ22" s="61">
        <v>0</v>
      </c>
      <c r="CA22" s="70">
        <f>Income!FC63</f>
        <v>0</v>
      </c>
      <c r="CB22" s="46" t="e">
        <f t="shared" si="159"/>
        <v>#DIV/0!</v>
      </c>
      <c r="CC22" s="63">
        <v>159.96007</v>
      </c>
      <c r="CD22" s="46">
        <f>CA22/CC22-1</f>
        <v>-1</v>
      </c>
      <c r="CE22" s="64" cm="1">
        <f t="array" ref="CE22">_xll.FDS("SHOP-US","FE_ESTIMATE("&amp;$B22&amp;",MEAN,QTR,"&amp;BZ$6&amp;"/"&amp;BZ$7&amp;"F,NOW,,,'')")</f>
        <v>510.21730000000002</v>
      </c>
      <c r="CF22" s="46">
        <f t="shared" si="160"/>
        <v>2.1896541430620782</v>
      </c>
      <c r="CG22" s="61">
        <v>0</v>
      </c>
      <c r="CH22" s="70">
        <f>Income!FJ63</f>
        <v>0</v>
      </c>
      <c r="CI22" s="46" t="e">
        <f t="shared" si="161"/>
        <v>#DIV/0!</v>
      </c>
      <c r="CJ22" s="63">
        <v>222.02824000000001</v>
      </c>
      <c r="CK22" s="46">
        <f>CH22/CJ22-1</f>
        <v>-1</v>
      </c>
      <c r="CL22" s="64" cm="1">
        <f t="array" ref="CL22">_xll.FDS("SHOP-US","FE_ESTIMATE("&amp;$B22&amp;",MEAN,QTR,"&amp;CG$6&amp;"/"&amp;CG$7&amp;"F,NOW,,,'')")</f>
        <v>594.64610000000005</v>
      </c>
      <c r="CM22" s="46">
        <f t="shared" si="162"/>
        <v>1.6782453439256195</v>
      </c>
      <c r="CN22" s="61">
        <v>0</v>
      </c>
      <c r="CO22" s="70">
        <f>Income!FQ63</f>
        <v>0</v>
      </c>
      <c r="CP22" s="46" t="e">
        <f t="shared" si="163"/>
        <v>#DIV/0!</v>
      </c>
      <c r="CQ22" s="63">
        <v>357.33575000000002</v>
      </c>
      <c r="CR22" s="46">
        <f>CO22/CQ22-1</f>
        <v>-1</v>
      </c>
      <c r="CS22" s="64" cm="1">
        <f t="array" ref="CS22">_xll.FDS("SHOP-US","FE_ESTIMATE("&amp;$B22&amp;",MEAN,QTR,"&amp;CN$6&amp;"/"&amp;CN$7&amp;"F,NOW,,,'')")</f>
        <v>841.9171</v>
      </c>
      <c r="CT22" s="46">
        <f t="shared" si="164"/>
        <v>1.3560953528998985</v>
      </c>
      <c r="CU22" s="61">
        <v>701.8383432205876</v>
      </c>
      <c r="CV22" s="70">
        <f ca="1">OFFSET(Income!$C$4,MATCH($D22,Income!$C$4:$C$127,0)-1,MATCH(CU$8,Income!$C$4:$EE$4,0)-1)</f>
        <v>1809.9111232481569</v>
      </c>
      <c r="CW22" s="46">
        <f t="shared" ca="1" si="165"/>
        <v>1.578814823571562</v>
      </c>
      <c r="CX22" s="63">
        <v>867.66143999999997</v>
      </c>
      <c r="CY22" s="46">
        <f t="shared" ca="1" si="131"/>
        <v>1.085964686004897</v>
      </c>
      <c r="CZ22" s="64" cm="1">
        <f t="array" ref="CZ22">_xll.FDS("SHOP-US","FE_ESTIMATE("&amp;$B22&amp;",MEAN,ANNUAL_ROLL,"&amp;CU$6&amp;",NOW,,,'')")</f>
        <v>2098.087</v>
      </c>
      <c r="DA22" s="46">
        <f>CZ22/CX22-1</f>
        <v>1.4180940897869103</v>
      </c>
      <c r="DB22" s="61">
        <v>0</v>
      </c>
      <c r="DC22" s="70">
        <f>Income!GE63</f>
        <v>0</v>
      </c>
      <c r="DD22" s="46" t="e">
        <f t="shared" si="166"/>
        <v>#DIV/0!</v>
      </c>
      <c r="DE22" s="63">
        <v>254.56557000000001</v>
      </c>
      <c r="DF22" s="46">
        <f>DC22/DE22-1</f>
        <v>-1</v>
      </c>
      <c r="DG22" s="64" t="e" cm="1">
        <f t="array" ref="DG22">_xll.FDS("SHOP-US","FE_ESTIMATE("&amp;$B22&amp;",MEAN,QTR,"&amp;DB$6&amp;"/"&amp;DB$7&amp;"F,NOW,,,'')")</f>
        <v>#N/A</v>
      </c>
      <c r="DH22" s="46" t="e">
        <f t="shared" si="167"/>
        <v>#N/A</v>
      </c>
      <c r="DI22" s="61">
        <v>0</v>
      </c>
      <c r="DJ22" s="70">
        <f>Income!GL63</f>
        <v>0</v>
      </c>
      <c r="DK22" s="46" t="e">
        <f t="shared" si="168"/>
        <v>#DIV/0!</v>
      </c>
      <c r="DL22" s="63">
        <v>259.82190000000003</v>
      </c>
      <c r="DM22" s="46">
        <f>DJ22/DL22-1</f>
        <v>-1</v>
      </c>
      <c r="DN22" s="64" t="e" cm="1">
        <f t="array" ref="DN22">_xll.FDS("SHOP-US","FE_ESTIMATE("&amp;$B22&amp;",MEAN,QTR,"&amp;DI$6&amp;"/"&amp;DI$7&amp;"F,NOW,,,'')")</f>
        <v>#N/A</v>
      </c>
      <c r="DO22" s="46" t="e">
        <f t="shared" si="169"/>
        <v>#N/A</v>
      </c>
      <c r="DP22" s="61">
        <v>0</v>
      </c>
      <c r="DQ22" s="70">
        <f>Income!GS63</f>
        <v>0</v>
      </c>
      <c r="DR22" s="46" t="e">
        <f t="shared" si="170"/>
        <v>#DIV/0!</v>
      </c>
      <c r="DS22" s="63">
        <v>361.2364</v>
      </c>
      <c r="DT22" s="46">
        <f>DQ22/DS22-1</f>
        <v>-1</v>
      </c>
      <c r="DU22" s="64" t="e" cm="1">
        <f t="array" ref="DU22">_xll.FDS("SHOP-US","FE_ESTIMATE("&amp;$B22&amp;",MEAN,QTR,"&amp;DP$6&amp;"/"&amp;DP$7&amp;"F,NOW,,,'')")</f>
        <v>#N/A</v>
      </c>
      <c r="DV22" s="46" t="e">
        <f t="shared" si="171"/>
        <v>#N/A</v>
      </c>
      <c r="DW22" s="61">
        <v>0</v>
      </c>
      <c r="DX22" s="70">
        <f>Income!GZ63</f>
        <v>0</v>
      </c>
      <c r="DY22" s="46" t="e">
        <f t="shared" si="172"/>
        <v>#DIV/0!</v>
      </c>
      <c r="DZ22" s="63">
        <v>519.97735999999998</v>
      </c>
      <c r="EA22" s="46">
        <f>DX22/DZ22-1</f>
        <v>-1</v>
      </c>
      <c r="EB22" s="64" t="e" cm="1">
        <f t="array" ref="EB22">_xll.FDS("SHOP-US","FE_ESTIMATE("&amp;$B22&amp;",MEAN,QTR,"&amp;DW$6&amp;"/"&amp;DW$7&amp;"F,NOW,,,'')")</f>
        <v>#N/A</v>
      </c>
      <c r="EC22" s="46" t="e">
        <f>DX22/EB22-1</f>
        <v>#N/A</v>
      </c>
      <c r="ED22" s="46" t="e">
        <f t="shared" si="173"/>
        <v>#N/A</v>
      </c>
      <c r="EE22" s="61">
        <v>807.41589994601441</v>
      </c>
      <c r="EF22" s="70">
        <f ca="1">OFFSET(Income!$C$4,MATCH($D22,Income!$C$4:$C$127,0)-1,MATCH(EE$8,Income!$C$4:$EE$4,0)-1)</f>
        <v>2307.5844878539356</v>
      </c>
      <c r="EG22" s="46">
        <f t="shared" ca="1" si="174"/>
        <v>1.8579874238397158</v>
      </c>
      <c r="EH22" s="63">
        <v>1328.7565999999999</v>
      </c>
      <c r="EI22" s="46">
        <f ca="1">EF22/EH22-1</f>
        <v>0.73664950213901914</v>
      </c>
      <c r="EJ22" s="64" cm="1">
        <f t="array" ref="EJ22">_xll.FDS("SHOP-US","FE_ESTIMATE("&amp;$B22&amp;",MEAN,ANNUAL_ROLL,"&amp;EE$6&amp;",NOW,,,'')")</f>
        <v>2940.2494999999999</v>
      </c>
      <c r="EK22" s="46">
        <f ca="1">EF22/EJ22-1</f>
        <v>-0.21517392049418405</v>
      </c>
      <c r="EL22" s="51">
        <f>EJ22/EH22-1</f>
        <v>1.212782611954665</v>
      </c>
    </row>
    <row r="23" spans="2:142" ht="24.95" customHeight="1">
      <c r="B23" s="42" t="s">
        <v>377</v>
      </c>
      <c r="D23" s="79" t="s">
        <v>243</v>
      </c>
      <c r="E23" s="80">
        <v>-11.700437476856564</v>
      </c>
      <c r="F23" s="81">
        <f ca="1">OFFSET(Income!$C$4,MATCH($D23,Income!$C$4:$C$127,0)-1,MATCH(E$8,Income!$C$4:$EE$4,0)-1)</f>
        <v>-0.21205914008764981</v>
      </c>
      <c r="G23" s="55">
        <f t="shared" ca="1" si="0"/>
        <v>-0.9818759648511346</v>
      </c>
      <c r="H23" s="82">
        <v>-1.155</v>
      </c>
      <c r="I23" s="83" cm="1">
        <f t="array" ref="I23">_xll.FDS("SHOP-US","FE_ESTIMATE("&amp;$B23&amp;",MEAN,QTR,"&amp;E$6&amp;"/"&amp;E$7&amp;"F,NOW,,,'')")</f>
        <v>-0.21</v>
      </c>
      <c r="J23" s="58">
        <f t="shared" si="1"/>
        <v>-0.81818181818181823</v>
      </c>
      <c r="K23" s="80">
        <v>-0.95395869419321089</v>
      </c>
      <c r="L23" s="81">
        <f ca="1">OFFSET(Income!$C$4,MATCH($D23,Income!$C$4:$C$127,0)-1,MATCH(K$8,Income!$C$4:$EE$4,0)-1)</f>
        <v>0.13154725709164128</v>
      </c>
      <c r="M23" s="55">
        <f t="shared" ca="1" si="141"/>
        <v>-1.1378961771535554</v>
      </c>
      <c r="N23" s="82">
        <v>-0.95</v>
      </c>
      <c r="O23" s="83" cm="1">
        <f t="array" ref="O23">_xll.FDS("SHOP-US","FE_ESTIMATE("&amp;$B23&amp;",MEAN,QTR,"&amp;K$6&amp;"/"&amp;K$7&amp;"F,NOW,,,'')")</f>
        <v>0.13</v>
      </c>
      <c r="P23" s="58">
        <f t="shared" si="142"/>
        <v>-1.1368421052631579</v>
      </c>
      <c r="Q23" s="80">
        <v>-0.12478797234804594</v>
      </c>
      <c r="R23" s="81" t="e">
        <f ca="1">OFFSET(Income!$C$4,MATCH($D23,Income!$C$4:$C$127,0)-1,MATCH(Q$8,Income!$C$4:$EE$4,0)-1)</f>
        <v>#N/A</v>
      </c>
      <c r="S23" s="55" t="e">
        <f t="shared" ca="1" si="143"/>
        <v>#N/A</v>
      </c>
      <c r="T23" s="82">
        <v>-0.12</v>
      </c>
      <c r="U23" s="83" cm="1">
        <f t="array" ref="U23">_xll.FDS("SHOP-US","FE_ESTIMATE("&amp;$B23&amp;",MEAN,QTR,"&amp;Q$6&amp;"/"&amp;Q$7&amp;"F,NOW,,,'')")</f>
        <v>0.63807959999999997</v>
      </c>
      <c r="V23" s="58">
        <f t="shared" si="144"/>
        <v>-6.3173300000000001</v>
      </c>
      <c r="W23" s="80">
        <v>-0.48980993749720064</v>
      </c>
      <c r="X23" s="81">
        <f ca="1">OFFSET(Income!$C$4,MATCH($D23,Income!$C$4:$C$127,0)-1,MATCH(W$8,Income!$C$4:$EE$4,0)-1)</f>
        <v>0.302786972340858</v>
      </c>
      <c r="Y23" s="55">
        <f t="shared" ca="1" si="145"/>
        <v>-1.6181723749583754</v>
      </c>
      <c r="Z23" s="82">
        <v>-0.48</v>
      </c>
      <c r="AA23" s="83" cm="1">
        <f t="array" ref="AA23">_xll.FDS("SHOP-US","FE_ESTIMATE("&amp;$B23&amp;",MEAN,QTR,"&amp;W$6&amp;"/"&amp;W$7&amp;"F,NOW,,,'')")</f>
        <v>0.34055999999999997</v>
      </c>
      <c r="AB23" s="58">
        <f t="shared" si="146"/>
        <v>-1.7095</v>
      </c>
      <c r="AC23" s="80">
        <v>-3.5213472006770092</v>
      </c>
      <c r="AD23" s="81">
        <f ca="1">OFFSET(Income!$C$4,MATCH($D23,Income!$C$4:$C$127,0)-1,MATCH(AC$8,Income!$C$4:$EE$4,0)-1)</f>
        <v>0.86336730837035214</v>
      </c>
      <c r="AE23" s="55">
        <f t="shared" ca="1" si="147"/>
        <v>-1.2451809660246971</v>
      </c>
      <c r="AF23" s="82">
        <v>-2.69</v>
      </c>
      <c r="AG23" s="55">
        <f t="shared" ca="1" si="111"/>
        <v>-1.3209543897287555</v>
      </c>
      <c r="AH23" s="83" cm="1">
        <f t="array" ref="AH23">_xll.FDS("SHOP-US","FE_ESTIMATE("&amp;$B23&amp;",MEAN,ANNUAL_ROLL,"&amp;AC$6&amp;",NOW,,,'')")</f>
        <v>0.90200495999999997</v>
      </c>
      <c r="AI23" s="55">
        <f>AH23/AF23-1</f>
        <v>-1.3353178289962826</v>
      </c>
      <c r="AJ23" s="80">
        <v>5.2644534270144469E-2</v>
      </c>
      <c r="AK23" s="84">
        <f ca="1">OFFSET(Income!$C$4,MATCH($D23,Income!$C$4:$C$127,0)-1,MATCH(AJ$8,Income!$C$4:$EE$4,0)-1)</f>
        <v>0.13530526166154727</v>
      </c>
      <c r="AL23" s="55">
        <f t="shared" ca="1" si="148"/>
        <v>1.5701673219717507</v>
      </c>
      <c r="AM23" s="82">
        <v>0.05</v>
      </c>
      <c r="AN23" s="46">
        <f ca="1">AK23/AM23-1</f>
        <v>1.7061052332309452</v>
      </c>
      <c r="AO23" s="83" cm="1">
        <f t="array" ref="AO23">_xll.FDS("SHOP-US","FE_ESTIMATE("&amp;$B23&amp;",MEAN,QTR,"&amp;AJ$6&amp;"/"&amp;AJ$7&amp;"F,NOW,,,'')")</f>
        <v>0.19200249999999999</v>
      </c>
      <c r="AP23" s="58">
        <f t="shared" si="149"/>
        <v>2.8400499999999997</v>
      </c>
      <c r="AQ23" s="80">
        <v>-1.0238926705812337</v>
      </c>
      <c r="AR23" s="84">
        <f ca="1">OFFSET(Income!$C$4,MATCH($D23,Income!$C$4:$C$127,0)-1,MATCH(AQ$8,Income!$C$4:$EE$4,0)-1)</f>
        <v>0.24428653480466567</v>
      </c>
      <c r="AS23" s="55">
        <f t="shared" ca="1" si="150"/>
        <v>-1.2385860762788656</v>
      </c>
      <c r="AT23" s="82">
        <v>-1.01</v>
      </c>
      <c r="AU23" s="55">
        <f ca="1">AR23/AT23-1</f>
        <v>-1.2418678562422432</v>
      </c>
      <c r="AV23" s="83" cm="1">
        <f t="array" ref="AV23">_xll.FDS("SHOP-US","FE_ESTIMATE("&amp;$B23&amp;",MEAN,QTR,"&amp;AQ$6&amp;"/"&amp;AQ$7&amp;"F,NOW,,,'')")</f>
        <v>0.25275700000000001</v>
      </c>
      <c r="AW23" s="58">
        <f t="shared" si="151"/>
        <v>-1.2502544554455446</v>
      </c>
      <c r="AX23" s="80">
        <v>0.5540849461982128</v>
      </c>
      <c r="AY23" s="84">
        <f ca="1">OFFSET(Income!$C$4,MATCH($D23,Income!$C$4:$C$127,0)-1,MATCH(AX$8,Income!$C$4:$EE$4,0)-1)</f>
        <v>0.29144080842528025</v>
      </c>
      <c r="AZ23" s="55">
        <f t="shared" ca="1" si="152"/>
        <v>-0.4740142095089096</v>
      </c>
      <c r="BA23" s="82">
        <v>0.55000000000000004</v>
      </c>
      <c r="BB23" s="55">
        <f ca="1">AY23/BA23-1</f>
        <v>-0.47010762104494508</v>
      </c>
      <c r="BC23" s="83" cm="1">
        <f t="array" ref="BC23">_xll.FDS("SHOP-US","FE_ESTIMATE("&amp;$B23&amp;",MEAN,QTR,"&amp;AX$6&amp;"/"&amp;AX$7&amp;"F,NOW,,,'')")</f>
        <v>0.29405506999999997</v>
      </c>
      <c r="BD23" s="58">
        <f t="shared" si="153"/>
        <v>-0.46535441818181822</v>
      </c>
      <c r="BE23" s="80">
        <v>0.1594338148960488</v>
      </c>
      <c r="BF23" s="84">
        <f ca="1">OFFSET(Income!$C$4,MATCH($D23,Income!$C$4:$C$127,0)-1,MATCH(BE$8,Income!$C$4:$EE$4,0)-1)</f>
        <v>0.40608183371098111</v>
      </c>
      <c r="BG23" s="55">
        <f t="shared" ca="1" si="154"/>
        <v>1.5470245065373827</v>
      </c>
      <c r="BH23" s="82">
        <v>0.21813247999999999</v>
      </c>
      <c r="BI23" s="55">
        <f ca="1">BF23/BH23-1</f>
        <v>0.86162938096601271</v>
      </c>
      <c r="BJ23" s="83" cm="1">
        <f t="array" ref="BJ23">_xll.FDS("SHOP-US","FE_ESTIMATE("&amp;$B23&amp;",MEAN,QTR,"&amp;BE$6&amp;"/"&amp;BE$7&amp;"F,NOW,,,'')")</f>
        <v>0.43495800000000001</v>
      </c>
      <c r="BK23" s="58">
        <f t="shared" si="155"/>
        <v>0.99400841176884813</v>
      </c>
      <c r="BL23" s="80">
        <v>-0.24812664973173698</v>
      </c>
      <c r="BM23" s="81">
        <f ca="1">OFFSET(Income!$C$4,MATCH($D23,Income!$C$4:$C$127,0)-1,MATCH(BL$8,Income!$C$4:$EE$4,0)-1)</f>
        <v>1.0779343374458044</v>
      </c>
      <c r="BN23" s="55">
        <f t="shared" ca="1" si="156"/>
        <v>-5.3442908636021844</v>
      </c>
      <c r="BO23" s="82">
        <v>-0.18907657</v>
      </c>
      <c r="BP23" s="55">
        <f t="shared" ca="1" si="121"/>
        <v>-6.7010466048003954</v>
      </c>
      <c r="BQ23" s="83" cm="1">
        <f t="array" ref="BQ23">_xll.FDS("SHOP-US","FE_ESTIMATE("&amp;$B23&amp;",MEAN,ANNUAL_ROLL,"&amp;BL$6&amp;",NOW,,,'')")</f>
        <v>1.1713703</v>
      </c>
      <c r="BR23" s="55">
        <f>BQ23/BO23-1</f>
        <v>-7.1952165728413622</v>
      </c>
      <c r="BS23" s="80">
        <v>9.2190410883828067E-2</v>
      </c>
      <c r="BT23" s="84">
        <f ca="1">OFFSET(Income!$C$4,MATCH($D23,Income!$C$4:$C$127,0)-1,MATCH(BS$8,Income!$C$4:$EE$4,0)-1)</f>
        <v>0.17923836247749178</v>
      </c>
      <c r="BU23" s="55">
        <f t="shared" ca="1" si="157"/>
        <v>0.94421915206946494</v>
      </c>
      <c r="BV23" s="82">
        <v>0.11290799999999999</v>
      </c>
      <c r="BW23" s="55">
        <f ca="1">BT23/BV23-1</f>
        <v>0.58747265452839303</v>
      </c>
      <c r="BX23" s="83" cm="1">
        <f t="array" ref="BX23">_xll.FDS("SHOP-US","FE_ESTIMATE("&amp;$B23&amp;",MEAN,QTR,"&amp;BS$6&amp;"/"&amp;BS$7&amp;"F,NOW,,,'')")</f>
        <v>0.28620620000000002</v>
      </c>
      <c r="BY23" s="58">
        <f t="shared" si="158"/>
        <v>1.5348620115492264</v>
      </c>
      <c r="BZ23" s="80">
        <v>0.10173641616719753</v>
      </c>
      <c r="CA23" s="84">
        <f ca="1">OFFSET(Income!$C$4,MATCH($D23,Income!$C$4:$C$127,0)-1,MATCH(BZ$8,Income!$C$4:$EE$4,0)-1)</f>
        <v>0.31013940037772758</v>
      </c>
      <c r="CB23" s="55">
        <f t="shared" ca="1" si="159"/>
        <v>2.0484600506079613</v>
      </c>
      <c r="CC23" s="82">
        <v>0.12611032</v>
      </c>
      <c r="CD23" s="55">
        <f ca="1">CA23/CC23-1</f>
        <v>1.4592705844987752</v>
      </c>
      <c r="CE23" s="83" cm="1">
        <f t="array" ref="CE23">_xll.FDS("SHOP-US","FE_ESTIMATE("&amp;$B23&amp;",MEAN,QTR,"&amp;BZ$6&amp;"/"&amp;BZ$7&amp;"F,NOW,,,'')")</f>
        <v>0.38598300000000002</v>
      </c>
      <c r="CF23" s="58">
        <f t="shared" si="160"/>
        <v>2.060677349799763</v>
      </c>
      <c r="CG23" s="80">
        <v>0.13371043484078063</v>
      </c>
      <c r="CH23" s="84">
        <f ca="1">OFFSET(Income!$C$4,MATCH($D23,Income!$C$4:$C$127,0)-1,MATCH(CG$8,Income!$C$4:$EE$4,0)-1)</f>
        <v>0.36753366731329534</v>
      </c>
      <c r="CI23" s="55">
        <f t="shared" ca="1" si="161"/>
        <v>1.7487283827245506</v>
      </c>
      <c r="CJ23" s="82">
        <v>0.18446056999999999</v>
      </c>
      <c r="CK23" s="55">
        <f ca="1">CH23/CJ23-1</f>
        <v>0.99247821533510039</v>
      </c>
      <c r="CL23" s="83" cm="1">
        <f t="array" ref="CL23">_xll.FDS("SHOP-US","FE_ESTIMATE("&amp;$B23&amp;",MEAN,QTR,"&amp;CG$6&amp;"/"&amp;CG$7&amp;"F,NOW,,,'')")</f>
        <v>0.44819520000000002</v>
      </c>
      <c r="CM23" s="58">
        <f t="shared" si="162"/>
        <v>1.4297615474136292</v>
      </c>
      <c r="CN23" s="80">
        <v>0.20997376009751006</v>
      </c>
      <c r="CO23" s="84">
        <f ca="1">OFFSET(Income!$C$4,MATCH($D23,Income!$C$4:$C$127,0)-1,MATCH(CN$8,Income!$C$4:$EE$4,0)-1)</f>
        <v>0.51286732035036575</v>
      </c>
      <c r="CP23" s="55">
        <f t="shared" ca="1" si="163"/>
        <v>1.4425305338733487</v>
      </c>
      <c r="CQ23" s="82">
        <v>0.2776594</v>
      </c>
      <c r="CR23" s="55">
        <f ca="1">CO23/CQ23-1</f>
        <v>0.84710951745327456</v>
      </c>
      <c r="CS23" s="83" cm="1">
        <f t="array" ref="CS23">_xll.FDS("SHOP-US","FE_ESTIMATE("&amp;$B23&amp;",MEAN,QTR,"&amp;CN$6&amp;"/"&amp;CN$7&amp;"F,NOW,,,'')")</f>
        <v>0.63526260000000001</v>
      </c>
      <c r="CT23" s="58">
        <f t="shared" si="164"/>
        <v>1.2879203801492043</v>
      </c>
      <c r="CU23" s="80">
        <v>0.53798022511483035</v>
      </c>
      <c r="CV23" s="81">
        <f ca="1">OFFSET(Income!$C$4,MATCH($D23,Income!$C$4:$C$127,0)-1,MATCH(CU$8,Income!$C$4:$EE$4,0)-1)</f>
        <v>1.3707806445382316</v>
      </c>
      <c r="CW23" s="55">
        <f t="shared" ca="1" si="165"/>
        <v>1.548013069152574</v>
      </c>
      <c r="CX23" s="82">
        <v>0.70595324000000004</v>
      </c>
      <c r="CY23" s="55">
        <f t="shared" ca="1" si="131"/>
        <v>0.94174424999909556</v>
      </c>
      <c r="CZ23" s="83" cm="1">
        <f t="array" ref="CZ23">_xll.FDS("SHOP-US","FE_ESTIMATE("&amp;$B23&amp;",MEAN,ANNUAL_ROLL,"&amp;CU$6&amp;",NOW,,,'')")</f>
        <v>1.5342541999999999</v>
      </c>
      <c r="DA23" s="55">
        <f>CZ23/CX23-1</f>
        <v>1.1733085324461432</v>
      </c>
      <c r="DB23" s="80">
        <v>0.10371521224847409</v>
      </c>
      <c r="DC23" s="84">
        <f ca="1">OFFSET(Income!$C$4,MATCH($D23,Income!$C$4:$C$127,0)-1,MATCH(DB$8,Income!$C$4:$EE$4,0)-1)</f>
        <v>0.23707388783639813</v>
      </c>
      <c r="DD23" s="55">
        <f t="shared" ca="1" si="166"/>
        <v>1.2858159637029147</v>
      </c>
      <c r="DE23" s="82">
        <v>0.19434660000000001</v>
      </c>
      <c r="DF23" s="55">
        <f ca="1">DC23/DE23-1</f>
        <v>0.21985096645065116</v>
      </c>
      <c r="DG23" s="83" t="e" cm="1">
        <f t="array" ref="DG23">_xll.FDS("SHOP-US","FE_ESTIMATE("&amp;$B23&amp;",MEAN,QTR,"&amp;DB$6&amp;"/"&amp;DB$7&amp;"F,NOW,,,'')")</f>
        <v>#N/A</v>
      </c>
      <c r="DH23" s="58" t="e">
        <f t="shared" si="167"/>
        <v>#N/A</v>
      </c>
      <c r="DI23" s="80">
        <v>0.11431576771924382</v>
      </c>
      <c r="DJ23" s="84">
        <f ca="1">OFFSET(Income!$C$4,MATCH($D23,Income!$C$4:$C$127,0)-1,MATCH(DI$8,Income!$C$4:$EE$4,0)-1)</f>
        <v>0.3922816040989977</v>
      </c>
      <c r="DK23" s="55">
        <f t="shared" ca="1" si="168"/>
        <v>2.4315616465300733</v>
      </c>
      <c r="DL23" s="82">
        <v>0.19653619999999999</v>
      </c>
      <c r="DM23" s="55">
        <f ca="1">DJ23/DL23-1</f>
        <v>0.99597633463452384</v>
      </c>
      <c r="DN23" s="83" t="e" cm="1">
        <f t="array" ref="DN23">_xll.FDS("SHOP-US","FE_ESTIMATE("&amp;$B23&amp;",MEAN,QTR,"&amp;DI$6&amp;"/"&amp;DI$7&amp;"F,NOW,,,'')")</f>
        <v>#N/A</v>
      </c>
      <c r="DO23" s="58" t="e">
        <f t="shared" si="169"/>
        <v>#N/A</v>
      </c>
      <c r="DP23" s="80">
        <v>0.15212572363617127</v>
      </c>
      <c r="DQ23" s="84">
        <f ca="1">OFFSET(Income!$C$4,MATCH($D23,Income!$C$4:$C$127,0)-1,MATCH(DP$8,Income!$C$4:$EE$4,0)-1)</f>
        <v>0.46119305822375622</v>
      </c>
      <c r="DR23" s="55">
        <f t="shared" ca="1" si="170"/>
        <v>2.0316572845152754</v>
      </c>
      <c r="DS23" s="82">
        <v>0.27266859999999998</v>
      </c>
      <c r="DT23" s="55">
        <f ca="1">DQ23/DS23-1</f>
        <v>0.69140509110237214</v>
      </c>
      <c r="DU23" s="83" t="e" cm="1">
        <f t="array" ref="DU23">_xll.FDS("SHOP-US","FE_ESTIMATE("&amp;$B23&amp;",MEAN,QTR,"&amp;DP$6&amp;"/"&amp;DP$7&amp;"F,NOW,,,'')")</f>
        <v>#N/A</v>
      </c>
      <c r="DV23" s="58" t="e">
        <f t="shared" si="171"/>
        <v>#N/A</v>
      </c>
      <c r="DW23" s="80">
        <v>0.24360884963212961</v>
      </c>
      <c r="DX23" s="84">
        <f ca="1">OFFSET(Income!$C$4,MATCH($D23,Income!$C$4:$C$127,0)-1,MATCH(DW$8,Income!$C$4:$EE$4,0)-1)</f>
        <v>0.64281161444207335</v>
      </c>
      <c r="DY23" s="55">
        <f t="shared" ca="1" si="172"/>
        <v>1.6387038706220007</v>
      </c>
      <c r="DZ23" s="82">
        <v>0.38889279999999998</v>
      </c>
      <c r="EA23" s="55">
        <f ca="1">DX23/DZ23-1</f>
        <v>0.65292752769419593</v>
      </c>
      <c r="EB23" s="83" t="e" cm="1">
        <f t="array" ref="EB23">_xll.FDS("SHOP-US","FE_ESTIMATE("&amp;$B23&amp;",MEAN,QTR,"&amp;DW$6&amp;"/"&amp;DW$7&amp;"F,NOW,,,'')")</f>
        <v>#N/A</v>
      </c>
      <c r="EC23" s="55" t="e">
        <f ca="1">DX23/EB23-1</f>
        <v>#N/A</v>
      </c>
      <c r="ED23" s="58" t="e">
        <f t="shared" si="173"/>
        <v>#N/A</v>
      </c>
      <c r="EE23" s="80">
        <v>0.61420056936535428</v>
      </c>
      <c r="EF23" s="81">
        <f ca="1">OFFSET(Income!$C$4,MATCH($D23,Income!$C$4:$C$127,0)-1,MATCH(EE$8,Income!$C$4:$EE$4,0)-1)</f>
        <v>1.7345686097470046</v>
      </c>
      <c r="EG23" s="55">
        <f t="shared" ca="1" si="174"/>
        <v>1.824107785408458</v>
      </c>
      <c r="EH23" s="82">
        <v>1.0527196000000001</v>
      </c>
      <c r="EI23" s="55">
        <f ca="1">EF23/EH23-1</f>
        <v>0.64770239838510113</v>
      </c>
      <c r="EJ23" s="83" cm="1">
        <f t="array" ref="EJ23">_xll.FDS("SHOP-US","FE_ESTIMATE("&amp;$B23&amp;",MEAN,ANNUAL_ROLL,"&amp;EE$6&amp;",NOW,,,'')")</f>
        <v>2.2300650000000002</v>
      </c>
      <c r="EK23" s="55">
        <f ca="1">EF23/EJ23-1</f>
        <v>-0.22218921432917682</v>
      </c>
      <c r="EL23" s="58">
        <f>EJ23/EH23-1</f>
        <v>1.1183846106788549</v>
      </c>
    </row>
    <row r="24" spans="2:142" ht="12" customHeight="1">
      <c r="B24" s="42"/>
      <c r="D24" s="85"/>
      <c r="E24" s="78"/>
      <c r="F24" s="78"/>
      <c r="G24" s="78"/>
      <c r="H24" s="76"/>
      <c r="I24" s="76"/>
      <c r="J24" s="76"/>
      <c r="K24" s="78"/>
      <c r="L24" s="78"/>
      <c r="M24" s="76"/>
      <c r="N24" s="76"/>
      <c r="O24" s="76"/>
      <c r="P24" s="76"/>
      <c r="Q24" s="78"/>
      <c r="R24" s="78"/>
      <c r="S24" s="76"/>
      <c r="T24" s="76"/>
      <c r="U24" s="76"/>
      <c r="V24" s="76"/>
      <c r="W24" s="78"/>
      <c r="X24" s="78"/>
      <c r="Y24" s="76"/>
      <c r="Z24" s="76"/>
      <c r="AA24" s="76"/>
      <c r="AB24" s="76"/>
      <c r="AC24" s="78"/>
      <c r="AD24" s="78"/>
      <c r="AE24" s="76"/>
      <c r="AF24" s="76"/>
      <c r="AG24" s="76"/>
      <c r="AH24" s="76"/>
      <c r="AI24" s="76"/>
      <c r="AJ24" s="78"/>
      <c r="AK24" s="78"/>
      <c r="AL24" s="76"/>
      <c r="AM24" s="76"/>
      <c r="AN24" s="86"/>
      <c r="AO24" s="76"/>
      <c r="AP24" s="76"/>
      <c r="AQ24" s="78"/>
      <c r="AR24" s="78"/>
      <c r="AS24" s="76"/>
      <c r="AT24" s="76"/>
      <c r="AU24" s="76"/>
      <c r="AV24" s="76"/>
      <c r="AW24" s="76"/>
      <c r="AX24" s="78"/>
      <c r="AY24" s="78"/>
      <c r="AZ24" s="76"/>
      <c r="BA24" s="76"/>
      <c r="BB24" s="76"/>
      <c r="BC24" s="76"/>
      <c r="BD24" s="76"/>
      <c r="BE24" s="78"/>
      <c r="BF24" s="78"/>
      <c r="BG24" s="76"/>
      <c r="BH24" s="76"/>
      <c r="BI24" s="76"/>
      <c r="BJ24" s="76"/>
      <c r="BK24" s="76"/>
      <c r="BL24" s="78"/>
      <c r="BM24" s="78"/>
      <c r="BN24" s="76"/>
      <c r="BO24" s="76"/>
      <c r="BP24" s="76"/>
      <c r="BQ24" s="76"/>
      <c r="BR24" s="76"/>
      <c r="BS24" s="78"/>
      <c r="BT24" s="78"/>
      <c r="BU24" s="87"/>
      <c r="BV24" s="87"/>
      <c r="BW24" s="87"/>
      <c r="BX24" s="87"/>
      <c r="BY24" s="87"/>
      <c r="BZ24" s="78"/>
      <c r="CA24" s="78"/>
      <c r="CB24" s="87"/>
      <c r="CC24" s="87"/>
      <c r="CD24" s="87"/>
      <c r="CE24" s="87"/>
      <c r="CF24" s="87"/>
      <c r="CG24" s="78"/>
      <c r="CH24" s="78"/>
      <c r="CI24" s="87"/>
      <c r="CJ24" s="87"/>
      <c r="CK24" s="87"/>
      <c r="CL24" s="87"/>
      <c r="CM24" s="87"/>
      <c r="CN24" s="78"/>
      <c r="CO24" s="78"/>
      <c r="CP24" s="87"/>
      <c r="CQ24" s="87"/>
      <c r="CR24" s="87"/>
      <c r="CS24" s="87"/>
      <c r="CT24" s="87"/>
      <c r="CU24" s="78"/>
      <c r="CV24" s="78"/>
      <c r="CW24" s="76"/>
      <c r="CX24" s="76"/>
      <c r="CY24" s="76"/>
      <c r="CZ24" s="76"/>
      <c r="DA24" s="76"/>
    </row>
    <row r="43" customFormat="1" ht="10.5" customHeight="1"/>
    <row r="44" customFormat="1" ht="10.5" customHeight="1"/>
    <row r="45" customFormat="1" ht="10.5" customHeight="1"/>
    <row r="46" customFormat="1" ht="10.5" customHeight="1"/>
    <row r="47" customFormat="1" ht="10.5" customHeight="1"/>
    <row r="48" customFormat="1" ht="10.5" customHeight="1"/>
    <row r="49" customFormat="1" ht="10.5" customHeight="1"/>
    <row r="50" customFormat="1" ht="10.5" customHeight="1"/>
    <row r="51" customFormat="1" ht="10.5" customHeight="1"/>
    <row r="52" customFormat="1" ht="10.5" customHeight="1"/>
    <row r="53" customFormat="1" ht="10.5" customHeight="1"/>
    <row r="54" customFormat="1" ht="10.5" customHeight="1"/>
    <row r="55" customFormat="1" ht="10.5" customHeight="1"/>
    <row r="56" customFormat="1" ht="10.5" customHeight="1"/>
    <row r="57" customFormat="1" ht="10.5" customHeight="1"/>
    <row r="58" customFormat="1" ht="10.5" customHeight="1"/>
    <row r="59" customFormat="1" ht="10.5" customHeight="1"/>
    <row r="60" customFormat="1" ht="10.5" customHeight="1"/>
    <row r="61" customFormat="1" ht="10.5" customHeight="1"/>
    <row r="62" customFormat="1" ht="10.5" customHeight="1"/>
    <row r="63" customFormat="1" ht="10.5" customHeight="1"/>
    <row r="64" customFormat="1" ht="10.5" customHeight="1"/>
    <row r="65" customFormat="1" ht="10.5" customHeight="1"/>
    <row r="66" customFormat="1" ht="10.5" customHeight="1"/>
    <row r="67" customFormat="1" ht="10.5" customHeight="1"/>
    <row r="68" customFormat="1" ht="10.5" customHeight="1"/>
    <row r="69" customFormat="1" ht="10.5" customHeight="1"/>
    <row r="70" customFormat="1" ht="10.5" customHeight="1"/>
    <row r="71" customFormat="1" ht="10.5" customHeight="1"/>
    <row r="72" customFormat="1" ht="10.5" customHeight="1"/>
    <row r="73" customFormat="1" ht="10.5" customHeight="1"/>
    <row r="74" customFormat="1" ht="10.5" customHeight="1"/>
    <row r="75" customFormat="1" ht="10.5" customHeight="1"/>
    <row r="76" customFormat="1" ht="10.5" customHeight="1"/>
    <row r="77" customFormat="1" ht="10.5" customHeight="1"/>
    <row r="78" customFormat="1" ht="10.5" customHeight="1"/>
    <row r="79" customFormat="1" ht="10.5" customHeight="1"/>
    <row r="80" customFormat="1" ht="10.5" customHeight="1"/>
    <row r="81" customFormat="1" ht="10.5" customHeight="1"/>
    <row r="82" customFormat="1" ht="10.5" customHeight="1"/>
    <row r="83" customFormat="1" ht="10.5" customHeight="1"/>
    <row r="84" customFormat="1" ht="10.5" customHeight="1"/>
    <row r="85" customFormat="1" ht="10.5" customHeight="1"/>
    <row r="86" customFormat="1" ht="10.5" customHeight="1"/>
    <row r="87" customFormat="1" ht="10.5" customHeight="1"/>
    <row r="88" customFormat="1" ht="10.5" customHeight="1"/>
    <row r="89" customFormat="1" ht="10.5" customHeight="1"/>
    <row r="90" customFormat="1" ht="10.5" customHeight="1"/>
    <row r="91" customFormat="1" ht="10.5" customHeight="1"/>
    <row r="92" customFormat="1" ht="10.5" customHeight="1"/>
    <row r="93" customFormat="1" ht="10.5" customHeight="1"/>
    <row r="94" customFormat="1" ht="10.5" customHeight="1"/>
    <row r="95" customFormat="1" ht="10.5" customHeight="1"/>
    <row r="96" customFormat="1" ht="10.5" customHeight="1"/>
    <row r="97" customFormat="1" ht="10.5" customHeight="1"/>
    <row r="98" customFormat="1" ht="10.5" customHeight="1"/>
    <row r="99" customFormat="1" ht="10.5" customHeight="1"/>
    <row r="100" customFormat="1" ht="10.5" customHeight="1"/>
    <row r="101" customFormat="1" ht="10.5" customHeight="1"/>
    <row r="102" customFormat="1" ht="10.5" customHeight="1"/>
    <row r="103" customFormat="1" ht="10.5" customHeight="1"/>
    <row r="104" customFormat="1" ht="10.5" customHeight="1"/>
    <row r="105" customFormat="1" ht="10.5" customHeight="1"/>
    <row r="106" customFormat="1" ht="10.5" customHeight="1"/>
    <row r="107" customFormat="1" ht="10.5" customHeight="1"/>
    <row r="108" customFormat="1" ht="10.5" customHeight="1"/>
    <row r="109" customFormat="1" ht="10.5" customHeight="1"/>
    <row r="110" customFormat="1" ht="10.5" customHeight="1"/>
    <row r="111" customFormat="1" ht="10.5" customHeight="1"/>
    <row r="112" customFormat="1" ht="10.5" customHeight="1"/>
    <row r="113" customFormat="1" ht="10.5" customHeight="1"/>
    <row r="114" customFormat="1" ht="10.5" customHeight="1"/>
    <row r="115" customFormat="1" ht="10.5" customHeight="1"/>
    <row r="116" customFormat="1" ht="10.5" customHeight="1"/>
    <row r="117" customFormat="1" ht="10.5" customHeight="1"/>
    <row r="118" customFormat="1" ht="10.5" customHeight="1"/>
    <row r="119" customFormat="1" ht="10.5" customHeight="1"/>
    <row r="120" customFormat="1" ht="10.5" customHeight="1"/>
    <row r="121" customFormat="1" ht="10.5" customHeight="1"/>
    <row r="122" customFormat="1" ht="10.5" customHeight="1"/>
    <row r="123" customFormat="1" ht="10.5" customHeight="1"/>
    <row r="124" customFormat="1" ht="10.5" customHeight="1"/>
    <row r="125" customFormat="1" ht="10.5" customHeight="1"/>
    <row r="126" customFormat="1" ht="10.5" customHeight="1"/>
    <row r="127" customFormat="1" ht="10.5" customHeight="1"/>
    <row r="128" customFormat="1" ht="10.5" customHeight="1"/>
    <row r="129" customFormat="1" ht="10.5" customHeight="1"/>
    <row r="130" customFormat="1" ht="10.5" customHeight="1"/>
    <row r="131" customFormat="1" ht="10.5" customHeight="1"/>
    <row r="132" customFormat="1" ht="10.5" customHeight="1"/>
    <row r="133" customFormat="1" ht="10.5" customHeight="1"/>
    <row r="134" customFormat="1" ht="10.5" customHeight="1"/>
    <row r="135" customFormat="1" ht="10.5" customHeight="1"/>
    <row r="136" customFormat="1" ht="10.5" customHeight="1"/>
    <row r="137" customFormat="1" ht="10.5" customHeight="1"/>
    <row r="138" customFormat="1" ht="10.5" customHeight="1"/>
    <row r="139" customFormat="1" ht="10.5" customHeight="1"/>
    <row r="140" customFormat="1" ht="10.5" customHeight="1"/>
    <row r="141" customFormat="1" ht="10.5" customHeight="1"/>
    <row r="142" customFormat="1" ht="10.5" customHeight="1"/>
    <row r="143" customFormat="1" ht="10.5" customHeight="1"/>
    <row r="144" customFormat="1" ht="10.5" customHeight="1"/>
    <row r="145" customFormat="1" ht="10.5" customHeight="1"/>
    <row r="146" customFormat="1" ht="10.5" customHeight="1"/>
    <row r="147" customFormat="1" ht="10.5" customHeight="1"/>
    <row r="148" customFormat="1" ht="10.5" customHeight="1"/>
    <row r="149" customFormat="1" ht="10.5" customHeight="1"/>
    <row r="150" customFormat="1" ht="10.5" customHeight="1"/>
    <row r="151" customFormat="1" ht="10.5" customHeight="1"/>
    <row r="152" customFormat="1" ht="10.5" customHeight="1"/>
    <row r="153" customFormat="1" ht="10.5" customHeight="1"/>
    <row r="154" customFormat="1" ht="10.5" customHeight="1"/>
    <row r="155" customFormat="1" ht="10.5" customHeight="1"/>
    <row r="156" customFormat="1" ht="10.5" customHeight="1"/>
    <row r="157" customFormat="1" ht="10.5" customHeight="1"/>
    <row r="158" customFormat="1" ht="10.5" customHeight="1"/>
    <row r="159" customFormat="1" ht="10.5" customHeight="1"/>
    <row r="160" customFormat="1" ht="10.5" customHeight="1"/>
    <row r="161" customFormat="1" ht="10.5" customHeight="1"/>
    <row r="162" customFormat="1" ht="10.5" customHeight="1"/>
    <row r="163" customFormat="1" ht="10.5" customHeight="1"/>
    <row r="164" customFormat="1" ht="10.5" customHeight="1"/>
    <row r="165" customFormat="1" ht="10.5" customHeight="1"/>
    <row r="166" customFormat="1" ht="10.5" customHeight="1"/>
    <row r="167" customFormat="1" ht="10.5" customHeight="1"/>
  </sheetData>
  <phoneticPr fontId="16" type="noConversion"/>
  <pageMargins left="0.75" right="0.75" top="1" bottom="1" header="0.5" footer="0.5"/>
  <pageSetup scale="58" orientation="landscape" horizontalDpi="1200" verticalDpi="1200" r:id="rId1"/>
  <headerFooter alignWithMargins="0">
    <oddFooter>&amp;R&amp;"Book Antiqua,Regular"&amp;8Daniel Salmon
BMO Capital Markets
 (212) 885-4029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79998168889431442"/>
    <pageSetUpPr fitToPage="1"/>
  </sheetPr>
  <dimension ref="A1:AZ17924"/>
  <sheetViews>
    <sheetView showGridLines="0" tabSelected="1" zoomScaleNormal="100" workbookViewId="0">
      <pane xSplit="4" ySplit="5" topLeftCell="E17" activePane="bottomRight" state="frozen"/>
      <selection pane="topRight" activeCell="E1" sqref="E1"/>
      <selection pane="bottomLeft" activeCell="A6" sqref="A6"/>
      <selection pane="bottomRight" activeCell="K51" sqref="K51"/>
    </sheetView>
  </sheetViews>
  <sheetFormatPr defaultColWidth="8.85546875" defaultRowHeight="11.25" outlineLevelCol="1"/>
  <cols>
    <col min="1" max="1" width="1.7109375" style="17" customWidth="1"/>
    <col min="2" max="2" width="25.7109375" style="17" customWidth="1"/>
    <col min="3" max="4" width="12.7109375" style="93" hidden="1" customWidth="1" outlineLevel="1"/>
    <col min="5" max="5" width="12.7109375" style="93" customWidth="1" collapsed="1"/>
    <col min="6" max="8" width="12.7109375" style="93" customWidth="1"/>
    <col min="9" max="11" width="12.7109375" style="94" customWidth="1"/>
    <col min="12" max="12" width="11.42578125" style="93" bestFit="1" customWidth="1"/>
    <col min="13" max="13" width="8.85546875" style="95"/>
    <col min="14" max="14" width="8.85546875" style="96"/>
    <col min="15" max="16384" width="8.85546875" style="94"/>
  </cols>
  <sheetData>
    <row r="1" spans="1:52" ht="12.75" customHeight="1">
      <c r="B1" s="92" t="s">
        <v>225</v>
      </c>
      <c r="M1" s="690"/>
    </row>
    <row r="2" spans="1:52" ht="12.75" customHeight="1">
      <c r="B2" s="18" t="s">
        <v>260</v>
      </c>
      <c r="J2" s="690"/>
      <c r="K2" s="690"/>
      <c r="M2" s="94"/>
    </row>
    <row r="3" spans="1:52">
      <c r="B3" s="19" t="s">
        <v>83</v>
      </c>
      <c r="J3" s="690"/>
      <c r="K3" s="97"/>
      <c r="L3" s="98"/>
      <c r="M3" s="690"/>
    </row>
    <row r="4" spans="1:52" ht="12" customHeight="1">
      <c r="B4" s="99" t="s">
        <v>72</v>
      </c>
      <c r="I4"/>
      <c r="J4"/>
      <c r="K4"/>
      <c r="L4" s="101"/>
      <c r="M4" s="102"/>
      <c r="P4" s="102"/>
      <c r="AD4" s="102"/>
      <c r="AE4" s="102"/>
      <c r="AF4" s="103"/>
      <c r="AG4" s="102"/>
      <c r="AH4" s="102"/>
      <c r="AI4" s="102"/>
      <c r="AJ4" s="102"/>
      <c r="AK4" s="103"/>
      <c r="AL4" s="102"/>
      <c r="AM4" s="102"/>
      <c r="AN4" s="102"/>
      <c r="AO4" s="102"/>
      <c r="AP4" s="103"/>
      <c r="AQ4" s="102"/>
      <c r="AR4" s="102"/>
      <c r="AS4" s="102"/>
      <c r="AT4" s="102"/>
      <c r="AU4" s="103"/>
      <c r="AV4" s="102"/>
      <c r="AW4" s="102"/>
      <c r="AX4" s="102"/>
      <c r="AY4" s="102"/>
      <c r="AZ4" s="103"/>
    </row>
    <row r="5" spans="1:52" ht="12" customHeight="1">
      <c r="B5" s="104" t="s">
        <v>138</v>
      </c>
      <c r="C5" s="105" t="s">
        <v>212</v>
      </c>
      <c r="D5" s="105" t="s">
        <v>227</v>
      </c>
      <c r="E5" s="105" t="s">
        <v>336</v>
      </c>
      <c r="F5" s="105" t="s">
        <v>380</v>
      </c>
      <c r="G5" s="105" t="s">
        <v>404</v>
      </c>
      <c r="H5" s="105" t="s">
        <v>304</v>
      </c>
      <c r="I5" s="105" t="s">
        <v>352</v>
      </c>
      <c r="J5" s="106" t="s">
        <v>387</v>
      </c>
      <c r="K5" s="106" t="s">
        <v>388</v>
      </c>
      <c r="M5" s="690"/>
      <c r="P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row>
    <row r="6" spans="1:52" ht="12" customHeight="1">
      <c r="B6" s="94" t="s">
        <v>419</v>
      </c>
      <c r="C6" s="108">
        <v>107.64</v>
      </c>
      <c r="D6" s="108">
        <v>107.64</v>
      </c>
      <c r="E6" s="1269"/>
      <c r="F6" s="1269">
        <v>107.64</v>
      </c>
      <c r="G6" s="1269">
        <v>107.64</v>
      </c>
      <c r="H6" s="1269">
        <v>107.64</v>
      </c>
      <c r="I6" s="1269">
        <v>107.64</v>
      </c>
      <c r="J6" s="1269">
        <v>107.64</v>
      </c>
      <c r="K6" s="1269">
        <v>107.64</v>
      </c>
      <c r="L6" s="109"/>
      <c r="M6" s="96"/>
      <c r="N6" s="110"/>
      <c r="Q6" s="102"/>
      <c r="R6" s="102"/>
      <c r="S6" s="102"/>
      <c r="T6" s="102"/>
      <c r="U6" s="102"/>
      <c r="AD6" s="102"/>
      <c r="AE6" s="102"/>
      <c r="AF6" s="103"/>
      <c r="AG6" s="102"/>
      <c r="AH6" s="102"/>
      <c r="AI6" s="102"/>
      <c r="AJ6" s="102"/>
      <c r="AK6" s="103"/>
      <c r="AL6" s="102"/>
      <c r="AM6" s="102"/>
      <c r="AN6" s="102"/>
      <c r="AO6" s="102"/>
      <c r="AP6" s="103"/>
      <c r="AQ6" s="102"/>
      <c r="AR6" s="102"/>
      <c r="AS6" s="102"/>
      <c r="AT6" s="102"/>
      <c r="AU6" s="103"/>
      <c r="AV6" s="102"/>
      <c r="AW6" s="102"/>
      <c r="AX6" s="102"/>
      <c r="AY6" s="102"/>
      <c r="AZ6" s="103"/>
    </row>
    <row r="7" spans="1:52" ht="12" customHeight="1">
      <c r="B7" s="94" t="s">
        <v>226</v>
      </c>
      <c r="C7" s="111">
        <v>102.01900000000001</v>
      </c>
      <c r="D7" s="111">
        <v>123.01950650000001</v>
      </c>
      <c r="E7" s="111"/>
      <c r="F7" s="111">
        <v>1266.268155</v>
      </c>
      <c r="G7" s="111">
        <v>1295.511385</v>
      </c>
      <c r="H7" s="111">
        <v>1298.2477775</v>
      </c>
      <c r="I7" s="111">
        <v>1310.3506560000001</v>
      </c>
      <c r="J7" s="111">
        <v>1320.3506560000001</v>
      </c>
      <c r="K7" s="111">
        <v>1330.3506560000001</v>
      </c>
      <c r="L7" s="111"/>
      <c r="M7" s="111"/>
      <c r="N7" s="113"/>
      <c r="P7" s="102"/>
      <c r="Q7" s="102"/>
      <c r="R7" s="102"/>
      <c r="S7" s="102"/>
      <c r="T7" s="102"/>
      <c r="U7" s="102"/>
      <c r="AD7" s="102"/>
      <c r="AE7" s="102"/>
      <c r="AF7" s="103"/>
      <c r="AG7" s="102"/>
      <c r="AH7" s="102"/>
      <c r="AI7" s="102"/>
      <c r="AJ7" s="102"/>
      <c r="AK7" s="103"/>
      <c r="AL7" s="102"/>
      <c r="AM7" s="102"/>
      <c r="AN7" s="102"/>
      <c r="AO7" s="102"/>
      <c r="AP7" s="103"/>
      <c r="AQ7" s="102"/>
      <c r="AR7" s="102"/>
      <c r="AS7" s="102"/>
      <c r="AT7" s="102"/>
      <c r="AU7" s="103"/>
      <c r="AV7" s="102"/>
      <c r="AW7" s="102"/>
      <c r="AX7" s="102"/>
      <c r="AY7" s="102"/>
      <c r="AZ7" s="103"/>
    </row>
    <row r="8" spans="1:52" ht="12" customHeight="1">
      <c r="B8" s="18" t="s">
        <v>23</v>
      </c>
      <c r="C8" s="114">
        <v>10981.32516</v>
      </c>
      <c r="D8" s="114">
        <v>13241.81967966</v>
      </c>
      <c r="E8" s="114"/>
      <c r="F8" s="114">
        <v>136301.1042042</v>
      </c>
      <c r="G8" s="114">
        <v>139448.8454814</v>
      </c>
      <c r="H8" s="114">
        <v>139743.3907701</v>
      </c>
      <c r="I8" s="114">
        <v>141046.14461184002</v>
      </c>
      <c r="J8" s="114">
        <v>142122.54461184001</v>
      </c>
      <c r="K8" s="114">
        <v>143198.94461184001</v>
      </c>
      <c r="L8" s="109"/>
      <c r="M8" s="112"/>
      <c r="N8" s="110"/>
      <c r="P8" s="102"/>
      <c r="Q8" s="102"/>
      <c r="R8" s="102"/>
      <c r="S8" s="102"/>
      <c r="T8" s="102"/>
      <c r="U8" s="102"/>
      <c r="AD8" s="102"/>
      <c r="AE8" s="102"/>
      <c r="AF8" s="103"/>
      <c r="AG8" s="102"/>
      <c r="AH8" s="102"/>
      <c r="AI8" s="102"/>
      <c r="AJ8" s="102"/>
      <c r="AK8" s="103"/>
      <c r="AL8" s="102"/>
      <c r="AM8" s="102"/>
      <c r="AN8" s="102"/>
      <c r="AO8" s="102"/>
      <c r="AP8" s="103"/>
      <c r="AQ8" s="102"/>
      <c r="AR8" s="102"/>
      <c r="AS8" s="102"/>
      <c r="AT8" s="102"/>
      <c r="AU8" s="103"/>
      <c r="AV8" s="102"/>
      <c r="AW8" s="102"/>
      <c r="AX8" s="102"/>
      <c r="AY8" s="102"/>
      <c r="AZ8" s="103"/>
    </row>
    <row r="9" spans="1:52" s="118" customFormat="1" ht="12" customHeight="1">
      <c r="A9" s="115"/>
      <c r="B9" s="94" t="s">
        <v>19</v>
      </c>
      <c r="C9" s="111">
        <v>649.91600000000017</v>
      </c>
      <c r="D9" s="111">
        <v>1945.5890000000002</v>
      </c>
      <c r="E9" s="111"/>
      <c r="F9" s="111">
        <v>736.01600000000178</v>
      </c>
      <c r="G9" s="111">
        <v>497.00000000000182</v>
      </c>
      <c r="H9" s="111">
        <v>1216.9697404962999</v>
      </c>
      <c r="I9" s="111">
        <v>3114.6578224252471</v>
      </c>
      <c r="J9" s="111">
        <v>5420.0066215019169</v>
      </c>
      <c r="K9" s="111">
        <v>8258.3214333452852</v>
      </c>
      <c r="L9" s="109"/>
      <c r="M9" s="112"/>
      <c r="N9" s="116"/>
      <c r="O9" s="107"/>
      <c r="P9" s="117"/>
      <c r="Q9" s="117"/>
      <c r="R9" s="117"/>
      <c r="S9" s="117"/>
      <c r="T9" s="117"/>
      <c r="U9" s="117"/>
      <c r="AD9" s="117"/>
      <c r="AE9" s="117"/>
      <c r="AF9" s="107"/>
      <c r="AG9" s="117"/>
      <c r="AH9" s="117"/>
      <c r="AI9" s="117"/>
      <c r="AJ9" s="117"/>
      <c r="AK9" s="107"/>
      <c r="AL9" s="117"/>
      <c r="AM9" s="117"/>
      <c r="AN9" s="117"/>
      <c r="AO9" s="117"/>
      <c r="AP9" s="107"/>
      <c r="AQ9" s="117"/>
      <c r="AR9" s="117"/>
      <c r="AS9" s="117"/>
      <c r="AT9" s="117"/>
      <c r="AU9" s="107"/>
      <c r="AV9" s="117"/>
      <c r="AW9" s="117"/>
      <c r="AX9" s="117"/>
      <c r="AY9" s="117"/>
      <c r="AZ9" s="107"/>
    </row>
    <row r="10" spans="1:52" ht="12" customHeight="1">
      <c r="B10" s="119" t="s">
        <v>20</v>
      </c>
      <c r="C10" s="114">
        <v>10331.409159999999</v>
      </c>
      <c r="D10" s="114">
        <v>11296.230679660001</v>
      </c>
      <c r="E10" s="114"/>
      <c r="F10" s="114">
        <v>135565.0882042</v>
      </c>
      <c r="G10" s="114">
        <v>138951.8454814</v>
      </c>
      <c r="H10" s="114">
        <v>138526.42102960369</v>
      </c>
      <c r="I10" s="114">
        <v>137931.48678941478</v>
      </c>
      <c r="J10" s="114">
        <v>136702.53799033811</v>
      </c>
      <c r="K10" s="114">
        <v>134940.62317849472</v>
      </c>
      <c r="L10" s="109"/>
      <c r="M10" s="112"/>
      <c r="N10" s="110"/>
      <c r="O10" s="103"/>
      <c r="P10" s="102"/>
      <c r="Q10" s="102"/>
      <c r="R10" s="102"/>
      <c r="S10" s="102"/>
      <c r="T10" s="102"/>
      <c r="U10" s="102"/>
      <c r="AD10" s="102"/>
      <c r="AE10" s="102"/>
      <c r="AF10" s="103"/>
      <c r="AG10" s="102"/>
      <c r="AH10" s="102"/>
      <c r="AI10" s="102"/>
      <c r="AJ10" s="102"/>
      <c r="AK10" s="103"/>
      <c r="AL10" s="102"/>
      <c r="AM10" s="102"/>
      <c r="AN10" s="102"/>
      <c r="AO10" s="102"/>
      <c r="AP10" s="103"/>
      <c r="AQ10" s="102"/>
      <c r="AR10" s="102"/>
      <c r="AS10" s="102"/>
      <c r="AT10" s="102"/>
      <c r="AU10" s="103"/>
      <c r="AV10" s="102"/>
      <c r="AW10" s="102"/>
      <c r="AX10" s="102"/>
      <c r="AY10" s="102"/>
      <c r="AZ10" s="103"/>
    </row>
    <row r="11" spans="1:52" ht="12" customHeight="1">
      <c r="B11" s="120" t="s">
        <v>0</v>
      </c>
      <c r="C11" s="121" t="s">
        <v>212</v>
      </c>
      <c r="D11" s="121" t="s">
        <v>227</v>
      </c>
      <c r="E11" s="121" t="s">
        <v>336</v>
      </c>
      <c r="F11" s="121" t="s">
        <v>380</v>
      </c>
      <c r="G11" s="121" t="s">
        <v>404</v>
      </c>
      <c r="H11" s="121" t="s">
        <v>304</v>
      </c>
      <c r="I11" s="121" t="s">
        <v>352</v>
      </c>
      <c r="J11" s="121" t="s">
        <v>387</v>
      </c>
      <c r="K11" s="1125" t="s">
        <v>388</v>
      </c>
      <c r="L11" s="122" t="s">
        <v>420</v>
      </c>
      <c r="M11" s="107"/>
      <c r="N11" s="116"/>
      <c r="O11" s="107"/>
      <c r="P11" s="107"/>
      <c r="Q11" s="107"/>
      <c r="R11" s="107"/>
      <c r="S11" s="107"/>
      <c r="T11" s="107"/>
      <c r="U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row>
    <row r="12" spans="1:52" ht="12" customHeight="1">
      <c r="B12" s="123" t="s">
        <v>368</v>
      </c>
      <c r="C12" s="124">
        <v>61138.457000000002</v>
      </c>
      <c r="D12" s="124">
        <v>119577.147</v>
      </c>
      <c r="E12" s="1218">
        <v>175361.81400000001</v>
      </c>
      <c r="F12" s="1218">
        <v>197250.171</v>
      </c>
      <c r="G12" s="1218">
        <v>235925</v>
      </c>
      <c r="H12" s="1218">
        <v>290594.375</v>
      </c>
      <c r="I12" s="1218">
        <v>347260.16816817026</v>
      </c>
      <c r="J12" s="1218">
        <v>407857.06751351594</v>
      </c>
      <c r="K12" s="1218">
        <v>475153.48365324613</v>
      </c>
      <c r="L12" s="892">
        <v>0.17810022268728787</v>
      </c>
      <c r="M12" s="107"/>
      <c r="N12" s="116"/>
      <c r="O12" s="107"/>
      <c r="P12" s="107"/>
      <c r="Q12" s="107"/>
      <c r="R12" s="107"/>
      <c r="S12" s="107"/>
      <c r="T12" s="107"/>
      <c r="U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row>
    <row r="13" spans="1:52" ht="12" customHeight="1">
      <c r="B13" s="126" t="s">
        <v>134</v>
      </c>
      <c r="C13" s="127"/>
      <c r="D13" s="127"/>
      <c r="E13" s="1219"/>
      <c r="F13" s="1219"/>
      <c r="G13" s="1219"/>
      <c r="H13" s="1219">
        <v>289784.2</v>
      </c>
      <c r="I13" s="1219">
        <v>348713.47</v>
      </c>
      <c r="J13" s="1219">
        <v>415727.38</v>
      </c>
      <c r="K13" s="1219">
        <v>504811.16</v>
      </c>
      <c r="L13" s="892">
        <v>0.20323765596304511</v>
      </c>
      <c r="M13" s="107"/>
      <c r="N13" s="116"/>
      <c r="O13" s="107"/>
      <c r="P13" s="107"/>
      <c r="Q13" s="107"/>
      <c r="R13" s="107"/>
      <c r="S13" s="107"/>
      <c r="T13" s="107"/>
      <c r="U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row>
    <row r="14" spans="1:52" ht="12" customHeight="1">
      <c r="B14" s="123" t="s">
        <v>3</v>
      </c>
      <c r="C14" s="124">
        <v>1578.173</v>
      </c>
      <c r="D14" s="124">
        <v>2929.491</v>
      </c>
      <c r="E14" s="1218">
        <v>4611.8559999999998</v>
      </c>
      <c r="F14" s="1218">
        <v>5599.8640000000005</v>
      </c>
      <c r="G14" s="1218">
        <v>7060</v>
      </c>
      <c r="H14" s="1218">
        <v>8771.5891937011711</v>
      </c>
      <c r="I14" s="1218">
        <v>10796.75648813499</v>
      </c>
      <c r="J14" s="1218">
        <v>12923.430702782402</v>
      </c>
      <c r="K14" s="1218">
        <v>15238.768381736383</v>
      </c>
      <c r="L14" s="892">
        <v>0.2021459420329792</v>
      </c>
      <c r="M14" s="691"/>
      <c r="N14" s="692"/>
    </row>
    <row r="15" spans="1:52" ht="12" customHeight="1">
      <c r="B15" s="126" t="s">
        <v>134</v>
      </c>
      <c r="C15" s="127"/>
      <c r="D15" s="128"/>
      <c r="E15" s="1219"/>
      <c r="F15" s="1219"/>
      <c r="G15" s="1219"/>
      <c r="H15" s="1219">
        <v>8799.232</v>
      </c>
      <c r="I15" s="1219">
        <v>10858.165000000001</v>
      </c>
      <c r="J15" s="1219">
        <v>13154.029</v>
      </c>
      <c r="K15" s="1219">
        <v>17304.153999999999</v>
      </c>
      <c r="L15" s="892">
        <v>0.25285804965575664</v>
      </c>
      <c r="M15" s="691"/>
      <c r="N15" s="692"/>
    </row>
    <row r="16" spans="1:52" ht="12" customHeight="1">
      <c r="B16" s="123" t="s">
        <v>2</v>
      </c>
      <c r="C16" s="124">
        <v>-105.49599999999995</v>
      </c>
      <c r="D16" s="124">
        <v>160.21300000000002</v>
      </c>
      <c r="E16" s="1218">
        <v>334.95100000000002</v>
      </c>
      <c r="F16" s="1218">
        <v>-731.77899999999977</v>
      </c>
      <c r="G16" s="1218">
        <v>-1349</v>
      </c>
      <c r="H16" s="1218">
        <v>1067.532309773406</v>
      </c>
      <c r="I16" s="1218">
        <v>1501.3375759618336</v>
      </c>
      <c r="J16" s="1218">
        <v>2005.4884536401973</v>
      </c>
      <c r="K16" s="1218">
        <v>2636.6124067907867</v>
      </c>
      <c r="L16" s="892">
        <v>0.35172523331184435</v>
      </c>
      <c r="M16" s="693"/>
      <c r="N16" s="692"/>
    </row>
    <row r="17" spans="1:19" ht="12" customHeight="1">
      <c r="B17" s="123" t="s">
        <v>97</v>
      </c>
      <c r="C17" s="124">
        <v>81.406000000000034</v>
      </c>
      <c r="D17" s="124">
        <v>507.411</v>
      </c>
      <c r="E17" s="1218">
        <v>766.83330000000001</v>
      </c>
      <c r="F17" s="1218">
        <v>29.158000000000214</v>
      </c>
      <c r="G17" s="1218">
        <v>801</v>
      </c>
      <c r="H17" s="1218">
        <v>1462.2770998078572</v>
      </c>
      <c r="I17" s="1218">
        <v>2014.896245831641</v>
      </c>
      <c r="J17" s="1218">
        <v>2571.7096574417092</v>
      </c>
      <c r="K17" s="1218">
        <v>3247.1012381626606</v>
      </c>
      <c r="L17" s="892">
        <v>0.30463407327419345</v>
      </c>
      <c r="M17" s="693"/>
      <c r="N17" s="692"/>
    </row>
    <row r="18" spans="1:19" ht="12" customHeight="1">
      <c r="B18" s="126" t="s">
        <v>134</v>
      </c>
      <c r="C18" s="127"/>
      <c r="D18" s="127"/>
      <c r="E18" s="1219"/>
      <c r="F18" s="1219"/>
      <c r="G18" s="1219"/>
      <c r="H18" s="1219">
        <v>1485.8966</v>
      </c>
      <c r="I18" s="1219">
        <v>1996.2725</v>
      </c>
      <c r="J18" s="1219">
        <v>2602.1291999999999</v>
      </c>
      <c r="K18" s="1219">
        <v>3219.5</v>
      </c>
      <c r="L18" s="892">
        <v>0.29399703185119708</v>
      </c>
      <c r="M18" s="693"/>
      <c r="N18" s="692"/>
    </row>
    <row r="19" spans="1:19" ht="12" customHeight="1">
      <c r="B19" s="123" t="s">
        <v>137</v>
      </c>
      <c r="C19" s="124">
        <v>-141.14699999999996</v>
      </c>
      <c r="D19" s="124">
        <v>90.15300000000002</v>
      </c>
      <c r="E19" s="1218">
        <v>268.64300000000003</v>
      </c>
      <c r="F19" s="1218">
        <v>-822.29899999999975</v>
      </c>
      <c r="G19" s="1218">
        <v>-1418</v>
      </c>
      <c r="H19" s="1218">
        <v>1032.8287205797049</v>
      </c>
      <c r="I19" s="1218">
        <v>1479.9391977177661</v>
      </c>
      <c r="J19" s="1220">
        <v>1983.0267382888062</v>
      </c>
      <c r="K19" s="1220">
        <v>2612.9930225999187</v>
      </c>
      <c r="L19" s="892">
        <v>0.36260500964114195</v>
      </c>
      <c r="M19" s="693"/>
      <c r="N19" s="692"/>
    </row>
    <row r="20" spans="1:19">
      <c r="B20" s="131" t="s">
        <v>611</v>
      </c>
      <c r="C20" s="129">
        <v>-1.2237132298885496</v>
      </c>
      <c r="D20" s="129">
        <v>2.5972222543422414</v>
      </c>
      <c r="E20" s="129">
        <v>22.972528140373388</v>
      </c>
      <c r="F20" s="129">
        <v>-2.732768715959693</v>
      </c>
      <c r="G20" s="129">
        <v>0.10189026629048112</v>
      </c>
      <c r="H20" s="129">
        <v>0.86336730837035214</v>
      </c>
      <c r="I20" s="129">
        <v>1.0779343374458044</v>
      </c>
      <c r="J20" s="129">
        <v>1.3707806445382316</v>
      </c>
      <c r="K20" s="129">
        <v>1.7345686097470046</v>
      </c>
      <c r="L20" s="892">
        <v>0.26182354713640099</v>
      </c>
      <c r="M20" s="693"/>
    </row>
    <row r="21" spans="1:19">
      <c r="B21" s="131" t="s">
        <v>645</v>
      </c>
      <c r="C21" s="129">
        <v>0.33604524647369632</v>
      </c>
      <c r="D21" s="129">
        <v>3.9936024292212546</v>
      </c>
      <c r="E21" s="129">
        <v>6.4188126395071947</v>
      </c>
      <c r="F21" s="129">
        <v>3.7579717859998113E-2</v>
      </c>
      <c r="G21" s="129">
        <v>0.73561684677900374</v>
      </c>
      <c r="H21" s="129">
        <v>1.2251783990939886</v>
      </c>
      <c r="I21" s="129">
        <v>1.4842990458942646</v>
      </c>
      <c r="J21" s="129">
        <v>1.8001642392492685</v>
      </c>
      <c r="K21" s="129">
        <v>2.1726265911942906</v>
      </c>
      <c r="L21" s="892">
        <v>0.21039908433341958</v>
      </c>
      <c r="M21" s="94"/>
    </row>
    <row r="22" spans="1:19">
      <c r="B22" s="126" t="s">
        <v>135</v>
      </c>
      <c r="C22" s="130"/>
      <c r="D22" s="130"/>
      <c r="E22" s="130"/>
      <c r="F22" s="130"/>
      <c r="G22" s="130"/>
      <c r="H22" s="130">
        <v>1.2719381000000001</v>
      </c>
      <c r="I22" s="130">
        <v>1.5340446999999999</v>
      </c>
      <c r="J22" s="130">
        <v>1.928615</v>
      </c>
      <c r="K22" s="130">
        <v>2.5437373999999999</v>
      </c>
      <c r="L22" s="892">
        <v>0.25989813470447798</v>
      </c>
      <c r="M22" s="693"/>
    </row>
    <row r="23" spans="1:19">
      <c r="B23" s="123" t="s">
        <v>21</v>
      </c>
      <c r="C23" s="129">
        <v>0.13581783785373322</v>
      </c>
      <c r="D23" s="129">
        <v>3.1151563756273073</v>
      </c>
      <c r="E23" s="129">
        <v>3.5754637731545884</v>
      </c>
      <c r="F23" s="129">
        <v>-0.14725632897243635</v>
      </c>
      <c r="G23" s="129">
        <v>0.69856584085519247</v>
      </c>
      <c r="H23" s="129">
        <v>1.1607720549294744</v>
      </c>
      <c r="I23" s="129">
        <v>1.3870814454180325</v>
      </c>
      <c r="J23" s="129">
        <v>1.6747009887323976</v>
      </c>
      <c r="K23" s="129">
        <v>2.049549483097612</v>
      </c>
      <c r="L23" s="892">
        <v>0.20865908647279574</v>
      </c>
      <c r="M23" s="690"/>
    </row>
    <row r="24" spans="1:19" ht="12" customHeight="1">
      <c r="B24" s="120" t="s">
        <v>26</v>
      </c>
      <c r="C24" s="121" t="s">
        <v>212</v>
      </c>
      <c r="D24" s="121" t="s">
        <v>227</v>
      </c>
      <c r="E24" s="121" t="s">
        <v>336</v>
      </c>
      <c r="F24" s="121" t="s">
        <v>380</v>
      </c>
      <c r="G24" s="121" t="s">
        <v>404</v>
      </c>
      <c r="H24" s="121" t="s">
        <v>304</v>
      </c>
      <c r="I24" s="121" t="s">
        <v>352</v>
      </c>
      <c r="J24" s="121" t="s">
        <v>387</v>
      </c>
      <c r="K24" s="1125" t="s">
        <v>388</v>
      </c>
      <c r="L24" s="122"/>
      <c r="M24" s="94"/>
    </row>
    <row r="25" spans="1:19" s="99" customFormat="1" ht="12" customHeight="1">
      <c r="A25" s="132"/>
      <c r="B25" s="131" t="s">
        <v>136</v>
      </c>
      <c r="C25" s="133">
        <v>0.54850957404543099</v>
      </c>
      <c r="D25" s="133">
        <v>0.52620745378634048</v>
      </c>
      <c r="E25" s="133">
        <v>0.53799251320943231</v>
      </c>
      <c r="F25" s="133">
        <v>0.4918189084592054</v>
      </c>
      <c r="G25" s="133">
        <v>0.47546419098143233</v>
      </c>
      <c r="H25" s="133">
        <v>0.51423965609887157</v>
      </c>
      <c r="I25" s="133">
        <v>0.50720880007728575</v>
      </c>
      <c r="J25" s="133">
        <v>0.50465696721201858</v>
      </c>
      <c r="K25" s="133">
        <v>0.50274380868861746</v>
      </c>
      <c r="L25" s="134"/>
      <c r="N25" s="112"/>
    </row>
    <row r="26" spans="1:19" s="99" customFormat="1" ht="12" customHeight="1">
      <c r="A26" s="132"/>
      <c r="B26" s="131" t="s">
        <v>179</v>
      </c>
      <c r="C26" s="133">
        <v>5.1582431076947863E-2</v>
      </c>
      <c r="D26" s="133">
        <v>0.17320790540063102</v>
      </c>
      <c r="E26" s="133">
        <v>0.16627433727332339</v>
      </c>
      <c r="F26" s="133">
        <v>5.2069121678669714E-3</v>
      </c>
      <c r="G26" s="133">
        <v>-1.9230769230769232E-2</v>
      </c>
      <c r="H26" s="133">
        <v>0.11123052122514777</v>
      </c>
      <c r="I26" s="133">
        <v>0.12086403698997299</v>
      </c>
      <c r="J26" s="133">
        <v>0.13328096337704615</v>
      </c>
      <c r="K26" s="133">
        <v>0.14740081389381485</v>
      </c>
      <c r="L26" s="134"/>
      <c r="N26" s="112"/>
      <c r="S26" s="396"/>
    </row>
    <row r="27" spans="1:19" s="99" customFormat="1" ht="12" customHeight="1">
      <c r="A27" s="132"/>
      <c r="B27" s="131" t="s">
        <v>137</v>
      </c>
      <c r="C27" s="133">
        <v>-8.9436962867822448E-2</v>
      </c>
      <c r="D27" s="133">
        <v>3.0774288093050984E-2</v>
      </c>
      <c r="E27" s="133">
        <v>5.825051779587221E-2</v>
      </c>
      <c r="F27" s="133">
        <v>-0.14684267332206632</v>
      </c>
      <c r="G27" s="133">
        <v>-0.12798408488063662</v>
      </c>
      <c r="H27" s="133">
        <v>4.6211714132186998E-2</v>
      </c>
      <c r="I27" s="133">
        <v>6.2758467256112477E-2</v>
      </c>
      <c r="J27" s="133">
        <v>7.9206634390845299E-2</v>
      </c>
      <c r="K27" s="133">
        <v>9.7293475867444204E-2</v>
      </c>
      <c r="L27" s="134"/>
      <c r="N27" s="112"/>
    </row>
    <row r="28" spans="1:19" s="99" customFormat="1" ht="12" customHeight="1">
      <c r="A28" s="132"/>
      <c r="B28" s="131" t="s">
        <v>89</v>
      </c>
      <c r="C28" s="133">
        <v>-7.9105395923007152E-2</v>
      </c>
      <c r="D28" s="133">
        <v>0.10906638730072904</v>
      </c>
      <c r="E28" s="133">
        <v>0.63199262943162171</v>
      </c>
      <c r="F28" s="133">
        <v>-0.61794679299354405</v>
      </c>
      <c r="G28" s="133">
        <v>4.5092838196286469E-2</v>
      </c>
      <c r="H28" s="133">
        <v>-0.14669532509403546</v>
      </c>
      <c r="I28" s="133">
        <v>7.5587325908373457E-2</v>
      </c>
      <c r="J28" s="133">
        <v>8.4304409274778211E-2</v>
      </c>
      <c r="K28" s="133">
        <v>9.529312401967345E-2</v>
      </c>
      <c r="L28" s="134"/>
      <c r="N28" s="112"/>
    </row>
    <row r="29" spans="1:19" s="99" customFormat="1" ht="12" customHeight="1">
      <c r="A29" s="132"/>
      <c r="B29" s="120" t="s">
        <v>149</v>
      </c>
      <c r="C29" s="121" t="s">
        <v>212</v>
      </c>
      <c r="D29" s="121" t="s">
        <v>227</v>
      </c>
      <c r="E29" s="121" t="s">
        <v>336</v>
      </c>
      <c r="F29" s="121" t="s">
        <v>380</v>
      </c>
      <c r="G29" s="121" t="s">
        <v>404</v>
      </c>
      <c r="H29" s="121" t="s">
        <v>304</v>
      </c>
      <c r="I29" s="121" t="s">
        <v>352</v>
      </c>
      <c r="J29" s="121" t="s">
        <v>387</v>
      </c>
      <c r="K29" s="1125" t="s">
        <v>388</v>
      </c>
      <c r="L29" s="122"/>
      <c r="N29" s="112"/>
    </row>
    <row r="30" spans="1:19" s="99" customFormat="1" ht="12" customHeight="1">
      <c r="A30" s="132"/>
      <c r="B30" s="123" t="s">
        <v>368</v>
      </c>
      <c r="C30" s="124"/>
      <c r="D30" s="91">
        <v>0.9558417543969091</v>
      </c>
      <c r="E30" s="91">
        <v>0.4665161228507988</v>
      </c>
      <c r="F30" s="91">
        <v>0.12481826288589826</v>
      </c>
      <c r="G30" s="91">
        <v>0.19606993902175129</v>
      </c>
      <c r="H30" s="91">
        <v>0.23172353502172305</v>
      </c>
      <c r="I30" s="91">
        <v>0.19499962161404616</v>
      </c>
      <c r="J30" s="91">
        <v>0.17449999999999988</v>
      </c>
      <c r="K30" s="91">
        <v>0.16500000000000026</v>
      </c>
      <c r="L30" s="134"/>
      <c r="N30" s="112"/>
    </row>
    <row r="31" spans="1:19" s="99" customFormat="1" ht="12" customHeight="1">
      <c r="A31" s="132"/>
      <c r="B31" s="131" t="s">
        <v>27</v>
      </c>
      <c r="C31" s="135"/>
      <c r="D31" s="135">
        <v>0.856254669164914</v>
      </c>
      <c r="E31" s="135">
        <v>0.57428577182862139</v>
      </c>
      <c r="F31" s="135">
        <v>0.21423218764853047</v>
      </c>
      <c r="G31" s="135">
        <v>0.26074490380480664</v>
      </c>
      <c r="H31" s="135">
        <v>0.24243472998600146</v>
      </c>
      <c r="I31" s="135">
        <v>0.23087803700247167</v>
      </c>
      <c r="J31" s="135">
        <v>0.19697343521496502</v>
      </c>
      <c r="K31" s="135">
        <v>0.17915813008193648</v>
      </c>
      <c r="L31" s="134"/>
      <c r="N31" s="112"/>
    </row>
    <row r="32" spans="1:19" s="99" customFormat="1" ht="12" customHeight="1">
      <c r="A32" s="132"/>
      <c r="B32" s="131" t="s">
        <v>2</v>
      </c>
      <c r="C32" s="135"/>
      <c r="D32" s="135">
        <v>-2.5186642147569582</v>
      </c>
      <c r="E32" s="135">
        <v>1.0906605581319866</v>
      </c>
      <c r="F32" s="135">
        <v>-3.1847344835513245</v>
      </c>
      <c r="G32" s="135">
        <v>0.84345273641358998</v>
      </c>
      <c r="H32" s="1185" t="s">
        <v>619</v>
      </c>
      <c r="I32" s="135">
        <v>0.40636265733306653</v>
      </c>
      <c r="J32" s="135">
        <v>0.33580114542552431</v>
      </c>
      <c r="K32" s="135">
        <v>0.31469837286025015</v>
      </c>
      <c r="L32" s="134"/>
      <c r="N32" s="112"/>
    </row>
    <row r="33" spans="1:52" s="99" customFormat="1" ht="12" customHeight="1">
      <c r="A33" s="132"/>
      <c r="B33" s="131" t="s">
        <v>97</v>
      </c>
      <c r="C33" s="135"/>
      <c r="D33" s="135">
        <v>5.233090926958698</v>
      </c>
      <c r="E33" s="135">
        <v>0.51126660636052423</v>
      </c>
      <c r="F33" s="135">
        <v>-0.96197609050102517</v>
      </c>
      <c r="G33" s="135">
        <v>26.471019960216548</v>
      </c>
      <c r="H33" s="135">
        <v>0.82556441923577673</v>
      </c>
      <c r="I33" s="135">
        <v>0.3779168435971525</v>
      </c>
      <c r="J33" s="135">
        <v>0.27634842874018339</v>
      </c>
      <c r="K33" s="135">
        <v>0.26262357368631539</v>
      </c>
      <c r="L33" s="134"/>
      <c r="N33" s="112"/>
    </row>
    <row r="34" spans="1:52" s="99" customFormat="1" ht="12" customHeight="1">
      <c r="A34" s="132"/>
      <c r="B34" s="131" t="s">
        <v>137</v>
      </c>
      <c r="C34" s="135"/>
      <c r="D34" s="135">
        <v>-1.6387170821909076</v>
      </c>
      <c r="E34" s="135">
        <v>1.9798564662296316</v>
      </c>
      <c r="F34" s="135">
        <v>-4.0609358888934377</v>
      </c>
      <c r="G34" s="135">
        <v>0.72443356978422746</v>
      </c>
      <c r="H34" s="1185" t="s">
        <v>619</v>
      </c>
      <c r="I34" s="135">
        <v>0.43289895820006596</v>
      </c>
      <c r="J34" s="135">
        <v>0.33993797944324888</v>
      </c>
      <c r="K34" s="135">
        <v>0.31767916798475615</v>
      </c>
      <c r="L34" s="134"/>
      <c r="N34" s="112"/>
    </row>
    <row r="35" spans="1:52" s="99" customFormat="1" ht="12" customHeight="1">
      <c r="A35" s="132"/>
      <c r="B35" s="131" t="s">
        <v>183</v>
      </c>
      <c r="C35" s="135" t="s">
        <v>803</v>
      </c>
      <c r="D35" s="135">
        <v>10.884121174539068</v>
      </c>
      <c r="E35" s="135">
        <v>0.60727382188588352</v>
      </c>
      <c r="F35" s="135" t="s">
        <v>619</v>
      </c>
      <c r="G35" s="135">
        <v>18.574836871301638</v>
      </c>
      <c r="H35" s="135">
        <v>0.66551161036971251</v>
      </c>
      <c r="I35" s="135">
        <v>0.21149625800772687</v>
      </c>
      <c r="J35" s="135">
        <v>0.21280428241783356</v>
      </c>
      <c r="K35" s="135">
        <v>0.20690465004479375</v>
      </c>
      <c r="L35" s="134"/>
      <c r="N35" s="112"/>
      <c r="O35" s="396"/>
    </row>
    <row r="36" spans="1:52" s="99" customFormat="1" ht="12" customHeight="1">
      <c r="A36" s="132"/>
      <c r="B36" s="123" t="s">
        <v>21</v>
      </c>
      <c r="C36" s="135" t="s">
        <v>803</v>
      </c>
      <c r="D36" s="135" t="s">
        <v>803</v>
      </c>
      <c r="E36" s="135">
        <v>0.14776381729298826</v>
      </c>
      <c r="F36" s="135">
        <v>-1.0411852387033176</v>
      </c>
      <c r="G36" s="1186" t="s">
        <v>619</v>
      </c>
      <c r="H36" s="135">
        <v>0.66165017961434214</v>
      </c>
      <c r="I36" s="135">
        <v>0.19496454064989366</v>
      </c>
      <c r="J36" s="135">
        <v>0.20735591573549139</v>
      </c>
      <c r="K36" s="135">
        <v>0.22383010273908188</v>
      </c>
      <c r="L36" s="134"/>
      <c r="N36" s="112"/>
    </row>
    <row r="37" spans="1:52" ht="12" customHeight="1">
      <c r="B37" s="120" t="s">
        <v>102</v>
      </c>
      <c r="C37" s="121" t="s">
        <v>212</v>
      </c>
      <c r="D37" s="121" t="s">
        <v>227</v>
      </c>
      <c r="E37" s="121" t="s">
        <v>336</v>
      </c>
      <c r="F37" s="121" t="s">
        <v>380</v>
      </c>
      <c r="G37" s="121" t="s">
        <v>404</v>
      </c>
      <c r="H37" s="121" t="s">
        <v>304</v>
      </c>
      <c r="I37" s="121" t="s">
        <v>352</v>
      </c>
      <c r="J37" s="121" t="s">
        <v>387</v>
      </c>
      <c r="K37" s="122" t="s">
        <v>388</v>
      </c>
      <c r="L37" s="122"/>
      <c r="M37" s="94"/>
      <c r="N37" s="136"/>
      <c r="O37" s="103"/>
      <c r="P37" s="102"/>
      <c r="Q37" s="102"/>
      <c r="R37" s="102"/>
      <c r="S37" s="102"/>
      <c r="T37" s="102"/>
      <c r="U37" s="102"/>
      <c r="AD37" s="102"/>
      <c r="AE37" s="102"/>
      <c r="AF37" s="103"/>
      <c r="AG37" s="102"/>
      <c r="AH37" s="102"/>
      <c r="AI37" s="102"/>
      <c r="AJ37" s="102"/>
      <c r="AK37" s="103"/>
      <c r="AL37" s="102"/>
      <c r="AM37" s="102"/>
      <c r="AN37" s="102"/>
      <c r="AO37" s="102"/>
      <c r="AP37" s="103"/>
      <c r="AQ37" s="102"/>
      <c r="AR37" s="102"/>
      <c r="AS37" s="102"/>
      <c r="AT37" s="102"/>
      <c r="AU37" s="103"/>
      <c r="AV37" s="102"/>
      <c r="AW37" s="102"/>
      <c r="AX37" s="102"/>
      <c r="AY37" s="102"/>
      <c r="AZ37" s="103"/>
    </row>
    <row r="38" spans="1:52" ht="12" customHeight="1">
      <c r="B38" s="123" t="s">
        <v>618</v>
      </c>
      <c r="C38" s="827" t="s">
        <v>619</v>
      </c>
      <c r="D38" s="827" t="s">
        <v>619</v>
      </c>
      <c r="E38" s="827"/>
      <c r="F38" s="827" t="s">
        <v>619</v>
      </c>
      <c r="G38" s="827" t="s">
        <v>619</v>
      </c>
      <c r="H38" s="827">
        <v>4.1995724421700692E-3</v>
      </c>
      <c r="I38" s="827">
        <v>8.9318540589362581E-3</v>
      </c>
      <c r="J38" s="827">
        <v>1.3037405959410027E-2</v>
      </c>
      <c r="K38" s="827">
        <v>1.6359229129057459E-2</v>
      </c>
      <c r="L38" s="134"/>
      <c r="M38" s="94"/>
      <c r="N38" s="136"/>
      <c r="O38" s="103"/>
      <c r="P38" s="102"/>
      <c r="Q38" s="102"/>
      <c r="R38" s="102"/>
      <c r="S38" s="102"/>
      <c r="T38" s="102"/>
      <c r="U38" s="102"/>
      <c r="AD38" s="102"/>
      <c r="AE38" s="102"/>
      <c r="AF38" s="103"/>
      <c r="AG38" s="102"/>
      <c r="AH38" s="102"/>
      <c r="AI38" s="102"/>
      <c r="AJ38" s="102"/>
      <c r="AK38" s="103"/>
      <c r="AL38" s="102"/>
      <c r="AM38" s="102"/>
      <c r="AN38" s="102"/>
      <c r="AO38" s="102"/>
      <c r="AP38" s="103"/>
      <c r="AQ38" s="102"/>
      <c r="AR38" s="102"/>
      <c r="AS38" s="102"/>
      <c r="AT38" s="102"/>
      <c r="AU38" s="103"/>
      <c r="AV38" s="102"/>
      <c r="AW38" s="102"/>
      <c r="AX38" s="102"/>
      <c r="AY38" s="102"/>
      <c r="AZ38" s="103"/>
    </row>
    <row r="39" spans="1:52" ht="12" customHeight="1">
      <c r="B39" s="94" t="s">
        <v>24</v>
      </c>
      <c r="C39" s="827">
        <v>6.5464363919544937</v>
      </c>
      <c r="D39" s="827">
        <v>3.8560387042185829</v>
      </c>
      <c r="E39" s="827"/>
      <c r="F39" s="827">
        <v>24.208639389135161</v>
      </c>
      <c r="G39" s="827">
        <v>19.681564515779037</v>
      </c>
      <c r="H39" s="827">
        <v>15.79262525530479</v>
      </c>
      <c r="I39" s="827">
        <v>12.775270697361146</v>
      </c>
      <c r="J39" s="827">
        <v>10.577883004464612</v>
      </c>
      <c r="K39" s="827">
        <v>8.8550872221550812</v>
      </c>
      <c r="L39" s="137"/>
      <c r="M39" s="102"/>
      <c r="N39" s="110"/>
      <c r="O39" s="103"/>
      <c r="P39" s="102"/>
      <c r="Q39" s="102"/>
      <c r="R39" s="102"/>
      <c r="S39" s="102"/>
      <c r="T39" s="102"/>
      <c r="U39" s="102"/>
      <c r="AD39" s="102"/>
      <c r="AE39" s="102"/>
      <c r="AF39" s="103"/>
      <c r="AG39" s="102"/>
      <c r="AH39" s="102"/>
      <c r="AI39" s="102"/>
      <c r="AJ39" s="102"/>
      <c r="AK39" s="103"/>
      <c r="AL39" s="102"/>
      <c r="AM39" s="102"/>
      <c r="AN39" s="102"/>
      <c r="AO39" s="102"/>
      <c r="AP39" s="103"/>
      <c r="AQ39" s="102"/>
      <c r="AR39" s="102"/>
      <c r="AS39" s="102"/>
      <c r="AT39" s="102"/>
      <c r="AU39" s="103"/>
      <c r="AV39" s="102"/>
      <c r="AW39" s="102"/>
      <c r="AX39" s="102"/>
      <c r="AY39" s="102"/>
      <c r="AZ39" s="103"/>
    </row>
    <row r="40" spans="1:52" ht="12" customHeight="1">
      <c r="B40" s="94" t="s">
        <v>196</v>
      </c>
      <c r="C40" s="827">
        <v>126.91213374935502</v>
      </c>
      <c r="D40" s="827">
        <v>22.262486780262943</v>
      </c>
      <c r="E40" s="827"/>
      <c r="F40" s="827" t="s">
        <v>619</v>
      </c>
      <c r="G40" s="827">
        <v>173.47296564469414</v>
      </c>
      <c r="H40" s="827">
        <v>94.733358710059832</v>
      </c>
      <c r="I40" s="827">
        <v>68.455875618788539</v>
      </c>
      <c r="J40" s="827">
        <v>53.15628752832361</v>
      </c>
      <c r="K40" s="827">
        <v>41.557257775815302</v>
      </c>
      <c r="L40" s="137"/>
      <c r="M40" s="102"/>
      <c r="N40" s="110"/>
      <c r="O40" s="103"/>
      <c r="P40" s="102"/>
      <c r="Q40" s="102"/>
      <c r="R40" s="102"/>
      <c r="S40" s="102"/>
      <c r="T40" s="102"/>
      <c r="U40" s="102"/>
      <c r="AD40" s="102"/>
      <c r="AE40" s="102"/>
      <c r="AF40" s="103"/>
      <c r="AG40" s="102"/>
      <c r="AH40" s="102"/>
      <c r="AI40" s="102"/>
      <c r="AJ40" s="102"/>
      <c r="AK40" s="103"/>
      <c r="AL40" s="102"/>
      <c r="AM40" s="102"/>
      <c r="AN40" s="102"/>
      <c r="AO40" s="102"/>
      <c r="AP40" s="103"/>
      <c r="AQ40" s="102"/>
      <c r="AR40" s="102"/>
      <c r="AS40" s="102"/>
      <c r="AT40" s="102"/>
      <c r="AU40" s="103"/>
      <c r="AV40" s="102"/>
      <c r="AW40" s="102"/>
      <c r="AX40" s="102"/>
      <c r="AY40" s="102"/>
      <c r="AZ40" s="103"/>
    </row>
    <row r="41" spans="1:52" ht="12" customHeight="1">
      <c r="B41" s="94" t="s">
        <v>133</v>
      </c>
      <c r="C41" s="827" t="s">
        <v>619</v>
      </c>
      <c r="D41" s="827">
        <v>125.30066309118941</v>
      </c>
      <c r="E41" s="827"/>
      <c r="F41" s="827" t="s">
        <v>619</v>
      </c>
      <c r="G41" s="827" t="s">
        <v>619</v>
      </c>
      <c r="H41" s="827">
        <v>134.12332390587642</v>
      </c>
      <c r="I41" s="827">
        <v>93.200779465886683</v>
      </c>
      <c r="J41" s="827">
        <v>68.936305976540439</v>
      </c>
      <c r="K41" s="827">
        <v>51.642167434580166</v>
      </c>
      <c r="L41" s="137"/>
      <c r="M41" s="102"/>
      <c r="O41" s="103"/>
      <c r="P41" s="102"/>
      <c r="Q41" s="102"/>
      <c r="R41" s="102"/>
      <c r="S41" s="102"/>
      <c r="T41" s="102"/>
      <c r="U41" s="102"/>
      <c r="AD41" s="102"/>
      <c r="AE41" s="102"/>
      <c r="AF41" s="103"/>
      <c r="AG41" s="102"/>
      <c r="AH41" s="102"/>
      <c r="AI41" s="102"/>
      <c r="AJ41" s="102"/>
      <c r="AK41" s="103"/>
      <c r="AL41" s="102"/>
      <c r="AM41" s="102"/>
      <c r="AN41" s="102"/>
      <c r="AO41" s="102"/>
      <c r="AP41" s="103"/>
      <c r="AQ41" s="102"/>
      <c r="AR41" s="102"/>
      <c r="AS41" s="102"/>
      <c r="AT41" s="102"/>
      <c r="AU41" s="103"/>
      <c r="AV41" s="102"/>
      <c r="AW41" s="102"/>
      <c r="AX41" s="102"/>
      <c r="AY41" s="102"/>
      <c r="AZ41" s="103"/>
    </row>
    <row r="42" spans="1:52" ht="12" customHeight="1">
      <c r="B42" s="94" t="s">
        <v>25</v>
      </c>
      <c r="C42" s="827" t="s">
        <v>619</v>
      </c>
      <c r="D42" s="827" t="s">
        <v>619</v>
      </c>
      <c r="E42" s="827"/>
      <c r="F42" s="827" t="s">
        <v>619</v>
      </c>
      <c r="G42" s="827" t="s">
        <v>619</v>
      </c>
      <c r="H42" s="827">
        <v>124.67463031832389</v>
      </c>
      <c r="I42" s="827">
        <v>99.857659470293896</v>
      </c>
      <c r="J42" s="827">
        <v>78.524598686801696</v>
      </c>
      <c r="K42" s="827">
        <v>62.055775364054256</v>
      </c>
      <c r="L42" s="137"/>
      <c r="M42" s="102"/>
      <c r="N42" s="110"/>
      <c r="O42" s="103"/>
      <c r="P42" s="102"/>
      <c r="Q42" s="102"/>
      <c r="R42" s="102"/>
      <c r="S42" s="102"/>
      <c r="T42" s="102"/>
      <c r="U42" s="102"/>
      <c r="AD42" s="102"/>
      <c r="AE42" s="102"/>
      <c r="AF42" s="103"/>
      <c r="AG42" s="102"/>
      <c r="AH42" s="102"/>
      <c r="AI42" s="102"/>
      <c r="AJ42" s="102"/>
      <c r="AK42" s="103"/>
      <c r="AL42" s="102"/>
      <c r="AM42" s="102"/>
      <c r="AN42" s="102"/>
      <c r="AO42" s="102"/>
      <c r="AP42" s="103"/>
      <c r="AQ42" s="102"/>
      <c r="AR42" s="102"/>
      <c r="AS42" s="102"/>
      <c r="AT42" s="102"/>
      <c r="AU42" s="103"/>
      <c r="AV42" s="102"/>
      <c r="AW42" s="102"/>
      <c r="AX42" s="102"/>
      <c r="AY42" s="102"/>
      <c r="AZ42" s="103"/>
    </row>
    <row r="43" spans="1:52" ht="12" customHeight="1" thickBot="1">
      <c r="B43" s="94" t="s">
        <v>720</v>
      </c>
      <c r="C43" s="827">
        <v>792.53212759815187</v>
      </c>
      <c r="D43" s="827" t="s">
        <v>619</v>
      </c>
      <c r="E43" s="827"/>
      <c r="F43" s="827" t="s">
        <v>619</v>
      </c>
      <c r="G43" s="1428">
        <v>6.489835013519068E-3</v>
      </c>
      <c r="H43" s="1428">
        <v>1.0783835515881406E-2</v>
      </c>
      <c r="I43" s="1428">
        <v>1.2886301053679231E-2</v>
      </c>
      <c r="J43" s="1428">
        <v>1.5558351809108115E-2</v>
      </c>
      <c r="K43" s="1428">
        <v>1.9040779292991566E-2</v>
      </c>
      <c r="L43" s="137"/>
      <c r="M43" s="102"/>
      <c r="N43" s="110"/>
      <c r="O43" s="103"/>
      <c r="P43" s="102"/>
      <c r="Q43" s="102"/>
      <c r="R43" s="102"/>
      <c r="S43" s="102"/>
      <c r="T43" s="102"/>
      <c r="U43" s="102"/>
      <c r="AD43" s="102"/>
      <c r="AE43" s="102"/>
      <c r="AF43" s="103"/>
      <c r="AG43" s="102"/>
      <c r="AH43" s="102"/>
      <c r="AI43" s="102"/>
      <c r="AJ43" s="102"/>
      <c r="AK43" s="103"/>
      <c r="AL43" s="102"/>
      <c r="AM43" s="102"/>
      <c r="AN43" s="102"/>
      <c r="AO43" s="102"/>
      <c r="AP43" s="103"/>
      <c r="AQ43" s="102"/>
      <c r="AR43" s="102"/>
      <c r="AS43" s="102"/>
      <c r="AT43" s="102"/>
      <c r="AU43" s="103"/>
      <c r="AV43" s="102"/>
      <c r="AW43" s="102"/>
      <c r="AX43" s="102"/>
      <c r="AY43" s="102"/>
      <c r="AZ43" s="103"/>
    </row>
    <row r="44" spans="1:52" ht="12" customHeight="1">
      <c r="B44" s="138" t="s">
        <v>719</v>
      </c>
      <c r="E44" s="140" t="s">
        <v>24</v>
      </c>
      <c r="F44" s="141" t="s">
        <v>196</v>
      </c>
      <c r="G44" s="142"/>
      <c r="H44" s="141" t="s">
        <v>95</v>
      </c>
      <c r="I44" s="142"/>
      <c r="J44" s="143" t="s">
        <v>96</v>
      </c>
      <c r="K44" s="142"/>
      <c r="L44" s="139"/>
      <c r="M44" s="144" t="s">
        <v>163</v>
      </c>
      <c r="N44" s="1264" t="s">
        <v>207</v>
      </c>
      <c r="O44" s="144" t="s">
        <v>164</v>
      </c>
      <c r="P44" s="145" t="s">
        <v>166</v>
      </c>
      <c r="Q44" s="145" t="s">
        <v>35</v>
      </c>
      <c r="R44" s="92"/>
    </row>
    <row r="45" spans="1:52" ht="12" customHeight="1">
      <c r="B45" s="146" t="s">
        <v>3</v>
      </c>
      <c r="E45" s="147">
        <v>10796.75648813499</v>
      </c>
      <c r="F45" s="148" t="s">
        <v>179</v>
      </c>
      <c r="G45" s="147">
        <v>2014.896245831641</v>
      </c>
      <c r="H45" s="1129"/>
      <c r="I45" s="1130"/>
      <c r="J45" s="149" t="s">
        <v>98</v>
      </c>
      <c r="K45" s="150"/>
      <c r="L45" s="139"/>
      <c r="M45" s="92"/>
      <c r="N45" s="1265"/>
      <c r="O45" s="829"/>
      <c r="P45" s="694"/>
      <c r="Q45" s="151"/>
      <c r="R45" s="151"/>
    </row>
    <row r="46" spans="1:52" ht="12" customHeight="1">
      <c r="B46" s="152" t="s">
        <v>99</v>
      </c>
      <c r="E46" s="1221">
        <v>14</v>
      </c>
      <c r="F46" s="153" t="s">
        <v>99</v>
      </c>
      <c r="G46" s="830">
        <v>70</v>
      </c>
      <c r="H46" s="148" t="s">
        <v>100</v>
      </c>
      <c r="I46" s="828">
        <v>35</v>
      </c>
      <c r="J46" s="155" t="s">
        <v>24</v>
      </c>
      <c r="K46" s="831">
        <v>13.717868584663679</v>
      </c>
      <c r="L46" s="139"/>
      <c r="M46" s="139"/>
      <c r="N46" s="156"/>
      <c r="O46" s="139"/>
      <c r="P46" s="139"/>
      <c r="Q46" s="139"/>
      <c r="R46" s="139"/>
    </row>
    <row r="47" spans="1:52" ht="12" customHeight="1">
      <c r="B47" s="146" t="s">
        <v>101</v>
      </c>
      <c r="E47" s="147">
        <v>151154.59083388984</v>
      </c>
      <c r="F47" s="148" t="s">
        <v>101</v>
      </c>
      <c r="G47" s="147">
        <v>141042.73720821488</v>
      </c>
      <c r="H47" s="154" t="s">
        <v>69</v>
      </c>
      <c r="I47" s="695">
        <v>0.10539573914637804</v>
      </c>
      <c r="J47" s="155" t="s">
        <v>196</v>
      </c>
      <c r="K47" s="831">
        <v>73.506755968826326</v>
      </c>
      <c r="L47" s="139"/>
      <c r="M47" s="696"/>
      <c r="N47" s="158"/>
      <c r="O47" s="139"/>
      <c r="P47" s="139"/>
      <c r="Q47" s="139"/>
      <c r="R47" s="139"/>
    </row>
    <row r="48" spans="1:52" ht="12" customHeight="1">
      <c r="B48" s="152" t="s">
        <v>19</v>
      </c>
      <c r="E48" s="159">
        <v>3114.6578224252471</v>
      </c>
      <c r="F48" s="153" t="s">
        <v>12</v>
      </c>
      <c r="G48" s="159">
        <v>3114.6578224252471</v>
      </c>
      <c r="H48" s="157" t="s">
        <v>610</v>
      </c>
      <c r="I48" s="1131">
        <v>166258.88289690271</v>
      </c>
      <c r="J48" s="155" t="s">
        <v>139</v>
      </c>
      <c r="K48" s="697">
        <v>3.0981443463313173E-2</v>
      </c>
      <c r="L48"/>
      <c r="M48" s="696"/>
      <c r="N48" s="158"/>
      <c r="O48" s="139"/>
      <c r="P48" s="139"/>
      <c r="Q48" s="139"/>
      <c r="R48" s="139"/>
    </row>
    <row r="49" spans="2:21" ht="12" customHeight="1">
      <c r="B49" s="146" t="s">
        <v>63</v>
      </c>
      <c r="E49" s="147">
        <v>154269.24865631509</v>
      </c>
      <c r="F49" s="148" t="s">
        <v>63</v>
      </c>
      <c r="G49" s="147">
        <v>144157.39503064012</v>
      </c>
      <c r="H49" s="160"/>
      <c r="I49" s="147"/>
      <c r="J49" s="125"/>
      <c r="K49" s="831"/>
      <c r="L49" s="139"/>
      <c r="M49" s="139"/>
      <c r="N49" s="158"/>
      <c r="O49" s="139"/>
      <c r="P49" s="139"/>
      <c r="Q49" s="139"/>
      <c r="R49" s="139"/>
    </row>
    <row r="50" spans="2:21" ht="3.95" customHeight="1" thickBot="1">
      <c r="B50" s="146"/>
      <c r="E50" s="161"/>
      <c r="F50" s="162"/>
      <c r="G50" s="147"/>
      <c r="H50" s="160"/>
      <c r="I50" s="147"/>
      <c r="J50" s="125"/>
      <c r="K50" s="161"/>
      <c r="L50" s="139"/>
      <c r="M50" s="139"/>
      <c r="N50" s="158"/>
      <c r="O50" s="139"/>
      <c r="P50" s="139"/>
      <c r="Q50" s="139"/>
      <c r="R50" s="139"/>
    </row>
    <row r="51" spans="2:21" ht="12" customHeight="1">
      <c r="B51" s="163" t="s">
        <v>64</v>
      </c>
      <c r="E51" s="1425">
        <v>117.73127135849282</v>
      </c>
      <c r="F51" s="164"/>
      <c r="G51" s="1425">
        <v>111.0399705888502</v>
      </c>
      <c r="H51" s="164"/>
      <c r="I51" s="1427">
        <v>117.44862776807143</v>
      </c>
      <c r="J51" s="165"/>
      <c r="K51" s="1423">
        <v>115.40662323847148</v>
      </c>
      <c r="L51" s="139"/>
      <c r="M51" s="139"/>
      <c r="N51" s="158"/>
      <c r="O51" s="139"/>
      <c r="P51" s="139"/>
      <c r="Q51" s="139"/>
      <c r="R51" s="139"/>
    </row>
    <row r="52" spans="2:21" ht="12" customHeight="1" thickBot="1">
      <c r="B52" s="1126" t="s">
        <v>14</v>
      </c>
      <c r="E52" s="1426">
        <v>9.3750198425239795E-2</v>
      </c>
      <c r="F52" s="1127"/>
      <c r="G52" s="1426">
        <v>3.1586497480956766E-2</v>
      </c>
      <c r="H52" s="1127"/>
      <c r="I52" s="1426">
        <v>9.1124375400143398E-2</v>
      </c>
      <c r="J52" s="1128"/>
      <c r="K52" s="1424">
        <v>7.2153690435446727E-2</v>
      </c>
      <c r="L52" s="139"/>
      <c r="M52" s="139"/>
      <c r="N52" s="158"/>
      <c r="O52" s="139"/>
      <c r="P52" s="139"/>
      <c r="Q52" s="139"/>
      <c r="R52" s="139"/>
    </row>
    <row r="53" spans="2:21">
      <c r="B53" s="94"/>
      <c r="E53" s="827"/>
      <c r="F53" s="827"/>
      <c r="G53" s="827"/>
      <c r="H53" s="827"/>
      <c r="I53" s="827"/>
      <c r="J53" s="827"/>
      <c r="K53" s="827"/>
      <c r="L53" s="832"/>
      <c r="M53" s="166"/>
      <c r="N53" s="166"/>
      <c r="O53" s="698"/>
      <c r="P53" s="699"/>
      <c r="Q53" s="699">
        <v>-1</v>
      </c>
      <c r="R53" s="700">
        <v>-1</v>
      </c>
    </row>
    <row r="54" spans="2:21" ht="12" customHeight="1">
      <c r="B54" s="104" t="s">
        <v>402</v>
      </c>
      <c r="E54" s="701">
        <v>0.31791684359715244</v>
      </c>
      <c r="F54" s="701">
        <v>0.34791684359715247</v>
      </c>
      <c r="G54" s="701">
        <v>0.3779168435971525</v>
      </c>
      <c r="H54" s="701">
        <v>0.40791684359715252</v>
      </c>
      <c r="I54" s="701">
        <v>0.43791684359715255</v>
      </c>
      <c r="J54" s="167" t="s">
        <v>403</v>
      </c>
      <c r="K54" s="167"/>
      <c r="L54" s="168"/>
      <c r="M54" s="690"/>
    </row>
    <row r="55" spans="2:21" ht="12" customHeight="1">
      <c r="B55" s="832">
        <v>83.506755968826326</v>
      </c>
      <c r="E55" s="169">
        <v>125.19206607673489</v>
      </c>
      <c r="F55" s="169">
        <v>127.98773034507386</v>
      </c>
      <c r="G55" s="169">
        <v>130.78339461341284</v>
      </c>
      <c r="H55" s="169">
        <v>133.57905888175179</v>
      </c>
      <c r="I55" s="169">
        <v>136.3747231500908</v>
      </c>
      <c r="J55" s="170" t="s">
        <v>394</v>
      </c>
      <c r="L55" s="171"/>
      <c r="M55" s="94"/>
    </row>
    <row r="56" spans="2:21" ht="12" customHeight="1" thickBot="1">
      <c r="B56" s="832">
        <v>78.506755968826326</v>
      </c>
      <c r="E56" s="169">
        <v>117.83846339405277</v>
      </c>
      <c r="F56" s="169">
        <v>120.46673615999747</v>
      </c>
      <c r="G56" s="169">
        <v>123.09500892594215</v>
      </c>
      <c r="H56" s="169">
        <v>125.72328169188684</v>
      </c>
      <c r="I56" s="169">
        <v>128.35155445783155</v>
      </c>
      <c r="J56" s="172" t="s">
        <v>94</v>
      </c>
      <c r="K56" s="833">
        <v>22.000715311531721</v>
      </c>
      <c r="L56" s="137"/>
      <c r="M56" s="94"/>
      <c r="O56" s="96"/>
    </row>
    <row r="57" spans="2:21" ht="12" customHeight="1" thickBot="1">
      <c r="B57" s="832">
        <v>73.506755968826326</v>
      </c>
      <c r="E57" s="169">
        <v>110.48486071137067</v>
      </c>
      <c r="F57" s="169">
        <v>112.94574197492109</v>
      </c>
      <c r="G57" s="173">
        <v>115.40662323847148</v>
      </c>
      <c r="H57" s="169">
        <v>117.86750450202189</v>
      </c>
      <c r="I57" s="169">
        <v>120.32838576557231</v>
      </c>
      <c r="J57" s="174" t="s">
        <v>77</v>
      </c>
      <c r="K57" s="834">
        <v>41.642878571173355</v>
      </c>
      <c r="L57" s="137"/>
      <c r="M57" s="690"/>
    </row>
    <row r="58" spans="2:21" ht="12" customHeight="1">
      <c r="B58" s="832">
        <v>68.506755968826326</v>
      </c>
      <c r="E58" s="169">
        <v>103.13125802868858</v>
      </c>
      <c r="F58" s="169">
        <v>105.4247477898447</v>
      </c>
      <c r="G58" s="169">
        <v>107.71823755100081</v>
      </c>
      <c r="H58" s="169">
        <v>110.01172731215694</v>
      </c>
      <c r="I58" s="169">
        <v>112.30521707331305</v>
      </c>
      <c r="J58" s="175" t="s">
        <v>76</v>
      </c>
      <c r="K58" s="835">
        <v>13.720782243784438</v>
      </c>
      <c r="L58" s="137"/>
      <c r="M58" s="690"/>
    </row>
    <row r="59" spans="2:21" ht="12" customHeight="1">
      <c r="B59" s="832">
        <v>63.506755968826326</v>
      </c>
      <c r="E59" s="169">
        <v>95.777655346006497</v>
      </c>
      <c r="F59" s="169">
        <v>97.903753604768312</v>
      </c>
      <c r="G59" s="169">
        <v>100.02985186353017</v>
      </c>
      <c r="H59" s="169">
        <v>102.15595012229198</v>
      </c>
      <c r="I59" s="169">
        <v>104.28204838105383</v>
      </c>
      <c r="J59" s="169"/>
      <c r="K59" s="169"/>
      <c r="L59" s="171"/>
      <c r="M59" s="1266"/>
    </row>
    <row r="60" spans="2:21" ht="3.95" customHeight="1">
      <c r="B60" s="176"/>
      <c r="C60" s="177"/>
      <c r="D60" s="177"/>
      <c r="E60" s="177"/>
      <c r="F60" s="177"/>
      <c r="G60" s="177"/>
      <c r="H60" s="177"/>
      <c r="I60" s="178"/>
      <c r="J60" s="178"/>
      <c r="M60" s="94"/>
      <c r="N60" s="1266"/>
    </row>
    <row r="61" spans="2:21" ht="12" customHeight="1">
      <c r="B61" s="104" t="s">
        <v>702</v>
      </c>
      <c r="C61" s="701"/>
      <c r="D61" s="701"/>
      <c r="E61" s="701"/>
      <c r="F61" s="701"/>
      <c r="G61" s="106"/>
      <c r="H61" s="106"/>
      <c r="I61" s="106"/>
      <c r="J61" s="106"/>
      <c r="K61" s="106"/>
      <c r="L61" s="137"/>
      <c r="M61" s="1266"/>
      <c r="N61" s="1267"/>
      <c r="O61" s="96"/>
      <c r="P61" s="96"/>
    </row>
    <row r="62" spans="2:21">
      <c r="B62" s="94"/>
      <c r="C62" s="179"/>
      <c r="D62" s="179"/>
      <c r="E62" s="179"/>
      <c r="F62" s="179"/>
      <c r="G62" s="179"/>
      <c r="H62" s="179"/>
      <c r="I62" s="180"/>
      <c r="J62" s="180"/>
      <c r="K62" s="180"/>
      <c r="M62" s="137"/>
      <c r="N62" s="110"/>
      <c r="O62" s="1268"/>
      <c r="P62" s="18"/>
      <c r="Q62" s="1268"/>
      <c r="R62" s="1268"/>
    </row>
    <row r="63" spans="2:21" ht="12" customHeight="1">
      <c r="B63" s="180"/>
      <c r="C63" s="177"/>
      <c r="D63" s="177"/>
      <c r="E63" s="177"/>
      <c r="F63" s="177"/>
      <c r="G63" s="177"/>
      <c r="H63" s="177"/>
      <c r="I63" s="176"/>
      <c r="J63" s="176"/>
      <c r="K63" s="16"/>
      <c r="L63" s="98"/>
      <c r="M63" s="137"/>
      <c r="N63" s="836"/>
      <c r="O63" s="1268"/>
      <c r="P63" s="827"/>
      <c r="Q63" s="1268"/>
      <c r="R63" s="827"/>
      <c r="U63" s="110"/>
    </row>
    <row r="64" spans="2:21" ht="12" customHeight="1">
      <c r="B64" s="180"/>
      <c r="C64" s="177"/>
      <c r="D64" s="177"/>
      <c r="E64" s="177"/>
      <c r="F64" s="177"/>
      <c r="G64" s="177"/>
      <c r="H64" s="177"/>
      <c r="I64" s="176"/>
      <c r="J64" s="176"/>
      <c r="K64" s="16"/>
      <c r="L64" s="98"/>
      <c r="M64" s="137"/>
      <c r="N64" s="836"/>
      <c r="O64" s="1268"/>
      <c r="P64" s="827"/>
      <c r="Q64" s="1268"/>
      <c r="R64" s="827"/>
    </row>
    <row r="65" spans="2:18" ht="12" customHeight="1">
      <c r="B65" s="180"/>
      <c r="C65" s="177"/>
      <c r="D65" s="177"/>
      <c r="E65" s="177"/>
      <c r="F65" s="177"/>
      <c r="G65" s="177"/>
      <c r="H65" s="177"/>
      <c r="I65" s="176"/>
      <c r="J65" s="176"/>
      <c r="K65" s="16"/>
      <c r="L65" s="98"/>
      <c r="M65" s="137"/>
      <c r="N65" s="836"/>
      <c r="O65" s="1268"/>
      <c r="P65" s="827"/>
      <c r="Q65" s="1268"/>
      <c r="R65" s="827"/>
    </row>
    <row r="66" spans="2:18" ht="12" customHeight="1">
      <c r="B66" s="180"/>
      <c r="C66" s="177"/>
      <c r="D66" s="177"/>
      <c r="E66" s="177"/>
      <c r="F66" s="177"/>
      <c r="G66" s="177"/>
      <c r="H66" s="177"/>
      <c r="I66" s="176"/>
      <c r="J66" s="176"/>
      <c r="K66" s="16"/>
      <c r="L66" s="98"/>
      <c r="M66" s="137"/>
      <c r="N66" s="836"/>
      <c r="O66" s="1268"/>
      <c r="P66" s="827"/>
      <c r="Q66" s="1268"/>
      <c r="R66" s="827"/>
    </row>
    <row r="67" spans="2:18" ht="12" customHeight="1">
      <c r="B67" s="180"/>
      <c r="C67" s="177"/>
      <c r="D67" s="177"/>
      <c r="E67" s="177"/>
      <c r="F67" s="177"/>
      <c r="G67" s="177"/>
      <c r="H67" s="177"/>
      <c r="I67" s="176"/>
      <c r="J67" s="176"/>
      <c r="K67" s="16"/>
      <c r="L67" s="98"/>
      <c r="M67" s="137"/>
      <c r="N67" s="836"/>
      <c r="O67" s="1268"/>
      <c r="P67" s="827"/>
      <c r="Q67" s="1268"/>
      <c r="R67" s="827"/>
    </row>
    <row r="68" spans="2:18" ht="12" customHeight="1">
      <c r="B68" s="180"/>
      <c r="C68" s="177"/>
      <c r="D68" s="177"/>
      <c r="E68" s="177"/>
      <c r="F68" s="177"/>
      <c r="G68" s="177"/>
      <c r="H68" s="177"/>
      <c r="I68" s="176"/>
      <c r="J68" s="176"/>
      <c r="K68" s="16"/>
      <c r="L68" s="98"/>
      <c r="M68" s="137"/>
      <c r="N68" s="836"/>
      <c r="O68" s="1268"/>
      <c r="P68" s="827"/>
      <c r="Q68" s="1268"/>
      <c r="R68" s="827"/>
    </row>
    <row r="69" spans="2:18" ht="12" customHeight="1">
      <c r="B69" s="1215"/>
      <c r="C69" s="1216"/>
      <c r="D69" s="1216"/>
      <c r="E69" s="1216"/>
      <c r="F69" s="1216"/>
      <c r="G69" s="1216"/>
      <c r="H69" s="1216"/>
      <c r="I69" s="1216"/>
      <c r="J69" s="1216"/>
      <c r="K69" s="1217"/>
      <c r="L69" s="98"/>
      <c r="M69" s="137"/>
      <c r="N69" s="836"/>
      <c r="O69" s="1268"/>
      <c r="P69" s="827"/>
      <c r="Q69" s="1268"/>
      <c r="R69" s="827"/>
    </row>
    <row r="70" spans="2:18" ht="12" customHeight="1">
      <c r="B70" s="180"/>
      <c r="C70" s="177"/>
      <c r="D70" s="177"/>
      <c r="E70" s="177"/>
      <c r="F70" s="177"/>
      <c r="G70" s="177"/>
      <c r="H70" s="177"/>
      <c r="I70" s="176"/>
      <c r="J70" s="176"/>
      <c r="K70" s="16"/>
      <c r="L70" s="98"/>
      <c r="M70" s="137"/>
      <c r="N70" s="836"/>
      <c r="O70" s="1268"/>
      <c r="P70" s="827"/>
      <c r="Q70" s="1268"/>
      <c r="R70" s="827"/>
    </row>
    <row r="71" spans="2:18" ht="12" customHeight="1">
      <c r="B71" s="180"/>
      <c r="C71" s="177"/>
      <c r="D71" s="177"/>
      <c r="E71" s="177"/>
      <c r="F71" s="177"/>
      <c r="G71" s="177"/>
      <c r="H71" s="177"/>
      <c r="I71" s="176"/>
      <c r="J71" s="176"/>
      <c r="K71" s="16"/>
      <c r="L71" s="98"/>
      <c r="M71" s="137"/>
      <c r="N71" s="836"/>
      <c r="O71" s="1268"/>
      <c r="P71" s="827"/>
      <c r="Q71" s="1268"/>
      <c r="R71" s="827"/>
    </row>
    <row r="72" spans="2:18" ht="12" customHeight="1">
      <c r="B72" s="180"/>
      <c r="C72" s="177"/>
      <c r="D72" s="177"/>
      <c r="E72" s="177"/>
      <c r="F72" s="177"/>
      <c r="G72" s="177"/>
      <c r="H72" s="177"/>
      <c r="I72" s="176"/>
      <c r="J72" s="176"/>
      <c r="K72" s="16"/>
      <c r="L72" s="98"/>
      <c r="M72" s="137"/>
      <c r="N72" s="836"/>
      <c r="O72" s="1268"/>
      <c r="P72" s="827"/>
      <c r="Q72" s="1268"/>
      <c r="R72" s="827"/>
    </row>
    <row r="73" spans="2:18" ht="12" customHeight="1">
      <c r="B73" s="180"/>
      <c r="C73" s="177"/>
      <c r="D73" s="177"/>
      <c r="E73" s="177"/>
      <c r="F73" s="177"/>
      <c r="G73" s="177"/>
      <c r="H73" s="177"/>
      <c r="I73" s="176"/>
      <c r="J73" s="176"/>
      <c r="K73" s="16"/>
      <c r="L73" s="98"/>
      <c r="M73" s="137"/>
      <c r="N73" s="836"/>
      <c r="O73" s="1268"/>
      <c r="P73" s="827"/>
      <c r="Q73" s="1268"/>
      <c r="R73" s="827"/>
    </row>
    <row r="74" spans="2:18" ht="12" customHeight="1">
      <c r="B74" s="180"/>
      <c r="C74" s="177"/>
      <c r="D74" s="177"/>
      <c r="E74" s="177"/>
      <c r="F74" s="177"/>
      <c r="G74" s="177"/>
      <c r="H74" s="177"/>
      <c r="I74" s="176"/>
      <c r="J74" s="176"/>
      <c r="K74" s="16"/>
      <c r="L74" s="98"/>
      <c r="M74" s="137"/>
      <c r="N74" s="836"/>
      <c r="O74" s="1268"/>
      <c r="P74" s="827"/>
      <c r="Q74" s="1268"/>
      <c r="R74" s="827"/>
    </row>
    <row r="75" spans="2:18" ht="12" customHeight="1">
      <c r="B75" s="180"/>
      <c r="C75" s="177"/>
      <c r="D75" s="177"/>
      <c r="E75" s="177"/>
      <c r="F75" s="177"/>
      <c r="G75" s="177"/>
      <c r="H75" s="177"/>
      <c r="I75" s="176"/>
      <c r="J75" s="176"/>
      <c r="K75" s="16"/>
      <c r="L75" s="98"/>
      <c r="M75" s="690"/>
      <c r="N75" s="836"/>
      <c r="P75" s="827"/>
      <c r="R75" s="827"/>
    </row>
    <row r="76" spans="2:18" ht="12" customHeight="1">
      <c r="B76" s="180"/>
      <c r="C76" s="177"/>
      <c r="D76" s="177"/>
      <c r="E76" s="177"/>
      <c r="F76" s="177"/>
      <c r="G76" s="177"/>
      <c r="H76" s="177"/>
      <c r="I76" s="176"/>
      <c r="J76" s="176"/>
      <c r="K76" s="16"/>
      <c r="L76" s="98"/>
      <c r="M76" s="690"/>
      <c r="N76" s="836"/>
      <c r="P76" s="827"/>
      <c r="R76" s="827"/>
    </row>
    <row r="77" spans="2:18" ht="12" customHeight="1">
      <c r="B77" s="180"/>
      <c r="C77" s="177"/>
      <c r="D77" s="177"/>
      <c r="E77" s="177"/>
      <c r="F77" s="177"/>
      <c r="G77" s="177"/>
      <c r="H77" s="177"/>
      <c r="I77" s="176"/>
      <c r="J77" s="176"/>
      <c r="K77" s="16"/>
      <c r="L77" s="98"/>
      <c r="M77" s="690"/>
      <c r="N77" s="836"/>
      <c r="P77" s="827"/>
      <c r="R77" s="827"/>
    </row>
    <row r="78" spans="2:18" ht="12" customHeight="1">
      <c r="B78" s="180"/>
      <c r="C78" s="177"/>
      <c r="D78" s="177"/>
      <c r="E78" s="177"/>
      <c r="F78" s="177"/>
      <c r="G78" s="177"/>
      <c r="H78" s="177"/>
      <c r="I78" s="176"/>
      <c r="J78" s="176"/>
      <c r="K78" s="16"/>
      <c r="L78" s="98"/>
      <c r="M78" s="690"/>
      <c r="N78" s="836"/>
      <c r="P78" s="827"/>
      <c r="R78" s="827"/>
    </row>
    <row r="79" spans="2:18" ht="12" customHeight="1">
      <c r="B79" s="180"/>
      <c r="C79" s="177"/>
      <c r="D79" s="177"/>
      <c r="E79" s="177"/>
      <c r="F79" s="177"/>
      <c r="G79" s="177"/>
      <c r="H79" s="177"/>
      <c r="I79" s="176"/>
      <c r="J79" s="176"/>
      <c r="K79" s="16"/>
      <c r="L79" s="98"/>
      <c r="M79" s="690"/>
      <c r="N79" s="836"/>
      <c r="P79" s="827"/>
      <c r="R79" s="827"/>
    </row>
    <row r="80" spans="2:18" ht="12" customHeight="1">
      <c r="B80" s="180"/>
      <c r="C80" s="177"/>
      <c r="D80" s="177"/>
      <c r="E80" s="177"/>
      <c r="F80" s="177"/>
      <c r="G80" s="177"/>
      <c r="H80" s="177"/>
      <c r="I80" s="176"/>
      <c r="J80" s="176"/>
      <c r="K80" s="16"/>
      <c r="L80" s="98"/>
      <c r="M80" s="690"/>
      <c r="N80" s="836"/>
      <c r="P80" s="827"/>
      <c r="R80" s="827"/>
    </row>
    <row r="81" spans="1:20" ht="12" customHeight="1">
      <c r="B81" s="180"/>
      <c r="C81" s="177"/>
      <c r="D81" s="177"/>
      <c r="E81" s="177"/>
      <c r="F81" s="177"/>
      <c r="G81" s="177"/>
      <c r="H81" s="177"/>
      <c r="I81" s="176"/>
      <c r="J81" s="176"/>
      <c r="K81" s="16"/>
      <c r="L81" s="98"/>
      <c r="M81" s="690"/>
      <c r="N81" s="836"/>
      <c r="P81" s="827"/>
      <c r="R81" s="827"/>
    </row>
    <row r="82" spans="1:20" ht="12" customHeight="1">
      <c r="L82" s="98"/>
      <c r="M82" s="690"/>
      <c r="N82" s="836"/>
      <c r="P82" s="827"/>
      <c r="R82" s="827"/>
    </row>
    <row r="83" spans="1:20" ht="12" customHeight="1">
      <c r="B83" s="180"/>
      <c r="C83" s="177"/>
      <c r="D83" s="177"/>
      <c r="E83" s="177"/>
      <c r="F83" s="177"/>
      <c r="G83" s="177"/>
      <c r="H83" s="177"/>
      <c r="I83" s="176"/>
      <c r="J83" s="176"/>
      <c r="K83" s="16"/>
      <c r="L83" s="98"/>
      <c r="M83" s="827"/>
      <c r="N83" s="836"/>
      <c r="O83" s="836"/>
      <c r="P83" s="827"/>
      <c r="Q83" s="827"/>
      <c r="R83" s="827"/>
    </row>
    <row r="84" spans="1:20" ht="12" customHeight="1">
      <c r="A84" s="182"/>
      <c r="B84" s="183" t="s">
        <v>395</v>
      </c>
      <c r="C84" s="837"/>
      <c r="D84" s="837"/>
      <c r="E84" s="837"/>
      <c r="F84" s="837"/>
      <c r="G84" s="184"/>
      <c r="H84" s="184"/>
      <c r="I84" s="184"/>
      <c r="J84" s="184"/>
      <c r="L84" s="98"/>
      <c r="M84" s="827"/>
      <c r="N84" s="836"/>
      <c r="O84" s="827"/>
      <c r="P84" s="827"/>
      <c r="Q84" s="827"/>
      <c r="R84" s="827"/>
    </row>
    <row r="85" spans="1:20" ht="30" customHeight="1">
      <c r="B85" s="94"/>
      <c r="C85" s="186" t="s">
        <v>399</v>
      </c>
      <c r="D85" s="186" t="s">
        <v>396</v>
      </c>
      <c r="E85" s="1405" t="s">
        <v>400</v>
      </c>
      <c r="F85" s="1406" t="s">
        <v>399</v>
      </c>
      <c r="G85" s="1406" t="s">
        <v>397</v>
      </c>
      <c r="H85" s="185" t="s">
        <v>401</v>
      </c>
      <c r="I85" s="186" t="s">
        <v>399</v>
      </c>
      <c r="J85" s="186" t="s">
        <v>794</v>
      </c>
      <c r="K85" s="186" t="s">
        <v>792</v>
      </c>
      <c r="L85" s="186" t="s">
        <v>398</v>
      </c>
      <c r="M85" s="186" t="s">
        <v>703</v>
      </c>
      <c r="N85" s="185" t="s">
        <v>706</v>
      </c>
      <c r="O85" s="186" t="s">
        <v>399</v>
      </c>
      <c r="P85" s="186" t="s">
        <v>396</v>
      </c>
      <c r="Q85" s="186" t="s">
        <v>703</v>
      </c>
      <c r="R85" s="186" t="s">
        <v>795</v>
      </c>
      <c r="S85" s="186" t="s">
        <v>793</v>
      </c>
    </row>
    <row r="86" spans="1:20" ht="12" customHeight="1">
      <c r="B86" s="187">
        <v>42741</v>
      </c>
      <c r="C86" s="827" t="e">
        <v>#REF!</v>
      </c>
      <c r="D86" s="838">
        <v>16.883540603650246</v>
      </c>
      <c r="E86" s="838" t="s">
        <v>619</v>
      </c>
      <c r="F86" s="827">
        <v>403.5099892873356</v>
      </c>
      <c r="G86" s="838">
        <v>32.113492753473146</v>
      </c>
      <c r="H86" s="838">
        <v>6.2716608862213787</v>
      </c>
      <c r="I86" s="827">
        <v>16.147668169398553</v>
      </c>
      <c r="J86" s="1572">
        <v>5.5495051448143347</v>
      </c>
      <c r="K86" s="827">
        <v>8.670924022399463</v>
      </c>
      <c r="L86" s="838">
        <v>4.8660453449736876</v>
      </c>
      <c r="M86" s="827">
        <v>6.5206059298673456</v>
      </c>
      <c r="N86" s="1524">
        <v>260.937979129761</v>
      </c>
      <c r="O86" s="827">
        <v>61.840666619098997</v>
      </c>
      <c r="P86" s="827">
        <v>16.883540603650246</v>
      </c>
      <c r="Q86" s="827">
        <v>21.944428303451904</v>
      </c>
      <c r="R86" s="827">
        <v>17.180468047059414</v>
      </c>
      <c r="S86" s="827">
        <v>20.262978811913154</v>
      </c>
    </row>
    <row r="87" spans="1:20" ht="12" customHeight="1">
      <c r="B87" s="187">
        <v>42748</v>
      </c>
      <c r="C87" s="827" t="e">
        <v>#REF!</v>
      </c>
      <c r="D87" s="838">
        <v>17.271245150530639</v>
      </c>
      <c r="E87" s="838" t="s">
        <v>619</v>
      </c>
      <c r="F87" s="827">
        <v>403.5099892873356</v>
      </c>
      <c r="G87" s="838">
        <v>32.871350861840355</v>
      </c>
      <c r="H87" s="838">
        <v>6.4099472059093081</v>
      </c>
      <c r="I87" s="827">
        <v>16.147668169398553</v>
      </c>
      <c r="J87" s="1572">
        <v>5.6111657887830813</v>
      </c>
      <c r="K87" s="827">
        <v>8.670924022399463</v>
      </c>
      <c r="L87" s="838">
        <v>4.9573668089740153</v>
      </c>
      <c r="M87" s="827">
        <v>6.5206059298673456</v>
      </c>
      <c r="N87" s="1524">
        <v>257.92435277405582</v>
      </c>
      <c r="O87" s="827">
        <v>61.840666619098997</v>
      </c>
      <c r="P87" s="827">
        <v>17.271245150530639</v>
      </c>
      <c r="Q87" s="827">
        <v>21.944428303451904</v>
      </c>
      <c r="R87" s="827">
        <v>17.544508922038705</v>
      </c>
      <c r="S87" s="827">
        <v>20.262978811913154</v>
      </c>
      <c r="T87" s="18"/>
    </row>
    <row r="88" spans="1:20" ht="12" customHeight="1">
      <c r="B88" s="187">
        <v>42755</v>
      </c>
      <c r="C88" s="827" t="e">
        <v>#REF!</v>
      </c>
      <c r="D88" s="838">
        <v>16.970075269114226</v>
      </c>
      <c r="E88" s="838" t="s">
        <v>619</v>
      </c>
      <c r="F88" s="827">
        <v>403.5099892873356</v>
      </c>
      <c r="G88" s="838">
        <v>32.645044558033035</v>
      </c>
      <c r="H88" s="838">
        <v>6.6624179790675297</v>
      </c>
      <c r="I88" s="827">
        <v>16.147668169398553</v>
      </c>
      <c r="J88" s="1572">
        <v>5.6831725820061276</v>
      </c>
      <c r="K88" s="827">
        <v>8.670924022399463</v>
      </c>
      <c r="L88" s="838">
        <v>4.9545266101461198</v>
      </c>
      <c r="M88" s="827">
        <v>6.5206059298673456</v>
      </c>
      <c r="N88" s="1524">
        <v>259.55514374357949</v>
      </c>
      <c r="O88" s="827">
        <v>61.840666619098997</v>
      </c>
      <c r="P88" s="827">
        <v>16.970075269114226</v>
      </c>
      <c r="Q88" s="827">
        <v>21.944428303451904</v>
      </c>
      <c r="R88" s="827">
        <v>17.835690785531426</v>
      </c>
      <c r="S88" s="827">
        <v>20.262978811913154</v>
      </c>
      <c r="T88" s="827"/>
    </row>
    <row r="89" spans="1:20" ht="12" customHeight="1">
      <c r="B89" s="187">
        <v>42762</v>
      </c>
      <c r="C89" s="827" t="e">
        <v>#REF!</v>
      </c>
      <c r="D89" s="838">
        <v>17.39696021165258</v>
      </c>
      <c r="E89" s="838" t="s">
        <v>619</v>
      </c>
      <c r="F89" s="827">
        <v>403.5099892873356</v>
      </c>
      <c r="G89" s="838">
        <v>33.691810755725569</v>
      </c>
      <c r="H89" s="838">
        <v>6.8330981047791912</v>
      </c>
      <c r="I89" s="827">
        <v>16.147668169398553</v>
      </c>
      <c r="J89" s="1572">
        <v>5.7954294452848458</v>
      </c>
      <c r="K89" s="827">
        <v>8.670924022399463</v>
      </c>
      <c r="L89" s="838">
        <v>5.0694265020108942</v>
      </c>
      <c r="M89" s="827">
        <v>6.5206059298673456</v>
      </c>
      <c r="N89" s="1524">
        <v>258.97335935424837</v>
      </c>
      <c r="O89" s="827">
        <v>61.840666619098997</v>
      </c>
      <c r="P89" s="827">
        <v>17.39696021165258</v>
      </c>
      <c r="Q89" s="827">
        <v>21.944428303451904</v>
      </c>
      <c r="R89" s="827">
        <v>18.179318180581497</v>
      </c>
      <c r="S89" s="827">
        <v>20.262978811913154</v>
      </c>
      <c r="T89" s="827"/>
    </row>
    <row r="90" spans="1:20" ht="12" customHeight="1">
      <c r="B90" s="187">
        <v>42769</v>
      </c>
      <c r="C90" s="827" t="e">
        <v>#REF!</v>
      </c>
      <c r="D90" s="838">
        <v>16.960054862404064</v>
      </c>
      <c r="E90" s="838" t="s">
        <v>619</v>
      </c>
      <c r="F90" s="827">
        <v>403.5099892873356</v>
      </c>
      <c r="G90" s="838">
        <v>34.706845133310189</v>
      </c>
      <c r="H90" s="838">
        <v>6.8756048191515529</v>
      </c>
      <c r="I90" s="827">
        <v>16.147668169398553</v>
      </c>
      <c r="J90" s="1572">
        <v>5.7839406396328332</v>
      </c>
      <c r="K90" s="827">
        <v>8.670924022399463</v>
      </c>
      <c r="L90" s="838">
        <v>4.957456600940529</v>
      </c>
      <c r="M90" s="827">
        <v>6.5206059298673456</v>
      </c>
      <c r="N90" s="1524">
        <v>253.66640221288742</v>
      </c>
      <c r="O90" s="827">
        <v>61.840666619098997</v>
      </c>
      <c r="P90" s="827">
        <v>16.960054862404064</v>
      </c>
      <c r="Q90" s="827">
        <v>21.944428303451904</v>
      </c>
      <c r="R90" s="827">
        <v>18.006032559187265</v>
      </c>
      <c r="S90" s="827">
        <v>20.262978811913154</v>
      </c>
      <c r="T90" s="827"/>
    </row>
    <row r="91" spans="1:20" ht="12" customHeight="1">
      <c r="B91" s="187">
        <v>42776</v>
      </c>
      <c r="C91" s="827" t="e">
        <v>#REF!</v>
      </c>
      <c r="D91" s="838">
        <v>17.341994188209785</v>
      </c>
      <c r="E91" s="838" t="s">
        <v>619</v>
      </c>
      <c r="F91" s="827">
        <v>403.5099892873356</v>
      </c>
      <c r="G91" s="838">
        <v>35.722535147558787</v>
      </c>
      <c r="H91" s="838">
        <v>7.2553197699963308</v>
      </c>
      <c r="I91" s="827">
        <v>16.147668169398553</v>
      </c>
      <c r="J91" s="1572">
        <v>5.873151452777817</v>
      </c>
      <c r="K91" s="827">
        <v>8.670924022399463</v>
      </c>
      <c r="L91" s="838">
        <v>5.0557867458033785</v>
      </c>
      <c r="M91" s="827">
        <v>6.5206059298673456</v>
      </c>
      <c r="N91" s="1524">
        <v>269.62134082910057</v>
      </c>
      <c r="O91" s="827">
        <v>61.840666619098997</v>
      </c>
      <c r="P91" s="827">
        <v>17.341994188209785</v>
      </c>
      <c r="Q91" s="827">
        <v>21.944428303451904</v>
      </c>
      <c r="R91" s="827">
        <v>18.204003218213028</v>
      </c>
      <c r="S91" s="827">
        <v>20.262978811913154</v>
      </c>
      <c r="T91" s="827"/>
    </row>
    <row r="92" spans="1:20" ht="12" customHeight="1">
      <c r="B92" s="187">
        <v>42783</v>
      </c>
      <c r="C92" s="827" t="e">
        <v>#REF!</v>
      </c>
      <c r="D92" s="838">
        <v>17.259151542958953</v>
      </c>
      <c r="E92" s="838" t="s">
        <v>619</v>
      </c>
      <c r="F92" s="827">
        <v>403.5099892873356</v>
      </c>
      <c r="G92" s="838">
        <v>36.283529268692853</v>
      </c>
      <c r="H92" s="838">
        <v>7.6130230244236898</v>
      </c>
      <c r="I92" s="827">
        <v>16.147668169398553</v>
      </c>
      <c r="J92" s="1572">
        <v>6.0301649067214438</v>
      </c>
      <c r="K92" s="827">
        <v>8.670924022399463</v>
      </c>
      <c r="L92" s="838">
        <v>5.100238213309491</v>
      </c>
      <c r="M92" s="827">
        <v>6.5206059298673456</v>
      </c>
      <c r="N92" s="1524">
        <v>630.04614955177021</v>
      </c>
      <c r="O92" s="827">
        <v>61.840666619098997</v>
      </c>
      <c r="P92" s="827">
        <v>17.259151542958953</v>
      </c>
      <c r="Q92" s="827">
        <v>21.944428303451904</v>
      </c>
      <c r="R92" s="827">
        <v>19.064496594980824</v>
      </c>
      <c r="S92" s="827">
        <v>20.262978811913154</v>
      </c>
      <c r="T92" s="827"/>
    </row>
    <row r="93" spans="1:20" ht="12" customHeight="1">
      <c r="B93" s="187">
        <v>42790</v>
      </c>
      <c r="C93" s="827" t="e">
        <v>#REF!</v>
      </c>
      <c r="D93" s="838">
        <v>17.402122554035198</v>
      </c>
      <c r="E93" s="838" t="s">
        <v>619</v>
      </c>
      <c r="F93" s="827">
        <v>403.5099892873356</v>
      </c>
      <c r="G93" s="838">
        <v>36.950413860578131</v>
      </c>
      <c r="H93" s="838">
        <v>7.5919971358587954</v>
      </c>
      <c r="I93" s="827">
        <v>16.147668169398553</v>
      </c>
      <c r="J93" s="1572">
        <v>6.0317462933415866</v>
      </c>
      <c r="K93" s="827">
        <v>8.670924022399463</v>
      </c>
      <c r="L93" s="838">
        <v>5.1305183818606519</v>
      </c>
      <c r="M93" s="827">
        <v>6.5206059298673456</v>
      </c>
      <c r="N93" s="1524">
        <v>586.2301765283853</v>
      </c>
      <c r="O93" s="827">
        <v>61.840666619098997</v>
      </c>
      <c r="P93" s="827">
        <v>17.402122554035198</v>
      </c>
      <c r="Q93" s="827">
        <v>21.944428303451904</v>
      </c>
      <c r="R93" s="827">
        <v>19.093890393775212</v>
      </c>
      <c r="S93" s="827">
        <v>20.262978811913154</v>
      </c>
      <c r="T93" s="827"/>
    </row>
    <row r="94" spans="1:20" ht="12" customHeight="1">
      <c r="B94" s="187">
        <v>42797</v>
      </c>
      <c r="C94" s="827" t="e">
        <v>#REF!</v>
      </c>
      <c r="D94" s="838">
        <v>17.452315542430689</v>
      </c>
      <c r="E94" s="838" t="s">
        <v>619</v>
      </c>
      <c r="F94" s="827">
        <v>403.5099892873356</v>
      </c>
      <c r="G94" s="838">
        <v>37.756065994219647</v>
      </c>
      <c r="H94" s="838">
        <v>7.3427156940333491</v>
      </c>
      <c r="I94" s="827">
        <v>16.147668169398553</v>
      </c>
      <c r="J94" s="1572">
        <v>5.9540027439423806</v>
      </c>
      <c r="K94" s="827">
        <v>8.670924022399463</v>
      </c>
      <c r="L94" s="838">
        <v>7.0047704758256648</v>
      </c>
      <c r="M94" s="827">
        <v>6.5206059298673456</v>
      </c>
      <c r="N94" s="1524">
        <v>578.86600873959276</v>
      </c>
      <c r="O94" s="827">
        <v>61.840666619098997</v>
      </c>
      <c r="P94" s="827">
        <v>17.452315542430689</v>
      </c>
      <c r="Q94" s="827">
        <v>21.944428303451904</v>
      </c>
      <c r="R94" s="827">
        <v>18.667202256627618</v>
      </c>
      <c r="S94" s="827">
        <v>20.262978811913154</v>
      </c>
      <c r="T94" s="827"/>
    </row>
    <row r="95" spans="1:20" ht="12" customHeight="1">
      <c r="B95" s="187">
        <v>42804</v>
      </c>
      <c r="C95" s="827" t="e">
        <v>#REF!</v>
      </c>
      <c r="D95" s="838">
        <v>17.513233057275702</v>
      </c>
      <c r="E95" s="838" t="s">
        <v>619</v>
      </c>
      <c r="F95" s="827">
        <v>403.5099892873356</v>
      </c>
      <c r="G95" s="838">
        <v>37.937878358428051</v>
      </c>
      <c r="H95" s="838">
        <v>7.7994450072161952</v>
      </c>
      <c r="I95" s="827">
        <v>16.147668169398553</v>
      </c>
      <c r="J95" s="1572">
        <v>6.088968162535715</v>
      </c>
      <c r="K95" s="827">
        <v>8.670924022399463</v>
      </c>
      <c r="L95" s="838">
        <v>6.6075678560916717</v>
      </c>
      <c r="M95" s="827">
        <v>6.5206059298673456</v>
      </c>
      <c r="N95" s="1524">
        <v>575.55305989554756</v>
      </c>
      <c r="O95" s="827">
        <v>61.840666619098997</v>
      </c>
      <c r="P95" s="827">
        <v>17.513233057275702</v>
      </c>
      <c r="Q95" s="827">
        <v>21.944428303451904</v>
      </c>
      <c r="R95" s="827">
        <v>19.18035944575065</v>
      </c>
      <c r="S95" s="827">
        <v>20.262978811913154</v>
      </c>
      <c r="T95" s="827"/>
    </row>
    <row r="96" spans="1:20" ht="12" customHeight="1">
      <c r="B96" s="187">
        <v>42811</v>
      </c>
      <c r="C96" s="827" t="e">
        <v>#REF!</v>
      </c>
      <c r="D96" s="838">
        <v>17.467583860687714</v>
      </c>
      <c r="E96" s="838" t="s">
        <v>619</v>
      </c>
      <c r="F96" s="827">
        <v>403.5099892873356</v>
      </c>
      <c r="G96" s="838">
        <v>37.016261213374506</v>
      </c>
      <c r="H96" s="838">
        <v>8.1009519394447906</v>
      </c>
      <c r="I96" s="827">
        <v>16.147668169398553</v>
      </c>
      <c r="J96" s="1572">
        <v>6.1991029289129305</v>
      </c>
      <c r="K96" s="827">
        <v>8.670924022399463</v>
      </c>
      <c r="L96" s="838">
        <v>6.3950224093417312</v>
      </c>
      <c r="M96" s="827">
        <v>6.5206059298673456</v>
      </c>
      <c r="N96" s="1524">
        <v>625.36267251265031</v>
      </c>
      <c r="O96" s="827">
        <v>61.840666619098997</v>
      </c>
      <c r="P96" s="827">
        <v>17.467583860687714</v>
      </c>
      <c r="Q96" s="827">
        <v>21.944428303451904</v>
      </c>
      <c r="R96" s="827">
        <v>19.509420040497407</v>
      </c>
      <c r="S96" s="827">
        <v>20.262978811913154</v>
      </c>
      <c r="T96" s="827"/>
    </row>
    <row r="97" spans="2:20" ht="12" customHeight="1">
      <c r="B97" s="187">
        <v>42818</v>
      </c>
      <c r="C97" s="827" t="e">
        <v>#REF!</v>
      </c>
      <c r="D97" s="838">
        <v>16.981872118743517</v>
      </c>
      <c r="E97" s="838" t="s">
        <v>619</v>
      </c>
      <c r="F97" s="827">
        <v>403.5099892873356</v>
      </c>
      <c r="G97" s="838">
        <v>35.784195123967116</v>
      </c>
      <c r="H97" s="838">
        <v>8.3046108543937507</v>
      </c>
      <c r="I97" s="827">
        <v>16.147668169398553</v>
      </c>
      <c r="J97" s="1572">
        <v>6.1484573063413199</v>
      </c>
      <c r="K97" s="827">
        <v>8.670924022399463</v>
      </c>
      <c r="L97" s="838">
        <v>6.5219656113656335</v>
      </c>
      <c r="M97" s="827">
        <v>6.5206059298673456</v>
      </c>
      <c r="N97" s="1524">
        <v>601.77716680682533</v>
      </c>
      <c r="O97" s="827">
        <v>61.840666619098997</v>
      </c>
      <c r="P97" s="827">
        <v>16.981872118743517</v>
      </c>
      <c r="Q97" s="827">
        <v>21.944428303451904</v>
      </c>
      <c r="R97" s="827">
        <v>19.123335050979403</v>
      </c>
      <c r="S97" s="827">
        <v>20.262978811913154</v>
      </c>
      <c r="T97" s="827"/>
    </row>
    <row r="98" spans="2:20" ht="12" customHeight="1">
      <c r="B98" s="187">
        <v>42825</v>
      </c>
      <c r="C98" s="827" t="e">
        <v>#REF!</v>
      </c>
      <c r="D98" s="838">
        <v>19.04002702256156</v>
      </c>
      <c r="E98" s="838" t="s">
        <v>619</v>
      </c>
      <c r="F98" s="827">
        <v>403.5099892873356</v>
      </c>
      <c r="G98" s="838">
        <v>36.488592642337849</v>
      </c>
      <c r="H98" s="838">
        <v>8.7816155704016694</v>
      </c>
      <c r="I98" s="827">
        <v>16.147668169398553</v>
      </c>
      <c r="J98" s="1572">
        <v>6.2854428115777266</v>
      </c>
      <c r="K98" s="827">
        <v>8.670924022399463</v>
      </c>
      <c r="L98" s="838">
        <v>6.3944821693721758</v>
      </c>
      <c r="M98" s="827">
        <v>6.5206059298673456</v>
      </c>
      <c r="N98" s="1524">
        <v>596.07713547413152</v>
      </c>
      <c r="O98" s="827">
        <v>61.840666619098997</v>
      </c>
      <c r="P98" s="827">
        <v>19.04002702256156</v>
      </c>
      <c r="Q98" s="827">
        <v>21.944428303451904</v>
      </c>
      <c r="R98" s="827">
        <v>19.888997285524916</v>
      </c>
      <c r="S98" s="827">
        <v>20.262978811913154</v>
      </c>
      <c r="T98" s="827"/>
    </row>
    <row r="99" spans="2:20" ht="12" customHeight="1">
      <c r="B99" s="187">
        <v>42832</v>
      </c>
      <c r="C99" s="827" t="e">
        <v>#REF!</v>
      </c>
      <c r="D99" s="838">
        <v>18.667810723961338</v>
      </c>
      <c r="E99" s="838" t="s">
        <v>619</v>
      </c>
      <c r="F99" s="827">
        <v>403.5099892873356</v>
      </c>
      <c r="G99" s="838">
        <v>36.302908162435081</v>
      </c>
      <c r="H99" s="838">
        <v>8.8094699326113144</v>
      </c>
      <c r="I99" s="827">
        <v>16.147668169398553</v>
      </c>
      <c r="J99" s="1572">
        <v>6.4576384730831764</v>
      </c>
      <c r="K99" s="827">
        <v>8.670924022399463</v>
      </c>
      <c r="L99" s="838">
        <v>6.220116818564227</v>
      </c>
      <c r="M99" s="827">
        <v>6.5206059298673456</v>
      </c>
      <c r="N99" s="1524">
        <v>566.48593949817121</v>
      </c>
      <c r="O99" s="827">
        <v>61.840666619098997</v>
      </c>
      <c r="P99" s="827">
        <v>18.667810723961338</v>
      </c>
      <c r="Q99" s="827">
        <v>21.944428303451904</v>
      </c>
      <c r="R99" s="827">
        <v>20.720239280340497</v>
      </c>
      <c r="S99" s="827">
        <v>20.262978811913154</v>
      </c>
      <c r="T99" s="827"/>
    </row>
    <row r="100" spans="2:20">
      <c r="B100" s="187">
        <v>42839</v>
      </c>
      <c r="C100" s="827" t="e">
        <v>#REF!</v>
      </c>
      <c r="D100" s="838">
        <v>18.456431749833008</v>
      </c>
      <c r="E100" s="838" t="s">
        <v>619</v>
      </c>
      <c r="F100" s="827">
        <v>403.5099892873356</v>
      </c>
      <c r="G100" s="838">
        <v>35.863112182606486</v>
      </c>
      <c r="H100" s="838">
        <v>9.0256043188564252</v>
      </c>
      <c r="I100" s="827">
        <v>16.147668169398553</v>
      </c>
      <c r="J100" s="1572">
        <v>6.3787282536739962</v>
      </c>
      <c r="K100" s="827">
        <v>8.670924022399463</v>
      </c>
      <c r="L100" s="838">
        <v>6.1571215241987867</v>
      </c>
      <c r="M100" s="827">
        <v>6.5206059298673456</v>
      </c>
      <c r="N100" s="1524">
        <v>450.51423953394334</v>
      </c>
      <c r="O100" s="827">
        <v>61.840666619098997</v>
      </c>
      <c r="P100" s="827">
        <v>18.456431749833008</v>
      </c>
      <c r="Q100" s="827">
        <v>21.944428303451904</v>
      </c>
      <c r="R100" s="827">
        <v>20.388494822887935</v>
      </c>
      <c r="S100" s="827">
        <v>20.262978811913154</v>
      </c>
      <c r="T100" s="827"/>
    </row>
    <row r="101" spans="2:20">
      <c r="B101" s="187">
        <v>42846</v>
      </c>
      <c r="C101" s="827" t="e">
        <v>#REF!</v>
      </c>
      <c r="D101" s="838">
        <v>18.672817405395151</v>
      </c>
      <c r="E101" s="838" t="s">
        <v>619</v>
      </c>
      <c r="F101" s="827">
        <v>403.5099892873356</v>
      </c>
      <c r="G101" s="838">
        <v>35.834868636606267</v>
      </c>
      <c r="H101" s="838">
        <v>9.7316181890105806</v>
      </c>
      <c r="I101" s="827">
        <v>16.147668169398553</v>
      </c>
      <c r="J101" s="1572">
        <v>6.3408527758454643</v>
      </c>
      <c r="K101" s="827">
        <v>8.670924022399463</v>
      </c>
      <c r="L101" s="838">
        <v>6.2823945832220316</v>
      </c>
      <c r="M101" s="827">
        <v>6.5206059298673456</v>
      </c>
      <c r="N101" s="1524">
        <v>507.4972962684073</v>
      </c>
      <c r="O101" s="827">
        <v>61.840666619098997</v>
      </c>
      <c r="P101" s="827">
        <v>18.672817405395151</v>
      </c>
      <c r="Q101" s="827">
        <v>21.944428303451904</v>
      </c>
      <c r="R101" s="827">
        <v>20.012713275353747</v>
      </c>
      <c r="S101" s="827">
        <v>20.262978811913154</v>
      </c>
      <c r="T101" s="827"/>
    </row>
    <row r="102" spans="2:20">
      <c r="B102" s="187">
        <v>42853</v>
      </c>
      <c r="C102" s="827" t="e">
        <v>#REF!</v>
      </c>
      <c r="D102" s="838">
        <v>19.454318952989258</v>
      </c>
      <c r="E102" s="838" t="s">
        <v>619</v>
      </c>
      <c r="F102" s="827">
        <v>403.5099892873356</v>
      </c>
      <c r="G102" s="838">
        <v>37.509264270822037</v>
      </c>
      <c r="H102" s="838">
        <v>9.5669284548041382</v>
      </c>
      <c r="I102" s="827">
        <v>16.147668169398553</v>
      </c>
      <c r="J102" s="1572">
        <v>6.6348193089163416</v>
      </c>
      <c r="K102" s="827">
        <v>8.670924022399463</v>
      </c>
      <c r="L102" s="838">
        <v>6.5639204586742599</v>
      </c>
      <c r="M102" s="827">
        <v>6.5206059298673456</v>
      </c>
      <c r="N102" s="1524">
        <v>476.55418080376859</v>
      </c>
      <c r="O102" s="827">
        <v>61.840666619098997</v>
      </c>
      <c r="P102" s="827">
        <v>19.454318952989258</v>
      </c>
      <c r="Q102" s="827">
        <v>21.944428303451904</v>
      </c>
      <c r="R102" s="827">
        <v>21.366946037970113</v>
      </c>
      <c r="S102" s="827">
        <v>20.262978811913154</v>
      </c>
      <c r="T102" s="827"/>
    </row>
    <row r="103" spans="2:20">
      <c r="B103" s="187">
        <v>42860</v>
      </c>
      <c r="C103" s="827" t="e">
        <v>#REF!</v>
      </c>
      <c r="D103" s="838">
        <v>19.906584236126481</v>
      </c>
      <c r="E103" s="838" t="s">
        <v>619</v>
      </c>
      <c r="F103" s="827">
        <v>403.5099892873356</v>
      </c>
      <c r="G103" s="838">
        <v>38.89440951340724</v>
      </c>
      <c r="H103" s="838">
        <v>10.23506011254565</v>
      </c>
      <c r="I103" s="827">
        <v>16.147668169398553</v>
      </c>
      <c r="J103" s="1572">
        <v>6.4750091907475138</v>
      </c>
      <c r="K103" s="827">
        <v>8.670924022399463</v>
      </c>
      <c r="L103" s="838">
        <v>6.7723181239908197</v>
      </c>
      <c r="M103" s="827">
        <v>6.5206059298673456</v>
      </c>
      <c r="N103" s="1524">
        <v>386.26896263243674</v>
      </c>
      <c r="O103" s="827">
        <v>61.840666619098997</v>
      </c>
      <c r="P103" s="827">
        <v>19.906584236126481</v>
      </c>
      <c r="Q103" s="827">
        <v>21.944428303451904</v>
      </c>
      <c r="R103" s="827">
        <v>20.433103831533689</v>
      </c>
      <c r="S103" s="827">
        <v>20.262978811913154</v>
      </c>
      <c r="T103" s="827"/>
    </row>
    <row r="104" spans="2:20">
      <c r="B104" s="187">
        <v>42867</v>
      </c>
      <c r="C104" s="827" t="e">
        <v>#REF!</v>
      </c>
      <c r="D104" s="838">
        <v>20.55067025968183</v>
      </c>
      <c r="E104" s="838" t="s">
        <v>619</v>
      </c>
      <c r="F104" s="827">
        <v>403.5099892873356</v>
      </c>
      <c r="G104" s="838">
        <v>39.677976858955603</v>
      </c>
      <c r="H104" s="838">
        <v>11.174965458530428</v>
      </c>
      <c r="I104" s="827">
        <v>16.147668169398553</v>
      </c>
      <c r="J104" s="1572">
        <v>6.5611077365165018</v>
      </c>
      <c r="K104" s="827">
        <v>8.670924022399463</v>
      </c>
      <c r="L104" s="838">
        <v>6.7031109633614419</v>
      </c>
      <c r="M104" s="827">
        <v>6.5206059298673456</v>
      </c>
      <c r="N104" s="1524">
        <v>408.5718333368165</v>
      </c>
      <c r="O104" s="827">
        <v>61.840666619098997</v>
      </c>
      <c r="P104" s="827">
        <v>20.55067025968183</v>
      </c>
      <c r="Q104" s="827">
        <v>21.944428303451904</v>
      </c>
      <c r="R104" s="827">
        <v>20.726288762509824</v>
      </c>
      <c r="S104" s="827">
        <v>20.262978811913154</v>
      </c>
      <c r="T104" s="827"/>
    </row>
    <row r="105" spans="2:20">
      <c r="B105" s="187">
        <v>42874</v>
      </c>
      <c r="C105" s="827" t="e">
        <v>#REF!</v>
      </c>
      <c r="D105" s="838">
        <v>20.090419187780725</v>
      </c>
      <c r="E105" s="838" t="s">
        <v>619</v>
      </c>
      <c r="F105" s="827">
        <v>403.5099892873356</v>
      </c>
      <c r="G105" s="838">
        <v>39.332190806841467</v>
      </c>
      <c r="H105" s="838">
        <v>10.508015250882078</v>
      </c>
      <c r="I105" s="827">
        <v>16.147668169398553</v>
      </c>
      <c r="J105" s="1572">
        <v>6.4348606483520827</v>
      </c>
      <c r="K105" s="827">
        <v>8.670924022399463</v>
      </c>
      <c r="L105" s="838">
        <v>6.5968018192337947</v>
      </c>
      <c r="M105" s="827">
        <v>6.5206059298673456</v>
      </c>
      <c r="N105" s="1524">
        <v>373.51057009603619</v>
      </c>
      <c r="O105" s="827">
        <v>61.840666619098997</v>
      </c>
      <c r="P105" s="827">
        <v>20.090419187780725</v>
      </c>
      <c r="Q105" s="827">
        <v>21.944428303451904</v>
      </c>
      <c r="R105" s="827">
        <v>20.059035039976997</v>
      </c>
      <c r="S105" s="827">
        <v>20.262978811913154</v>
      </c>
      <c r="T105" s="827"/>
    </row>
    <row r="106" spans="2:20">
      <c r="B106" s="187">
        <v>42881</v>
      </c>
      <c r="C106" s="827" t="e">
        <v>#REF!</v>
      </c>
      <c r="D106" s="838">
        <v>20.673885473615609</v>
      </c>
      <c r="E106" s="838" t="s">
        <v>619</v>
      </c>
      <c r="F106" s="827">
        <v>403.5099892873356</v>
      </c>
      <c r="G106" s="838">
        <v>40.447892518134232</v>
      </c>
      <c r="H106" s="838">
        <v>10.673563810011037</v>
      </c>
      <c r="I106" s="827">
        <v>16.147668169398553</v>
      </c>
      <c r="J106" s="1572">
        <v>6.6294139103024063</v>
      </c>
      <c r="K106" s="827">
        <v>8.670924022399463</v>
      </c>
      <c r="L106" s="838">
        <v>6.8299667720481807</v>
      </c>
      <c r="M106" s="827">
        <v>6.5206059298673456</v>
      </c>
      <c r="N106" s="1524">
        <v>371.8577895988733</v>
      </c>
      <c r="O106" s="827">
        <v>61.840666619098997</v>
      </c>
      <c r="P106" s="827">
        <v>20.673885473615609</v>
      </c>
      <c r="Q106" s="827">
        <v>21.944428303451904</v>
      </c>
      <c r="R106" s="827">
        <v>20.534741765279676</v>
      </c>
      <c r="S106" s="827">
        <v>20.262978811913154</v>
      </c>
      <c r="T106" s="827"/>
    </row>
    <row r="107" spans="2:20">
      <c r="B107" s="187">
        <v>42888</v>
      </c>
      <c r="C107" s="827" t="e">
        <v>#REF!</v>
      </c>
      <c r="D107" s="838">
        <v>21.073908034023813</v>
      </c>
      <c r="E107" s="838" t="s">
        <v>619</v>
      </c>
      <c r="F107" s="827">
        <v>403.5099892873356</v>
      </c>
      <c r="G107" s="838">
        <v>41.139816973460938</v>
      </c>
      <c r="H107" s="838">
        <v>11.437009007776723</v>
      </c>
      <c r="I107" s="827">
        <v>16.147668169398553</v>
      </c>
      <c r="J107" s="1572">
        <v>6.6601418791706237</v>
      </c>
      <c r="K107" s="827">
        <v>8.670924022399463</v>
      </c>
      <c r="L107" s="838">
        <v>6.9906903306839459</v>
      </c>
      <c r="M107" s="827">
        <v>6.5206059298673456</v>
      </c>
      <c r="N107" s="1524">
        <v>386.98399543801236</v>
      </c>
      <c r="O107" s="827">
        <v>61.840666619098997</v>
      </c>
      <c r="P107" s="827">
        <v>21.073908034023813</v>
      </c>
      <c r="Q107" s="827">
        <v>21.944428303451904</v>
      </c>
      <c r="R107" s="827">
        <v>20.392690514246478</v>
      </c>
      <c r="S107" s="827">
        <v>20.262978811913154</v>
      </c>
      <c r="T107" s="827"/>
    </row>
    <row r="108" spans="2:20">
      <c r="B108" s="187">
        <v>42895</v>
      </c>
      <c r="C108" s="827" t="e">
        <v>#REF!</v>
      </c>
      <c r="D108" s="838">
        <v>20.037548903396782</v>
      </c>
      <c r="E108" s="838" t="s">
        <v>619</v>
      </c>
      <c r="F108" s="827">
        <v>403.5099892873356</v>
      </c>
      <c r="G108" s="838">
        <v>39.369231778460701</v>
      </c>
      <c r="H108" s="838">
        <v>10.627751198331509</v>
      </c>
      <c r="I108" s="827">
        <v>16.147668169398553</v>
      </c>
      <c r="J108" s="1572">
        <v>6.4714580634054526</v>
      </c>
      <c r="K108" s="827">
        <v>8.670924022399463</v>
      </c>
      <c r="L108" s="838">
        <v>6.5274923719124054</v>
      </c>
      <c r="M108" s="827">
        <v>6.5206059298673456</v>
      </c>
      <c r="N108" s="1524">
        <v>331.08188574469079</v>
      </c>
      <c r="O108" s="827">
        <v>61.840666619098997</v>
      </c>
      <c r="P108" s="827">
        <v>20.037548903396782</v>
      </c>
      <c r="Q108" s="827">
        <v>21.944428303451904</v>
      </c>
      <c r="R108" s="827">
        <v>19.670748475042608</v>
      </c>
      <c r="S108" s="827">
        <v>20.262978811913154</v>
      </c>
      <c r="T108" s="827"/>
    </row>
    <row r="109" spans="2:20">
      <c r="B109" s="187">
        <v>42902</v>
      </c>
      <c r="C109" s="827" t="e">
        <v>#REF!</v>
      </c>
      <c r="D109" s="838">
        <v>19.519931409233589</v>
      </c>
      <c r="E109" s="838" t="s">
        <v>619</v>
      </c>
      <c r="F109" s="827">
        <v>403.5099892873356</v>
      </c>
      <c r="G109" s="838">
        <v>38.931353011878045</v>
      </c>
      <c r="H109" s="838">
        <v>10.001901713614444</v>
      </c>
      <c r="I109" s="827">
        <v>16.147668169398553</v>
      </c>
      <c r="J109" s="1572">
        <v>6.3506796055142019</v>
      </c>
      <c r="K109" s="827">
        <v>8.670924022399463</v>
      </c>
      <c r="L109" s="838">
        <v>6.3718736066794284</v>
      </c>
      <c r="M109" s="827">
        <v>6.5206059298673456</v>
      </c>
      <c r="N109" s="1524">
        <v>303.52662862021543</v>
      </c>
      <c r="O109" s="827">
        <v>61.840666619098997</v>
      </c>
      <c r="P109" s="827">
        <v>19.519931409233589</v>
      </c>
      <c r="Q109" s="827">
        <v>21.944428303451904</v>
      </c>
      <c r="R109" s="827">
        <v>19.084131029478648</v>
      </c>
      <c r="S109" s="827">
        <v>20.262978811913154</v>
      </c>
      <c r="T109" s="827"/>
    </row>
    <row r="110" spans="2:20">
      <c r="B110" s="187">
        <v>42909</v>
      </c>
      <c r="C110" s="827" t="e">
        <v>#REF!</v>
      </c>
      <c r="D110" s="838">
        <v>20.209746935019304</v>
      </c>
      <c r="E110" s="838" t="s">
        <v>619</v>
      </c>
      <c r="F110" s="827">
        <v>403.5099892873356</v>
      </c>
      <c r="G110" s="838">
        <v>40.077803303564451</v>
      </c>
      <c r="H110" s="838">
        <v>10.830688274888516</v>
      </c>
      <c r="I110" s="827">
        <v>16.147668169398553</v>
      </c>
      <c r="J110" s="1572">
        <v>6.6334624739036672</v>
      </c>
      <c r="K110" s="827">
        <v>8.670924022399463</v>
      </c>
      <c r="L110" s="838">
        <v>6.6692923389751693</v>
      </c>
      <c r="M110" s="827">
        <v>6.5206059298673456</v>
      </c>
      <c r="N110" s="1524">
        <v>332.1706926349882</v>
      </c>
      <c r="O110" s="827">
        <v>61.840666619098997</v>
      </c>
      <c r="P110" s="827">
        <v>20.209746935019304</v>
      </c>
      <c r="Q110" s="827">
        <v>21.944428303451904</v>
      </c>
      <c r="R110" s="827">
        <v>19.969870147775961</v>
      </c>
      <c r="S110" s="827">
        <v>20.262978811913154</v>
      </c>
      <c r="T110" s="827"/>
    </row>
    <row r="111" spans="2:20">
      <c r="B111" s="187">
        <v>42916</v>
      </c>
      <c r="C111" s="827" t="e">
        <v>#REF!</v>
      </c>
      <c r="D111" s="838">
        <v>19.224699601633777</v>
      </c>
      <c r="E111" s="838" t="s">
        <v>619</v>
      </c>
      <c r="F111" s="827">
        <v>403.5099892873356</v>
      </c>
      <c r="G111" s="838">
        <v>38.254603146372851</v>
      </c>
      <c r="H111" s="838">
        <v>9.6101238642409896</v>
      </c>
      <c r="I111" s="827">
        <v>16.147668169398553</v>
      </c>
      <c r="J111" s="1572">
        <v>6.8222096732870856</v>
      </c>
      <c r="K111" s="827">
        <v>8.670924022399463</v>
      </c>
      <c r="L111" s="838">
        <v>6.6894989920811527</v>
      </c>
      <c r="M111" s="827">
        <v>6.5206059298673456</v>
      </c>
      <c r="N111" s="1524">
        <v>286.78380482133747</v>
      </c>
      <c r="O111" s="827">
        <v>61.840666619098997</v>
      </c>
      <c r="P111" s="827">
        <v>19.224699601633777</v>
      </c>
      <c r="Q111" s="827">
        <v>21.944428303451904</v>
      </c>
      <c r="R111" s="827">
        <v>20.826479280578958</v>
      </c>
      <c r="S111" s="827">
        <v>20.262978811913154</v>
      </c>
      <c r="T111" s="827"/>
    </row>
    <row r="112" spans="2:20">
      <c r="B112" s="187">
        <v>42923</v>
      </c>
      <c r="C112" s="827" t="e">
        <v>#REF!</v>
      </c>
      <c r="D112" s="838">
        <v>19.211776163706848</v>
      </c>
      <c r="E112" s="838" t="s">
        <v>619</v>
      </c>
      <c r="F112" s="827">
        <v>403.5099892873356</v>
      </c>
      <c r="G112" s="838">
        <v>46.017018000011554</v>
      </c>
      <c r="H112" s="838">
        <v>9.8043235739460606</v>
      </c>
      <c r="I112" s="827">
        <v>16.147668169398553</v>
      </c>
      <c r="J112" s="1572">
        <v>6.8661008809057638</v>
      </c>
      <c r="K112" s="827">
        <v>8.670924022399463</v>
      </c>
      <c r="L112" s="838">
        <v>6.6224482047333737</v>
      </c>
      <c r="M112" s="827">
        <v>6.5206059298673456</v>
      </c>
      <c r="N112" s="1524">
        <v>286.82286799993517</v>
      </c>
      <c r="O112" s="827">
        <v>61.840666619098997</v>
      </c>
      <c r="P112" s="827">
        <v>19.211776163706848</v>
      </c>
      <c r="Q112" s="827">
        <v>21.944428303451904</v>
      </c>
      <c r="R112" s="827">
        <v>20.903803576767633</v>
      </c>
      <c r="S112" s="827">
        <v>20.262978811913154</v>
      </c>
      <c r="T112" s="827"/>
    </row>
    <row r="113" spans="2:20">
      <c r="B113" s="187">
        <v>42930</v>
      </c>
      <c r="C113" s="827" t="e">
        <v>#REF!</v>
      </c>
      <c r="D113" s="838">
        <v>19.972286530319309</v>
      </c>
      <c r="E113" s="838" t="s">
        <v>619</v>
      </c>
      <c r="F113" s="827">
        <v>403.5099892873356</v>
      </c>
      <c r="G113" s="838">
        <v>47.656759296801603</v>
      </c>
      <c r="H113" s="838">
        <v>10.169455315373199</v>
      </c>
      <c r="I113" s="827">
        <v>16.147668169398553</v>
      </c>
      <c r="J113" s="1572">
        <v>7.0419706263946296</v>
      </c>
      <c r="K113" s="827">
        <v>8.670924022399463</v>
      </c>
      <c r="L113" s="838">
        <v>6.6822468139350555</v>
      </c>
      <c r="M113" s="827">
        <v>6.5206059298673456</v>
      </c>
      <c r="N113" s="1524">
        <v>289.85433883487411</v>
      </c>
      <c r="O113" s="827">
        <v>61.840666619098997</v>
      </c>
      <c r="P113" s="827">
        <v>19.972286530319309</v>
      </c>
      <c r="Q113" s="827">
        <v>21.944428303451904</v>
      </c>
      <c r="R113" s="827">
        <v>21.413217606092541</v>
      </c>
      <c r="S113" s="827">
        <v>20.262978811913154</v>
      </c>
      <c r="T113" s="827"/>
    </row>
    <row r="114" spans="2:20">
      <c r="B114" s="187">
        <v>42937</v>
      </c>
      <c r="C114" s="827" t="e">
        <v>#REF!</v>
      </c>
      <c r="D114" s="838">
        <v>21.032583209782985</v>
      </c>
      <c r="E114" s="838" t="s">
        <v>619</v>
      </c>
      <c r="F114" s="827">
        <v>403.5099892873356</v>
      </c>
      <c r="G114" s="838">
        <v>49.410304435734908</v>
      </c>
      <c r="H114" s="838">
        <v>9.7385450132870197</v>
      </c>
      <c r="I114" s="827">
        <v>16.147668169398553</v>
      </c>
      <c r="J114" s="1572">
        <v>7.1007550200148586</v>
      </c>
      <c r="K114" s="827">
        <v>8.670924022399463</v>
      </c>
      <c r="L114" s="838">
        <v>6.6606589188141161</v>
      </c>
      <c r="M114" s="827">
        <v>6.5206059298673456</v>
      </c>
      <c r="N114" s="1524">
        <v>272.67678309706992</v>
      </c>
      <c r="O114" s="827">
        <v>61.840666619098997</v>
      </c>
      <c r="P114" s="827">
        <v>21.032583209782985</v>
      </c>
      <c r="Q114" s="827">
        <v>21.944428303451904</v>
      </c>
      <c r="R114" s="827">
        <v>21.438290294787883</v>
      </c>
      <c r="S114" s="827">
        <v>20.262978811913154</v>
      </c>
      <c r="T114" s="827"/>
    </row>
    <row r="115" spans="2:20">
      <c r="B115" s="187">
        <v>42944</v>
      </c>
      <c r="C115" s="827" t="e">
        <v>#REF!</v>
      </c>
      <c r="D115" s="838">
        <v>20.849037974107766</v>
      </c>
      <c r="E115" s="838" t="s">
        <v>619</v>
      </c>
      <c r="F115" s="827">
        <v>403.5099892873356</v>
      </c>
      <c r="G115" s="838">
        <v>54.140848465790363</v>
      </c>
      <c r="H115" s="838">
        <v>10.108649418714261</v>
      </c>
      <c r="I115" s="827">
        <v>16.147668169398553</v>
      </c>
      <c r="J115" s="1572">
        <v>6.9597910223730839</v>
      </c>
      <c r="K115" s="827">
        <v>8.670924022399463</v>
      </c>
      <c r="L115" s="838">
        <v>6.6347835590358892</v>
      </c>
      <c r="M115" s="827">
        <v>6.5206059298673456</v>
      </c>
      <c r="N115" s="1524">
        <v>309.08562111246385</v>
      </c>
      <c r="O115" s="827">
        <v>61.840666619098997</v>
      </c>
      <c r="P115" s="827">
        <v>20.849037974107766</v>
      </c>
      <c r="Q115" s="827">
        <v>21.944428303451904</v>
      </c>
      <c r="R115" s="827">
        <v>20.825227271177589</v>
      </c>
      <c r="S115" s="827">
        <v>20.262978811913154</v>
      </c>
      <c r="T115" s="827"/>
    </row>
    <row r="116" spans="2:20">
      <c r="B116" s="187">
        <v>42951</v>
      </c>
      <c r="C116" s="827" t="e">
        <v>#REF!</v>
      </c>
      <c r="D116" s="838">
        <v>20.420225042723715</v>
      </c>
      <c r="E116" s="838">
        <v>835.81794135124187</v>
      </c>
      <c r="F116" s="827">
        <v>403.5099892873356</v>
      </c>
      <c r="G116" s="838">
        <v>53.378965421063327</v>
      </c>
      <c r="H116" s="838">
        <v>10.002136504891373</v>
      </c>
      <c r="I116" s="827">
        <v>16.147668169398553</v>
      </c>
      <c r="J116" s="1572">
        <v>6.8151490917935673</v>
      </c>
      <c r="K116" s="827">
        <v>8.670924022399463</v>
      </c>
      <c r="L116" s="838">
        <v>6.5179225532920837</v>
      </c>
      <c r="M116" s="827">
        <v>6.5206059298673456</v>
      </c>
      <c r="N116" s="1524">
        <v>264.72376249666968</v>
      </c>
      <c r="O116" s="827">
        <v>61.840666619098997</v>
      </c>
      <c r="P116" s="827">
        <v>20.420225042723715</v>
      </c>
      <c r="Q116" s="827">
        <v>21.944428303451904</v>
      </c>
      <c r="R116" s="827">
        <v>20.377138087523861</v>
      </c>
      <c r="S116" s="827">
        <v>20.262978811913154</v>
      </c>
      <c r="T116" s="827"/>
    </row>
    <row r="117" spans="2:20">
      <c r="B117" s="187">
        <v>42958</v>
      </c>
      <c r="C117" s="827" t="e">
        <v>#REF!</v>
      </c>
      <c r="D117" s="838">
        <v>19.455542562805288</v>
      </c>
      <c r="E117" s="838">
        <v>732.75196567036062</v>
      </c>
      <c r="F117" s="827">
        <v>403.5099892873356</v>
      </c>
      <c r="G117" s="838">
        <v>50.590764870535175</v>
      </c>
      <c r="H117" s="838">
        <v>9.4112212555650743</v>
      </c>
      <c r="I117" s="827">
        <v>16.147668169398553</v>
      </c>
      <c r="J117" s="1572">
        <v>6.6628456999753478</v>
      </c>
      <c r="K117" s="827">
        <v>8.670924022399463</v>
      </c>
      <c r="L117" s="838">
        <v>6.1990236371440659</v>
      </c>
      <c r="M117" s="827">
        <v>6.5206059298673456</v>
      </c>
      <c r="N117" s="1524">
        <v>245.57281012985092</v>
      </c>
      <c r="O117" s="827">
        <v>61.840666619098997</v>
      </c>
      <c r="P117" s="827">
        <v>19.455542562805288</v>
      </c>
      <c r="Q117" s="827">
        <v>21.944428303451904</v>
      </c>
      <c r="R117" s="827">
        <v>19.948126229481751</v>
      </c>
      <c r="S117" s="827">
        <v>20.262978811913154</v>
      </c>
      <c r="T117" s="827"/>
    </row>
    <row r="118" spans="2:20">
      <c r="B118" s="187">
        <v>42965</v>
      </c>
      <c r="C118" s="827" t="e">
        <v>#REF!</v>
      </c>
      <c r="D118" s="838">
        <v>18.643368223760444</v>
      </c>
      <c r="E118" s="838">
        <v>724.83132804074148</v>
      </c>
      <c r="F118" s="827">
        <v>403.5099892873356</v>
      </c>
      <c r="G118" s="838">
        <v>49.065160703429925</v>
      </c>
      <c r="H118" s="838">
        <v>9.6781767339192548</v>
      </c>
      <c r="I118" s="827">
        <v>16.147668169398553</v>
      </c>
      <c r="J118" s="1572">
        <v>6.7453293911032031</v>
      </c>
      <c r="K118" s="827">
        <v>8.670924022399463</v>
      </c>
      <c r="L118" s="838">
        <v>6.2379210783557815</v>
      </c>
      <c r="M118" s="827">
        <v>6.5206059298673456</v>
      </c>
      <c r="N118" s="1524">
        <v>248.67368581032639</v>
      </c>
      <c r="O118" s="827">
        <v>61.840666619098997</v>
      </c>
      <c r="P118" s="827">
        <v>18.643368223760444</v>
      </c>
      <c r="Q118" s="827">
        <v>21.944428303451904</v>
      </c>
      <c r="R118" s="827">
        <v>20.116721518395256</v>
      </c>
      <c r="S118" s="827">
        <v>20.262978811913154</v>
      </c>
      <c r="T118" s="827"/>
    </row>
    <row r="119" spans="2:20">
      <c r="B119" s="187">
        <v>42972</v>
      </c>
      <c r="C119" s="827" t="e">
        <v>#REF!</v>
      </c>
      <c r="D119" s="838">
        <v>18.512047903017606</v>
      </c>
      <c r="E119" s="838">
        <v>771.25701883661827</v>
      </c>
      <c r="F119" s="827">
        <v>403.5099892873356</v>
      </c>
      <c r="G119" s="838">
        <v>48.619793944862202</v>
      </c>
      <c r="H119" s="838">
        <v>10.662316505494006</v>
      </c>
      <c r="I119" s="827">
        <v>16.147668169398553</v>
      </c>
      <c r="J119" s="1572">
        <v>6.8745982815490789</v>
      </c>
      <c r="K119" s="827">
        <v>8.670924022399463</v>
      </c>
      <c r="L119" s="838">
        <v>6.3647264287475531</v>
      </c>
      <c r="M119" s="827">
        <v>6.5206059298673456</v>
      </c>
      <c r="N119" s="1524">
        <v>272.31199852016692</v>
      </c>
      <c r="O119" s="827">
        <v>61.840666619098997</v>
      </c>
      <c r="P119" s="827">
        <v>18.512047903017606</v>
      </c>
      <c r="Q119" s="827">
        <v>21.944428303451904</v>
      </c>
      <c r="R119" s="827">
        <v>20.372977056451553</v>
      </c>
      <c r="S119" s="827">
        <v>20.262978811913154</v>
      </c>
      <c r="T119" s="827"/>
    </row>
    <row r="120" spans="2:20">
      <c r="B120" s="187">
        <v>42979</v>
      </c>
      <c r="C120" s="827" t="e">
        <v>#REF!</v>
      </c>
      <c r="D120" s="838">
        <v>19.185285297076586</v>
      </c>
      <c r="E120" s="838">
        <v>792.97688285694289</v>
      </c>
      <c r="F120" s="827">
        <v>403.5099892873356</v>
      </c>
      <c r="G120" s="838">
        <v>50.287466136838731</v>
      </c>
      <c r="H120" s="838">
        <v>11.397963753289925</v>
      </c>
      <c r="I120" s="827">
        <v>16.147668169398553</v>
      </c>
      <c r="J120" s="1572">
        <v>7.0767739480187348</v>
      </c>
      <c r="K120" s="827">
        <v>8.670924022399463</v>
      </c>
      <c r="L120" s="838">
        <v>6.5440005887849217</v>
      </c>
      <c r="M120" s="827">
        <v>6.5206059298673456</v>
      </c>
      <c r="N120" s="1524">
        <v>287.81401714704776</v>
      </c>
      <c r="O120" s="827">
        <v>61.840666619098997</v>
      </c>
      <c r="P120" s="827">
        <v>19.185285297076586</v>
      </c>
      <c r="Q120" s="827">
        <v>21.944428303451904</v>
      </c>
      <c r="R120" s="827">
        <v>21.025700559720967</v>
      </c>
      <c r="S120" s="827">
        <v>20.262978811913154</v>
      </c>
      <c r="T120" s="827"/>
    </row>
    <row r="121" spans="2:20">
      <c r="B121" s="187">
        <v>42986</v>
      </c>
      <c r="C121" s="827" t="e">
        <v>#REF!</v>
      </c>
      <c r="D121" s="838">
        <v>19.229295238018551</v>
      </c>
      <c r="E121" s="838">
        <v>770.36365388885326</v>
      </c>
      <c r="F121" s="827">
        <v>403.5099892873356</v>
      </c>
      <c r="G121" s="838">
        <v>49.734594196623021</v>
      </c>
      <c r="H121" s="838">
        <v>11.620702608533435</v>
      </c>
      <c r="I121" s="827">
        <v>16.147668169398553</v>
      </c>
      <c r="J121" s="1572">
        <v>7.0477023050137593</v>
      </c>
      <c r="K121" s="827">
        <v>8.670924022399463</v>
      </c>
      <c r="L121" s="838">
        <v>6.6226107031353454</v>
      </c>
      <c r="M121" s="827">
        <v>6.5206059298673456</v>
      </c>
      <c r="N121" s="1524">
        <v>271.04335297783723</v>
      </c>
      <c r="O121" s="827">
        <v>61.840666619098997</v>
      </c>
      <c r="P121" s="827">
        <v>19.229295238018551</v>
      </c>
      <c r="Q121" s="827">
        <v>21.944428303451904</v>
      </c>
      <c r="R121" s="827">
        <v>20.933598163818775</v>
      </c>
      <c r="S121" s="827">
        <v>20.262978811913154</v>
      </c>
      <c r="T121" s="827"/>
    </row>
    <row r="122" spans="2:20">
      <c r="B122" s="187">
        <v>42993</v>
      </c>
      <c r="C122" s="827" t="e">
        <v>#REF!</v>
      </c>
      <c r="D122" s="838">
        <v>19.598501077486628</v>
      </c>
      <c r="E122" s="838">
        <v>786.97951360006743</v>
      </c>
      <c r="F122" s="827">
        <v>403.5099892873356</v>
      </c>
      <c r="G122" s="838">
        <v>50.483216840528399</v>
      </c>
      <c r="H122" s="838">
        <v>12.287546249522258</v>
      </c>
      <c r="I122" s="827">
        <v>16.147668169398553</v>
      </c>
      <c r="J122" s="1572">
        <v>7.0961645228997607</v>
      </c>
      <c r="K122" s="827">
        <v>8.670924022399463</v>
      </c>
      <c r="L122" s="838">
        <v>6.7593669065750568</v>
      </c>
      <c r="M122" s="827">
        <v>6.5206059298673456</v>
      </c>
      <c r="N122" s="1524">
        <v>282.5772430875947</v>
      </c>
      <c r="O122" s="827">
        <v>61.840666619098997</v>
      </c>
      <c r="P122" s="827">
        <v>19.598501077486628</v>
      </c>
      <c r="Q122" s="827">
        <v>21.944428303451904</v>
      </c>
      <c r="R122" s="827">
        <v>21.070371853218596</v>
      </c>
      <c r="S122" s="827">
        <v>20.262978811913154</v>
      </c>
      <c r="T122" s="827"/>
    </row>
    <row r="123" spans="2:20">
      <c r="B123" s="187">
        <v>43000</v>
      </c>
      <c r="C123" s="827" t="e">
        <v>#REF!</v>
      </c>
      <c r="D123" s="838">
        <v>19.578346036783714</v>
      </c>
      <c r="E123" s="838">
        <v>761.6256044022432</v>
      </c>
      <c r="F123" s="827">
        <v>403.5099892873356</v>
      </c>
      <c r="G123" s="838">
        <v>49.882718719072571</v>
      </c>
      <c r="H123" s="838">
        <v>12.211427952685918</v>
      </c>
      <c r="I123" s="827">
        <v>16.147668169398553</v>
      </c>
      <c r="J123" s="1572">
        <v>7.0071197421868137</v>
      </c>
      <c r="K123" s="827">
        <v>8.670924022399463</v>
      </c>
      <c r="L123" s="838">
        <v>6.6072752542590569</v>
      </c>
      <c r="M123" s="827">
        <v>6.5206059298673456</v>
      </c>
      <c r="N123" s="1524">
        <v>278.75214214344993</v>
      </c>
      <c r="O123" s="827">
        <v>61.840666619098997</v>
      </c>
      <c r="P123" s="827">
        <v>19.578346036783714</v>
      </c>
      <c r="Q123" s="827">
        <v>21.944428303451904</v>
      </c>
      <c r="R123" s="827">
        <v>20.787682030309188</v>
      </c>
      <c r="S123" s="827">
        <v>20.262978811913154</v>
      </c>
      <c r="T123" s="827"/>
    </row>
    <row r="124" spans="2:20">
      <c r="B124" s="187">
        <v>43007</v>
      </c>
      <c r="C124" s="827" t="e">
        <v>#REF!</v>
      </c>
      <c r="D124" s="838">
        <v>19.558688918260813</v>
      </c>
      <c r="E124" s="838">
        <v>713.6049091411079</v>
      </c>
      <c r="F124" s="827">
        <v>403.5099892873356</v>
      </c>
      <c r="G124" s="838">
        <v>49.193949827225971</v>
      </c>
      <c r="H124" s="838">
        <v>12.33591912245234</v>
      </c>
      <c r="I124" s="827">
        <v>16.147668169398553</v>
      </c>
      <c r="J124" s="1572">
        <v>7.0039170307586689</v>
      </c>
      <c r="K124" s="827">
        <v>8.670924022399463</v>
      </c>
      <c r="L124" s="838">
        <v>6.767176738041484</v>
      </c>
      <c r="M124" s="827">
        <v>6.5206059298673456</v>
      </c>
      <c r="N124" s="1524">
        <v>275.98743664761616</v>
      </c>
      <c r="O124" s="827">
        <v>61.840666619098997</v>
      </c>
      <c r="P124" s="827">
        <v>19.558688918260813</v>
      </c>
      <c r="Q124" s="827">
        <v>21.944428303451904</v>
      </c>
      <c r="R124" s="827">
        <v>20.648549198867958</v>
      </c>
      <c r="S124" s="827">
        <v>20.262978811913154</v>
      </c>
      <c r="T124" s="827"/>
    </row>
    <row r="125" spans="2:20">
      <c r="B125" s="187">
        <v>43014</v>
      </c>
      <c r="C125" s="827" t="e">
        <v>#REF!</v>
      </c>
      <c r="D125" s="838">
        <v>20.284293996470737</v>
      </c>
      <c r="E125" s="838">
        <v>580.88293613069902</v>
      </c>
      <c r="F125" s="827">
        <v>403.5099892873356</v>
      </c>
      <c r="G125" s="838">
        <v>50.706121422744523</v>
      </c>
      <c r="H125" s="838">
        <v>10.133826780207929</v>
      </c>
      <c r="I125" s="827">
        <v>16.147668169398553</v>
      </c>
      <c r="J125" s="1572">
        <v>7.0736906834610549</v>
      </c>
      <c r="K125" s="827">
        <v>8.670924022399463</v>
      </c>
      <c r="L125" s="838">
        <v>6.7250125954978719</v>
      </c>
      <c r="M125" s="827">
        <v>6.5206059298673456</v>
      </c>
      <c r="N125" s="1524">
        <v>225.26741223603125</v>
      </c>
      <c r="O125" s="827">
        <v>61.840666619098997</v>
      </c>
      <c r="P125" s="827">
        <v>20.284293996470737</v>
      </c>
      <c r="Q125" s="827">
        <v>21.944428303451904</v>
      </c>
      <c r="R125" s="827">
        <v>20.687895904864433</v>
      </c>
      <c r="S125" s="827">
        <v>20.262978811913154</v>
      </c>
      <c r="T125" s="827"/>
    </row>
    <row r="126" spans="2:20">
      <c r="B126" s="187">
        <v>43021</v>
      </c>
      <c r="C126" s="827" t="e">
        <v>#REF!</v>
      </c>
      <c r="D126" s="838">
        <v>20.174220709624755</v>
      </c>
      <c r="E126" s="838">
        <v>541.80454495922515</v>
      </c>
      <c r="F126" s="827">
        <v>403.5099892873356</v>
      </c>
      <c r="G126" s="838">
        <v>50.47058484196387</v>
      </c>
      <c r="H126" s="838">
        <v>9.650442363570777</v>
      </c>
      <c r="I126" s="827">
        <v>16.147668169398553</v>
      </c>
      <c r="J126" s="1572">
        <v>7.0599789323963149</v>
      </c>
      <c r="K126" s="827">
        <v>8.670924022399463</v>
      </c>
      <c r="L126" s="838">
        <v>6.8198148926842217</v>
      </c>
      <c r="M126" s="827">
        <v>6.5206059298673456</v>
      </c>
      <c r="N126" s="1524">
        <v>212.11210324899326</v>
      </c>
      <c r="O126" s="827">
        <v>61.840666619098997</v>
      </c>
      <c r="P126" s="827">
        <v>20.174220709624755</v>
      </c>
      <c r="Q126" s="827">
        <v>21.944428303451904</v>
      </c>
      <c r="R126" s="827">
        <v>20.658338346616301</v>
      </c>
      <c r="S126" s="827">
        <v>20.262978811913154</v>
      </c>
      <c r="T126" s="827"/>
    </row>
    <row r="127" spans="2:20">
      <c r="B127" s="187">
        <v>43028</v>
      </c>
      <c r="C127" s="827" t="e">
        <v>#REF!</v>
      </c>
      <c r="D127" s="838">
        <v>19.508830354337583</v>
      </c>
      <c r="E127" s="838">
        <v>554.50116456106491</v>
      </c>
      <c r="F127" s="827">
        <v>403.5099892873356</v>
      </c>
      <c r="G127" s="838">
        <v>48.754122449118803</v>
      </c>
      <c r="H127" s="838">
        <v>10.454743685806301</v>
      </c>
      <c r="I127" s="827">
        <v>16.147668169398553</v>
      </c>
      <c r="J127" s="1572">
        <v>7.3426161490879256</v>
      </c>
      <c r="K127" s="827">
        <v>8.670924022399463</v>
      </c>
      <c r="L127" s="838">
        <v>6.719992001097836</v>
      </c>
      <c r="M127" s="827">
        <v>6.5206059298673456</v>
      </c>
      <c r="N127" s="1524">
        <v>234.50926287134635</v>
      </c>
      <c r="O127" s="827">
        <v>61.840666619098997</v>
      </c>
      <c r="P127" s="827">
        <v>19.508830354337583</v>
      </c>
      <c r="Q127" s="827">
        <v>21.944428303451904</v>
      </c>
      <c r="R127" s="827">
        <v>21.142965797135542</v>
      </c>
      <c r="S127" s="827">
        <v>20.262978811913154</v>
      </c>
      <c r="T127" s="827"/>
    </row>
    <row r="128" spans="2:20">
      <c r="B128" s="187">
        <v>43035</v>
      </c>
      <c r="C128" s="827" t="e">
        <v>#REF!</v>
      </c>
      <c r="D128" s="838">
        <v>19.640708816684459</v>
      </c>
      <c r="E128" s="838">
        <v>566.01674907248605</v>
      </c>
      <c r="F128" s="827">
        <v>403.5099892873356</v>
      </c>
      <c r="G128" s="838">
        <v>50.220503776319831</v>
      </c>
      <c r="H128" s="838">
        <v>10.970182118600466</v>
      </c>
      <c r="I128" s="827">
        <v>16.147668169398553</v>
      </c>
      <c r="J128" s="1572">
        <v>7.3637944366665362</v>
      </c>
      <c r="K128" s="827">
        <v>8.670924022399463</v>
      </c>
      <c r="L128" s="838">
        <v>6.7240283657335063</v>
      </c>
      <c r="M128" s="827">
        <v>6.5206059298673456</v>
      </c>
      <c r="N128" s="1524">
        <v>241.46561615778398</v>
      </c>
      <c r="O128" s="827">
        <v>61.840666619098997</v>
      </c>
      <c r="P128" s="827">
        <v>19.640708816684459</v>
      </c>
      <c r="Q128" s="827">
        <v>21.944428303451904</v>
      </c>
      <c r="R128" s="827">
        <v>21.172192423265564</v>
      </c>
      <c r="S128" s="827">
        <v>20.262978811913154</v>
      </c>
      <c r="T128" s="827"/>
    </row>
    <row r="129" spans="2:20">
      <c r="B129" s="187">
        <v>43042</v>
      </c>
      <c r="C129" s="827" t="e">
        <v>#REF!</v>
      </c>
      <c r="D129" s="838">
        <v>19.68316409550118</v>
      </c>
      <c r="E129" s="838">
        <v>410.39073929661168</v>
      </c>
      <c r="F129" s="827">
        <v>403.5099892873356</v>
      </c>
      <c r="G129" s="838">
        <v>50.098287092655752</v>
      </c>
      <c r="H129" s="838">
        <v>9.7373801003370666</v>
      </c>
      <c r="I129" s="827">
        <v>16.147668169398553</v>
      </c>
      <c r="J129" s="1572">
        <v>7.4571736663565655</v>
      </c>
      <c r="K129" s="827">
        <v>8.670924022399463</v>
      </c>
      <c r="L129" s="838">
        <v>6.5788521335504955</v>
      </c>
      <c r="M129" s="827">
        <v>6.5206059298673456</v>
      </c>
      <c r="N129" s="1524">
        <v>207.04612258315242</v>
      </c>
      <c r="O129" s="827">
        <v>61.840666619098997</v>
      </c>
      <c r="P129" s="827">
        <v>19.68316409550118</v>
      </c>
      <c r="Q129" s="827">
        <v>21.944428303451904</v>
      </c>
      <c r="R129" s="827">
        <v>21.507264134387096</v>
      </c>
      <c r="S129" s="827">
        <v>20.262978811913154</v>
      </c>
      <c r="T129" s="827"/>
    </row>
    <row r="130" spans="2:20">
      <c r="B130" s="187">
        <v>43049</v>
      </c>
      <c r="C130" s="827" t="e">
        <v>#REF!</v>
      </c>
      <c r="D130" s="838">
        <v>18.505231541954274</v>
      </c>
      <c r="E130" s="838">
        <v>408.34313497041052</v>
      </c>
      <c r="F130" s="827">
        <v>403.5099892873356</v>
      </c>
      <c r="G130" s="838">
        <v>48.455473135795998</v>
      </c>
      <c r="H130" s="838">
        <v>9.8183032255085632</v>
      </c>
      <c r="I130" s="827">
        <v>16.147668169398553</v>
      </c>
      <c r="J130" s="1572">
        <v>7.2672568033396558</v>
      </c>
      <c r="K130" s="827">
        <v>8.670924022399463</v>
      </c>
      <c r="L130" s="838">
        <v>6.2438150541806241</v>
      </c>
      <c r="M130" s="827">
        <v>6.5206059298673456</v>
      </c>
      <c r="N130" s="1524">
        <v>207.70437263356419</v>
      </c>
      <c r="O130" s="827">
        <v>61.840666619098997</v>
      </c>
      <c r="P130" s="827">
        <v>18.505231541954274</v>
      </c>
      <c r="Q130" s="827">
        <v>21.944428303451904</v>
      </c>
      <c r="R130" s="827">
        <v>21.464072347795501</v>
      </c>
      <c r="S130" s="827">
        <v>20.262978811913154</v>
      </c>
      <c r="T130" s="827"/>
    </row>
    <row r="131" spans="2:20">
      <c r="B131" s="187">
        <v>43056</v>
      </c>
      <c r="C131" s="827" t="e">
        <v>#REF!</v>
      </c>
      <c r="D131" s="838">
        <v>18.440485408638409</v>
      </c>
      <c r="E131" s="838">
        <v>420.72750198891919</v>
      </c>
      <c r="F131" s="827">
        <v>403.5099892873356</v>
      </c>
      <c r="G131" s="838">
        <v>48.325433674560287</v>
      </c>
      <c r="H131" s="838">
        <v>10.283701251637863</v>
      </c>
      <c r="I131" s="827">
        <v>16.147668169398553</v>
      </c>
      <c r="J131" s="1572">
        <v>7.3936474955745881</v>
      </c>
      <c r="K131" s="827">
        <v>8.670924022399463</v>
      </c>
      <c r="L131" s="838">
        <v>6.3167262708136427</v>
      </c>
      <c r="M131" s="827">
        <v>6.5206059298673456</v>
      </c>
      <c r="N131" s="1524">
        <v>214.65418595861874</v>
      </c>
      <c r="O131" s="827">
        <v>61.840666619098997</v>
      </c>
      <c r="P131" s="827">
        <v>18.440485408638409</v>
      </c>
      <c r="Q131" s="827">
        <v>21.944428303451904</v>
      </c>
      <c r="R131" s="827">
        <v>21.758985252188975</v>
      </c>
      <c r="S131" s="827">
        <v>20.262978811913154</v>
      </c>
      <c r="T131" s="827"/>
    </row>
    <row r="132" spans="2:20">
      <c r="B132" s="187">
        <v>43063</v>
      </c>
      <c r="C132" s="827" t="e">
        <v>#REF!</v>
      </c>
      <c r="D132" s="838">
        <v>18.720935908046105</v>
      </c>
      <c r="E132" s="838">
        <v>440.72440097193504</v>
      </c>
      <c r="F132" s="827">
        <v>403.5099892873356</v>
      </c>
      <c r="G132" s="838">
        <v>49.420168066200958</v>
      </c>
      <c r="H132" s="838">
        <v>10.961758056900088</v>
      </c>
      <c r="I132" s="827">
        <v>16.147668169398553</v>
      </c>
      <c r="J132" s="1572">
        <v>7.4616686530066403</v>
      </c>
      <c r="K132" s="827">
        <v>8.670924022399463</v>
      </c>
      <c r="L132" s="838">
        <v>6.4416912249935399</v>
      </c>
      <c r="M132" s="827">
        <v>6.5206059298673456</v>
      </c>
      <c r="N132" s="1524">
        <v>228.71493440536059</v>
      </c>
      <c r="O132" s="827">
        <v>61.840666619098997</v>
      </c>
      <c r="P132" s="827">
        <v>18.720935908046105</v>
      </c>
      <c r="Q132" s="827">
        <v>21.944428303451904</v>
      </c>
      <c r="R132" s="827">
        <v>21.839942523275063</v>
      </c>
      <c r="S132" s="827">
        <v>20.262978811913154</v>
      </c>
      <c r="T132" s="827"/>
    </row>
    <row r="133" spans="2:20">
      <c r="B133" s="187">
        <v>43070</v>
      </c>
      <c r="C133" s="827" t="e">
        <v>#REF!</v>
      </c>
      <c r="D133" s="838">
        <v>17.92415202128343</v>
      </c>
      <c r="E133" s="838">
        <v>398.62501198055952</v>
      </c>
      <c r="F133" s="827">
        <v>403.5099892873356</v>
      </c>
      <c r="G133" s="838">
        <v>47.52334226984884</v>
      </c>
      <c r="H133" s="838">
        <v>9.9778473462083728</v>
      </c>
      <c r="I133" s="827">
        <v>16.147668169398553</v>
      </c>
      <c r="J133" s="1572">
        <v>7.2295070569376874</v>
      </c>
      <c r="K133" s="827">
        <v>8.670924022399463</v>
      </c>
      <c r="L133" s="838">
        <v>6.2437714075432496</v>
      </c>
      <c r="M133" s="827">
        <v>6.5206059298673456</v>
      </c>
      <c r="N133" s="1524">
        <v>203.88348330080979</v>
      </c>
      <c r="O133" s="827">
        <v>61.840666619098997</v>
      </c>
      <c r="P133" s="827">
        <v>17.92415202128343</v>
      </c>
      <c r="Q133" s="827">
        <v>21.944428303451904</v>
      </c>
      <c r="R133" s="827">
        <v>21.077588931845803</v>
      </c>
      <c r="S133" s="827">
        <v>20.262978811913154</v>
      </c>
      <c r="T133" s="827"/>
    </row>
    <row r="134" spans="2:20">
      <c r="B134" s="187">
        <v>43077</v>
      </c>
      <c r="C134" s="827" t="e">
        <v>#REF!</v>
      </c>
      <c r="D134" s="838">
        <v>17.872474335742407</v>
      </c>
      <c r="E134" s="838">
        <v>382.47533466781556</v>
      </c>
      <c r="F134" s="827">
        <v>403.5099892873356</v>
      </c>
      <c r="G134" s="838">
        <v>47.114392288738749</v>
      </c>
      <c r="H134" s="838">
        <v>9.6537450845000485</v>
      </c>
      <c r="I134" s="827">
        <v>16.147668169398553</v>
      </c>
      <c r="J134" s="1572">
        <v>7.1101520219328709</v>
      </c>
      <c r="K134" s="827">
        <v>8.670924022399463</v>
      </c>
      <c r="L134" s="838">
        <v>6.3169838099382787</v>
      </c>
      <c r="M134" s="827">
        <v>6.5206059298673456</v>
      </c>
      <c r="N134" s="1524">
        <v>196.86930155550596</v>
      </c>
      <c r="O134" s="827">
        <v>61.840666619098997</v>
      </c>
      <c r="P134" s="827">
        <v>17.872474335742407</v>
      </c>
      <c r="Q134" s="827">
        <v>21.944428303451904</v>
      </c>
      <c r="R134" s="827">
        <v>20.77284508683838</v>
      </c>
      <c r="S134" s="827">
        <v>20.262978811913154</v>
      </c>
      <c r="T134" s="827"/>
    </row>
    <row r="135" spans="2:20">
      <c r="B135" s="187">
        <v>43084</v>
      </c>
      <c r="C135" s="827" t="e">
        <v>#REF!</v>
      </c>
      <c r="D135" s="838">
        <v>18.180708964044452</v>
      </c>
      <c r="E135" s="838">
        <v>392.80189225834579</v>
      </c>
      <c r="F135" s="827">
        <v>403.5099892873356</v>
      </c>
      <c r="G135" s="838">
        <v>47.691287487056698</v>
      </c>
      <c r="H135" s="838">
        <v>10.063284220723295</v>
      </c>
      <c r="I135" s="827">
        <v>16.147668169398553</v>
      </c>
      <c r="J135" s="1572">
        <v>7.2774677398680065</v>
      </c>
      <c r="K135" s="827">
        <v>8.670924022399463</v>
      </c>
      <c r="L135" s="838">
        <v>6.4965580903338642</v>
      </c>
      <c r="M135" s="827">
        <v>6.5206059298673456</v>
      </c>
      <c r="N135" s="1524">
        <v>204.50755199447934</v>
      </c>
      <c r="O135" s="827">
        <v>61.840666619098997</v>
      </c>
      <c r="P135" s="827">
        <v>18.180708964044452</v>
      </c>
      <c r="Q135" s="827">
        <v>21.944428303451904</v>
      </c>
      <c r="R135" s="827">
        <v>21.389116031854481</v>
      </c>
      <c r="S135" s="827">
        <v>20.262978811913154</v>
      </c>
      <c r="T135" s="827"/>
    </row>
    <row r="136" spans="2:20">
      <c r="B136" s="187">
        <v>43091</v>
      </c>
      <c r="C136" s="827" t="e">
        <v>#REF!</v>
      </c>
      <c r="D136" s="838">
        <v>17.881590289074261</v>
      </c>
      <c r="E136" s="838">
        <v>381.45563839566222</v>
      </c>
      <c r="F136" s="827">
        <v>403.5099892873356</v>
      </c>
      <c r="G136" s="838">
        <v>46.898996615701009</v>
      </c>
      <c r="H136" s="838">
        <v>9.8615127521809658</v>
      </c>
      <c r="I136" s="827">
        <v>16.147668169398553</v>
      </c>
      <c r="J136" s="1572">
        <v>7.2061561716672431</v>
      </c>
      <c r="K136" s="827">
        <v>8.670924022399463</v>
      </c>
      <c r="L136" s="838">
        <v>6.3627329756260842</v>
      </c>
      <c r="M136" s="827">
        <v>6.5206059298673456</v>
      </c>
      <c r="N136" s="1524">
        <v>197.9308892623196</v>
      </c>
      <c r="O136" s="827">
        <v>61.840666619098997</v>
      </c>
      <c r="P136" s="827">
        <v>17.881590289074261</v>
      </c>
      <c r="Q136" s="827">
        <v>21.944428303451904</v>
      </c>
      <c r="R136" s="827">
        <v>21.19191331891107</v>
      </c>
      <c r="S136" s="827">
        <v>20.262978811913154</v>
      </c>
      <c r="T136" s="827"/>
    </row>
    <row r="137" spans="2:20">
      <c r="B137" s="187">
        <v>43098</v>
      </c>
      <c r="C137" s="827" t="e">
        <v>#REF!</v>
      </c>
      <c r="D137" s="838">
        <v>17.682844928537296</v>
      </c>
      <c r="E137" s="838">
        <v>365.04890245698147</v>
      </c>
      <c r="F137" s="827">
        <v>403.5099892873356</v>
      </c>
      <c r="G137" s="838">
        <v>46.554462668330686</v>
      </c>
      <c r="H137" s="838">
        <v>9.1710860503359566</v>
      </c>
      <c r="I137" s="827">
        <v>16.147668169398553</v>
      </c>
      <c r="J137" s="1572">
        <v>7.1522982594578313</v>
      </c>
      <c r="K137" s="827">
        <v>8.670924022399463</v>
      </c>
      <c r="L137" s="838">
        <v>6.0837273323920584</v>
      </c>
      <c r="M137" s="827">
        <v>6.5206059298673456</v>
      </c>
      <c r="N137" s="1524">
        <v>184.60356781201352</v>
      </c>
      <c r="O137" s="827">
        <v>61.840666619098997</v>
      </c>
      <c r="P137" s="827">
        <v>17.682844928537296</v>
      </c>
      <c r="Q137" s="827">
        <v>21.944428303451904</v>
      </c>
      <c r="R137" s="827">
        <v>20.892574969344807</v>
      </c>
      <c r="S137" s="827">
        <v>20.262978811913154</v>
      </c>
      <c r="T137" s="827"/>
    </row>
    <row r="138" spans="2:20">
      <c r="B138" s="187">
        <v>43105</v>
      </c>
      <c r="C138" s="827" t="e">
        <v>#REF!</v>
      </c>
      <c r="D138" s="838">
        <v>18.747171766644762</v>
      </c>
      <c r="E138" s="838">
        <v>388.49288943545366</v>
      </c>
      <c r="F138" s="827">
        <v>403.5099892873356</v>
      </c>
      <c r="G138" s="838">
        <v>48.953053906931096</v>
      </c>
      <c r="H138" s="838">
        <v>10.071035166938133</v>
      </c>
      <c r="I138" s="827">
        <v>16.147668169398553</v>
      </c>
      <c r="J138" s="1572">
        <v>7.3498833315214416</v>
      </c>
      <c r="K138" s="827">
        <v>8.670924022399463</v>
      </c>
      <c r="L138" s="838">
        <v>6.3896713817577782</v>
      </c>
      <c r="M138" s="827">
        <v>6.5206059298673456</v>
      </c>
      <c r="N138" s="1524">
        <v>199.04540269712373</v>
      </c>
      <c r="O138" s="827">
        <v>61.840666619098997</v>
      </c>
      <c r="P138" s="827">
        <v>18.747171766644762</v>
      </c>
      <c r="Q138" s="827">
        <v>21.944428303451904</v>
      </c>
      <c r="R138" s="827">
        <v>21.594477958334561</v>
      </c>
      <c r="S138" s="827">
        <v>20.262978811913154</v>
      </c>
      <c r="T138" s="827"/>
    </row>
    <row r="139" spans="2:20">
      <c r="B139" s="187">
        <v>43112</v>
      </c>
      <c r="C139" s="827" t="e">
        <v>#REF!</v>
      </c>
      <c r="D139" s="838">
        <v>19.226473575776616</v>
      </c>
      <c r="E139" s="838">
        <v>383.63966742661097</v>
      </c>
      <c r="F139" s="827">
        <v>403.5099892873356</v>
      </c>
      <c r="G139" s="838">
        <v>50.377311389855258</v>
      </c>
      <c r="H139" s="838">
        <v>10.226787948208644</v>
      </c>
      <c r="I139" s="827">
        <v>16.147668169398553</v>
      </c>
      <c r="J139" s="1572">
        <v>7.5032259977130931</v>
      </c>
      <c r="K139" s="827">
        <v>8.670924022399463</v>
      </c>
      <c r="L139" s="838">
        <v>6.4208745006806138</v>
      </c>
      <c r="M139" s="827">
        <v>6.5206059298673456</v>
      </c>
      <c r="N139" s="1524">
        <v>197.70303592666795</v>
      </c>
      <c r="O139" s="827">
        <v>61.840666619098997</v>
      </c>
      <c r="P139" s="827">
        <v>19.226473575776616</v>
      </c>
      <c r="Q139" s="827">
        <v>21.944428303451904</v>
      </c>
      <c r="R139" s="827">
        <v>22.006972562295793</v>
      </c>
      <c r="S139" s="827">
        <v>20.262978811913154</v>
      </c>
      <c r="T139" s="827"/>
    </row>
    <row r="140" spans="2:20">
      <c r="B140" s="187">
        <v>43119</v>
      </c>
      <c r="C140" s="827" t="e">
        <v>#REF!</v>
      </c>
      <c r="D140" s="838">
        <v>19.024756511651685</v>
      </c>
      <c r="E140" s="838">
        <v>380.60280919677183</v>
      </c>
      <c r="F140" s="827">
        <v>403.5099892873356</v>
      </c>
      <c r="G140" s="838">
        <v>49.345542944743144</v>
      </c>
      <c r="H140" s="838">
        <v>10.425948608180692</v>
      </c>
      <c r="I140" s="827">
        <v>16.147668169398553</v>
      </c>
      <c r="J140" s="1572">
        <v>7.4714897166562348</v>
      </c>
      <c r="K140" s="827">
        <v>8.670924022399463</v>
      </c>
      <c r="L140" s="838">
        <v>6.3693052790583105</v>
      </c>
      <c r="M140" s="827">
        <v>6.5206059298673456</v>
      </c>
      <c r="N140" s="1524">
        <v>199.61358351995838</v>
      </c>
      <c r="O140" s="827">
        <v>61.840666619098997</v>
      </c>
      <c r="P140" s="827">
        <v>19.024756511651685</v>
      </c>
      <c r="Q140" s="827">
        <v>21.944428303451904</v>
      </c>
      <c r="R140" s="827">
        <v>21.746555986171309</v>
      </c>
      <c r="S140" s="827">
        <v>20.262978811913154</v>
      </c>
      <c r="T140" s="827"/>
    </row>
    <row r="141" spans="2:20">
      <c r="B141" s="187">
        <v>43126</v>
      </c>
      <c r="C141" s="827" t="e">
        <v>#REF!</v>
      </c>
      <c r="D141" s="838">
        <v>21.136154313435618</v>
      </c>
      <c r="E141" s="838">
        <v>412.62672198193798</v>
      </c>
      <c r="F141" s="827">
        <v>403.5099892873356</v>
      </c>
      <c r="G141" s="838">
        <v>51.947838006347936</v>
      </c>
      <c r="H141" s="838">
        <v>11.692502042160845</v>
      </c>
      <c r="I141" s="827">
        <v>16.147668169398553</v>
      </c>
      <c r="J141" s="1572">
        <v>7.6711003830291418</v>
      </c>
      <c r="K141" s="827">
        <v>8.670924022399463</v>
      </c>
      <c r="L141" s="838">
        <v>6.7467215332214918</v>
      </c>
      <c r="M141" s="827">
        <v>6.5206059298673456</v>
      </c>
      <c r="N141" s="1524">
        <v>218.96999146429695</v>
      </c>
      <c r="O141" s="827">
        <v>61.840666619098997</v>
      </c>
      <c r="P141" s="827">
        <v>21.136154313435618</v>
      </c>
      <c r="Q141" s="827">
        <v>21.944428303451904</v>
      </c>
      <c r="R141" s="827">
        <v>22.465084838390304</v>
      </c>
      <c r="S141" s="827">
        <v>20.262978811913154</v>
      </c>
      <c r="T141" s="827"/>
    </row>
    <row r="142" spans="2:20">
      <c r="B142" s="187">
        <v>43133</v>
      </c>
      <c r="C142" s="827" t="e">
        <v>#REF!</v>
      </c>
      <c r="D142" s="838">
        <v>20.411889172895069</v>
      </c>
      <c r="E142" s="838">
        <v>384.67275822050487</v>
      </c>
      <c r="F142" s="827">
        <v>403.5099892873356</v>
      </c>
      <c r="G142" s="838">
        <v>49.779990334230803</v>
      </c>
      <c r="H142" s="838">
        <v>11.192187447872476</v>
      </c>
      <c r="I142" s="827">
        <v>16.147668169398553</v>
      </c>
      <c r="J142" s="1572">
        <v>7.44794421587945</v>
      </c>
      <c r="K142" s="827">
        <v>8.670924022399463</v>
      </c>
      <c r="L142" s="838">
        <v>6.499242281788721</v>
      </c>
      <c r="M142" s="827">
        <v>6.5206059298673456</v>
      </c>
      <c r="N142" s="1524">
        <v>207.58935816816498</v>
      </c>
      <c r="O142" s="827">
        <v>61.840666619098997</v>
      </c>
      <c r="P142" s="827">
        <v>20.411889172895069</v>
      </c>
      <c r="Q142" s="827">
        <v>21.944428303451904</v>
      </c>
      <c r="R142" s="827">
        <v>21.759987683715593</v>
      </c>
      <c r="S142" s="827">
        <v>20.262978811913154</v>
      </c>
      <c r="T142" s="827"/>
    </row>
    <row r="143" spans="2:20">
      <c r="B143" s="187">
        <v>43140</v>
      </c>
      <c r="C143" s="827" t="e">
        <v>#REF!</v>
      </c>
      <c r="D143" s="838">
        <v>18.899242308146501</v>
      </c>
      <c r="E143" s="838">
        <v>359.89147564523824</v>
      </c>
      <c r="F143" s="827">
        <v>403.5099892873356</v>
      </c>
      <c r="G143" s="838">
        <v>45.816851643359556</v>
      </c>
      <c r="H143" s="838">
        <v>10.58266898231372</v>
      </c>
      <c r="I143" s="827">
        <v>16.147668169398553</v>
      </c>
      <c r="J143" s="1572">
        <v>7.1594783991844411</v>
      </c>
      <c r="K143" s="827">
        <v>8.670924022399463</v>
      </c>
      <c r="L143" s="838">
        <v>6.4843288055585511</v>
      </c>
      <c r="M143" s="827">
        <v>6.5206059298673456</v>
      </c>
      <c r="N143" s="1524">
        <v>192.07492248024661</v>
      </c>
      <c r="O143" s="827">
        <v>61.840666619098997</v>
      </c>
      <c r="P143" s="827">
        <v>18.899242308146501</v>
      </c>
      <c r="Q143" s="827">
        <v>21.944428303451904</v>
      </c>
      <c r="R143" s="827">
        <v>20.866548590405039</v>
      </c>
      <c r="S143" s="827">
        <v>20.262978811913154</v>
      </c>
      <c r="T143" s="827"/>
    </row>
    <row r="144" spans="2:20">
      <c r="B144" s="187">
        <v>43147</v>
      </c>
      <c r="C144" s="827" t="e">
        <v>#REF!</v>
      </c>
      <c r="D144" s="838">
        <v>20.323747419679197</v>
      </c>
      <c r="E144" s="838">
        <v>866.04735433332871</v>
      </c>
      <c r="F144" s="827">
        <v>403.5099892873356</v>
      </c>
      <c r="G144" s="838">
        <v>48.822217255213125</v>
      </c>
      <c r="H144" s="838">
        <v>11.693606594888056</v>
      </c>
      <c r="I144" s="827">
        <v>16.147668169398553</v>
      </c>
      <c r="J144" s="1572">
        <v>7.8313542921233363</v>
      </c>
      <c r="K144" s="827">
        <v>8.670924022399463</v>
      </c>
      <c r="L144" s="838">
        <v>6.938525353810177</v>
      </c>
      <c r="M144" s="827">
        <v>6.5206059298673456</v>
      </c>
      <c r="N144" s="1524">
        <v>320.62661075045719</v>
      </c>
      <c r="O144" s="827">
        <v>61.840666619098997</v>
      </c>
      <c r="P144" s="827">
        <v>20.323747419679197</v>
      </c>
      <c r="Q144" s="827">
        <v>21.944428303451904</v>
      </c>
      <c r="R144" s="827">
        <v>23.197711197082072</v>
      </c>
      <c r="S144" s="827">
        <v>20.262978811913154</v>
      </c>
      <c r="T144" s="827"/>
    </row>
    <row r="145" spans="2:20">
      <c r="B145" s="187">
        <v>43154</v>
      </c>
      <c r="C145" s="827" t="e">
        <v>#REF!</v>
      </c>
      <c r="D145" s="838">
        <v>21.164553313915512</v>
      </c>
      <c r="E145" s="838">
        <v>819.10933040861482</v>
      </c>
      <c r="F145" s="827">
        <v>403.5099892873356</v>
      </c>
      <c r="G145" s="838">
        <v>50.439582208278736</v>
      </c>
      <c r="H145" s="838">
        <v>11.566161710998358</v>
      </c>
      <c r="I145" s="827">
        <v>16.147668169398553</v>
      </c>
      <c r="J145" s="1572">
        <v>7.9290621072987246</v>
      </c>
      <c r="K145" s="827">
        <v>8.670924022399463</v>
      </c>
      <c r="L145" s="838">
        <v>6.8554742932032902</v>
      </c>
      <c r="M145" s="827">
        <v>6.5206059298673456</v>
      </c>
      <c r="N145" s="1524">
        <v>309.55419529278743</v>
      </c>
      <c r="O145" s="827">
        <v>61.840666619098997</v>
      </c>
      <c r="P145" s="827">
        <v>21.164553313915512</v>
      </c>
      <c r="Q145" s="827">
        <v>21.944428303451904</v>
      </c>
      <c r="R145" s="827">
        <v>23.470292997951812</v>
      </c>
      <c r="S145" s="827">
        <v>20.262978811913154</v>
      </c>
      <c r="T145" s="827"/>
    </row>
    <row r="146" spans="2:20">
      <c r="B146" s="187">
        <v>43161</v>
      </c>
      <c r="C146" s="827" t="e">
        <v>#REF!</v>
      </c>
      <c r="D146" s="838">
        <v>21.169634170780004</v>
      </c>
      <c r="E146" s="838">
        <v>780.77936454094663</v>
      </c>
      <c r="F146" s="827">
        <v>403.5099892873356</v>
      </c>
      <c r="G146" s="838">
        <v>50.154880825304716</v>
      </c>
      <c r="H146" s="838">
        <v>11.465729301895298</v>
      </c>
      <c r="I146" s="827">
        <v>16.147668169398553</v>
      </c>
      <c r="J146" s="1572">
        <v>7.9229009589079897</v>
      </c>
      <c r="K146" s="827">
        <v>8.670924022399463</v>
      </c>
      <c r="L146" s="838">
        <v>6.8644880106941537</v>
      </c>
      <c r="M146" s="827">
        <v>6.5206059298673456</v>
      </c>
      <c r="N146" s="1524">
        <v>301.64004351639193</v>
      </c>
      <c r="O146" s="827">
        <v>61.840666619098997</v>
      </c>
      <c r="P146" s="827">
        <v>21.169634170780004</v>
      </c>
      <c r="Q146" s="827">
        <v>21.944428303451904</v>
      </c>
      <c r="R146" s="827">
        <v>23.562671818575041</v>
      </c>
      <c r="S146" s="827">
        <v>20.262978811913154</v>
      </c>
      <c r="T146" s="827"/>
    </row>
    <row r="147" spans="2:20">
      <c r="B147" s="187">
        <v>43168</v>
      </c>
      <c r="C147" s="827" t="e">
        <v>#REF!</v>
      </c>
      <c r="D147" s="838">
        <v>22.524764729338166</v>
      </c>
      <c r="E147" s="838">
        <v>814.41445888148837</v>
      </c>
      <c r="F147" s="827">
        <v>403.5099892873356</v>
      </c>
      <c r="G147" s="838">
        <v>52.898363297570604</v>
      </c>
      <c r="H147" s="838">
        <v>12.502775088416435</v>
      </c>
      <c r="I147" s="827">
        <v>16.147668169398553</v>
      </c>
      <c r="J147" s="1572">
        <v>8.3095522635173307</v>
      </c>
      <c r="K147" s="827">
        <v>8.670924022399463</v>
      </c>
      <c r="L147" s="838">
        <v>7.2453965411789021</v>
      </c>
      <c r="M147" s="827">
        <v>6.5206059298673456</v>
      </c>
      <c r="N147" s="1524">
        <v>321.94337900607871</v>
      </c>
      <c r="O147" s="827">
        <v>61.840666619098997</v>
      </c>
      <c r="P147" s="827">
        <v>22.524764729338166</v>
      </c>
      <c r="Q147" s="827">
        <v>21.944428303451904</v>
      </c>
      <c r="R147" s="827">
        <v>24.741942101781827</v>
      </c>
      <c r="S147" s="827">
        <v>20.262978811913154</v>
      </c>
      <c r="T147" s="827"/>
    </row>
    <row r="148" spans="2:20">
      <c r="B148" s="187">
        <v>43175</v>
      </c>
      <c r="C148" s="827" t="e">
        <v>#REF!</v>
      </c>
      <c r="D148" s="838">
        <v>21.889355428489154</v>
      </c>
      <c r="E148" s="838">
        <v>793.11211061505833</v>
      </c>
      <c r="F148" s="827">
        <v>403.5099892873356</v>
      </c>
      <c r="G148" s="838">
        <v>51.579882004639636</v>
      </c>
      <c r="H148" s="838">
        <v>12.246799399361834</v>
      </c>
      <c r="I148" s="827">
        <v>16.147668169398553</v>
      </c>
      <c r="J148" s="1572">
        <v>8.4101749381644204</v>
      </c>
      <c r="K148" s="827">
        <v>8.670924022399463</v>
      </c>
      <c r="L148" s="838">
        <v>7.1045291248521831</v>
      </c>
      <c r="M148" s="827">
        <v>6.5206059298673456</v>
      </c>
      <c r="N148" s="1524">
        <v>308.99473170943111</v>
      </c>
      <c r="O148" s="827">
        <v>61.840666619098997</v>
      </c>
      <c r="P148" s="827">
        <v>21.889355428489154</v>
      </c>
      <c r="Q148" s="827">
        <v>21.944428303451904</v>
      </c>
      <c r="R148" s="827">
        <v>24.809977764220555</v>
      </c>
      <c r="S148" s="827">
        <v>20.262978811913154</v>
      </c>
      <c r="T148" s="827"/>
    </row>
    <row r="149" spans="2:20">
      <c r="B149" s="187">
        <v>43182</v>
      </c>
      <c r="C149" s="827" t="e">
        <v>#REF!</v>
      </c>
      <c r="D149" s="838">
        <v>20.307644758333044</v>
      </c>
      <c r="E149" s="838">
        <v>726.61699723653703</v>
      </c>
      <c r="F149" s="827">
        <v>403.5099892873356</v>
      </c>
      <c r="G149" s="838">
        <v>47.953764499468562</v>
      </c>
      <c r="H149" s="838">
        <v>11.662787279389649</v>
      </c>
      <c r="I149" s="827">
        <v>16.147668169398553</v>
      </c>
      <c r="J149" s="1572">
        <v>7.914291305268077</v>
      </c>
      <c r="K149" s="827">
        <v>8.670924022399463</v>
      </c>
      <c r="L149" s="838">
        <v>6.5863082102705697</v>
      </c>
      <c r="M149" s="827">
        <v>6.5206059298673456</v>
      </c>
      <c r="N149" s="1524">
        <v>290.12028470136914</v>
      </c>
      <c r="O149" s="827">
        <v>61.840666619098997</v>
      </c>
      <c r="P149" s="827">
        <v>20.307644758333044</v>
      </c>
      <c r="Q149" s="827">
        <v>21.944428303451904</v>
      </c>
      <c r="R149" s="827">
        <v>23.216850550592021</v>
      </c>
      <c r="S149" s="827">
        <v>20.262978811913154</v>
      </c>
      <c r="T149" s="827"/>
    </row>
    <row r="150" spans="2:20">
      <c r="B150" s="187">
        <v>43189</v>
      </c>
      <c r="C150" s="827" t="e">
        <v>#REF!</v>
      </c>
      <c r="D150" s="838">
        <v>19.887173003828487</v>
      </c>
      <c r="E150" s="838">
        <v>644.75480144124094</v>
      </c>
      <c r="F150" s="827">
        <v>403.5099892873356</v>
      </c>
      <c r="G150" s="838">
        <v>46.645484034959928</v>
      </c>
      <c r="H150" s="838">
        <v>10.26152277854718</v>
      </c>
      <c r="I150" s="827">
        <v>16.147668169398553</v>
      </c>
      <c r="J150" s="1572">
        <v>7.9417694303196926</v>
      </c>
      <c r="K150" s="827">
        <v>8.670924022399463</v>
      </c>
      <c r="L150" s="838">
        <v>6.4640839979721383</v>
      </c>
      <c r="M150" s="827">
        <v>6.5206059298673456</v>
      </c>
      <c r="N150" s="1524">
        <v>250.018258951322</v>
      </c>
      <c r="O150" s="827">
        <v>61.840666619098997</v>
      </c>
      <c r="P150" s="827">
        <v>19.887173003828487</v>
      </c>
      <c r="Q150" s="827">
        <v>21.944428303451904</v>
      </c>
      <c r="R150" s="827">
        <v>23.301635896393101</v>
      </c>
      <c r="S150" s="827">
        <v>20.262978811913154</v>
      </c>
      <c r="T150" s="827"/>
    </row>
    <row r="151" spans="2:20">
      <c r="B151" s="187">
        <v>43196</v>
      </c>
      <c r="C151" s="827" t="e">
        <v>#REF!</v>
      </c>
      <c r="D151" s="838">
        <v>19.255455814946995</v>
      </c>
      <c r="E151" s="838">
        <v>580.4303904691966</v>
      </c>
      <c r="F151" s="827">
        <v>403.5099892873356</v>
      </c>
      <c r="G151" s="838">
        <v>44.945344317753793</v>
      </c>
      <c r="H151" s="838">
        <v>9.5158551512894309</v>
      </c>
      <c r="I151" s="827">
        <v>16.147668169398553</v>
      </c>
      <c r="J151" s="1572">
        <v>7.9369441100952045</v>
      </c>
      <c r="K151" s="827">
        <v>8.670924022399463</v>
      </c>
      <c r="L151" s="838">
        <v>5.9144625993869147</v>
      </c>
      <c r="M151" s="827">
        <v>6.5206059298673456</v>
      </c>
      <c r="N151" s="1524">
        <v>227.37788796522727</v>
      </c>
      <c r="O151" s="827">
        <v>61.840666619098997</v>
      </c>
      <c r="P151" s="827">
        <v>19.255455814946995</v>
      </c>
      <c r="Q151" s="827">
        <v>21.944428303451904</v>
      </c>
      <c r="R151" s="827">
        <v>23.236098744987281</v>
      </c>
      <c r="S151" s="827">
        <v>20.262978811913154</v>
      </c>
      <c r="T151" s="827"/>
    </row>
    <row r="152" spans="2:20">
      <c r="B152" s="187">
        <v>43203</v>
      </c>
      <c r="C152" s="827" t="e">
        <v>#REF!</v>
      </c>
      <c r="D152" s="838">
        <v>20.158130592399466</v>
      </c>
      <c r="E152" s="838">
        <v>558.96622785130216</v>
      </c>
      <c r="F152" s="827">
        <v>403.5099892873356</v>
      </c>
      <c r="G152" s="838">
        <v>46.190682641943781</v>
      </c>
      <c r="H152" s="838">
        <v>9.4624874502650549</v>
      </c>
      <c r="I152" s="827">
        <v>16.147668169398553</v>
      </c>
      <c r="J152" s="1572">
        <v>8.1548884198389153</v>
      </c>
      <c r="K152" s="827">
        <v>8.670924022399463</v>
      </c>
      <c r="L152" s="838">
        <v>6.0170069129485428</v>
      </c>
      <c r="M152" s="827">
        <v>6.5206059298673456</v>
      </c>
      <c r="N152" s="1524">
        <v>222.42827589902419</v>
      </c>
      <c r="O152" s="827">
        <v>61.840666619098997</v>
      </c>
      <c r="P152" s="827">
        <v>20.158130592399466</v>
      </c>
      <c r="Q152" s="827">
        <v>21.944428303451904</v>
      </c>
      <c r="R152" s="827">
        <v>23.811601832171174</v>
      </c>
      <c r="S152" s="827">
        <v>20.262978811913154</v>
      </c>
      <c r="T152" s="827"/>
    </row>
    <row r="153" spans="2:20">
      <c r="B153" s="187">
        <v>43210</v>
      </c>
      <c r="C153" s="827" t="e">
        <v>#REF!</v>
      </c>
      <c r="D153" s="838">
        <v>20.32059901918019</v>
      </c>
      <c r="E153" s="838">
        <v>581.18811554417618</v>
      </c>
      <c r="F153" s="827">
        <v>403.5099892873356</v>
      </c>
      <c r="G153" s="838">
        <v>47.395176610687066</v>
      </c>
      <c r="H153" s="838">
        <v>10.256420161706972</v>
      </c>
      <c r="I153" s="827">
        <v>16.147668169398553</v>
      </c>
      <c r="J153" s="1572">
        <v>8.2791885838816022</v>
      </c>
      <c r="K153" s="827">
        <v>8.670924022399463</v>
      </c>
      <c r="L153" s="838">
        <v>6.1800770634633997</v>
      </c>
      <c r="M153" s="827">
        <v>6.5206059298673456</v>
      </c>
      <c r="N153" s="1524">
        <v>238.31926931400474</v>
      </c>
      <c r="O153" s="827">
        <v>61.840666619098997</v>
      </c>
      <c r="P153" s="827">
        <v>20.32059901918019</v>
      </c>
      <c r="Q153" s="827">
        <v>21.944428303451904</v>
      </c>
      <c r="R153" s="827">
        <v>24.140786578823047</v>
      </c>
      <c r="S153" s="827">
        <v>20.262978811913154</v>
      </c>
      <c r="T153" s="827"/>
    </row>
    <row r="154" spans="2:20">
      <c r="B154" s="187">
        <v>43217</v>
      </c>
      <c r="C154" s="827" t="e">
        <v>#REF!</v>
      </c>
      <c r="D154" s="838">
        <v>19.430687478451581</v>
      </c>
      <c r="E154" s="838">
        <v>560.05305774702992</v>
      </c>
      <c r="F154" s="827">
        <v>403.5099892873356</v>
      </c>
      <c r="G154" s="838">
        <v>41.375788253663629</v>
      </c>
      <c r="H154" s="838">
        <v>10.175197584461259</v>
      </c>
      <c r="I154" s="827">
        <v>16.147668169398553</v>
      </c>
      <c r="J154" s="1572">
        <v>8.0140254226521037</v>
      </c>
      <c r="K154" s="827">
        <v>8.670924022399463</v>
      </c>
      <c r="L154" s="838">
        <v>5.8962924623525756</v>
      </c>
      <c r="M154" s="827">
        <v>6.5206059298673456</v>
      </c>
      <c r="N154" s="1524">
        <v>228.48714674290031</v>
      </c>
      <c r="O154" s="827">
        <v>61.840666619098997</v>
      </c>
      <c r="P154" s="827">
        <v>19.430687478451581</v>
      </c>
      <c r="Q154" s="827">
        <v>21.944428303451904</v>
      </c>
      <c r="R154" s="827">
        <v>23.41989280160271</v>
      </c>
      <c r="S154" s="827">
        <v>20.262978811913154</v>
      </c>
      <c r="T154" s="827"/>
    </row>
    <row r="155" spans="2:20">
      <c r="B155" s="187">
        <v>43224</v>
      </c>
      <c r="C155" s="827" t="e">
        <v>#REF!</v>
      </c>
      <c r="D155" s="838">
        <v>19.50617312629678</v>
      </c>
      <c r="E155" s="838">
        <v>442.30466936323143</v>
      </c>
      <c r="F155" s="827">
        <v>403.5099892873356</v>
      </c>
      <c r="G155" s="838">
        <v>41.276549749186543</v>
      </c>
      <c r="H155" s="838">
        <v>10.782395615561182</v>
      </c>
      <c r="I155" s="827">
        <v>16.147668169398553</v>
      </c>
      <c r="J155" s="1572">
        <v>8.2738897286940034</v>
      </c>
      <c r="K155" s="827">
        <v>8.670924022399463</v>
      </c>
      <c r="L155" s="838">
        <v>5.8414572054972034</v>
      </c>
      <c r="M155" s="827">
        <v>6.5206059298673456</v>
      </c>
      <c r="N155" s="1524">
        <v>217.88042876008765</v>
      </c>
      <c r="O155" s="827">
        <v>61.840666619098997</v>
      </c>
      <c r="P155" s="827">
        <v>19.50617312629678</v>
      </c>
      <c r="Q155" s="827">
        <v>21.944428303451904</v>
      </c>
      <c r="R155" s="827">
        <v>24.161029736121591</v>
      </c>
      <c r="S155" s="827">
        <v>20.262978811913154</v>
      </c>
      <c r="T155" s="827"/>
    </row>
    <row r="156" spans="2:20">
      <c r="B156" s="187">
        <v>43231</v>
      </c>
      <c r="C156" s="827" t="e">
        <v>#REF!</v>
      </c>
      <c r="D156" s="838">
        <v>20.482371724793992</v>
      </c>
      <c r="E156" s="838">
        <v>464.04553061566537</v>
      </c>
      <c r="F156" s="827">
        <v>403.5099892873356</v>
      </c>
      <c r="G156" s="838">
        <v>42.705292410207058</v>
      </c>
      <c r="H156" s="838">
        <v>11.453352360027207</v>
      </c>
      <c r="I156" s="827">
        <v>16.147668169398553</v>
      </c>
      <c r="J156" s="1572">
        <v>8.6011304808407125</v>
      </c>
      <c r="K156" s="827">
        <v>8.670924022399463</v>
      </c>
      <c r="L156" s="838">
        <v>6.1256705550708936</v>
      </c>
      <c r="M156" s="827">
        <v>6.5206059298673456</v>
      </c>
      <c r="N156" s="1524">
        <v>229.94417044820335</v>
      </c>
      <c r="O156" s="827">
        <v>61.840666619098997</v>
      </c>
      <c r="P156" s="827">
        <v>20.482371724793992</v>
      </c>
      <c r="Q156" s="827">
        <v>21.944428303451904</v>
      </c>
      <c r="R156" s="827">
        <v>25.240043246173421</v>
      </c>
      <c r="S156" s="827">
        <v>20.262978811913154</v>
      </c>
      <c r="T156" s="827"/>
    </row>
    <row r="157" spans="2:20">
      <c r="B157" s="187">
        <v>43238</v>
      </c>
      <c r="C157" s="827" t="e">
        <v>#REF!</v>
      </c>
      <c r="D157" s="838">
        <v>20.53962193914154</v>
      </c>
      <c r="E157" s="838">
        <v>460.76170432953393</v>
      </c>
      <c r="F157" s="827">
        <v>403.5099892873356</v>
      </c>
      <c r="G157" s="838">
        <v>42.525944410638367</v>
      </c>
      <c r="H157" s="838">
        <v>11.610615044849569</v>
      </c>
      <c r="I157" s="827">
        <v>16.147668169398553</v>
      </c>
      <c r="J157" s="1572">
        <v>8.5822192697082151</v>
      </c>
      <c r="K157" s="827">
        <v>8.670924022399463</v>
      </c>
      <c r="L157" s="838">
        <v>6.0802093483417368</v>
      </c>
      <c r="M157" s="827">
        <v>6.5206059298673456</v>
      </c>
      <c r="N157" s="1524">
        <v>230.27908094587292</v>
      </c>
      <c r="O157" s="827">
        <v>61.840666619098997</v>
      </c>
      <c r="P157" s="827">
        <v>20.53962193914154</v>
      </c>
      <c r="Q157" s="827">
        <v>21.944428303451904</v>
      </c>
      <c r="R157" s="827">
        <v>25.027325491169542</v>
      </c>
      <c r="S157" s="827">
        <v>20.262978811913154</v>
      </c>
      <c r="T157" s="827"/>
    </row>
    <row r="158" spans="2:20">
      <c r="B158" s="187">
        <v>43245</v>
      </c>
      <c r="C158" s="827" t="e">
        <v>#REF!</v>
      </c>
      <c r="D158" s="838">
        <v>21.019868240209327</v>
      </c>
      <c r="E158" s="838">
        <v>439.25651767194046</v>
      </c>
      <c r="F158" s="827">
        <v>403.5099892873356</v>
      </c>
      <c r="G158" s="838">
        <v>43.379971145445694</v>
      </c>
      <c r="H158" s="838">
        <v>11.238999429017721</v>
      </c>
      <c r="I158" s="827">
        <v>16.147668169398553</v>
      </c>
      <c r="J158" s="1572">
        <v>8.5965843731291276</v>
      </c>
      <c r="K158" s="827">
        <v>8.670924022399463</v>
      </c>
      <c r="L158" s="838">
        <v>6.1597973043498948</v>
      </c>
      <c r="M158" s="827">
        <v>6.5206059298673456</v>
      </c>
      <c r="N158" s="1524">
        <v>219.5026712013746</v>
      </c>
      <c r="O158" s="827">
        <v>61.840666619098997</v>
      </c>
      <c r="P158" s="827">
        <v>21.019868240209327</v>
      </c>
      <c r="Q158" s="827">
        <v>21.944428303451904</v>
      </c>
      <c r="R158" s="827">
        <v>24.822173487201734</v>
      </c>
      <c r="S158" s="827">
        <v>20.262978811913154</v>
      </c>
      <c r="T158" s="827"/>
    </row>
    <row r="159" spans="2:20">
      <c r="B159" s="187">
        <v>43252</v>
      </c>
      <c r="C159" s="827" t="e">
        <v>#REF!</v>
      </c>
      <c r="D159" s="838">
        <v>21.510429234708354</v>
      </c>
      <c r="E159" s="838">
        <v>450.35496808990376</v>
      </c>
      <c r="F159" s="827">
        <v>403.5099892873356</v>
      </c>
      <c r="G159" s="838">
        <v>44.237810996459494</v>
      </c>
      <c r="H159" s="838">
        <v>11.793864598309487</v>
      </c>
      <c r="I159" s="827">
        <v>16.147668169398553</v>
      </c>
      <c r="J159" s="1572">
        <v>8.8074960365502726</v>
      </c>
      <c r="K159" s="827">
        <v>8.670924022399463</v>
      </c>
      <c r="L159" s="838">
        <v>6.4057249585811364</v>
      </c>
      <c r="M159" s="827">
        <v>6.5206059298673456</v>
      </c>
      <c r="N159" s="1524">
        <v>228.1704602087184</v>
      </c>
      <c r="O159" s="827">
        <v>61.840666619098997</v>
      </c>
      <c r="P159" s="827">
        <v>21.510429234708354</v>
      </c>
      <c r="Q159" s="827">
        <v>21.944428303451904</v>
      </c>
      <c r="R159" s="827">
        <v>25.474878015087359</v>
      </c>
      <c r="S159" s="827">
        <v>20.262978811913154</v>
      </c>
      <c r="T159" s="827"/>
    </row>
    <row r="160" spans="2:20">
      <c r="B160" s="187">
        <v>43259</v>
      </c>
      <c r="C160" s="827" t="e">
        <v>#REF!</v>
      </c>
      <c r="D160" s="838">
        <v>21.536290663365158</v>
      </c>
      <c r="E160" s="838">
        <v>475.09832297091197</v>
      </c>
      <c r="F160" s="827">
        <v>403.5099892873356</v>
      </c>
      <c r="G160" s="838">
        <v>44.547561140283932</v>
      </c>
      <c r="H160" s="838">
        <v>12.761987770068659</v>
      </c>
      <c r="I160" s="827">
        <v>16.147668169398553</v>
      </c>
      <c r="J160" s="1572">
        <v>9.0247262836030586</v>
      </c>
      <c r="K160" s="827">
        <v>8.670924022399463</v>
      </c>
      <c r="L160" s="838">
        <v>6.6451992151581472</v>
      </c>
      <c r="M160" s="827">
        <v>6.5206059298673456</v>
      </c>
      <c r="N160" s="1524">
        <v>243.27316836352261</v>
      </c>
      <c r="O160" s="827">
        <v>61.840666619098997</v>
      </c>
      <c r="P160" s="827">
        <v>21.536290663365158</v>
      </c>
      <c r="Q160" s="827">
        <v>21.944428303451904</v>
      </c>
      <c r="R160" s="827">
        <v>26.163110804869426</v>
      </c>
      <c r="S160" s="827">
        <v>20.262978811913154</v>
      </c>
      <c r="T160" s="827"/>
    </row>
    <row r="161" spans="2:20">
      <c r="B161" s="187">
        <v>43266</v>
      </c>
      <c r="C161" s="827" t="e">
        <v>#REF!</v>
      </c>
      <c r="D161" s="838">
        <v>22.293297800904963</v>
      </c>
      <c r="E161" s="838">
        <v>478.25801417925413</v>
      </c>
      <c r="F161" s="827">
        <v>403.5099892873356</v>
      </c>
      <c r="G161" s="838">
        <v>45.847520913343125</v>
      </c>
      <c r="H161" s="838">
        <v>13.141778905816981</v>
      </c>
      <c r="I161" s="827">
        <v>16.147668169398553</v>
      </c>
      <c r="J161" s="1572">
        <v>9.1997158483867771</v>
      </c>
      <c r="K161" s="827">
        <v>8.670924022399463</v>
      </c>
      <c r="L161" s="838">
        <v>6.87535534607657</v>
      </c>
      <c r="M161" s="827">
        <v>6.5206059298673456</v>
      </c>
      <c r="N161" s="1524">
        <v>266.51468650096848</v>
      </c>
      <c r="O161" s="827">
        <v>61.840666619098997</v>
      </c>
      <c r="P161" s="827">
        <v>22.293297800904963</v>
      </c>
      <c r="Q161" s="827">
        <v>21.944428303451904</v>
      </c>
      <c r="R161" s="827">
        <v>26.845300064179515</v>
      </c>
      <c r="S161" s="827">
        <v>20.262978811913154</v>
      </c>
      <c r="T161" s="827"/>
    </row>
    <row r="162" spans="2:20">
      <c r="B162" s="187">
        <v>43273</v>
      </c>
      <c r="C162" s="827" t="e">
        <v>#REF!</v>
      </c>
      <c r="D162" s="838">
        <v>22.671058414546501</v>
      </c>
      <c r="E162" s="838">
        <v>451.40973959076723</v>
      </c>
      <c r="F162" s="827">
        <v>403.5099892873356</v>
      </c>
      <c r="G162" s="838">
        <v>46.308937121217674</v>
      </c>
      <c r="H162" s="838">
        <v>12.557309874792098</v>
      </c>
      <c r="I162" s="827">
        <v>16.147668169398553</v>
      </c>
      <c r="J162" s="1572">
        <v>8.9545888770966933</v>
      </c>
      <c r="K162" s="827">
        <v>8.670924022399463</v>
      </c>
      <c r="L162" s="838">
        <v>6.7839124758880232</v>
      </c>
      <c r="M162" s="827">
        <v>6.5206059298673456</v>
      </c>
      <c r="N162" s="1524">
        <v>251.68577334032437</v>
      </c>
      <c r="O162" s="827">
        <v>61.840666619098997</v>
      </c>
      <c r="P162" s="827">
        <v>22.671058414546501</v>
      </c>
      <c r="Q162" s="827">
        <v>21.944428303451904</v>
      </c>
      <c r="R162" s="827">
        <v>26.141877582877122</v>
      </c>
      <c r="S162" s="827">
        <v>20.262978811913154</v>
      </c>
      <c r="T162" s="827"/>
    </row>
    <row r="163" spans="2:20">
      <c r="B163" s="187">
        <v>43280</v>
      </c>
      <c r="C163" s="827" t="e">
        <v>#REF!</v>
      </c>
      <c r="D163" s="838">
        <v>21.916152679912535</v>
      </c>
      <c r="E163" s="838">
        <v>396.5427689546778</v>
      </c>
      <c r="F163" s="827">
        <v>403.5099892873356</v>
      </c>
      <c r="G163" s="838">
        <v>44.73020133031099</v>
      </c>
      <c r="H163" s="838">
        <v>11.524850517864049</v>
      </c>
      <c r="I163" s="827">
        <v>16.147668169398553</v>
      </c>
      <c r="J163" s="1572">
        <v>8.9458244221651544</v>
      </c>
      <c r="K163" s="827">
        <v>8.670924022399463</v>
      </c>
      <c r="L163" s="838">
        <v>6.5510621545116505</v>
      </c>
      <c r="M163" s="827">
        <v>6.5206059298673456</v>
      </c>
      <c r="N163" s="1524">
        <v>229.23013060931024</v>
      </c>
      <c r="O163" s="827">
        <v>61.840666619098997</v>
      </c>
      <c r="P163" s="827">
        <v>21.916152679912535</v>
      </c>
      <c r="Q163" s="827">
        <v>21.944428303451904</v>
      </c>
      <c r="R163" s="827">
        <v>25.882599854851158</v>
      </c>
      <c r="S163" s="827">
        <v>20.262978811913154</v>
      </c>
      <c r="T163" s="827"/>
    </row>
    <row r="164" spans="2:20">
      <c r="B164" s="187">
        <v>43287</v>
      </c>
      <c r="C164" s="827" t="e">
        <v>#REF!</v>
      </c>
      <c r="D164" s="838">
        <v>22.474359724803499</v>
      </c>
      <c r="E164" s="838">
        <v>417.31443193382324</v>
      </c>
      <c r="F164" s="827">
        <v>403.5099892873356</v>
      </c>
      <c r="G164" s="838">
        <v>45.609304295433219</v>
      </c>
      <c r="H164" s="838">
        <v>12.410392726167627</v>
      </c>
      <c r="I164" s="827">
        <v>16.147668169398553</v>
      </c>
      <c r="J164" s="1572">
        <v>9.2208667315354571</v>
      </c>
      <c r="K164" s="827">
        <v>8.670924022399463</v>
      </c>
      <c r="L164" s="838">
        <v>6.791086396396083</v>
      </c>
      <c r="M164" s="827">
        <v>6.5206059298673456</v>
      </c>
      <c r="N164" s="1524">
        <v>245.12710757443861</v>
      </c>
      <c r="O164" s="827">
        <v>61.840666619098997</v>
      </c>
      <c r="P164" s="827">
        <v>22.474359724803499</v>
      </c>
      <c r="Q164" s="827">
        <v>21.944428303451904</v>
      </c>
      <c r="R164" s="827">
        <v>26.730320009956181</v>
      </c>
      <c r="S164" s="827">
        <v>20.262978811913154</v>
      </c>
      <c r="T164" s="827"/>
    </row>
    <row r="165" spans="2:20">
      <c r="B165" s="187">
        <v>43294</v>
      </c>
      <c r="C165" s="827" t="e">
        <v>#REF!</v>
      </c>
      <c r="D165" s="838">
        <v>22.301056637450742</v>
      </c>
      <c r="E165" s="838">
        <v>433.19494278140758</v>
      </c>
      <c r="F165" s="827">
        <v>403.5099892873356</v>
      </c>
      <c r="G165" s="838">
        <v>45.81136017403513</v>
      </c>
      <c r="H165" s="838">
        <v>13.150675640562966</v>
      </c>
      <c r="I165" s="827">
        <v>16.147668169398553</v>
      </c>
      <c r="J165" s="1572">
        <v>9.5362705099054441</v>
      </c>
      <c r="K165" s="827">
        <v>8.670924022399463</v>
      </c>
      <c r="L165" s="838">
        <v>6.8589035171964845</v>
      </c>
      <c r="M165" s="827">
        <v>6.5206059298673456</v>
      </c>
      <c r="N165" s="1524">
        <v>257.19811559097241</v>
      </c>
      <c r="O165" s="827">
        <v>61.840666619098997</v>
      </c>
      <c r="P165" s="827">
        <v>22.301056637450742</v>
      </c>
      <c r="Q165" s="827">
        <v>21.944428303451904</v>
      </c>
      <c r="R165" s="827">
        <v>27.504480981551911</v>
      </c>
      <c r="S165" s="827">
        <v>20.262978811913154</v>
      </c>
      <c r="T165" s="827"/>
    </row>
    <row r="166" spans="2:20">
      <c r="B166" s="187">
        <v>43301</v>
      </c>
      <c r="C166" s="827" t="e">
        <v>#REF!</v>
      </c>
      <c r="D166" s="838">
        <v>21.764818515894184</v>
      </c>
      <c r="E166" s="838">
        <v>431.09383924645959</v>
      </c>
      <c r="F166" s="827">
        <v>403.5099892873356</v>
      </c>
      <c r="G166" s="838">
        <v>45.037579298597805</v>
      </c>
      <c r="H166" s="838">
        <v>13.49419085685617</v>
      </c>
      <c r="I166" s="827">
        <v>16.147668169398553</v>
      </c>
      <c r="J166" s="1572">
        <v>9.5125466554616001</v>
      </c>
      <c r="K166" s="827">
        <v>8.670924022399463</v>
      </c>
      <c r="L166" s="838">
        <v>6.7753324457072219</v>
      </c>
      <c r="M166" s="827">
        <v>6.5206059298673456</v>
      </c>
      <c r="N166" s="1524">
        <v>261.44259842021069</v>
      </c>
      <c r="O166" s="827">
        <v>61.840666619098997</v>
      </c>
      <c r="P166" s="827">
        <v>21.764818515894184</v>
      </c>
      <c r="Q166" s="827">
        <v>21.944428303451904</v>
      </c>
      <c r="R166" s="827">
        <v>27.352171376297388</v>
      </c>
      <c r="S166" s="827">
        <v>20.262978811913154</v>
      </c>
      <c r="T166" s="827"/>
    </row>
    <row r="167" spans="2:20">
      <c r="B167" s="187">
        <v>43308</v>
      </c>
      <c r="C167" s="827" t="e">
        <v>#REF!</v>
      </c>
      <c r="D167" s="838">
        <v>20.97636098628357</v>
      </c>
      <c r="E167" s="838">
        <v>394.86953155627663</v>
      </c>
      <c r="F167" s="827">
        <v>403.5099892873356</v>
      </c>
      <c r="G167" s="838">
        <v>41.40888985679053</v>
      </c>
      <c r="H167" s="838">
        <v>12.413040931653155</v>
      </c>
      <c r="I167" s="827">
        <v>16.147668169398553</v>
      </c>
      <c r="J167" s="1572">
        <v>9.3811862696504562</v>
      </c>
      <c r="K167" s="827">
        <v>8.670924022399463</v>
      </c>
      <c r="L167" s="838">
        <v>6.4640093899967006</v>
      </c>
      <c r="M167" s="827">
        <v>6.5206059298673456</v>
      </c>
      <c r="N167" s="1524">
        <v>240.0485969407035</v>
      </c>
      <c r="O167" s="827">
        <v>61.840666619098997</v>
      </c>
      <c r="P167" s="827">
        <v>20.97636098628357</v>
      </c>
      <c r="Q167" s="827">
        <v>21.944428303451904</v>
      </c>
      <c r="R167" s="827">
        <v>26.652363053079615</v>
      </c>
      <c r="S167" s="827">
        <v>20.262978811913154</v>
      </c>
      <c r="T167" s="827"/>
    </row>
    <row r="168" spans="2:20">
      <c r="B168" s="187">
        <v>43315</v>
      </c>
      <c r="C168" s="827" t="e">
        <v>#REF!</v>
      </c>
      <c r="D168" s="838">
        <v>20.45937378707654</v>
      </c>
      <c r="E168" s="838">
        <v>333.64936776768144</v>
      </c>
      <c r="F168" s="827">
        <v>403.5099892873356</v>
      </c>
      <c r="G168" s="838">
        <v>40.39946749967276</v>
      </c>
      <c r="H168" s="838">
        <v>10.639751017455245</v>
      </c>
      <c r="I168" s="827">
        <v>16.147668169398553</v>
      </c>
      <c r="J168" s="1572">
        <v>9.3679632678063562</v>
      </c>
      <c r="K168" s="827">
        <v>8.670924022399463</v>
      </c>
      <c r="L168" s="838">
        <v>6.2072758798373995</v>
      </c>
      <c r="M168" s="827">
        <v>6.5206059298673456</v>
      </c>
      <c r="N168" s="1524">
        <v>216.36013289984695</v>
      </c>
      <c r="O168" s="827">
        <v>61.840666619098997</v>
      </c>
      <c r="P168" s="827">
        <v>20.45937378707654</v>
      </c>
      <c r="Q168" s="827">
        <v>21.944428303451904</v>
      </c>
      <c r="R168" s="827">
        <v>26.589314500006786</v>
      </c>
      <c r="S168" s="827">
        <v>20.262978811913154</v>
      </c>
      <c r="T168" s="827"/>
    </row>
    <row r="169" spans="2:20">
      <c r="B169" s="187">
        <v>43322</v>
      </c>
      <c r="C169" s="827" t="e">
        <v>#REF!</v>
      </c>
      <c r="D169" s="838">
        <v>21.662436368785585</v>
      </c>
      <c r="E169" s="838">
        <v>345.41126961557893</v>
      </c>
      <c r="F169" s="827">
        <v>403.5099892873356</v>
      </c>
      <c r="G169" s="838">
        <v>42.159082507579981</v>
      </c>
      <c r="H169" s="838">
        <v>11.192376560545961</v>
      </c>
      <c r="I169" s="827">
        <v>16.147668169398553</v>
      </c>
      <c r="J169" s="1572">
        <v>9.5357177558446722</v>
      </c>
      <c r="K169" s="827">
        <v>8.670924022399463</v>
      </c>
      <c r="L169" s="838">
        <v>6.4752238717401118</v>
      </c>
      <c r="M169" s="827">
        <v>6.5206059298673456</v>
      </c>
      <c r="N169" s="1524">
        <v>226.22810017362301</v>
      </c>
      <c r="O169" s="827">
        <v>61.840666619098997</v>
      </c>
      <c r="P169" s="827">
        <v>21.662436368785585</v>
      </c>
      <c r="Q169" s="827">
        <v>21.944428303451904</v>
      </c>
      <c r="R169" s="827">
        <v>27.258535144617316</v>
      </c>
      <c r="S169" s="827">
        <v>20.262978811913154</v>
      </c>
      <c r="T169" s="827"/>
    </row>
    <row r="170" spans="2:20">
      <c r="B170" s="187">
        <v>43329</v>
      </c>
      <c r="C170" s="827" t="e">
        <v>#REF!</v>
      </c>
      <c r="D170" s="838">
        <v>20.679024766814859</v>
      </c>
      <c r="E170" s="838">
        <v>312.19802114394452</v>
      </c>
      <c r="F170" s="827">
        <v>403.5099892873356</v>
      </c>
      <c r="G170" s="838">
        <v>40.496647664660422</v>
      </c>
      <c r="H170" s="838">
        <v>10.12967844042444</v>
      </c>
      <c r="I170" s="827">
        <v>16.147668169398553</v>
      </c>
      <c r="J170" s="1572">
        <v>9.2981771097798429</v>
      </c>
      <c r="K170" s="827">
        <v>8.670924022399463</v>
      </c>
      <c r="L170" s="838">
        <v>6.179659297351269</v>
      </c>
      <c r="M170" s="827">
        <v>6.5206059298673456</v>
      </c>
      <c r="N170" s="1524">
        <v>201.73354268708428</v>
      </c>
      <c r="O170" s="827">
        <v>61.840666619098997</v>
      </c>
      <c r="P170" s="827">
        <v>20.679024766814859</v>
      </c>
      <c r="Q170" s="827">
        <v>21.944428303451904</v>
      </c>
      <c r="R170" s="827">
        <v>26.4787187091408</v>
      </c>
      <c r="S170" s="827">
        <v>20.262978811913154</v>
      </c>
      <c r="T170" s="827"/>
    </row>
    <row r="171" spans="2:20">
      <c r="B171" s="187">
        <v>43336</v>
      </c>
      <c r="C171" s="827" t="e">
        <v>#REF!</v>
      </c>
      <c r="D171" s="838">
        <v>22.058431357484512</v>
      </c>
      <c r="E171" s="838">
        <v>314.59618322216471</v>
      </c>
      <c r="F171" s="827">
        <v>403.5099892873356</v>
      </c>
      <c r="G171" s="838">
        <v>42.569742480026051</v>
      </c>
      <c r="H171" s="838">
        <v>10.3488023269806</v>
      </c>
      <c r="I171" s="827">
        <v>16.147668169398553</v>
      </c>
      <c r="J171" s="1572">
        <v>9.7378159613452038</v>
      </c>
      <c r="K171" s="827">
        <v>8.670924022399463</v>
      </c>
      <c r="L171" s="838">
        <v>6.3730415112681982</v>
      </c>
      <c r="M171" s="827">
        <v>6.5206059298673456</v>
      </c>
      <c r="N171" s="1524">
        <v>204.45621838031775</v>
      </c>
      <c r="O171" s="827">
        <v>61.840666619098997</v>
      </c>
      <c r="P171" s="827">
        <v>22.058431357484512</v>
      </c>
      <c r="Q171" s="827">
        <v>21.944428303451904</v>
      </c>
      <c r="R171" s="827">
        <v>27.686862945944188</v>
      </c>
      <c r="S171" s="827">
        <v>20.262978811913154</v>
      </c>
      <c r="T171" s="827"/>
    </row>
    <row r="172" spans="2:20">
      <c r="B172" s="187">
        <v>43343</v>
      </c>
      <c r="C172" s="827" t="e">
        <v>#REF!</v>
      </c>
      <c r="D172" s="838">
        <v>22.491754089603049</v>
      </c>
      <c r="E172" s="838">
        <v>317.63515297260562</v>
      </c>
      <c r="F172" s="827">
        <v>403.5099892873356</v>
      </c>
      <c r="G172" s="838">
        <v>43.467195306281418</v>
      </c>
      <c r="H172" s="838">
        <v>10.686929111028938</v>
      </c>
      <c r="I172" s="827">
        <v>16.147668169398553</v>
      </c>
      <c r="J172" s="1572">
        <v>9.8899389167099176</v>
      </c>
      <c r="K172" s="827">
        <v>8.670924022399463</v>
      </c>
      <c r="L172" s="838">
        <v>6.4065405515870504</v>
      </c>
      <c r="M172" s="827">
        <v>6.5206059298673456</v>
      </c>
      <c r="N172" s="1524">
        <v>204.31662791273536</v>
      </c>
      <c r="O172" s="827">
        <v>61.840666619098997</v>
      </c>
      <c r="P172" s="827">
        <v>22.491754089603049</v>
      </c>
      <c r="Q172" s="827">
        <v>21.944428303451904</v>
      </c>
      <c r="R172" s="827">
        <v>27.878597279932471</v>
      </c>
      <c r="S172" s="827">
        <v>20.262978811913154</v>
      </c>
      <c r="T172" s="827"/>
    </row>
    <row r="173" spans="2:20">
      <c r="B173" s="187">
        <v>43350</v>
      </c>
      <c r="C173" s="827" t="e">
        <v>#REF!</v>
      </c>
      <c r="D173" s="838">
        <v>21.617074143995598</v>
      </c>
      <c r="E173" s="838">
        <v>301.82677954238522</v>
      </c>
      <c r="F173" s="827">
        <v>403.5099892873356</v>
      </c>
      <c r="G173" s="838">
        <v>41.725327475218151</v>
      </c>
      <c r="H173" s="838">
        <v>10.215714960142845</v>
      </c>
      <c r="I173" s="827">
        <v>16.147668169398553</v>
      </c>
      <c r="J173" s="1572">
        <v>9.7447239135060677</v>
      </c>
      <c r="K173" s="827">
        <v>8.670924022399463</v>
      </c>
      <c r="L173" s="838">
        <v>6.0782054222138138</v>
      </c>
      <c r="M173" s="827">
        <v>6.5206059298673456</v>
      </c>
      <c r="N173" s="1524">
        <v>194.21244700658085</v>
      </c>
      <c r="O173" s="827">
        <v>61.840666619098997</v>
      </c>
      <c r="P173" s="827">
        <v>21.617074143995598</v>
      </c>
      <c r="Q173" s="827">
        <v>21.944428303451904</v>
      </c>
      <c r="R173" s="827">
        <v>27.364549218844303</v>
      </c>
      <c r="S173" s="827">
        <v>20.262978811913154</v>
      </c>
      <c r="T173" s="827"/>
    </row>
    <row r="174" spans="2:20">
      <c r="B174" s="187">
        <v>43357</v>
      </c>
      <c r="C174" s="827" t="e">
        <v>#REF!</v>
      </c>
      <c r="D174" s="838">
        <v>22.019998964475942</v>
      </c>
      <c r="E174" s="838">
        <v>322.03980097328559</v>
      </c>
      <c r="F174" s="827">
        <v>403.5099892873356</v>
      </c>
      <c r="G174" s="838">
        <v>42.353452118286853</v>
      </c>
      <c r="H174" s="838">
        <v>11.292128616834725</v>
      </c>
      <c r="I174" s="827">
        <v>16.147668169398553</v>
      </c>
      <c r="J174" s="1572">
        <v>10.167449347971669</v>
      </c>
      <c r="K174" s="827">
        <v>8.670924022399463</v>
      </c>
      <c r="L174" s="838">
        <v>6.1876682147403885</v>
      </c>
      <c r="M174" s="827">
        <v>6.5206059298673456</v>
      </c>
      <c r="N174" s="1524">
        <v>212.66468337049952</v>
      </c>
      <c r="O174" s="827">
        <v>61.840666619098997</v>
      </c>
      <c r="P174" s="827">
        <v>22.019998964475942</v>
      </c>
      <c r="Q174" s="827">
        <v>21.944428303451904</v>
      </c>
      <c r="R174" s="827">
        <v>28.489945497557237</v>
      </c>
      <c r="S174" s="827">
        <v>20.262978811913154</v>
      </c>
      <c r="T174" s="827"/>
    </row>
    <row r="175" spans="2:20">
      <c r="B175" s="187">
        <v>43364</v>
      </c>
      <c r="C175" s="827" t="e">
        <v>#REF!</v>
      </c>
      <c r="D175" s="838">
        <v>21.659278881105873</v>
      </c>
      <c r="E175" s="838">
        <v>332.11173158167293</v>
      </c>
      <c r="F175" s="827">
        <v>403.5099892873356</v>
      </c>
      <c r="G175" s="838">
        <v>41.615045486006508</v>
      </c>
      <c r="H175" s="838">
        <v>11.753337839696362</v>
      </c>
      <c r="I175" s="827">
        <v>16.147668169398553</v>
      </c>
      <c r="J175" s="1572">
        <v>9.8380181641972708</v>
      </c>
      <c r="K175" s="827">
        <v>8.670924022399463</v>
      </c>
      <c r="L175" s="838">
        <v>6.1181275191534974</v>
      </c>
      <c r="M175" s="827">
        <v>6.5206059298673456</v>
      </c>
      <c r="N175" s="1524">
        <v>220.20865437895065</v>
      </c>
      <c r="O175" s="827">
        <v>61.840666619098997</v>
      </c>
      <c r="P175" s="827">
        <v>21.659278881105873</v>
      </c>
      <c r="Q175" s="827">
        <v>21.944428303451904</v>
      </c>
      <c r="R175" s="827">
        <v>27.581999137850822</v>
      </c>
      <c r="S175" s="827">
        <v>20.262978811913154</v>
      </c>
      <c r="T175" s="827"/>
    </row>
    <row r="176" spans="2:20">
      <c r="B176" s="187">
        <v>43371</v>
      </c>
      <c r="C176" s="827" t="e">
        <v>#REF!</v>
      </c>
      <c r="D176" s="838">
        <v>22.397807926425056</v>
      </c>
      <c r="E176" s="838">
        <v>326.68367423962519</v>
      </c>
      <c r="F176" s="827">
        <v>403.5099892873356</v>
      </c>
      <c r="G176" s="838">
        <v>42.670562421794145</v>
      </c>
      <c r="H176" s="838">
        <v>11.977594413524216</v>
      </c>
      <c r="I176" s="827">
        <v>16.147668169398553</v>
      </c>
      <c r="J176" s="1572">
        <v>10.057658989621777</v>
      </c>
      <c r="K176" s="827">
        <v>8.670924022399463</v>
      </c>
      <c r="L176" s="838">
        <v>6.2551068812945525</v>
      </c>
      <c r="M176" s="827">
        <v>6.5206059298673456</v>
      </c>
      <c r="N176" s="1524">
        <v>222.51882876881461</v>
      </c>
      <c r="O176" s="827">
        <v>61.840666619098997</v>
      </c>
      <c r="P176" s="827">
        <v>22.397807926425056</v>
      </c>
      <c r="Q176" s="827">
        <v>21.944428303451904</v>
      </c>
      <c r="R176" s="827">
        <v>28.391398799781417</v>
      </c>
      <c r="S176" s="827">
        <v>20.262978811913154</v>
      </c>
      <c r="T176" s="827"/>
    </row>
    <row r="177" spans="2:20">
      <c r="B177" s="187">
        <v>43378</v>
      </c>
      <c r="C177" s="827" t="e">
        <v>#REF!</v>
      </c>
      <c r="D177" s="838">
        <v>20.767185098962791</v>
      </c>
      <c r="E177" s="838">
        <v>285.80800337002182</v>
      </c>
      <c r="F177" s="827">
        <v>403.5099892873356</v>
      </c>
      <c r="G177" s="838">
        <v>39.780240017367468</v>
      </c>
      <c r="H177" s="838">
        <v>10.399019291576664</v>
      </c>
      <c r="I177" s="827">
        <v>16.147668169398553</v>
      </c>
      <c r="J177" s="1572">
        <v>9.6103322399444018</v>
      </c>
      <c r="K177" s="827">
        <v>8.670924022399463</v>
      </c>
      <c r="L177" s="838">
        <v>5.7364275922349028</v>
      </c>
      <c r="M177" s="827">
        <v>6.5206059298673456</v>
      </c>
      <c r="N177" s="1524">
        <v>190.33436963015075</v>
      </c>
      <c r="O177" s="827">
        <v>61.840666619098997</v>
      </c>
      <c r="P177" s="827">
        <v>20.767185098962791</v>
      </c>
      <c r="Q177" s="827">
        <v>21.944428303451904</v>
      </c>
      <c r="R177" s="827">
        <v>26.931704121703383</v>
      </c>
      <c r="S177" s="827">
        <v>20.262978811913154</v>
      </c>
      <c r="T177" s="827"/>
    </row>
    <row r="178" spans="2:20">
      <c r="B178" s="187">
        <v>43385</v>
      </c>
      <c r="C178" s="827" t="e">
        <v>#REF!</v>
      </c>
      <c r="D178" s="838">
        <v>19.701954888394724</v>
      </c>
      <c r="E178" s="838">
        <v>261.33914240784054</v>
      </c>
      <c r="F178" s="827">
        <v>403.5099892873356</v>
      </c>
      <c r="G178" s="838">
        <v>37.729613971457653</v>
      </c>
      <c r="H178" s="838">
        <v>9.5143046244938123</v>
      </c>
      <c r="I178" s="827">
        <v>16.147668169398553</v>
      </c>
      <c r="J178" s="1572">
        <v>8.968964343245414</v>
      </c>
      <c r="K178" s="827">
        <v>8.670924022399463</v>
      </c>
      <c r="L178" s="838">
        <v>5.385947434570892</v>
      </c>
      <c r="M178" s="827">
        <v>6.5206059298673456</v>
      </c>
      <c r="N178" s="1524">
        <v>172.23650779139464</v>
      </c>
      <c r="O178" s="827">
        <v>61.840666619098997</v>
      </c>
      <c r="P178" s="827">
        <v>19.701954888394724</v>
      </c>
      <c r="Q178" s="827">
        <v>21.944428303451904</v>
      </c>
      <c r="R178" s="827">
        <v>25.007327917056848</v>
      </c>
      <c r="S178" s="827">
        <v>20.262978811913154</v>
      </c>
      <c r="T178" s="827"/>
    </row>
    <row r="179" spans="2:20">
      <c r="B179" s="187">
        <v>43392</v>
      </c>
      <c r="C179" s="827" t="e">
        <v>#REF!</v>
      </c>
      <c r="D179" s="838">
        <v>19.412624813374727</v>
      </c>
      <c r="E179" s="838">
        <v>239.98380642834786</v>
      </c>
      <c r="F179" s="827">
        <v>403.5099892873356</v>
      </c>
      <c r="G179" s="838">
        <v>37.428982786309746</v>
      </c>
      <c r="H179" s="838">
        <v>8.8185279831210135</v>
      </c>
      <c r="I179" s="827">
        <v>16.147668169398553</v>
      </c>
      <c r="J179" s="1572">
        <v>8.7452821636761762</v>
      </c>
      <c r="K179" s="827">
        <v>8.670924022399463</v>
      </c>
      <c r="L179" s="838">
        <v>5.208714231271026</v>
      </c>
      <c r="M179" s="827">
        <v>6.5206059298673456</v>
      </c>
      <c r="N179" s="1524">
        <v>158.11641170328457</v>
      </c>
      <c r="O179" s="827">
        <v>61.840666619098997</v>
      </c>
      <c r="P179" s="827">
        <v>19.412624813374727</v>
      </c>
      <c r="Q179" s="827">
        <v>21.944428303451904</v>
      </c>
      <c r="R179" s="827">
        <v>24.278601373214805</v>
      </c>
      <c r="S179" s="827">
        <v>20.262978811913154</v>
      </c>
      <c r="T179" s="827"/>
    </row>
    <row r="180" spans="2:20">
      <c r="B180" s="187">
        <v>43399</v>
      </c>
      <c r="C180" s="827" t="e">
        <v>#REF!</v>
      </c>
      <c r="D180" s="838">
        <v>17.972163779485239</v>
      </c>
      <c r="E180" s="838">
        <v>212.25982070870353</v>
      </c>
      <c r="F180" s="827">
        <v>403.5099892873356</v>
      </c>
      <c r="G180" s="838">
        <v>34.360123001125451</v>
      </c>
      <c r="H180" s="838">
        <v>9.0148263876622199</v>
      </c>
      <c r="I180" s="827">
        <v>16.147668169398553</v>
      </c>
      <c r="J180" s="1572">
        <v>8.5873357033778372</v>
      </c>
      <c r="K180" s="827">
        <v>8.670924022399463</v>
      </c>
      <c r="L180" s="838">
        <v>4.9575589532575055</v>
      </c>
      <c r="M180" s="827">
        <v>6.5206059298673456</v>
      </c>
      <c r="N180" s="1524">
        <v>153.93928856294301</v>
      </c>
      <c r="O180" s="827">
        <v>61.840666619098997</v>
      </c>
      <c r="P180" s="827">
        <v>17.972163779485239</v>
      </c>
      <c r="Q180" s="827">
        <v>21.944428303451904</v>
      </c>
      <c r="R180" s="827">
        <v>23.707593573030472</v>
      </c>
      <c r="S180" s="827">
        <v>20.262978811913154</v>
      </c>
      <c r="T180" s="827"/>
    </row>
    <row r="181" spans="2:20">
      <c r="B181" s="187">
        <v>43406</v>
      </c>
      <c r="C181" s="827" t="e">
        <v>#REF!</v>
      </c>
      <c r="D181" s="838">
        <v>18.978042114250854</v>
      </c>
      <c r="E181" s="838">
        <v>225.720590692874</v>
      </c>
      <c r="F181" s="827">
        <v>403.5099892873356</v>
      </c>
      <c r="G181" s="838">
        <v>35.905478933593564</v>
      </c>
      <c r="H181" s="838">
        <v>9.9194199517924666</v>
      </c>
      <c r="I181" s="827">
        <v>16.147668169398553</v>
      </c>
      <c r="J181" s="1572">
        <v>9.162151436646905</v>
      </c>
      <c r="K181" s="827">
        <v>8.670924022399463</v>
      </c>
      <c r="L181" s="838">
        <v>5.2827192155567735</v>
      </c>
      <c r="M181" s="827">
        <v>6.5206059298673456</v>
      </c>
      <c r="N181" s="1524">
        <v>168.207716699153</v>
      </c>
      <c r="O181" s="827">
        <v>61.840666619098997</v>
      </c>
      <c r="P181" s="827">
        <v>18.978042114250854</v>
      </c>
      <c r="Q181" s="827">
        <v>21.944428303451904</v>
      </c>
      <c r="R181" s="827">
        <v>24.724494047952881</v>
      </c>
      <c r="S181" s="827">
        <v>20.262978811913154</v>
      </c>
      <c r="T181" s="827"/>
    </row>
    <row r="182" spans="2:20">
      <c r="B182" s="187">
        <v>43413</v>
      </c>
      <c r="C182" s="827" t="e">
        <v>#REF!</v>
      </c>
      <c r="D182" s="838">
        <v>18.690894772596373</v>
      </c>
      <c r="E182" s="838">
        <v>215.94675724272298</v>
      </c>
      <c r="F182" s="827">
        <v>403.5099892873356</v>
      </c>
      <c r="G182" s="838">
        <v>35.366266253209048</v>
      </c>
      <c r="H182" s="838">
        <v>9.5126159058982687</v>
      </c>
      <c r="I182" s="827">
        <v>16.147668169398553</v>
      </c>
      <c r="J182" s="1572">
        <v>8.9031943456822571</v>
      </c>
      <c r="K182" s="827">
        <v>8.670924022399463</v>
      </c>
      <c r="L182" s="838">
        <v>5.0695935650941415</v>
      </c>
      <c r="M182" s="827">
        <v>6.5206059298673456</v>
      </c>
      <c r="N182" s="1524">
        <v>160.34937811971506</v>
      </c>
      <c r="O182" s="827">
        <v>61.840666619098997</v>
      </c>
      <c r="P182" s="827">
        <v>18.690894772596373</v>
      </c>
      <c r="Q182" s="827">
        <v>21.944428303451904</v>
      </c>
      <c r="R182" s="827">
        <v>24.08293387662011</v>
      </c>
      <c r="S182" s="827">
        <v>20.262978811913154</v>
      </c>
      <c r="T182" s="827"/>
    </row>
    <row r="183" spans="2:20">
      <c r="B183" s="187">
        <v>43420</v>
      </c>
      <c r="C183" s="827" t="e">
        <v>#REF!</v>
      </c>
      <c r="D183" s="838">
        <v>17.970122193918794</v>
      </c>
      <c r="E183" s="838">
        <v>228.77405615553241</v>
      </c>
      <c r="F183" s="827">
        <v>403.5099892873356</v>
      </c>
      <c r="G183" s="838">
        <v>33.78043279338074</v>
      </c>
      <c r="H183" s="838">
        <v>10.218222626794256</v>
      </c>
      <c r="I183" s="827">
        <v>16.147668169398553</v>
      </c>
      <c r="J183" s="1572">
        <v>8.6944353767219393</v>
      </c>
      <c r="K183" s="827">
        <v>8.670924022399463</v>
      </c>
      <c r="L183" s="838">
        <v>4.9753261333644909</v>
      </c>
      <c r="M183" s="827">
        <v>6.5206059298673456</v>
      </c>
      <c r="N183" s="1524">
        <v>171.01915558628468</v>
      </c>
      <c r="O183" s="827">
        <v>61.840666619098997</v>
      </c>
      <c r="P183" s="827">
        <v>17.970122193918794</v>
      </c>
      <c r="Q183" s="827">
        <v>21.944428303451904</v>
      </c>
      <c r="R183" s="827">
        <v>23.615875664674256</v>
      </c>
      <c r="S183" s="827">
        <v>20.262978811913154</v>
      </c>
      <c r="T183" s="827"/>
    </row>
    <row r="184" spans="2:20">
      <c r="B184" s="187">
        <v>43427</v>
      </c>
      <c r="C184" s="827" t="e">
        <v>#REF!</v>
      </c>
      <c r="D184" s="838">
        <v>16.806259498055464</v>
      </c>
      <c r="E184" s="838">
        <v>201.87813604828304</v>
      </c>
      <c r="F184" s="827">
        <v>403.5099892873356</v>
      </c>
      <c r="G184" s="838">
        <v>31.665552889837695</v>
      </c>
      <c r="H184" s="838">
        <v>8.9519007501925518</v>
      </c>
      <c r="I184" s="827">
        <v>16.147668169398553</v>
      </c>
      <c r="J184" s="1572">
        <v>8.1925261691367623</v>
      </c>
      <c r="K184" s="827">
        <v>8.670924022399463</v>
      </c>
      <c r="L184" s="838">
        <v>4.6573307989218753</v>
      </c>
      <c r="M184" s="827">
        <v>6.5206059298673456</v>
      </c>
      <c r="N184" s="1524">
        <v>148.4265256984815</v>
      </c>
      <c r="O184" s="827">
        <v>61.840666619098997</v>
      </c>
      <c r="P184" s="827">
        <v>16.806259498055464</v>
      </c>
      <c r="Q184" s="827">
        <v>21.944428303451904</v>
      </c>
      <c r="R184" s="827">
        <v>22.058079759258781</v>
      </c>
      <c r="S184" s="827">
        <v>20.262978811913154</v>
      </c>
      <c r="T184" s="827"/>
    </row>
    <row r="185" spans="2:20">
      <c r="B185" s="187">
        <v>43434</v>
      </c>
      <c r="C185" s="827" t="e">
        <v>#REF!</v>
      </c>
      <c r="D185" s="838">
        <v>18.686829828718416</v>
      </c>
      <c r="E185" s="838">
        <v>226.01872760318301</v>
      </c>
      <c r="F185" s="827">
        <v>403.5099892873356</v>
      </c>
      <c r="G185" s="838">
        <v>35.11713537940355</v>
      </c>
      <c r="H185" s="838">
        <v>10.226168608717867</v>
      </c>
      <c r="I185" s="827">
        <v>16.147668169398553</v>
      </c>
      <c r="J185" s="1572">
        <v>8.9293958412699261</v>
      </c>
      <c r="K185" s="827">
        <v>8.670924022399463</v>
      </c>
      <c r="L185" s="838">
        <v>5.1921960206652429</v>
      </c>
      <c r="M185" s="827">
        <v>6.5206059298673456</v>
      </c>
      <c r="N185" s="1524">
        <v>167.96306950445816</v>
      </c>
      <c r="O185" s="827">
        <v>61.840666619098997</v>
      </c>
      <c r="P185" s="827">
        <v>18.686829828718416</v>
      </c>
      <c r="Q185" s="827">
        <v>21.944428303451904</v>
      </c>
      <c r="R185" s="827">
        <v>24.387728058822315</v>
      </c>
      <c r="S185" s="827">
        <v>20.262978811913154</v>
      </c>
      <c r="T185" s="827"/>
    </row>
    <row r="186" spans="2:20">
      <c r="B186" s="187">
        <v>43441</v>
      </c>
      <c r="C186" s="827" t="e">
        <v>#REF!</v>
      </c>
      <c r="D186" s="838">
        <v>17.621077808358173</v>
      </c>
      <c r="E186" s="838">
        <v>215.98218347091165</v>
      </c>
      <c r="F186" s="827">
        <v>403.5099892873356</v>
      </c>
      <c r="G186" s="838">
        <v>33.222232331944767</v>
      </c>
      <c r="H186" s="838">
        <v>9.745202440799023</v>
      </c>
      <c r="I186" s="827">
        <v>16.147668169398553</v>
      </c>
      <c r="J186" s="1572">
        <v>8.600109236094351</v>
      </c>
      <c r="K186" s="827">
        <v>8.670924022399463</v>
      </c>
      <c r="L186" s="838">
        <v>4.9141364418184033</v>
      </c>
      <c r="M186" s="827">
        <v>6.5206059298673456</v>
      </c>
      <c r="N186" s="1524">
        <v>185.48152131618016</v>
      </c>
      <c r="O186" s="827">
        <v>61.840666619098997</v>
      </c>
      <c r="P186" s="827">
        <v>17.621077808358173</v>
      </c>
      <c r="Q186" s="827">
        <v>21.944428303451904</v>
      </c>
      <c r="R186" s="827">
        <v>23.339025520412502</v>
      </c>
      <c r="S186" s="827">
        <v>20.262978811913154</v>
      </c>
      <c r="T186" s="827"/>
    </row>
    <row r="187" spans="2:20">
      <c r="B187" s="187">
        <v>43448</v>
      </c>
      <c r="C187" s="827" t="e">
        <v>#REF!</v>
      </c>
      <c r="D187" s="838">
        <v>17.638620052984553</v>
      </c>
      <c r="E187" s="838">
        <v>203.23442431859306</v>
      </c>
      <c r="F187" s="827">
        <v>403.5099892873356</v>
      </c>
      <c r="G187" s="838">
        <v>33.161902679695814</v>
      </c>
      <c r="H187" s="838">
        <v>9.1992193334256669</v>
      </c>
      <c r="I187" s="827">
        <v>16.147668169398553</v>
      </c>
      <c r="J187" s="1572">
        <v>8.382631368443791</v>
      </c>
      <c r="K187" s="827">
        <v>8.670924022399463</v>
      </c>
      <c r="L187" s="838">
        <v>4.8451768272779407</v>
      </c>
      <c r="M187" s="827">
        <v>6.5206059298673456</v>
      </c>
      <c r="N187" s="1524">
        <v>174.14660771931469</v>
      </c>
      <c r="O187" s="827">
        <v>61.840666619098997</v>
      </c>
      <c r="P187" s="827">
        <v>17.638620052984553</v>
      </c>
      <c r="Q187" s="827">
        <v>21.944428303451904</v>
      </c>
      <c r="R187" s="827">
        <v>22.911760109460616</v>
      </c>
      <c r="S187" s="827">
        <v>20.262978811913154</v>
      </c>
      <c r="T187" s="827"/>
    </row>
    <row r="188" spans="2:20">
      <c r="B188" s="187">
        <v>43455</v>
      </c>
      <c r="C188" s="827" t="e">
        <v>#REF!</v>
      </c>
      <c r="D188" s="838">
        <v>15.385249406452591</v>
      </c>
      <c r="E188" s="838">
        <v>175.67980665318558</v>
      </c>
      <c r="F188" s="827">
        <v>403.5099892873356</v>
      </c>
      <c r="G188" s="838">
        <v>29.053686906123012</v>
      </c>
      <c r="H188" s="838">
        <v>7.8530145611726336</v>
      </c>
      <c r="I188" s="827">
        <v>16.147668169398553</v>
      </c>
      <c r="J188" s="1572">
        <v>7.7387456188293582</v>
      </c>
      <c r="K188" s="827">
        <v>8.670924022399463</v>
      </c>
      <c r="L188" s="838">
        <v>4.1535995093347919</v>
      </c>
      <c r="M188" s="827">
        <v>6.5206059298673456</v>
      </c>
      <c r="N188" s="1524">
        <v>155.81861087652902</v>
      </c>
      <c r="O188" s="827">
        <v>61.840666619098997</v>
      </c>
      <c r="P188" s="827">
        <v>15.385249406452591</v>
      </c>
      <c r="Q188" s="827">
        <v>21.944428303451904</v>
      </c>
      <c r="R188" s="827">
        <v>21.093443813872842</v>
      </c>
      <c r="S188" s="827">
        <v>20.262978811913154</v>
      </c>
      <c r="T188" s="827"/>
    </row>
    <row r="189" spans="2:20">
      <c r="B189" s="187">
        <v>43462</v>
      </c>
      <c r="C189" s="827" t="e">
        <v>#REF!</v>
      </c>
      <c r="D189" s="838">
        <v>16.200323184894035</v>
      </c>
      <c r="E189" s="838">
        <v>189.47556047976809</v>
      </c>
      <c r="F189" s="827">
        <v>403.5099892873356</v>
      </c>
      <c r="G189" s="838">
        <v>30.597612091723498</v>
      </c>
      <c r="H189" s="838">
        <v>8.6122401037968768</v>
      </c>
      <c r="I189" s="827">
        <v>16.147668169398553</v>
      </c>
      <c r="J189" s="1572">
        <v>8.1913514852610749</v>
      </c>
      <c r="K189" s="827">
        <v>8.670924022399463</v>
      </c>
      <c r="L189" s="838">
        <v>4.4637799955436614</v>
      </c>
      <c r="M189" s="827">
        <v>6.5206059298673456</v>
      </c>
      <c r="N189" s="1524">
        <v>169.221153509012</v>
      </c>
      <c r="O189" s="827">
        <v>61.840666619098997</v>
      </c>
      <c r="P189" s="827">
        <v>16.200323184894035</v>
      </c>
      <c r="Q189" s="827">
        <v>21.944428303451904</v>
      </c>
      <c r="R189" s="827">
        <v>22.537153421745259</v>
      </c>
      <c r="S189" s="827">
        <v>20.262978811913154</v>
      </c>
      <c r="T189" s="827"/>
    </row>
    <row r="190" spans="2:20">
      <c r="B190" s="187">
        <v>43469</v>
      </c>
      <c r="C190" s="827" t="e">
        <v>#REF!</v>
      </c>
      <c r="D190" s="838">
        <v>17.25001799003639</v>
      </c>
      <c r="E190" s="838">
        <v>193.20293977458815</v>
      </c>
      <c r="F190" s="827">
        <v>403.5099892873356</v>
      </c>
      <c r="G190" s="838">
        <v>32.519204697917331</v>
      </c>
      <c r="H190" s="838">
        <v>8.5378889630153338</v>
      </c>
      <c r="I190" s="827">
        <v>16.147668169398553</v>
      </c>
      <c r="J190" s="1572">
        <v>8.2646164896649399</v>
      </c>
      <c r="K190" s="827">
        <v>8.670924022399463</v>
      </c>
      <c r="L190" s="838">
        <v>4.60549850454544</v>
      </c>
      <c r="M190" s="827">
        <v>6.5206059298673456</v>
      </c>
      <c r="N190" s="1524">
        <v>165.61595586418986</v>
      </c>
      <c r="O190" s="827">
        <v>61.840666619098997</v>
      </c>
      <c r="P190" s="827">
        <v>17.25001799003639</v>
      </c>
      <c r="Q190" s="827">
        <v>21.944428303451904</v>
      </c>
      <c r="R190" s="827">
        <v>22.708241708180815</v>
      </c>
      <c r="S190" s="827">
        <v>20.262978811913154</v>
      </c>
      <c r="T190" s="827"/>
    </row>
    <row r="191" spans="2:20">
      <c r="B191" s="187">
        <v>43476</v>
      </c>
      <c r="C191" s="827" t="e">
        <v>#REF!</v>
      </c>
      <c r="D191" s="838">
        <v>18.3672942099669</v>
      </c>
      <c r="E191" s="838">
        <v>205.6053214394216</v>
      </c>
      <c r="F191" s="827">
        <v>403.5099892873356</v>
      </c>
      <c r="G191" s="838">
        <v>34.321262144528717</v>
      </c>
      <c r="H191" s="838">
        <v>9.2935017187319815</v>
      </c>
      <c r="I191" s="827">
        <v>16.147668169398553</v>
      </c>
      <c r="J191" s="1572">
        <v>8.7319181802513093</v>
      </c>
      <c r="K191" s="827">
        <v>8.670924022399463</v>
      </c>
      <c r="L191" s="838">
        <v>4.8682279768969643</v>
      </c>
      <c r="M191" s="827">
        <v>6.5206059298673456</v>
      </c>
      <c r="N191" s="1524">
        <v>177.04979689285923</v>
      </c>
      <c r="O191" s="827">
        <v>61.840666619098997</v>
      </c>
      <c r="P191" s="827">
        <v>18.3672942099669</v>
      </c>
      <c r="Q191" s="827">
        <v>21.944428303451904</v>
      </c>
      <c r="R191" s="827">
        <v>23.981215757320506</v>
      </c>
      <c r="S191" s="827">
        <v>20.262978811913154</v>
      </c>
      <c r="T191" s="827"/>
    </row>
    <row r="192" spans="2:20">
      <c r="B192" s="187">
        <v>43483</v>
      </c>
      <c r="C192" s="827" t="e">
        <v>#REF!</v>
      </c>
      <c r="D192" s="838">
        <v>18.704060552742401</v>
      </c>
      <c r="E192" s="838">
        <v>213.79852790332089</v>
      </c>
      <c r="F192" s="827">
        <v>403.5099892873356</v>
      </c>
      <c r="G192" s="838">
        <v>35.219016896978815</v>
      </c>
      <c r="H192" s="838">
        <v>9.8699648309078327</v>
      </c>
      <c r="I192" s="827">
        <v>16.147668169398553</v>
      </c>
      <c r="J192" s="1572">
        <v>9.0352906714016061</v>
      </c>
      <c r="K192" s="827">
        <v>8.670924022399463</v>
      </c>
      <c r="L192" s="838">
        <v>5.0566236745072111</v>
      </c>
      <c r="M192" s="827">
        <v>6.5206059298673456</v>
      </c>
      <c r="N192" s="1524">
        <v>186.21983181468269</v>
      </c>
      <c r="O192" s="827">
        <v>61.840666619098997</v>
      </c>
      <c r="P192" s="827">
        <v>18.704060552742401</v>
      </c>
      <c r="Q192" s="827">
        <v>21.944428303451904</v>
      </c>
      <c r="R192" s="827">
        <v>24.784866928554937</v>
      </c>
      <c r="S192" s="827">
        <v>20.262978811913154</v>
      </c>
      <c r="T192" s="827"/>
    </row>
    <row r="193" spans="2:20">
      <c r="B193" s="187">
        <v>43490</v>
      </c>
      <c r="C193" s="827" t="e">
        <v>#REF!</v>
      </c>
      <c r="D193" s="838">
        <v>18.615409997242967</v>
      </c>
      <c r="E193" s="838">
        <v>215.38519845280365</v>
      </c>
      <c r="F193" s="827">
        <v>403.5099892873356</v>
      </c>
      <c r="G193" s="838">
        <v>34.926444409656966</v>
      </c>
      <c r="H193" s="838">
        <v>10.118067799890198</v>
      </c>
      <c r="I193" s="827">
        <v>16.147668169398553</v>
      </c>
      <c r="J193" s="1572">
        <v>9.0309210479689117</v>
      </c>
      <c r="K193" s="827">
        <v>8.670924022399463</v>
      </c>
      <c r="L193" s="838">
        <v>5.07983948495552</v>
      </c>
      <c r="M193" s="827">
        <v>6.5206059298673456</v>
      </c>
      <c r="N193" s="1524">
        <v>186.90770195971419</v>
      </c>
      <c r="O193" s="827">
        <v>61.840666619098997</v>
      </c>
      <c r="P193" s="827">
        <v>18.615409997242967</v>
      </c>
      <c r="Q193" s="827">
        <v>21.944428303451904</v>
      </c>
      <c r="R193" s="827">
        <v>24.722715190953767</v>
      </c>
      <c r="S193" s="827">
        <v>20.262978811913154</v>
      </c>
      <c r="T193" s="827"/>
    </row>
    <row r="194" spans="2:20">
      <c r="B194" s="187">
        <v>43497</v>
      </c>
      <c r="C194" s="827" t="e">
        <v>#REF!</v>
      </c>
      <c r="D194" s="838">
        <v>18.972374464871717</v>
      </c>
      <c r="E194" s="838">
        <v>221.73240087616728</v>
      </c>
      <c r="F194" s="827">
        <v>403.5099892873356</v>
      </c>
      <c r="G194" s="838">
        <v>35.272887222558644</v>
      </c>
      <c r="H194" s="838">
        <v>10.592780231843435</v>
      </c>
      <c r="I194" s="827">
        <v>16.147668169398553</v>
      </c>
      <c r="J194" s="1572">
        <v>9.201346920183191</v>
      </c>
      <c r="K194" s="827">
        <v>8.670924022399463</v>
      </c>
      <c r="L194" s="838">
        <v>5.2880878703498633</v>
      </c>
      <c r="M194" s="827">
        <v>6.5206059298673456</v>
      </c>
      <c r="N194" s="1524">
        <v>193.07437152468094</v>
      </c>
      <c r="O194" s="827">
        <v>61.840666619098997</v>
      </c>
      <c r="P194" s="827">
        <v>18.972374464871717</v>
      </c>
      <c r="Q194" s="827">
        <v>21.944428303451904</v>
      </c>
      <c r="R194" s="827">
        <v>25.142363642884483</v>
      </c>
      <c r="S194" s="827">
        <v>20.262978811913154</v>
      </c>
      <c r="T194" s="827"/>
    </row>
    <row r="195" spans="2:20">
      <c r="B195" s="187">
        <v>43504</v>
      </c>
      <c r="C195" s="827" t="e">
        <v>#REF!</v>
      </c>
      <c r="D195" s="838">
        <v>19.0847057977373</v>
      </c>
      <c r="E195" s="838">
        <v>226.4657721987297</v>
      </c>
      <c r="F195" s="827">
        <v>403.5099892873356</v>
      </c>
      <c r="G195" s="838">
        <v>35.235719231643323</v>
      </c>
      <c r="H195" s="838">
        <v>10.898837872305718</v>
      </c>
      <c r="I195" s="827">
        <v>16.147668169398553</v>
      </c>
      <c r="J195" s="1572">
        <v>9.4310622567949896</v>
      </c>
      <c r="K195" s="827">
        <v>8.670924022399463</v>
      </c>
      <c r="L195" s="838">
        <v>5.485590522714511</v>
      </c>
      <c r="M195" s="827">
        <v>6.5206059298673456</v>
      </c>
      <c r="N195" s="1524">
        <v>195.5359449424835</v>
      </c>
      <c r="O195" s="827">
        <v>61.840666619098997</v>
      </c>
      <c r="P195" s="827">
        <v>19.0847057977373</v>
      </c>
      <c r="Q195" s="827">
        <v>21.944428303451904</v>
      </c>
      <c r="R195" s="827">
        <v>25.444247059768706</v>
      </c>
      <c r="S195" s="827">
        <v>20.262978811913154</v>
      </c>
      <c r="T195" s="827"/>
    </row>
    <row r="196" spans="2:20">
      <c r="B196" s="187">
        <v>43511</v>
      </c>
      <c r="C196" s="827" t="e">
        <v>#REF!</v>
      </c>
      <c r="D196" s="838">
        <v>19.578097799312939</v>
      </c>
      <c r="E196" s="838">
        <v>374.64686710151409</v>
      </c>
      <c r="F196" s="827">
        <v>403.5099892873356</v>
      </c>
      <c r="G196" s="838">
        <v>35.904344685290511</v>
      </c>
      <c r="H196" s="838">
        <v>10.892058563767304</v>
      </c>
      <c r="I196" s="827">
        <v>16.147668169398553</v>
      </c>
      <c r="J196" s="1572">
        <v>9.7047415890062716</v>
      </c>
      <c r="K196" s="827">
        <v>8.670924022399463</v>
      </c>
      <c r="L196" s="838">
        <v>5.6106620507991094</v>
      </c>
      <c r="M196" s="827">
        <v>6.5206059298673456</v>
      </c>
      <c r="N196" s="1524">
        <v>253.71906678685872</v>
      </c>
      <c r="O196" s="827">
        <v>61.840666619098997</v>
      </c>
      <c r="P196" s="827">
        <v>19.578097799312939</v>
      </c>
      <c r="Q196" s="827">
        <v>21.944428303451904</v>
      </c>
      <c r="R196" s="827">
        <v>26.35292215188224</v>
      </c>
      <c r="S196" s="827">
        <v>20.262978811913154</v>
      </c>
      <c r="T196" s="827"/>
    </row>
    <row r="197" spans="2:20">
      <c r="B197" s="187">
        <v>43518</v>
      </c>
      <c r="C197" s="827" t="e">
        <v>#REF!</v>
      </c>
      <c r="D197" s="838">
        <v>20.758791755982227</v>
      </c>
      <c r="E197" s="838">
        <v>379.32438944689511</v>
      </c>
      <c r="F197" s="827">
        <v>403.5099892873356</v>
      </c>
      <c r="G197" s="838">
        <v>38.03823613031625</v>
      </c>
      <c r="H197" s="838">
        <v>11.197689637298344</v>
      </c>
      <c r="I197" s="827">
        <v>16.147668169398553</v>
      </c>
      <c r="J197" s="1572">
        <v>9.6905725698721632</v>
      </c>
      <c r="K197" s="827">
        <v>8.670924022399463</v>
      </c>
      <c r="L197" s="838">
        <v>5.8962297666002108</v>
      </c>
      <c r="M197" s="827">
        <v>6.5206059298673456</v>
      </c>
      <c r="N197" s="1524">
        <v>257.8729478153154</v>
      </c>
      <c r="O197" s="827">
        <v>61.840666619098997</v>
      </c>
      <c r="P197" s="827">
        <v>20.758791755982227</v>
      </c>
      <c r="Q197" s="827">
        <v>21.944428303451904</v>
      </c>
      <c r="R197" s="827">
        <v>26.708955513826499</v>
      </c>
      <c r="S197" s="827">
        <v>20.262978811913154</v>
      </c>
      <c r="T197" s="827"/>
    </row>
    <row r="198" spans="2:20">
      <c r="B198" s="187">
        <v>43525</v>
      </c>
      <c r="C198" s="827" t="e">
        <v>#REF!</v>
      </c>
      <c r="D198" s="838">
        <v>20.429461211869658</v>
      </c>
      <c r="E198" s="838">
        <v>386.56922237257265</v>
      </c>
      <c r="F198" s="827">
        <v>403.5099892873356</v>
      </c>
      <c r="G198" s="838">
        <v>37.461723537224316</v>
      </c>
      <c r="H198" s="838">
        <v>11.65359259573391</v>
      </c>
      <c r="I198" s="827">
        <v>16.147668169398553</v>
      </c>
      <c r="J198" s="1572">
        <v>9.7060072909100086</v>
      </c>
      <c r="K198" s="827">
        <v>8.670924022399463</v>
      </c>
      <c r="L198" s="838">
        <v>5.8166484805453385</v>
      </c>
      <c r="M198" s="827">
        <v>6.5206059298673456</v>
      </c>
      <c r="N198" s="1524">
        <v>267.1617304196821</v>
      </c>
      <c r="O198" s="827">
        <v>61.840666619098997</v>
      </c>
      <c r="P198" s="827">
        <v>20.429461211869658</v>
      </c>
      <c r="Q198" s="827">
        <v>21.944428303451904</v>
      </c>
      <c r="R198" s="827">
        <v>26.611417797360151</v>
      </c>
      <c r="S198" s="827">
        <v>20.262978811913154</v>
      </c>
      <c r="T198" s="827"/>
    </row>
    <row r="199" spans="2:20">
      <c r="B199" s="187">
        <v>43532</v>
      </c>
      <c r="C199" s="827" t="e">
        <v>#REF!</v>
      </c>
      <c r="D199" s="838">
        <v>20.107794657515463</v>
      </c>
      <c r="E199" s="838">
        <v>376.52414796430719</v>
      </c>
      <c r="F199" s="827">
        <v>403.5099892873356</v>
      </c>
      <c r="G199" s="838">
        <v>36.857970068028642</v>
      </c>
      <c r="H199" s="838">
        <v>11.468540898227126</v>
      </c>
      <c r="I199" s="827">
        <v>16.147668169398553</v>
      </c>
      <c r="J199" s="1572">
        <v>9.3951460424247077</v>
      </c>
      <c r="K199" s="827">
        <v>8.670924022399463</v>
      </c>
      <c r="L199" s="838">
        <v>5.734436026447395</v>
      </c>
      <c r="M199" s="827">
        <v>6.5206059298673456</v>
      </c>
      <c r="N199" s="1524">
        <v>258.12417920959257</v>
      </c>
      <c r="O199" s="827">
        <v>61.840666619098997</v>
      </c>
      <c r="P199" s="827">
        <v>20.107794657515463</v>
      </c>
      <c r="Q199" s="827">
        <v>21.944428303451904</v>
      </c>
      <c r="R199" s="827">
        <v>25.712075581238064</v>
      </c>
      <c r="S199" s="827">
        <v>20.262978811913154</v>
      </c>
      <c r="T199" s="827"/>
    </row>
    <row r="200" spans="2:20">
      <c r="B200" s="187">
        <v>43539</v>
      </c>
      <c r="C200" s="827" t="e">
        <v>#REF!</v>
      </c>
      <c r="D200" s="838">
        <v>20.741420758975266</v>
      </c>
      <c r="E200" s="838">
        <v>401.8954292209234</v>
      </c>
      <c r="F200" s="827">
        <v>403.5099892873356</v>
      </c>
      <c r="G200" s="838">
        <v>38.00680945202155</v>
      </c>
      <c r="H200" s="838">
        <v>12.483734725995397</v>
      </c>
      <c r="I200" s="827">
        <v>16.147668169398553</v>
      </c>
      <c r="J200" s="1572">
        <v>9.5716797386237502</v>
      </c>
      <c r="K200" s="827">
        <v>8.670924022399463</v>
      </c>
      <c r="L200" s="838">
        <v>6.0221467564714866</v>
      </c>
      <c r="M200" s="827">
        <v>6.5206059298673456</v>
      </c>
      <c r="N200" s="1524">
        <v>277.37576872919857</v>
      </c>
      <c r="O200" s="827">
        <v>61.840666619098997</v>
      </c>
      <c r="P200" s="827">
        <v>20.741420758975266</v>
      </c>
      <c r="Q200" s="827">
        <v>21.944428303451904</v>
      </c>
      <c r="R200" s="827">
        <v>26.184726628755953</v>
      </c>
      <c r="S200" s="827">
        <v>20.262978811913154</v>
      </c>
      <c r="T200" s="827"/>
    </row>
    <row r="201" spans="2:20">
      <c r="B201" s="187">
        <v>43546</v>
      </c>
      <c r="C201" s="827" t="e">
        <v>#REF!</v>
      </c>
      <c r="D201" s="838">
        <v>20.579382070532851</v>
      </c>
      <c r="E201" s="838">
        <v>381.43072043598136</v>
      </c>
      <c r="F201" s="827">
        <v>403.5099892873356</v>
      </c>
      <c r="G201" s="838">
        <v>37.789034922080276</v>
      </c>
      <c r="H201" s="838">
        <v>11.933637751708508</v>
      </c>
      <c r="I201" s="827">
        <v>16.147668169398553</v>
      </c>
      <c r="J201" s="1572">
        <v>9.6962468182919075</v>
      </c>
      <c r="K201" s="827">
        <v>8.670924022399463</v>
      </c>
      <c r="L201" s="838">
        <v>5.8878227845822089</v>
      </c>
      <c r="M201" s="827">
        <v>6.5206059298673456</v>
      </c>
      <c r="N201" s="1524">
        <v>264.47976476773135</v>
      </c>
      <c r="O201" s="827">
        <v>61.840666619098997</v>
      </c>
      <c r="P201" s="827">
        <v>20.579382070532851</v>
      </c>
      <c r="Q201" s="827">
        <v>21.944428303451904</v>
      </c>
      <c r="R201" s="827">
        <v>26.775937741811447</v>
      </c>
      <c r="S201" s="827">
        <v>20.262978811913154</v>
      </c>
      <c r="T201" s="827"/>
    </row>
    <row r="202" spans="2:20">
      <c r="B202" s="187">
        <v>43553</v>
      </c>
      <c r="C202" s="827" t="e">
        <v>#REF!</v>
      </c>
      <c r="D202" s="838">
        <v>20.29862774169478</v>
      </c>
      <c r="E202" s="838">
        <v>401.76780166103043</v>
      </c>
      <c r="F202" s="827">
        <v>403.5099892873356</v>
      </c>
      <c r="G202" s="838">
        <v>37.255988864599786</v>
      </c>
      <c r="H202" s="838">
        <v>13.032971643362911</v>
      </c>
      <c r="I202" s="827">
        <v>16.147668169398553</v>
      </c>
      <c r="J202" s="1572">
        <v>9.7011255108747001</v>
      </c>
      <c r="K202" s="827">
        <v>8.670924022399463</v>
      </c>
      <c r="L202" s="838">
        <v>6.0721132804363087</v>
      </c>
      <c r="M202" s="827">
        <v>6.5206059298673456</v>
      </c>
      <c r="N202" s="1524">
        <v>294.18026182414877</v>
      </c>
      <c r="O202" s="827">
        <v>61.840666619098997</v>
      </c>
      <c r="P202" s="827">
        <v>20.29862774169478</v>
      </c>
      <c r="Q202" s="827">
        <v>21.944428303451904</v>
      </c>
      <c r="R202" s="827">
        <v>26.938461390280036</v>
      </c>
      <c r="S202" s="827">
        <v>20.262978811913154</v>
      </c>
      <c r="T202" s="827"/>
    </row>
    <row r="203" spans="2:20">
      <c r="B203" s="187">
        <v>43560</v>
      </c>
      <c r="C203" s="827" t="e">
        <v>#REF!</v>
      </c>
      <c r="D203" s="838">
        <v>20.556820022040998</v>
      </c>
      <c r="E203" s="838">
        <v>376.23854041249831</v>
      </c>
      <c r="F203" s="827">
        <v>403.5099892873356</v>
      </c>
      <c r="G203" s="838">
        <v>37.806568575575746</v>
      </c>
      <c r="H203" s="838">
        <v>12.271247750074361</v>
      </c>
      <c r="I203" s="827">
        <v>16.147668169398553</v>
      </c>
      <c r="J203" s="1572">
        <v>9.8218463526281958</v>
      </c>
      <c r="K203" s="827">
        <v>8.670924022399463</v>
      </c>
      <c r="L203" s="838">
        <v>6.1069404307287183</v>
      </c>
      <c r="M203" s="827">
        <v>6.5206059298673456</v>
      </c>
      <c r="N203" s="1524">
        <v>281.61386160840613</v>
      </c>
      <c r="O203" s="827">
        <v>61.840666619098997</v>
      </c>
      <c r="P203" s="827">
        <v>20.556820022040998</v>
      </c>
      <c r="Q203" s="827">
        <v>21.944428303451904</v>
      </c>
      <c r="R203" s="827">
        <v>27.177750051236721</v>
      </c>
      <c r="S203" s="827">
        <v>20.262978811913154</v>
      </c>
      <c r="T203" s="827"/>
    </row>
    <row r="204" spans="2:20">
      <c r="B204" s="187">
        <v>43567</v>
      </c>
      <c r="C204" s="827" t="e">
        <v>#REF!</v>
      </c>
      <c r="D204" s="838">
        <v>20.399222462105708</v>
      </c>
      <c r="E204" s="838">
        <v>404.59394836083231</v>
      </c>
      <c r="F204" s="827">
        <v>403.5099892873356</v>
      </c>
      <c r="G204" s="838">
        <v>37.587023914512422</v>
      </c>
      <c r="H204" s="838">
        <v>13.444304705918434</v>
      </c>
      <c r="I204" s="827">
        <v>16.147668169398553</v>
      </c>
      <c r="J204" s="1572">
        <v>9.9769303685613551</v>
      </c>
      <c r="K204" s="827">
        <v>8.670924022399463</v>
      </c>
      <c r="L204" s="838">
        <v>6.1173778488051589</v>
      </c>
      <c r="M204" s="827">
        <v>6.5206059298673456</v>
      </c>
      <c r="N204" s="1524">
        <v>305.13687813765171</v>
      </c>
      <c r="O204" s="827">
        <v>61.840666619098997</v>
      </c>
      <c r="P204" s="827">
        <v>20.399222462105708</v>
      </c>
      <c r="Q204" s="827">
        <v>21.944428303451904</v>
      </c>
      <c r="R204" s="827">
        <v>27.760168093741349</v>
      </c>
      <c r="S204" s="827">
        <v>20.262978811913154</v>
      </c>
      <c r="T204" s="827"/>
    </row>
    <row r="205" spans="2:20">
      <c r="B205" s="187">
        <v>43574</v>
      </c>
      <c r="C205" s="827" t="e">
        <v>#REF!</v>
      </c>
      <c r="D205" s="838">
        <v>20.444562144322113</v>
      </c>
      <c r="E205" s="838">
        <v>410.1887068760131</v>
      </c>
      <c r="F205" s="827">
        <v>403.5099892873356</v>
      </c>
      <c r="G205" s="838">
        <v>38.885631840207367</v>
      </c>
      <c r="H205" s="838">
        <v>13.780465257449919</v>
      </c>
      <c r="I205" s="827">
        <v>16.147668169398553</v>
      </c>
      <c r="J205" s="1572">
        <v>9.7990175796080674</v>
      </c>
      <c r="K205" s="827">
        <v>8.670924022399463</v>
      </c>
      <c r="L205" s="838">
        <v>6.5634029139122632</v>
      </c>
      <c r="M205" s="827">
        <v>6.5206059298673456</v>
      </c>
      <c r="N205" s="1524">
        <v>310.51037151363278</v>
      </c>
      <c r="O205" s="827">
        <v>61.840666619098997</v>
      </c>
      <c r="P205" s="827">
        <v>20.444562144322113</v>
      </c>
      <c r="Q205" s="827">
        <v>21.944428303451904</v>
      </c>
      <c r="R205" s="827">
        <v>27.272565653491363</v>
      </c>
      <c r="S205" s="827">
        <v>20.262978811913154</v>
      </c>
      <c r="T205" s="827"/>
    </row>
    <row r="206" spans="2:20">
      <c r="B206" s="187">
        <v>43581</v>
      </c>
      <c r="C206" s="827" t="e">
        <v>#REF!</v>
      </c>
      <c r="D206" s="838">
        <v>21.353960922668669</v>
      </c>
      <c r="E206" s="838">
        <v>408.24235211362026</v>
      </c>
      <c r="F206" s="827">
        <v>403.5099892873356</v>
      </c>
      <c r="G206" s="838">
        <v>40.754563179500856</v>
      </c>
      <c r="H206" s="838">
        <v>13.781686489553296</v>
      </c>
      <c r="I206" s="827">
        <v>16.147668169398553</v>
      </c>
      <c r="J206" s="1572">
        <v>10.36161288327123</v>
      </c>
      <c r="K206" s="827">
        <v>8.670924022399463</v>
      </c>
      <c r="L206" s="838">
        <v>6.8408737796594847</v>
      </c>
      <c r="M206" s="827">
        <v>6.5206059298673456</v>
      </c>
      <c r="N206" s="1524">
        <v>309.75800678239989</v>
      </c>
      <c r="O206" s="827">
        <v>61.840666619098997</v>
      </c>
      <c r="P206" s="827">
        <v>21.353960922668669</v>
      </c>
      <c r="Q206" s="827">
        <v>21.944428303451904</v>
      </c>
      <c r="R206" s="827">
        <v>28.872998823382158</v>
      </c>
      <c r="S206" s="827">
        <v>20.262978811913154</v>
      </c>
      <c r="T206" s="827"/>
    </row>
    <row r="207" spans="2:20">
      <c r="B207" s="187">
        <v>43588</v>
      </c>
      <c r="C207" s="827" t="e">
        <v>#REF!</v>
      </c>
      <c r="D207" s="838">
        <v>21.76408217319619</v>
      </c>
      <c r="E207" s="838">
        <v>372.48695103566405</v>
      </c>
      <c r="F207" s="827">
        <v>403.5099892873356</v>
      </c>
      <c r="G207" s="838">
        <v>41.370864976154095</v>
      </c>
      <c r="H207" s="838">
        <v>16.232476922469285</v>
      </c>
      <c r="I207" s="827">
        <v>16.147668169398553</v>
      </c>
      <c r="J207" s="1572">
        <v>10.368440984890306</v>
      </c>
      <c r="K207" s="827">
        <v>8.670924022399463</v>
      </c>
      <c r="L207" s="838">
        <v>7.0943830927971163</v>
      </c>
      <c r="M207" s="827">
        <v>6.5206059298673456</v>
      </c>
      <c r="N207" s="1524">
        <v>344.85628167453575</v>
      </c>
      <c r="O207" s="827">
        <v>61.840666619098997</v>
      </c>
      <c r="P207" s="827">
        <v>21.76408217319619</v>
      </c>
      <c r="Q207" s="827">
        <v>21.944428303451904</v>
      </c>
      <c r="R207" s="827">
        <v>29.216782166561718</v>
      </c>
      <c r="S207" s="827">
        <v>20.262978811913154</v>
      </c>
      <c r="T207" s="827"/>
    </row>
    <row r="208" spans="2:20">
      <c r="B208" s="187">
        <v>43595</v>
      </c>
      <c r="C208" s="827" t="e">
        <v>#REF!</v>
      </c>
      <c r="D208" s="838">
        <v>19.607318570833577</v>
      </c>
      <c r="E208" s="838">
        <v>361.7276469070826</v>
      </c>
      <c r="F208" s="827">
        <v>403.5099892873356</v>
      </c>
      <c r="G208" s="838">
        <v>37.072051269170345</v>
      </c>
      <c r="H208" s="838">
        <v>15.800201286741459</v>
      </c>
      <c r="I208" s="827">
        <v>16.147668169398553</v>
      </c>
      <c r="J208" s="1572">
        <v>10.215416006803991</v>
      </c>
      <c r="K208" s="827">
        <v>8.670924022399463</v>
      </c>
      <c r="L208" s="838">
        <v>6.4788370868555738</v>
      </c>
      <c r="M208" s="827">
        <v>6.5206059298673456</v>
      </c>
      <c r="N208" s="1524">
        <v>331.97919154399511</v>
      </c>
      <c r="O208" s="827">
        <v>61.840666619098997</v>
      </c>
      <c r="P208" s="827">
        <v>19.607318570833577</v>
      </c>
      <c r="Q208" s="827">
        <v>21.944428303451904</v>
      </c>
      <c r="R208" s="827">
        <v>28.962869039730531</v>
      </c>
      <c r="S208" s="827">
        <v>20.262978811913154</v>
      </c>
      <c r="T208" s="827"/>
    </row>
    <row r="209" spans="2:20">
      <c r="B209" s="187">
        <v>43602</v>
      </c>
      <c r="C209" s="827" t="e">
        <v>#REF!</v>
      </c>
      <c r="D209" s="838">
        <v>19.762675753345938</v>
      </c>
      <c r="E209" s="838">
        <v>376.86737093326008</v>
      </c>
      <c r="F209" s="827">
        <v>403.5099892873356</v>
      </c>
      <c r="G209" s="838">
        <v>37.001990332866036</v>
      </c>
      <c r="H209" s="838">
        <v>16.667455727073918</v>
      </c>
      <c r="I209" s="827">
        <v>16.147668169398553</v>
      </c>
      <c r="J209" s="1572">
        <v>10.06002855901453</v>
      </c>
      <c r="K209" s="827">
        <v>8.670924022399463</v>
      </c>
      <c r="L209" s="838">
        <v>6.5693122957324759</v>
      </c>
      <c r="M209" s="827">
        <v>6.5206059298673456</v>
      </c>
      <c r="N209" s="1524">
        <v>347.72569689609566</v>
      </c>
      <c r="O209" s="827">
        <v>61.840666619098997</v>
      </c>
      <c r="P209" s="827">
        <v>19.762675753345938</v>
      </c>
      <c r="Q209" s="827">
        <v>21.944428303451904</v>
      </c>
      <c r="R209" s="827">
        <v>29.301170528565137</v>
      </c>
      <c r="S209" s="827">
        <v>20.262978811913154</v>
      </c>
      <c r="T209" s="827"/>
    </row>
    <row r="210" spans="2:20">
      <c r="B210" s="187">
        <v>43609</v>
      </c>
      <c r="C210" s="827" t="e">
        <v>#REF!</v>
      </c>
      <c r="D210" s="838">
        <v>19.392633127802096</v>
      </c>
      <c r="E210" s="838">
        <v>376.62061887564852</v>
      </c>
      <c r="F210" s="827">
        <v>403.5099892873356</v>
      </c>
      <c r="G210" s="838">
        <v>36.313864284664504</v>
      </c>
      <c r="H210" s="838">
        <v>16.727387574401803</v>
      </c>
      <c r="I210" s="827">
        <v>16.147668169398553</v>
      </c>
      <c r="J210" s="1572">
        <v>9.9275641856832113</v>
      </c>
      <c r="K210" s="827">
        <v>8.670924022399463</v>
      </c>
      <c r="L210" s="838">
        <v>6.4752160516280552</v>
      </c>
      <c r="M210" s="827">
        <v>6.5206059298673456</v>
      </c>
      <c r="N210" s="1524">
        <v>345.65621581176589</v>
      </c>
      <c r="O210" s="827">
        <v>61.840666619098997</v>
      </c>
      <c r="P210" s="827">
        <v>19.392633127802096</v>
      </c>
      <c r="Q210" s="827">
        <v>21.944428303451904</v>
      </c>
      <c r="R210" s="827">
        <v>28.727672476186115</v>
      </c>
      <c r="S210" s="827">
        <v>20.262978811913154</v>
      </c>
      <c r="T210" s="827"/>
    </row>
    <row r="211" spans="2:20">
      <c r="B211" s="187">
        <v>43616</v>
      </c>
      <c r="C211" s="827" t="e">
        <v>#REF!</v>
      </c>
      <c r="D211" s="838">
        <v>18.97544836662707</v>
      </c>
      <c r="E211" s="838">
        <v>371.29667360591196</v>
      </c>
      <c r="F211" s="827">
        <v>403.5099892873356</v>
      </c>
      <c r="G211" s="838">
        <v>35.472143803569473</v>
      </c>
      <c r="H211" s="838">
        <v>16.583169436576309</v>
      </c>
      <c r="I211" s="827">
        <v>16.147668169398553</v>
      </c>
      <c r="J211" s="1572">
        <v>9.8586134534514525</v>
      </c>
      <c r="K211" s="827">
        <v>8.670924022399463</v>
      </c>
      <c r="L211" s="838">
        <v>6.3822268501806798</v>
      </c>
      <c r="M211" s="827">
        <v>6.5206059298673456</v>
      </c>
      <c r="N211" s="1524">
        <v>340.5803422432852</v>
      </c>
      <c r="O211" s="827">
        <v>61.840666619098997</v>
      </c>
      <c r="P211" s="827">
        <v>18.97544836662707</v>
      </c>
      <c r="Q211" s="827">
        <v>21.944428303451904</v>
      </c>
      <c r="R211" s="827">
        <v>28.580562875872783</v>
      </c>
      <c r="S211" s="827">
        <v>20.262978811913154</v>
      </c>
      <c r="T211" s="827"/>
    </row>
    <row r="212" spans="2:20">
      <c r="B212" s="187">
        <v>43623</v>
      </c>
      <c r="C212" s="827" t="e">
        <v>#REF!</v>
      </c>
      <c r="D212" s="838">
        <v>20.470727665187205</v>
      </c>
      <c r="E212" s="838">
        <v>407.95862346027542</v>
      </c>
      <c r="F212" s="827">
        <v>403.5099892873356</v>
      </c>
      <c r="G212" s="838">
        <v>37.839676058369243</v>
      </c>
      <c r="H212" s="838">
        <v>18.422487833424416</v>
      </c>
      <c r="I212" s="827">
        <v>16.147668169398553</v>
      </c>
      <c r="J212" s="1572">
        <v>10.277302764314042</v>
      </c>
      <c r="K212" s="827">
        <v>8.670924022399463</v>
      </c>
      <c r="L212" s="838">
        <v>6.9698840981980998</v>
      </c>
      <c r="M212" s="827">
        <v>6.5206059298673456</v>
      </c>
      <c r="N212" s="1524">
        <v>375.79155647935607</v>
      </c>
      <c r="O212" s="827">
        <v>61.840666619098997</v>
      </c>
      <c r="P212" s="827">
        <v>20.470727665187205</v>
      </c>
      <c r="Q212" s="827">
        <v>21.944428303451904</v>
      </c>
      <c r="R212" s="827">
        <v>29.22963581744434</v>
      </c>
      <c r="S212" s="827">
        <v>20.262978811913154</v>
      </c>
      <c r="T212" s="827"/>
    </row>
    <row r="213" spans="2:20">
      <c r="B213" s="187">
        <v>43630</v>
      </c>
      <c r="C213" s="827" t="e">
        <v>#REF!</v>
      </c>
      <c r="D213" s="838">
        <v>20.274485483794024</v>
      </c>
      <c r="E213" s="838">
        <v>404.35389122534428</v>
      </c>
      <c r="F213" s="827">
        <v>403.5099892873356</v>
      </c>
      <c r="G213" s="838">
        <v>37.568901308717457</v>
      </c>
      <c r="H213" s="838">
        <v>18.325718195658155</v>
      </c>
      <c r="I213" s="827">
        <v>16.147668169398553</v>
      </c>
      <c r="J213" s="1572">
        <v>10.009253691307661</v>
      </c>
      <c r="K213" s="827">
        <v>8.670924022399463</v>
      </c>
      <c r="L213" s="838">
        <v>6.950509517335723</v>
      </c>
      <c r="M213" s="827">
        <v>6.5206059298673456</v>
      </c>
      <c r="N213" s="1524">
        <v>371.74213407432092</v>
      </c>
      <c r="O213" s="827">
        <v>61.840666619098997</v>
      </c>
      <c r="P213" s="827">
        <v>20.274485483794024</v>
      </c>
      <c r="Q213" s="827">
        <v>21.944428303451904</v>
      </c>
      <c r="R213" s="827">
        <v>28.343221245648568</v>
      </c>
      <c r="S213" s="827">
        <v>20.262978811913154</v>
      </c>
      <c r="T213" s="827"/>
    </row>
    <row r="214" spans="2:20">
      <c r="B214" s="187">
        <v>43637</v>
      </c>
      <c r="C214" s="827" t="e">
        <v>#REF!</v>
      </c>
      <c r="D214" s="838">
        <v>20.851729874420364</v>
      </c>
      <c r="E214" s="838">
        <v>434.71784238435794</v>
      </c>
      <c r="F214" s="827">
        <v>403.5099892873356</v>
      </c>
      <c r="G214" s="838">
        <v>38.67724229270523</v>
      </c>
      <c r="H214" s="838">
        <v>19.59562412770925</v>
      </c>
      <c r="I214" s="827">
        <v>16.147668169398553</v>
      </c>
      <c r="J214" s="1572">
        <v>10.432616937111797</v>
      </c>
      <c r="K214" s="827">
        <v>8.670924022399463</v>
      </c>
      <c r="L214" s="838">
        <v>7.1751228045824442</v>
      </c>
      <c r="M214" s="827">
        <v>6.5206059298673456</v>
      </c>
      <c r="N214" s="1524">
        <v>395.56298860176253</v>
      </c>
      <c r="O214" s="827">
        <v>61.840666619098997</v>
      </c>
      <c r="P214" s="827">
        <v>20.851729874420364</v>
      </c>
      <c r="Q214" s="827">
        <v>21.944428303451904</v>
      </c>
      <c r="R214" s="827">
        <v>29.474537559245391</v>
      </c>
      <c r="S214" s="827">
        <v>20.262978811913154</v>
      </c>
      <c r="T214" s="827"/>
    </row>
    <row r="215" spans="2:20">
      <c r="B215" s="187">
        <v>43644</v>
      </c>
      <c r="C215" s="827" t="e">
        <v>#REF!</v>
      </c>
      <c r="D215" s="838">
        <v>20.152813088520578</v>
      </c>
      <c r="E215" s="838">
        <v>395.46183987583436</v>
      </c>
      <c r="F215" s="827">
        <v>403.5099892873356</v>
      </c>
      <c r="G215" s="838">
        <v>37.757583839263354</v>
      </c>
      <c r="H215" s="838">
        <v>17.968814733566894</v>
      </c>
      <c r="I215" s="827">
        <v>16.147668169398553</v>
      </c>
      <c r="J215" s="1572">
        <v>10.158204564932166</v>
      </c>
      <c r="K215" s="827">
        <v>8.670924022399463</v>
      </c>
      <c r="L215" s="838">
        <v>6.424963222596217</v>
      </c>
      <c r="M215" s="827">
        <v>6.5206059298673456</v>
      </c>
      <c r="N215" s="1524">
        <v>362.05918931102002</v>
      </c>
      <c r="O215" s="827">
        <v>61.840666619098997</v>
      </c>
      <c r="P215" s="827">
        <v>20.152813088520578</v>
      </c>
      <c r="Q215" s="827">
        <v>21.944428303451904</v>
      </c>
      <c r="R215" s="827">
        <v>28.506451093966952</v>
      </c>
      <c r="S215" s="827">
        <v>20.262978811913154</v>
      </c>
      <c r="T215" s="827"/>
    </row>
    <row r="216" spans="2:20">
      <c r="B216" s="187">
        <v>43651</v>
      </c>
      <c r="C216" s="827" t="e">
        <v>#REF!</v>
      </c>
      <c r="D216" s="838">
        <v>20.738062688464574</v>
      </c>
      <c r="E216" s="838">
        <v>415.35838330633192</v>
      </c>
      <c r="F216" s="827">
        <v>403.5099892873356</v>
      </c>
      <c r="G216" s="838">
        <v>38.747280686620186</v>
      </c>
      <c r="H216" s="838">
        <v>18.721673106986987</v>
      </c>
      <c r="I216" s="827">
        <v>16.147668169398553</v>
      </c>
      <c r="J216" s="1572">
        <v>10.422078986866966</v>
      </c>
      <c r="K216" s="827">
        <v>8.670924022399463</v>
      </c>
      <c r="L216" s="838">
        <v>6.5595764487384205</v>
      </c>
      <c r="M216" s="827">
        <v>6.5206059298673456</v>
      </c>
      <c r="N216" s="1524">
        <v>372.71790309923404</v>
      </c>
      <c r="O216" s="827">
        <v>61.840666619098997</v>
      </c>
      <c r="P216" s="827">
        <v>20.738062688464574</v>
      </c>
      <c r="Q216" s="827">
        <v>21.944428303451904</v>
      </c>
      <c r="R216" s="827">
        <v>29.039371335001203</v>
      </c>
      <c r="S216" s="827">
        <v>20.262978811913154</v>
      </c>
      <c r="T216" s="827"/>
    </row>
    <row r="217" spans="2:20">
      <c r="B217" s="187">
        <v>43658</v>
      </c>
      <c r="C217" s="827" t="e">
        <v>#REF!</v>
      </c>
      <c r="D217" s="838">
        <v>20.847922863484992</v>
      </c>
      <c r="E217" s="838">
        <v>406.71198108045388</v>
      </c>
      <c r="F217" s="827">
        <v>403.5099892873356</v>
      </c>
      <c r="G217" s="838">
        <v>38.940457834421906</v>
      </c>
      <c r="H217" s="838">
        <v>18.387715873422021</v>
      </c>
      <c r="I217" s="827">
        <v>16.147668169398553</v>
      </c>
      <c r="J217" s="1572">
        <v>10.526470988737135</v>
      </c>
      <c r="K217" s="827">
        <v>8.670924022399463</v>
      </c>
      <c r="L217" s="838">
        <v>6.5917416672670823</v>
      </c>
      <c r="M217" s="827">
        <v>6.5206059298673456</v>
      </c>
      <c r="N217" s="1524">
        <v>363.59344019433382</v>
      </c>
      <c r="O217" s="827">
        <v>61.840666619098997</v>
      </c>
      <c r="P217" s="827">
        <v>20.847922863484992</v>
      </c>
      <c r="Q217" s="827">
        <v>21.944428303451904</v>
      </c>
      <c r="R217" s="827">
        <v>29.235216405063692</v>
      </c>
      <c r="S217" s="827">
        <v>20.262978811913154</v>
      </c>
      <c r="T217" s="827"/>
    </row>
    <row r="218" spans="2:20">
      <c r="B218" s="187">
        <v>43665</v>
      </c>
      <c r="C218" s="827" t="e">
        <v>#REF!</v>
      </c>
      <c r="D218" s="838">
        <v>19.520100066654539</v>
      </c>
      <c r="E218" s="838">
        <v>428.97987312231288</v>
      </c>
      <c r="F218" s="827">
        <v>403.5099892873356</v>
      </c>
      <c r="G218" s="838">
        <v>36.834167400000219</v>
      </c>
      <c r="H218" s="838">
        <v>19.540278308588306</v>
      </c>
      <c r="I218" s="827">
        <v>16.147668169398553</v>
      </c>
      <c r="J218" s="1572">
        <v>10.387488020799257</v>
      </c>
      <c r="K218" s="827">
        <v>8.670924022399463</v>
      </c>
      <c r="L218" s="838">
        <v>6.3974171254066654</v>
      </c>
      <c r="M218" s="827">
        <v>6.5206059298673456</v>
      </c>
      <c r="N218" s="1524">
        <v>383.62846094931598</v>
      </c>
      <c r="O218" s="827">
        <v>61.840666619098997</v>
      </c>
      <c r="P218" s="827">
        <v>19.520100066654539</v>
      </c>
      <c r="Q218" s="827">
        <v>21.944428303451904</v>
      </c>
      <c r="R218" s="827">
        <v>29.014500936041532</v>
      </c>
      <c r="S218" s="827">
        <v>20.262978811913154</v>
      </c>
      <c r="T218" s="827"/>
    </row>
    <row r="219" spans="2:20">
      <c r="B219" s="187">
        <v>43672</v>
      </c>
      <c r="C219" s="827" t="e">
        <v>#REF!</v>
      </c>
      <c r="D219" s="838">
        <v>21.086155437557551</v>
      </c>
      <c r="E219" s="838">
        <v>433.53233299541591</v>
      </c>
      <c r="F219" s="827">
        <v>403.5099892873356</v>
      </c>
      <c r="G219" s="838">
        <v>40.116217505818078</v>
      </c>
      <c r="H219" s="838">
        <v>19.843366406808457</v>
      </c>
      <c r="I219" s="827">
        <v>16.147668169398553</v>
      </c>
      <c r="J219" s="1572">
        <v>10.515817420665286</v>
      </c>
      <c r="K219" s="827">
        <v>8.670924022399463</v>
      </c>
      <c r="L219" s="838">
        <v>6.85543336552188</v>
      </c>
      <c r="M219" s="827">
        <v>6.5206059298673456</v>
      </c>
      <c r="N219" s="1524">
        <v>386.7167597895787</v>
      </c>
      <c r="O219" s="827">
        <v>61.840666619098997</v>
      </c>
      <c r="P219" s="827">
        <v>21.086155437557551</v>
      </c>
      <c r="Q219" s="827">
        <v>21.944428303451904</v>
      </c>
      <c r="R219" s="827">
        <v>28.923078538480194</v>
      </c>
      <c r="S219" s="827">
        <v>20.262978811913154</v>
      </c>
      <c r="T219" s="827"/>
    </row>
    <row r="220" spans="2:20">
      <c r="B220" s="187">
        <v>43679</v>
      </c>
      <c r="C220" s="827" t="e">
        <v>#REF!</v>
      </c>
      <c r="D220" s="838">
        <v>19.824890201486252</v>
      </c>
      <c r="E220" s="838">
        <v>404.91339285389967</v>
      </c>
      <c r="F220" s="827">
        <v>403.5099892873356</v>
      </c>
      <c r="G220" s="838">
        <v>37.615197481248984</v>
      </c>
      <c r="H220" s="838">
        <v>19.086408029013651</v>
      </c>
      <c r="I220" s="827">
        <v>16.147668169398553</v>
      </c>
      <c r="J220" s="1572">
        <v>10.042940520325459</v>
      </c>
      <c r="K220" s="827">
        <v>8.670924022399463</v>
      </c>
      <c r="L220" s="838">
        <v>6.5971793064733664</v>
      </c>
      <c r="M220" s="827">
        <v>6.5206059298673456</v>
      </c>
      <c r="N220" s="1524">
        <v>387.88932348494689</v>
      </c>
      <c r="O220" s="827">
        <v>61.840666619098997</v>
      </c>
      <c r="P220" s="827">
        <v>19.824890201486252</v>
      </c>
      <c r="Q220" s="827">
        <v>21.944428303451904</v>
      </c>
      <c r="R220" s="827">
        <v>27.796051550727952</v>
      </c>
      <c r="S220" s="827">
        <v>20.262978811913154</v>
      </c>
      <c r="T220" s="827"/>
    </row>
    <row r="221" spans="2:20">
      <c r="B221" s="187">
        <v>43686</v>
      </c>
      <c r="C221" s="827" t="e">
        <v>#REF!</v>
      </c>
      <c r="D221" s="838">
        <v>19.605034087350255</v>
      </c>
      <c r="E221" s="838">
        <v>446.61484445973815</v>
      </c>
      <c r="F221" s="827">
        <v>403.5099892873356</v>
      </c>
      <c r="G221" s="838">
        <v>37.176168692837777</v>
      </c>
      <c r="H221" s="838">
        <v>21.243416677340974</v>
      </c>
      <c r="I221" s="827">
        <v>16.147668169398553</v>
      </c>
      <c r="J221" s="1572">
        <v>9.8962164003934561</v>
      </c>
      <c r="K221" s="827">
        <v>8.670924022399463</v>
      </c>
      <c r="L221" s="838">
        <v>6.6803932923571772</v>
      </c>
      <c r="M221" s="827">
        <v>6.5206059298673456</v>
      </c>
      <c r="N221" s="1524">
        <v>417.20707818189572</v>
      </c>
      <c r="O221" s="827">
        <v>61.840666619098997</v>
      </c>
      <c r="P221" s="827">
        <v>19.605034087350255</v>
      </c>
      <c r="Q221" s="827">
        <v>21.944428303451904</v>
      </c>
      <c r="R221" s="827">
        <v>27.257080440631359</v>
      </c>
      <c r="S221" s="827">
        <v>20.262978811913154</v>
      </c>
      <c r="T221" s="827"/>
    </row>
    <row r="222" spans="2:20">
      <c r="B222" s="187">
        <v>43693</v>
      </c>
      <c r="C222" s="827" t="e">
        <v>#REF!</v>
      </c>
      <c r="D222" s="838">
        <v>18.79143850257114</v>
      </c>
      <c r="E222" s="838">
        <v>429.50657747048001</v>
      </c>
      <c r="F222" s="827">
        <v>403.5099892873356</v>
      </c>
      <c r="G222" s="838">
        <v>35.82702759066165</v>
      </c>
      <c r="H222" s="838">
        <v>20.447531199285432</v>
      </c>
      <c r="I222" s="827">
        <v>16.147668169398553</v>
      </c>
      <c r="J222" s="1572">
        <v>9.7097967161122032</v>
      </c>
      <c r="K222" s="827">
        <v>8.670924022399463</v>
      </c>
      <c r="L222" s="838">
        <v>6.3270877876953628</v>
      </c>
      <c r="M222" s="827">
        <v>6.5206059298673456</v>
      </c>
      <c r="N222" s="1524">
        <v>398.54385405366054</v>
      </c>
      <c r="O222" s="827">
        <v>61.840666619098997</v>
      </c>
      <c r="P222" s="827">
        <v>18.79143850257114</v>
      </c>
      <c r="Q222" s="827">
        <v>21.944428303451904</v>
      </c>
      <c r="R222" s="827">
        <v>26.649735082562461</v>
      </c>
      <c r="S222" s="827">
        <v>20.262978811913154</v>
      </c>
      <c r="T222" s="827"/>
    </row>
    <row r="223" spans="2:20">
      <c r="B223" s="187">
        <v>43700</v>
      </c>
      <c r="C223" s="827" t="e">
        <v>#REF!</v>
      </c>
      <c r="D223" s="838">
        <v>18.295606119446816</v>
      </c>
      <c r="E223" s="838">
        <v>454.63324430321677</v>
      </c>
      <c r="F223" s="827">
        <v>403.5099892873356</v>
      </c>
      <c r="G223" s="838">
        <v>34.849574272523299</v>
      </c>
      <c r="H223" s="838">
        <v>21.771437001088792</v>
      </c>
      <c r="I223" s="827">
        <v>16.147668169398553</v>
      </c>
      <c r="J223" s="1572">
        <v>9.6226198686581021</v>
      </c>
      <c r="K223" s="827">
        <v>8.670924022399463</v>
      </c>
      <c r="L223" s="838">
        <v>6.3163966649169341</v>
      </c>
      <c r="M223" s="827">
        <v>6.5206059298673456</v>
      </c>
      <c r="N223" s="1524">
        <v>422.55945823653462</v>
      </c>
      <c r="O223" s="827">
        <v>61.840666619098997</v>
      </c>
      <c r="P223" s="827">
        <v>18.295606119446816</v>
      </c>
      <c r="Q223" s="827">
        <v>21.944428303451904</v>
      </c>
      <c r="R223" s="827">
        <v>26.659292846609731</v>
      </c>
      <c r="S223" s="827">
        <v>20.262978811913154</v>
      </c>
      <c r="T223" s="827"/>
    </row>
    <row r="224" spans="2:20">
      <c r="B224" s="187">
        <v>43707</v>
      </c>
      <c r="C224" s="827" t="e">
        <v>#REF!</v>
      </c>
      <c r="D224" s="838">
        <v>18.469465193288542</v>
      </c>
      <c r="E224" s="838">
        <v>454.18161985119809</v>
      </c>
      <c r="F224" s="827">
        <v>403.5099892873356</v>
      </c>
      <c r="G224" s="838">
        <v>35.139446681602578</v>
      </c>
      <c r="H224" s="838">
        <v>21.80830388874455</v>
      </c>
      <c r="I224" s="827">
        <v>16.147668169398553</v>
      </c>
      <c r="J224" s="1572">
        <v>9.6312138950108697</v>
      </c>
      <c r="K224" s="827">
        <v>8.670924022399463</v>
      </c>
      <c r="L224" s="838">
        <v>6.3495940704678633</v>
      </c>
      <c r="M224" s="827">
        <v>6.5206059298673456</v>
      </c>
      <c r="N224" s="1524">
        <v>421.54746067594772</v>
      </c>
      <c r="O224" s="827">
        <v>61.840666619098997</v>
      </c>
      <c r="P224" s="827">
        <v>18.469465193288542</v>
      </c>
      <c r="Q224" s="827">
        <v>21.944428303451904</v>
      </c>
      <c r="R224" s="827">
        <v>26.382364930377133</v>
      </c>
      <c r="S224" s="827">
        <v>20.262978811913154</v>
      </c>
      <c r="T224" s="827"/>
    </row>
    <row r="225" spans="2:20">
      <c r="B225" s="187">
        <v>43714</v>
      </c>
      <c r="C225" s="827" t="e">
        <v>#REF!</v>
      </c>
      <c r="D225" s="838">
        <v>18.147062273527084</v>
      </c>
      <c r="E225" s="838">
        <v>444.83842715102077</v>
      </c>
      <c r="F225" s="827">
        <v>403.5099892873356</v>
      </c>
      <c r="G225" s="838">
        <v>34.787576819507542</v>
      </c>
      <c r="H225" s="838">
        <v>21.384790151835599</v>
      </c>
      <c r="I225" s="827">
        <v>16.147668169398553</v>
      </c>
      <c r="J225" s="1572">
        <v>9.5910661917164415</v>
      </c>
      <c r="K225" s="827">
        <v>8.670924022399463</v>
      </c>
      <c r="L225" s="838">
        <v>6.1735285023711892</v>
      </c>
      <c r="M225" s="827">
        <v>6.5206059298673456</v>
      </c>
      <c r="N225" s="1524">
        <v>411.04875372341797</v>
      </c>
      <c r="O225" s="827">
        <v>61.840666619098997</v>
      </c>
      <c r="P225" s="827">
        <v>18.147062273527084</v>
      </c>
      <c r="Q225" s="827">
        <v>21.944428303451904</v>
      </c>
      <c r="R225" s="827">
        <v>25.930967689758383</v>
      </c>
      <c r="S225" s="827">
        <v>20.262978811913154</v>
      </c>
      <c r="T225" s="827"/>
    </row>
    <row r="226" spans="2:20">
      <c r="B226" s="187">
        <v>43721</v>
      </c>
      <c r="C226" s="827" t="e">
        <v>#REF!</v>
      </c>
      <c r="D226" s="838">
        <v>17.639782318307589</v>
      </c>
      <c r="E226" s="838">
        <v>403.3064188199649</v>
      </c>
      <c r="F226" s="827">
        <v>403.5099892873356</v>
      </c>
      <c r="G226" s="838">
        <v>34.024916329355555</v>
      </c>
      <c r="H226" s="838">
        <v>18.782715740102411</v>
      </c>
      <c r="I226" s="827">
        <v>16.147668169398553</v>
      </c>
      <c r="J226" s="1572">
        <v>9.0778425493974471</v>
      </c>
      <c r="K226" s="827">
        <v>8.670924022399463</v>
      </c>
      <c r="L226" s="838">
        <v>5.8637492674345726</v>
      </c>
      <c r="M226" s="827">
        <v>6.5206059298673456</v>
      </c>
      <c r="N226" s="1524">
        <v>367.16350142748303</v>
      </c>
      <c r="O226" s="827">
        <v>61.840666619098997</v>
      </c>
      <c r="P226" s="827">
        <v>17.639782318307589</v>
      </c>
      <c r="Q226" s="827">
        <v>21.944428303451904</v>
      </c>
      <c r="R226" s="827">
        <v>24.709297810145618</v>
      </c>
      <c r="S226" s="827">
        <v>20.262978811913154</v>
      </c>
      <c r="T226" s="827"/>
    </row>
    <row r="227" spans="2:20">
      <c r="B227" s="187">
        <v>43728</v>
      </c>
      <c r="C227" s="827" t="e">
        <v>#REF!</v>
      </c>
      <c r="D227" s="838">
        <v>17.158493796759238</v>
      </c>
      <c r="E227" s="838">
        <v>377.19986111209045</v>
      </c>
      <c r="F227" s="827">
        <v>403.5099892873356</v>
      </c>
      <c r="G227" s="838">
        <v>33.073633313772518</v>
      </c>
      <c r="H227" s="838">
        <v>17.547144834896873</v>
      </c>
      <c r="I227" s="827">
        <v>16.147668169398553</v>
      </c>
      <c r="J227" s="1572">
        <v>9.0958653617541021</v>
      </c>
      <c r="K227" s="827">
        <v>8.670924022399463</v>
      </c>
      <c r="L227" s="838">
        <v>5.7743519078294021</v>
      </c>
      <c r="M227" s="827">
        <v>6.5206059298673456</v>
      </c>
      <c r="N227" s="1524">
        <v>340.28893253642121</v>
      </c>
      <c r="O227" s="827">
        <v>61.840666619098997</v>
      </c>
      <c r="P227" s="827">
        <v>17.158493796759238</v>
      </c>
      <c r="Q227" s="827">
        <v>21.944428303451904</v>
      </c>
      <c r="R227" s="827">
        <v>24.489915091984656</v>
      </c>
      <c r="S227" s="827">
        <v>20.262978811913154</v>
      </c>
      <c r="T227" s="827"/>
    </row>
    <row r="228" spans="2:20">
      <c r="B228" s="187">
        <v>43735</v>
      </c>
      <c r="C228" s="827" t="e">
        <v>#REF!</v>
      </c>
      <c r="D228" s="838">
        <v>16.12492994631754</v>
      </c>
      <c r="E228" s="838">
        <v>359.35322297603574</v>
      </c>
      <c r="F228" s="827">
        <v>403.5099892873356</v>
      </c>
      <c r="G228" s="838">
        <v>31.267695462186687</v>
      </c>
      <c r="H228" s="838">
        <v>16.685887749315878</v>
      </c>
      <c r="I228" s="827">
        <v>16.147668169398553</v>
      </c>
      <c r="J228" s="1572">
        <v>8.8636903926474595</v>
      </c>
      <c r="K228" s="827">
        <v>8.670924022399463</v>
      </c>
      <c r="L228" s="838">
        <v>5.3586722067806027</v>
      </c>
      <c r="M228" s="827">
        <v>6.5206059298673456</v>
      </c>
      <c r="N228" s="1524">
        <v>322.23524039786952</v>
      </c>
      <c r="O228" s="827">
        <v>61.840666619098997</v>
      </c>
      <c r="P228" s="827">
        <v>16.12492994631754</v>
      </c>
      <c r="Q228" s="827">
        <v>21.944428303451904</v>
      </c>
      <c r="R228" s="827">
        <v>23.685458111821308</v>
      </c>
      <c r="S228" s="827">
        <v>20.262978811913154</v>
      </c>
      <c r="T228" s="827"/>
    </row>
    <row r="229" spans="2:20">
      <c r="B229" s="187">
        <v>43742</v>
      </c>
      <c r="C229" s="827" t="e">
        <v>#REF!</v>
      </c>
      <c r="D229" s="838">
        <v>16.233309425944775</v>
      </c>
      <c r="E229" s="838">
        <v>381.80476264101071</v>
      </c>
      <c r="F229" s="827">
        <v>403.5099892873356</v>
      </c>
      <c r="G229" s="838">
        <v>31.620322603426388</v>
      </c>
      <c r="H229" s="838">
        <v>17.683978337658157</v>
      </c>
      <c r="I229" s="827">
        <v>16.147668169398553</v>
      </c>
      <c r="J229" s="1572">
        <v>8.8903757001862349</v>
      </c>
      <c r="K229" s="827">
        <v>8.670924022399463</v>
      </c>
      <c r="L229" s="838">
        <v>5.5434588527667596</v>
      </c>
      <c r="M229" s="827">
        <v>6.5206059298673456</v>
      </c>
      <c r="N229" s="1524">
        <v>339.26871305505034</v>
      </c>
      <c r="O229" s="827">
        <v>61.840666619098997</v>
      </c>
      <c r="P229" s="827">
        <v>16.233309425944775</v>
      </c>
      <c r="Q229" s="827">
        <v>21.944428303451904</v>
      </c>
      <c r="R229" s="827">
        <v>24.12723408677568</v>
      </c>
      <c r="S229" s="827">
        <v>20.262978811913154</v>
      </c>
      <c r="T229" s="827"/>
    </row>
    <row r="230" spans="2:20">
      <c r="B230" s="187">
        <v>43749</v>
      </c>
      <c r="C230" s="827" t="e">
        <v>#REF!</v>
      </c>
      <c r="D230" s="838">
        <v>16.62250984253085</v>
      </c>
      <c r="E230" s="838">
        <v>369.93860891478261</v>
      </c>
      <c r="F230" s="827">
        <v>403.5099892873356</v>
      </c>
      <c r="G230" s="838">
        <v>32.214715991409953</v>
      </c>
      <c r="H230" s="838">
        <v>17.61531284687813</v>
      </c>
      <c r="I230" s="827">
        <v>16.147668169398553</v>
      </c>
      <c r="J230" s="1572">
        <v>8.9280768966893955</v>
      </c>
      <c r="K230" s="827">
        <v>8.670924022399463</v>
      </c>
      <c r="L230" s="838">
        <v>5.5637808882969999</v>
      </c>
      <c r="M230" s="827">
        <v>6.5206059298673456</v>
      </c>
      <c r="N230" s="1524">
        <v>338.57132793154318</v>
      </c>
      <c r="O230" s="827">
        <v>61.840666619098997</v>
      </c>
      <c r="P230" s="827">
        <v>16.62250984253085</v>
      </c>
      <c r="Q230" s="827">
        <v>21.944428303451904</v>
      </c>
      <c r="R230" s="827">
        <v>24.179372063237206</v>
      </c>
      <c r="S230" s="827">
        <v>20.262978811913154</v>
      </c>
      <c r="T230" s="827"/>
    </row>
    <row r="231" spans="2:20">
      <c r="B231" s="187">
        <v>43756</v>
      </c>
      <c r="C231" s="827" t="e">
        <v>#REF!</v>
      </c>
      <c r="D231" s="838">
        <v>16.491936447080558</v>
      </c>
      <c r="E231" s="838">
        <v>350.55218046266555</v>
      </c>
      <c r="F231" s="827">
        <v>403.5099892873356</v>
      </c>
      <c r="G231" s="838">
        <v>32.062856203080628</v>
      </c>
      <c r="H231" s="838">
        <v>16.60790930393085</v>
      </c>
      <c r="I231" s="827">
        <v>16.147668169398553</v>
      </c>
      <c r="J231" s="1572">
        <v>8.6851792119872027</v>
      </c>
      <c r="K231" s="827">
        <v>8.670924022399463</v>
      </c>
      <c r="L231" s="838">
        <v>5.4338540149220362</v>
      </c>
      <c r="M231" s="827">
        <v>6.5206059298673456</v>
      </c>
      <c r="N231" s="1524">
        <v>317.84579898520275</v>
      </c>
      <c r="O231" s="827">
        <v>61.840666619098997</v>
      </c>
      <c r="P231" s="827">
        <v>16.491936447080558</v>
      </c>
      <c r="Q231" s="827">
        <v>21.944428303451904</v>
      </c>
      <c r="R231" s="827">
        <v>23.318719727135996</v>
      </c>
      <c r="S231" s="827">
        <v>20.262978811913154</v>
      </c>
      <c r="T231" s="827"/>
    </row>
    <row r="232" spans="2:20">
      <c r="B232" s="187">
        <v>43763</v>
      </c>
      <c r="C232" s="827" t="e">
        <v>#REF!</v>
      </c>
      <c r="D232" s="838">
        <v>16.784259446000565</v>
      </c>
      <c r="E232" s="838">
        <v>361.34374753066595</v>
      </c>
      <c r="F232" s="827">
        <v>403.5099892873356</v>
      </c>
      <c r="G232" s="838">
        <v>33.66983023814791</v>
      </c>
      <c r="H232" s="838">
        <v>16.794871946593453</v>
      </c>
      <c r="I232" s="827">
        <v>16.147668169398553</v>
      </c>
      <c r="J232" s="1572">
        <v>8.908301718012174</v>
      </c>
      <c r="K232" s="827">
        <v>8.670924022399463</v>
      </c>
      <c r="L232" s="838">
        <v>5.5312511819853878</v>
      </c>
      <c r="M232" s="827">
        <v>6.5206059298673456</v>
      </c>
      <c r="N232" s="1524">
        <v>318.41223258140656</v>
      </c>
      <c r="O232" s="827">
        <v>61.840666619098997</v>
      </c>
      <c r="P232" s="827">
        <v>16.784259446000565</v>
      </c>
      <c r="Q232" s="827">
        <v>21.944428303451904</v>
      </c>
      <c r="R232" s="827">
        <v>23.818237877281824</v>
      </c>
      <c r="S232" s="827">
        <v>20.262978811913154</v>
      </c>
      <c r="T232" s="827"/>
    </row>
    <row r="233" spans="2:20">
      <c r="B233" s="187">
        <v>43770</v>
      </c>
      <c r="C233" s="827" t="e">
        <v>#REF!</v>
      </c>
      <c r="D233" s="838">
        <v>17.014568510754259</v>
      </c>
      <c r="E233" s="838">
        <v>405.31319068209586</v>
      </c>
      <c r="F233" s="827">
        <v>403.5099892873356</v>
      </c>
      <c r="G233" s="838">
        <v>34.184125894461111</v>
      </c>
      <c r="H233" s="838">
        <v>16.37979527721679</v>
      </c>
      <c r="I233" s="827">
        <v>16.147668169398553</v>
      </c>
      <c r="J233" s="1572">
        <v>9.165217478378576</v>
      </c>
      <c r="K233" s="827">
        <v>8.670924022399463</v>
      </c>
      <c r="L233" s="838">
        <v>5.4576888014346316</v>
      </c>
      <c r="M233" s="827">
        <v>6.5206059298673456</v>
      </c>
      <c r="N233" s="1524">
        <v>358.11317438758726</v>
      </c>
      <c r="O233" s="827">
        <v>61.840666619098997</v>
      </c>
      <c r="P233" s="827">
        <v>17.014568510754259</v>
      </c>
      <c r="Q233" s="827">
        <v>21.944428303451904</v>
      </c>
      <c r="R233" s="827">
        <v>24.843320753705626</v>
      </c>
      <c r="S233" s="827">
        <v>20.262978811913154</v>
      </c>
      <c r="T233" s="827"/>
    </row>
    <row r="234" spans="2:20">
      <c r="B234" s="187">
        <v>43777</v>
      </c>
      <c r="C234" s="827" t="e">
        <v>#REF!</v>
      </c>
      <c r="D234" s="838">
        <v>16.695713633557862</v>
      </c>
      <c r="E234" s="838">
        <v>374.53424039134575</v>
      </c>
      <c r="F234" s="827">
        <v>403.5099892873356</v>
      </c>
      <c r="G234" s="838">
        <v>33.324770264871852</v>
      </c>
      <c r="H234" s="838">
        <v>15.231126412519263</v>
      </c>
      <c r="I234" s="827">
        <v>16.147668169398553</v>
      </c>
      <c r="J234" s="1572">
        <v>9.2411380684629822</v>
      </c>
      <c r="K234" s="827">
        <v>8.670924022399463</v>
      </c>
      <c r="L234" s="838">
        <v>5.2158086806408797</v>
      </c>
      <c r="M234" s="827">
        <v>6.5206059298673456</v>
      </c>
      <c r="N234" s="1524">
        <v>332.73006632271597</v>
      </c>
      <c r="O234" s="827">
        <v>61.840666619098997</v>
      </c>
      <c r="P234" s="827">
        <v>16.695713633557862</v>
      </c>
      <c r="Q234" s="827">
        <v>21.944428303451904</v>
      </c>
      <c r="R234" s="827">
        <v>25.359153262693873</v>
      </c>
      <c r="S234" s="827">
        <v>20.262978811913154</v>
      </c>
      <c r="T234" s="827"/>
    </row>
    <row r="235" spans="2:20">
      <c r="B235" s="187">
        <v>43784</v>
      </c>
      <c r="C235" s="827" t="e">
        <v>#REF!</v>
      </c>
      <c r="D235" s="838">
        <v>17.465246654950516</v>
      </c>
      <c r="E235" s="838">
        <v>391.40765104350209</v>
      </c>
      <c r="F235" s="827">
        <v>403.5099892873356</v>
      </c>
      <c r="G235" s="838">
        <v>34.178259307490094</v>
      </c>
      <c r="H235" s="838">
        <v>15.961813035156673</v>
      </c>
      <c r="I235" s="827">
        <v>16.147668169398553</v>
      </c>
      <c r="J235" s="1572">
        <v>9.3555336367453776</v>
      </c>
      <c r="K235" s="827">
        <v>8.670924022399463</v>
      </c>
      <c r="L235" s="838">
        <v>5.3656273851458423</v>
      </c>
      <c r="M235" s="827">
        <v>6.5206059298673456</v>
      </c>
      <c r="N235" s="1524">
        <v>355.19296310497413</v>
      </c>
      <c r="O235" s="827">
        <v>61.840666619098997</v>
      </c>
      <c r="P235" s="827">
        <v>17.465246654950516</v>
      </c>
      <c r="Q235" s="827">
        <v>21.944428303451904</v>
      </c>
      <c r="R235" s="827">
        <v>26.679844242293775</v>
      </c>
      <c r="S235" s="827">
        <v>20.262978811913154</v>
      </c>
      <c r="T235" s="827"/>
    </row>
    <row r="236" spans="2:20">
      <c r="B236" s="187">
        <v>43791</v>
      </c>
      <c r="C236" s="827" t="e">
        <v>#REF!</v>
      </c>
      <c r="D236" s="838">
        <v>17.936221730889908</v>
      </c>
      <c r="E236" s="838">
        <v>373.84208440615424</v>
      </c>
      <c r="F236" s="827">
        <v>403.5099892873356</v>
      </c>
      <c r="G236" s="838">
        <v>34.907645638644304</v>
      </c>
      <c r="H236" s="838">
        <v>15.909333268298742</v>
      </c>
      <c r="I236" s="827">
        <v>16.147668169398553</v>
      </c>
      <c r="J236" s="1572">
        <v>9.280933883907128</v>
      </c>
      <c r="K236" s="827">
        <v>8.670924022399463</v>
      </c>
      <c r="L236" s="838">
        <v>5.4828811789749636</v>
      </c>
      <c r="M236" s="827">
        <v>6.5206059298673456</v>
      </c>
      <c r="N236" s="1524">
        <v>355.32611626950717</v>
      </c>
      <c r="O236" s="827">
        <v>61.840666619098997</v>
      </c>
      <c r="P236" s="827">
        <v>17.936221730889908</v>
      </c>
      <c r="Q236" s="827">
        <v>21.944428303451904</v>
      </c>
      <c r="R236" s="827">
        <v>26.002390830899554</v>
      </c>
      <c r="S236" s="827">
        <v>20.262978811913154</v>
      </c>
      <c r="T236" s="827"/>
    </row>
    <row r="237" spans="2:20">
      <c r="B237" s="187">
        <v>43798</v>
      </c>
      <c r="C237" s="827" t="e">
        <v>#REF!</v>
      </c>
      <c r="D237" s="838">
        <v>18.538309590601692</v>
      </c>
      <c r="E237" s="838">
        <v>393.97489253874141</v>
      </c>
      <c r="F237" s="827">
        <v>403.5099892873356</v>
      </c>
      <c r="G237" s="838">
        <v>36.142333095952473</v>
      </c>
      <c r="H237" s="838">
        <v>17.035206680804123</v>
      </c>
      <c r="I237" s="827">
        <v>16.147668169398553</v>
      </c>
      <c r="J237" s="1572">
        <v>9.3410662808843981</v>
      </c>
      <c r="K237" s="827">
        <v>8.670924022399463</v>
      </c>
      <c r="L237" s="838">
        <v>5.6719050147740804</v>
      </c>
      <c r="M237" s="827">
        <v>6.5206059298673456</v>
      </c>
      <c r="N237" s="1524">
        <v>377.71598495498529</v>
      </c>
      <c r="O237" s="827">
        <v>61.840666619098997</v>
      </c>
      <c r="P237" s="827">
        <v>18.538309590601692</v>
      </c>
      <c r="Q237" s="827">
        <v>21.944428303451904</v>
      </c>
      <c r="R237" s="827">
        <v>26.002548554750479</v>
      </c>
      <c r="S237" s="827">
        <v>20.262978811913154</v>
      </c>
      <c r="T237" s="827"/>
    </row>
    <row r="238" spans="2:20">
      <c r="B238" s="187">
        <v>43805</v>
      </c>
      <c r="C238" s="827" t="e">
        <v>#REF!</v>
      </c>
      <c r="D238" s="838">
        <v>17.975324509642643</v>
      </c>
      <c r="E238" s="838">
        <v>419.95806178888762</v>
      </c>
      <c r="F238" s="827">
        <v>403.5099892873356</v>
      </c>
      <c r="G238" s="838">
        <v>35.195203755703965</v>
      </c>
      <c r="H238" s="838">
        <v>18.453333250460542</v>
      </c>
      <c r="I238" s="827">
        <v>16.147668169398553</v>
      </c>
      <c r="J238" s="1572">
        <v>9.2046432250910062</v>
      </c>
      <c r="K238" s="827">
        <v>8.670924022399463</v>
      </c>
      <c r="L238" s="838">
        <v>5.6332640024243199</v>
      </c>
      <c r="M238" s="827">
        <v>6.5206059298673456</v>
      </c>
      <c r="N238" s="1524">
        <v>409.8541447817118</v>
      </c>
      <c r="O238" s="827">
        <v>61.840666619098997</v>
      </c>
      <c r="P238" s="827">
        <v>17.975324509642643</v>
      </c>
      <c r="Q238" s="827">
        <v>21.944428303451904</v>
      </c>
      <c r="R238" s="827">
        <v>25.4168368964392</v>
      </c>
      <c r="S238" s="827">
        <v>20.262978811913154</v>
      </c>
      <c r="T238" s="827"/>
    </row>
    <row r="239" spans="2:20">
      <c r="B239" s="187">
        <v>43812</v>
      </c>
      <c r="C239" s="827" t="e">
        <v>#REF!</v>
      </c>
      <c r="D239" s="838">
        <v>17.947299932879162</v>
      </c>
      <c r="E239" s="838">
        <v>437.34558011265932</v>
      </c>
      <c r="F239" s="827">
        <v>403.5099892873356</v>
      </c>
      <c r="G239" s="838">
        <v>35.152946843103607</v>
      </c>
      <c r="H239" s="838">
        <v>19.486365978824644</v>
      </c>
      <c r="I239" s="827">
        <v>16.147668169398553</v>
      </c>
      <c r="J239" s="1572">
        <v>9.3449732079842427</v>
      </c>
      <c r="K239" s="827">
        <v>8.670924022399463</v>
      </c>
      <c r="L239" s="838">
        <v>5.6885568687277246</v>
      </c>
      <c r="M239" s="827">
        <v>6.5206059298673456</v>
      </c>
      <c r="N239" s="1524">
        <v>431.85193510600931</v>
      </c>
      <c r="O239" s="827">
        <v>61.840666619098997</v>
      </c>
      <c r="P239" s="827">
        <v>17.947299932879162</v>
      </c>
      <c r="Q239" s="827">
        <v>21.944428303451904</v>
      </c>
      <c r="R239" s="827">
        <v>25.566332922358406</v>
      </c>
      <c r="S239" s="827">
        <v>20.262978811913154</v>
      </c>
      <c r="T239" s="827"/>
    </row>
    <row r="240" spans="2:20">
      <c r="B240" s="187">
        <v>43819</v>
      </c>
      <c r="C240" s="827" t="e">
        <v>#REF!</v>
      </c>
      <c r="D240" s="838">
        <v>18.842071040146294</v>
      </c>
      <c r="E240" s="838">
        <v>437.0684807326158</v>
      </c>
      <c r="F240" s="827">
        <v>403.5099892873356</v>
      </c>
      <c r="G240" s="838">
        <v>36.68032236334426</v>
      </c>
      <c r="H240" s="838">
        <v>19.612548536561668</v>
      </c>
      <c r="I240" s="827">
        <v>16.147668169398553</v>
      </c>
      <c r="J240" s="1572">
        <v>9.4318102978007889</v>
      </c>
      <c r="K240" s="827">
        <v>8.670924022399463</v>
      </c>
      <c r="L240" s="838">
        <v>5.8951390789754914</v>
      </c>
      <c r="M240" s="827">
        <v>6.5206059298673456</v>
      </c>
      <c r="N240" s="1524">
        <v>455.74544775373829</v>
      </c>
      <c r="O240" s="827">
        <v>61.840666619098997</v>
      </c>
      <c r="P240" s="827">
        <v>18.842071040146294</v>
      </c>
      <c r="Q240" s="827">
        <v>21.944428303451904</v>
      </c>
      <c r="R240" s="827">
        <v>25.708242450328264</v>
      </c>
      <c r="S240" s="827">
        <v>20.262978811913154</v>
      </c>
      <c r="T240" s="827"/>
    </row>
    <row r="241" spans="2:20">
      <c r="B241" s="187">
        <v>43826</v>
      </c>
      <c r="C241" s="827" t="e">
        <v>#REF!</v>
      </c>
      <c r="D241" s="838">
        <v>19.028970520304025</v>
      </c>
      <c r="E241" s="838">
        <v>450.24641390318544</v>
      </c>
      <c r="F241" s="827">
        <v>403.5099892873356</v>
      </c>
      <c r="G241" s="838">
        <v>37.079601799549465</v>
      </c>
      <c r="H241" s="838">
        <v>20.466246273006234</v>
      </c>
      <c r="I241" s="827">
        <v>16.147668169398553</v>
      </c>
      <c r="J241" s="1572">
        <v>9.5140955618849468</v>
      </c>
      <c r="K241" s="827">
        <v>8.670924022399463</v>
      </c>
      <c r="L241" s="838">
        <v>5.9825700323757154</v>
      </c>
      <c r="M241" s="827">
        <v>6.5206059298673456</v>
      </c>
      <c r="N241" s="1524">
        <v>476.24645861891736</v>
      </c>
      <c r="O241" s="827">
        <v>61.840666619098997</v>
      </c>
      <c r="P241" s="827">
        <v>19.028970520304025</v>
      </c>
      <c r="Q241" s="827">
        <v>21.944428303451904</v>
      </c>
      <c r="R241" s="827">
        <v>26.006338961578582</v>
      </c>
      <c r="S241" s="827">
        <v>20.262978811913154</v>
      </c>
      <c r="T241" s="827"/>
    </row>
    <row r="242" spans="2:20">
      <c r="B242" s="187">
        <v>43833</v>
      </c>
      <c r="C242" s="827" t="e">
        <v>#REF!</v>
      </c>
      <c r="D242" s="838">
        <v>18.995896583776201</v>
      </c>
      <c r="E242" s="838">
        <v>439.16472995263359</v>
      </c>
      <c r="F242" s="827">
        <v>403.5099892873356</v>
      </c>
      <c r="G242" s="838">
        <v>36.863043065035839</v>
      </c>
      <c r="H242" s="838">
        <v>20.24140632880011</v>
      </c>
      <c r="I242" s="827">
        <v>16.147668169398553</v>
      </c>
      <c r="J242" s="1572">
        <v>9.7173537456481078</v>
      </c>
      <c r="K242" s="827">
        <v>8.670924022399463</v>
      </c>
      <c r="L242" s="838">
        <v>5.7747755845385047</v>
      </c>
      <c r="M242" s="827">
        <v>6.5206059298673456</v>
      </c>
      <c r="N242" s="1524">
        <v>467.57054520428716</v>
      </c>
      <c r="O242" s="827">
        <v>61.840666619098997</v>
      </c>
      <c r="P242" s="827">
        <v>18.995896583776201</v>
      </c>
      <c r="Q242" s="827">
        <v>21.944428303451904</v>
      </c>
      <c r="R242" s="827">
        <v>26.568211136269621</v>
      </c>
      <c r="S242" s="827">
        <v>20.262978811913154</v>
      </c>
      <c r="T242" s="827"/>
    </row>
    <row r="243" spans="2:20">
      <c r="B243" s="187">
        <v>43840</v>
      </c>
      <c r="C243" s="827" t="e">
        <v>#REF!</v>
      </c>
      <c r="D243" s="838">
        <v>19.226556677162595</v>
      </c>
      <c r="E243" s="838">
        <v>455.98632200534087</v>
      </c>
      <c r="F243" s="827">
        <v>403.5099892873356</v>
      </c>
      <c r="G243" s="838">
        <v>37.231687837571712</v>
      </c>
      <c r="H243" s="838">
        <v>21.416196468827895</v>
      </c>
      <c r="I243" s="827">
        <v>16.147668169398553</v>
      </c>
      <c r="J243" s="1572">
        <v>10.160394232199829</v>
      </c>
      <c r="K243" s="827">
        <v>8.670924022399463</v>
      </c>
      <c r="L243" s="838">
        <v>5.9759970614935458</v>
      </c>
      <c r="M243" s="827">
        <v>6.5206059298673456</v>
      </c>
      <c r="N243" s="1524">
        <v>455.61792374344702</v>
      </c>
      <c r="O243" s="827">
        <v>61.840666619098997</v>
      </c>
      <c r="P243" s="827">
        <v>19.226556677162595</v>
      </c>
      <c r="Q243" s="827">
        <v>21.944428303451904</v>
      </c>
      <c r="R243" s="827">
        <v>28.008328066895359</v>
      </c>
      <c r="S243" s="827">
        <v>20.262978811913154</v>
      </c>
    </row>
    <row r="244" spans="2:20">
      <c r="B244" s="187">
        <v>43847</v>
      </c>
      <c r="C244" s="827" t="e">
        <v>#REF!</v>
      </c>
      <c r="D244" s="838">
        <v>19.411353671424386</v>
      </c>
      <c r="E244" s="838">
        <v>475.60864817650338</v>
      </c>
      <c r="F244" s="827">
        <v>403.5099892873356</v>
      </c>
      <c r="G244" s="838">
        <v>37.468424725023112</v>
      </c>
      <c r="H244" s="838">
        <v>22.593129064680472</v>
      </c>
      <c r="I244" s="827">
        <v>16.147668169398553</v>
      </c>
      <c r="J244" s="1572">
        <v>10.326162186384035</v>
      </c>
      <c r="K244" s="827">
        <v>8.670924022399463</v>
      </c>
      <c r="L244" s="838">
        <v>6.2053657253326291</v>
      </c>
      <c r="M244" s="827">
        <v>6.5206059298673456</v>
      </c>
      <c r="N244" s="1524">
        <v>483.01044539808549</v>
      </c>
      <c r="O244" s="827">
        <v>61.840666619098997</v>
      </c>
      <c r="P244" s="827">
        <v>19.411353671424386</v>
      </c>
      <c r="Q244" s="827">
        <v>21.944428303451904</v>
      </c>
      <c r="R244" s="827">
        <v>28.250425076472357</v>
      </c>
      <c r="S244" s="827">
        <v>20.262978811913154</v>
      </c>
    </row>
    <row r="245" spans="2:20">
      <c r="B245" s="187">
        <v>43854</v>
      </c>
      <c r="C245" s="827" t="e">
        <v>#REF!</v>
      </c>
      <c r="D245" s="838">
        <v>19.368040123166786</v>
      </c>
      <c r="E245" s="838">
        <v>494.55929526681643</v>
      </c>
      <c r="F245" s="827">
        <v>403.5099892873356</v>
      </c>
      <c r="G245" s="838">
        <v>36.87458440547946</v>
      </c>
      <c r="H245" s="838">
        <v>23.222379672603559</v>
      </c>
      <c r="I245" s="827">
        <v>16.147668169398553</v>
      </c>
      <c r="J245" s="1572">
        <v>10.28475845279662</v>
      </c>
      <c r="K245" s="827">
        <v>8.670924022399463</v>
      </c>
      <c r="L245" s="838">
        <v>6.2135435967055042</v>
      </c>
      <c r="M245" s="827">
        <v>6.5206059298673456</v>
      </c>
      <c r="N245" s="1524">
        <v>487.41677981858948</v>
      </c>
      <c r="O245" s="827">
        <v>61.840666619098997</v>
      </c>
      <c r="P245" s="827">
        <v>19.368040123166786</v>
      </c>
      <c r="Q245" s="827">
        <v>21.944428303451904</v>
      </c>
      <c r="R245" s="827">
        <v>28.118885338366482</v>
      </c>
      <c r="S245" s="827">
        <v>20.262978811913154</v>
      </c>
    </row>
    <row r="246" spans="2:20">
      <c r="B246" s="187">
        <v>43861</v>
      </c>
      <c r="C246" s="827" t="e">
        <v>#REF!</v>
      </c>
      <c r="D246" s="838">
        <v>18.752287071383737</v>
      </c>
      <c r="E246" s="838">
        <v>488.2780141724985</v>
      </c>
      <c r="F246" s="827">
        <v>403.5099892873356</v>
      </c>
      <c r="G246" s="838">
        <v>35.503872070952561</v>
      </c>
      <c r="H246" s="838">
        <v>23.076125607818696</v>
      </c>
      <c r="I246" s="827">
        <v>16.147668169398553</v>
      </c>
      <c r="J246" s="1572">
        <v>10.079256387752341</v>
      </c>
      <c r="K246" s="827">
        <v>8.670924022399463</v>
      </c>
      <c r="L246" s="838">
        <v>6.0191408659278247</v>
      </c>
      <c r="M246" s="827">
        <v>6.5206059298673456</v>
      </c>
      <c r="N246" s="1524">
        <v>480.88820203328555</v>
      </c>
      <c r="O246" s="827">
        <v>61.840666619098997</v>
      </c>
      <c r="P246" s="827">
        <v>18.752287071383737</v>
      </c>
      <c r="Q246" s="827">
        <v>21.944428303451904</v>
      </c>
      <c r="R246" s="827">
        <v>27.496770053640876</v>
      </c>
      <c r="S246" s="827">
        <v>20.262978811913154</v>
      </c>
    </row>
    <row r="247" spans="2:20">
      <c r="B247" s="187">
        <v>43868</v>
      </c>
      <c r="C247" s="827" t="e">
        <v>#REF!</v>
      </c>
      <c r="D247" s="838">
        <v>19.823970537898404</v>
      </c>
      <c r="E247" s="838">
        <v>492.17429605884251</v>
      </c>
      <c r="F247" s="827">
        <v>403.5099892873356</v>
      </c>
      <c r="G247" s="838">
        <v>37.333403397864174</v>
      </c>
      <c r="H247" s="838">
        <v>23.592273517275334</v>
      </c>
      <c r="I247" s="827">
        <v>16.147668169398553</v>
      </c>
      <c r="J247" s="1572">
        <v>10.283208242665053</v>
      </c>
      <c r="K247" s="827">
        <v>8.670924022399463</v>
      </c>
      <c r="L247" s="838">
        <v>6.2729770061379755</v>
      </c>
      <c r="M247" s="827">
        <v>6.5206059298673456</v>
      </c>
      <c r="N247" s="1524">
        <v>487.54211644104623</v>
      </c>
      <c r="O247" s="827">
        <v>61.840666619098997</v>
      </c>
      <c r="P247" s="827">
        <v>19.823970537898404</v>
      </c>
      <c r="Q247" s="827">
        <v>21.944428303451904</v>
      </c>
      <c r="R247" s="827">
        <v>28.028123505022926</v>
      </c>
      <c r="S247" s="827">
        <v>20.262978811913154</v>
      </c>
    </row>
    <row r="248" spans="2:20">
      <c r="B248" s="187">
        <v>43875</v>
      </c>
      <c r="C248" s="827" t="e">
        <v>#REF!</v>
      </c>
      <c r="D248" s="838">
        <v>20.487875341706896</v>
      </c>
      <c r="E248" s="838">
        <v>1770.5111265373239</v>
      </c>
      <c r="F248" s="827">
        <v>403.5099892873356</v>
      </c>
      <c r="G248" s="838">
        <v>38.435380859188093</v>
      </c>
      <c r="H248" s="838">
        <v>25.243676673910336</v>
      </c>
      <c r="I248" s="827">
        <v>16.147668169398553</v>
      </c>
      <c r="J248" s="1572">
        <v>10.604782534327146</v>
      </c>
      <c r="K248" s="827">
        <v>8.670924022399463</v>
      </c>
      <c r="L248" s="838">
        <v>6.4565758282183028</v>
      </c>
      <c r="M248" s="827">
        <v>6.5206059298673456</v>
      </c>
      <c r="N248" s="1524">
        <v>1109.2894622932633</v>
      </c>
      <c r="O248" s="827">
        <v>61.840666619098997</v>
      </c>
      <c r="P248" s="827">
        <v>20.487875341706896</v>
      </c>
      <c r="Q248" s="827">
        <v>21.944428303451904</v>
      </c>
      <c r="R248" s="827">
        <v>28.703775272631209</v>
      </c>
      <c r="S248" s="827">
        <v>20.262978811913154</v>
      </c>
    </row>
    <row r="249" spans="2:20">
      <c r="B249" s="187">
        <v>43882</v>
      </c>
      <c r="C249" s="827" t="e">
        <v>#REF!</v>
      </c>
      <c r="D249" s="838">
        <v>20.167494850052314</v>
      </c>
      <c r="E249" s="838">
        <v>1676.0092398438653</v>
      </c>
      <c r="F249" s="827">
        <v>403.5099892873356</v>
      </c>
      <c r="G249" s="838">
        <v>37.717093942517593</v>
      </c>
      <c r="H249" s="838">
        <v>24.559258664097577</v>
      </c>
      <c r="I249" s="827">
        <v>16.147668169398553</v>
      </c>
      <c r="J249" s="1572">
        <v>10.341947665379418</v>
      </c>
      <c r="K249" s="827">
        <v>8.670924022399463</v>
      </c>
      <c r="L249" s="838">
        <v>6.336732923036954</v>
      </c>
      <c r="M249" s="827">
        <v>6.5206059298673456</v>
      </c>
      <c r="N249" s="1524">
        <v>1051.8215797841262</v>
      </c>
      <c r="O249" s="827">
        <v>61.840666619098997</v>
      </c>
      <c r="P249" s="827">
        <v>20.167494850052314</v>
      </c>
      <c r="Q249" s="827">
        <v>21.944428303451904</v>
      </c>
      <c r="R249" s="827">
        <v>28.313502442419711</v>
      </c>
      <c r="S249" s="827">
        <v>20.262978811913154</v>
      </c>
    </row>
    <row r="250" spans="2:20">
      <c r="B250" s="187">
        <v>43889</v>
      </c>
      <c r="C250" s="827" t="e">
        <v>#REF!</v>
      </c>
      <c r="D250" s="838">
        <v>18.921251116840253</v>
      </c>
      <c r="E250" s="838">
        <v>1442.1132875218307</v>
      </c>
      <c r="F250" s="827">
        <v>403.5099892873356</v>
      </c>
      <c r="G250" s="838">
        <v>34.939141304022513</v>
      </c>
      <c r="H250" s="838">
        <v>21.595482943675474</v>
      </c>
      <c r="I250" s="827">
        <v>16.147668169398553</v>
      </c>
      <c r="J250" s="1572">
        <v>9.5108013599632493</v>
      </c>
      <c r="K250" s="827">
        <v>8.670924022399463</v>
      </c>
      <c r="L250" s="838">
        <v>5.6602368745414662</v>
      </c>
      <c r="M250" s="827">
        <v>6.5206059298673456</v>
      </c>
      <c r="N250" s="1524">
        <v>909.42889145428353</v>
      </c>
      <c r="O250" s="827">
        <v>61.840666619098997</v>
      </c>
      <c r="P250" s="827">
        <v>18.921251116840253</v>
      </c>
      <c r="Q250" s="827">
        <v>21.944428303451904</v>
      </c>
      <c r="R250" s="827">
        <v>25.877069945071003</v>
      </c>
      <c r="S250" s="827">
        <v>20.262978811913154</v>
      </c>
    </row>
    <row r="251" spans="2:20">
      <c r="B251" s="187">
        <v>43896</v>
      </c>
      <c r="C251" s="827" t="e">
        <v>#REF!</v>
      </c>
      <c r="D251" s="838">
        <v>18.009004999790793</v>
      </c>
      <c r="E251" s="838">
        <v>1428.9051650954978</v>
      </c>
      <c r="F251" s="827">
        <v>403.5099892873356</v>
      </c>
      <c r="G251" s="838">
        <v>33.508317000937389</v>
      </c>
      <c r="H251" s="838">
        <v>21.902181969004875</v>
      </c>
      <c r="I251" s="827">
        <v>16.147668169398553</v>
      </c>
      <c r="J251" s="1572">
        <v>9.3948169427877595</v>
      </c>
      <c r="K251" s="827">
        <v>8.670924022399463</v>
      </c>
      <c r="L251" s="838">
        <v>5.4215092347426177</v>
      </c>
      <c r="M251" s="827">
        <v>6.5206059298673456</v>
      </c>
      <c r="N251" s="1524">
        <v>902.77617443476674</v>
      </c>
      <c r="O251" s="827">
        <v>61.840666619098997</v>
      </c>
      <c r="P251" s="827">
        <v>18.009004999790793</v>
      </c>
      <c r="Q251" s="827">
        <v>21.944428303451904</v>
      </c>
      <c r="R251" s="827">
        <v>25.594855366151616</v>
      </c>
      <c r="S251" s="827">
        <v>20.262978811913154</v>
      </c>
    </row>
    <row r="252" spans="2:20">
      <c r="B252" s="187">
        <v>43903</v>
      </c>
      <c r="C252" s="827" t="e">
        <v>#REF!</v>
      </c>
      <c r="D252" s="838">
        <v>15.945941787458297</v>
      </c>
      <c r="E252" s="838">
        <v>1065.9135701432074</v>
      </c>
      <c r="F252" s="827">
        <v>403.5099892873356</v>
      </c>
      <c r="G252" s="838">
        <v>29.809270983981637</v>
      </c>
      <c r="H252" s="838">
        <v>17.804450887776859</v>
      </c>
      <c r="I252" s="827">
        <v>16.147668169398553</v>
      </c>
      <c r="J252" s="1572">
        <v>8.7282953696712777</v>
      </c>
      <c r="K252" s="827">
        <v>8.670924022399463</v>
      </c>
      <c r="L252" s="838">
        <v>4.5539749473038444</v>
      </c>
      <c r="M252" s="827">
        <v>6.5206059298673456</v>
      </c>
      <c r="N252" s="1524">
        <v>720.57106866082972</v>
      </c>
      <c r="O252" s="827">
        <v>61.840666619098997</v>
      </c>
      <c r="P252" s="827">
        <v>15.945941787458297</v>
      </c>
      <c r="Q252" s="827">
        <v>21.944428303451904</v>
      </c>
      <c r="R252" s="827">
        <v>22.794155762946168</v>
      </c>
      <c r="S252" s="827">
        <v>20.262978811913154</v>
      </c>
    </row>
    <row r="253" spans="2:20">
      <c r="B253" s="187">
        <v>43910</v>
      </c>
      <c r="C253" s="827" t="e">
        <v>#REF!</v>
      </c>
      <c r="D253" s="838">
        <v>14.613151601416666</v>
      </c>
      <c r="E253" s="838">
        <v>995.57076590421855</v>
      </c>
      <c r="F253" s="827">
        <v>403.5099892873356</v>
      </c>
      <c r="G253" s="838">
        <v>27.911607796376995</v>
      </c>
      <c r="H253" s="838">
        <v>15.585499069743909</v>
      </c>
      <c r="I253" s="827">
        <v>16.147668169398553</v>
      </c>
      <c r="J253" s="1572">
        <v>7.6913293299142351</v>
      </c>
      <c r="K253" s="827">
        <v>8.670924022399463</v>
      </c>
      <c r="L253" s="838">
        <v>4.0315869842477543</v>
      </c>
      <c r="M253" s="827">
        <v>6.5206059298673456</v>
      </c>
      <c r="N253" s="1524">
        <v>615.26591929409722</v>
      </c>
      <c r="O253" s="827">
        <v>61.840666619098997</v>
      </c>
      <c r="P253" s="827">
        <v>14.613151601416666</v>
      </c>
      <c r="Q253" s="827">
        <v>21.944428303451904</v>
      </c>
      <c r="R253" s="827">
        <v>19.983059170028419</v>
      </c>
      <c r="S253" s="827">
        <v>20.262978811913154</v>
      </c>
    </row>
    <row r="254" spans="2:20">
      <c r="B254" s="187">
        <v>43917</v>
      </c>
      <c r="C254" s="827" t="e">
        <v>#REF!</v>
      </c>
      <c r="D254" s="838">
        <v>16.091695749479477</v>
      </c>
      <c r="E254" s="838">
        <v>1183.8572879441815</v>
      </c>
      <c r="F254" s="827">
        <v>403.5099892873356</v>
      </c>
      <c r="G254" s="838">
        <v>31.092257485913045</v>
      </c>
      <c r="H254" s="838">
        <v>19.15686775739735</v>
      </c>
      <c r="I254" s="827">
        <v>16.147668169398553</v>
      </c>
      <c r="J254" s="1572">
        <v>8.3043120253942018</v>
      </c>
      <c r="K254" s="827">
        <v>8.670924022399463</v>
      </c>
      <c r="L254" s="838">
        <v>4.7676951044166938</v>
      </c>
      <c r="M254" s="827">
        <v>6.5206059298673456</v>
      </c>
      <c r="N254" s="1524">
        <v>736.81512535924128</v>
      </c>
      <c r="O254" s="827">
        <v>61.840666619098997</v>
      </c>
      <c r="P254" s="827">
        <v>16.091695749479477</v>
      </c>
      <c r="Q254" s="827">
        <v>21.944428303451904</v>
      </c>
      <c r="R254" s="827">
        <v>21.574920393889627</v>
      </c>
      <c r="S254" s="827">
        <v>20.262978811913154</v>
      </c>
    </row>
    <row r="255" spans="2:20">
      <c r="B255" s="187">
        <v>43924</v>
      </c>
      <c r="C255" s="827" t="e">
        <v>#REF!</v>
      </c>
      <c r="D255" s="838">
        <v>15.046473846323094</v>
      </c>
      <c r="E255" s="838">
        <v>1902.7633401319947</v>
      </c>
      <c r="F255" s="827">
        <v>403.5099892873356</v>
      </c>
      <c r="G255" s="838">
        <v>30.077373385558708</v>
      </c>
      <c r="H255" s="838">
        <v>17.274075145793173</v>
      </c>
      <c r="I255" s="827">
        <v>16.147668169398553</v>
      </c>
      <c r="J255" s="1572">
        <v>8.1300161550830961</v>
      </c>
      <c r="K255" s="827">
        <v>8.670924022399463</v>
      </c>
      <c r="L255" s="838">
        <v>4.551200526746368</v>
      </c>
      <c r="M255" s="827">
        <v>6.5206059298673456</v>
      </c>
      <c r="N255" s="1524">
        <v>1659.1180359084897</v>
      </c>
      <c r="O255" s="827">
        <v>61.840666619098997</v>
      </c>
      <c r="P255" s="827">
        <v>15.046473846323094</v>
      </c>
      <c r="Q255" s="827">
        <v>21.944428303451904</v>
      </c>
      <c r="R255" s="827">
        <v>20.871072028740848</v>
      </c>
      <c r="S255" s="827">
        <v>20.262978811913154</v>
      </c>
    </row>
    <row r="256" spans="2:20">
      <c r="B256" s="187">
        <v>43931</v>
      </c>
      <c r="C256" s="827" t="e">
        <v>#REF!</v>
      </c>
      <c r="D256" s="838">
        <v>17.432419629695595</v>
      </c>
      <c r="E256" s="838">
        <v>2476.5012788597114</v>
      </c>
      <c r="F256" s="827">
        <v>403.5099892873356</v>
      </c>
      <c r="G256" s="838">
        <v>35.046075008576352</v>
      </c>
      <c r="H256" s="838">
        <v>20.401816541922052</v>
      </c>
      <c r="I256" s="827">
        <v>16.147668169398553</v>
      </c>
      <c r="J256" s="1572">
        <v>9.0231515102171613</v>
      </c>
      <c r="K256" s="827">
        <v>8.670924022399463</v>
      </c>
      <c r="L256" s="838">
        <v>5.4668102758725121</v>
      </c>
      <c r="M256" s="827">
        <v>6.5206059298673456</v>
      </c>
      <c r="N256" s="1524">
        <v>1866.1797363733792</v>
      </c>
      <c r="O256" s="827">
        <v>61.840666619098997</v>
      </c>
      <c r="P256" s="827">
        <v>17.432419629695595</v>
      </c>
      <c r="Q256" s="827">
        <v>21.944428303451904</v>
      </c>
      <c r="R256" s="827">
        <v>23.858279979848838</v>
      </c>
      <c r="S256" s="827">
        <v>20.262978811913154</v>
      </c>
    </row>
    <row r="257" spans="2:19">
      <c r="B257" s="187">
        <v>43938</v>
      </c>
      <c r="C257" s="827" t="e">
        <v>#REF!</v>
      </c>
      <c r="D257" s="838">
        <v>19.511587945756375</v>
      </c>
      <c r="E257" s="838">
        <v>3365.7232676436097</v>
      </c>
      <c r="F257" s="827">
        <v>403.5099892873356</v>
      </c>
      <c r="G257" s="838">
        <v>38.981960302895921</v>
      </c>
      <c r="H257" s="838">
        <v>29.17864365285601</v>
      </c>
      <c r="I257" s="827">
        <v>16.147668169398553</v>
      </c>
      <c r="J257" s="1572">
        <v>9.6670146730049247</v>
      </c>
      <c r="K257" s="827">
        <v>8.670924022399463</v>
      </c>
      <c r="L257" s="838">
        <v>6.3034308725387458</v>
      </c>
      <c r="M257" s="827">
        <v>6.5206059298673456</v>
      </c>
      <c r="N257" s="1524">
        <v>2548.7879145876041</v>
      </c>
      <c r="O257" s="827">
        <v>61.840666619098997</v>
      </c>
      <c r="P257" s="827">
        <v>19.511587945756375</v>
      </c>
      <c r="Q257" s="827">
        <v>21.944428303451904</v>
      </c>
      <c r="R257" s="827">
        <v>25.652509108786347</v>
      </c>
      <c r="S257" s="827">
        <v>20.262978811913154</v>
      </c>
    </row>
    <row r="258" spans="2:19">
      <c r="B258" s="187">
        <v>43945</v>
      </c>
      <c r="C258" s="827" t="e">
        <v>#REF!</v>
      </c>
      <c r="D258" s="838">
        <v>20.446780681278572</v>
      </c>
      <c r="E258" s="838">
        <v>3532.6625600656716</v>
      </c>
      <c r="F258" s="827">
        <v>403.5099892873356</v>
      </c>
      <c r="G258" s="838">
        <v>41.077159034465268</v>
      </c>
      <c r="H258" s="838">
        <v>31.741905323644218</v>
      </c>
      <c r="I258" s="827">
        <v>16.147668169398553</v>
      </c>
      <c r="J258" s="1572">
        <v>9.7042929281762937</v>
      </c>
      <c r="K258" s="827">
        <v>8.670924022399463</v>
      </c>
      <c r="L258" s="838">
        <v>6.8428368970423588</v>
      </c>
      <c r="M258" s="827">
        <v>6.5206059298673456</v>
      </c>
      <c r="N258" s="1524">
        <v>2470.3286359519743</v>
      </c>
      <c r="O258" s="827">
        <v>61.840666619098997</v>
      </c>
      <c r="P258" s="827">
        <v>20.446780681278572</v>
      </c>
      <c r="Q258" s="827">
        <v>21.944428303451904</v>
      </c>
      <c r="R258" s="827">
        <v>26.466446713841645</v>
      </c>
      <c r="S258" s="827">
        <v>20.262978811913154</v>
      </c>
    </row>
    <row r="259" spans="2:19">
      <c r="B259" s="187">
        <v>43952</v>
      </c>
      <c r="C259" s="827" t="e">
        <v>#REF!</v>
      </c>
      <c r="D259" s="838">
        <v>21.420615492345284</v>
      </c>
      <c r="E259" s="838">
        <v>3220.9169797705385</v>
      </c>
      <c r="F259" s="827">
        <v>403.5099892873356</v>
      </c>
      <c r="G259" s="838">
        <v>45.861964358046187</v>
      </c>
      <c r="H259" s="838">
        <v>29.976537868983563</v>
      </c>
      <c r="I259" s="827">
        <v>16.147668169398553</v>
      </c>
      <c r="J259" s="1572">
        <v>9.5241291051519088</v>
      </c>
      <c r="K259" s="827">
        <v>8.670924022399463</v>
      </c>
      <c r="L259" s="838">
        <v>6.853204313474027</v>
      </c>
      <c r="M259" s="827">
        <v>6.5206059298673456</v>
      </c>
      <c r="N259" s="1524">
        <v>2256.7566711446611</v>
      </c>
      <c r="O259" s="827">
        <v>61.840666619098997</v>
      </c>
      <c r="P259" s="827">
        <v>21.420615492345284</v>
      </c>
      <c r="Q259" s="827">
        <v>21.944428303451904</v>
      </c>
      <c r="R259" s="827">
        <v>25.763436387302399</v>
      </c>
      <c r="S259" s="827">
        <v>20.262978811913154</v>
      </c>
    </row>
    <row r="260" spans="2:19">
      <c r="B260" s="187">
        <v>43959</v>
      </c>
      <c r="C260" s="827" t="e">
        <v>#REF!</v>
      </c>
      <c r="D260" s="838">
        <v>24.932189385640356</v>
      </c>
      <c r="E260" s="838">
        <v>1331.051187864264</v>
      </c>
      <c r="F260" s="827">
        <v>403.5099892873356</v>
      </c>
      <c r="G260" s="838">
        <v>52.006613658829082</v>
      </c>
      <c r="H260" s="838">
        <v>33.073328961857733</v>
      </c>
      <c r="I260" s="827">
        <v>16.147668169398553</v>
      </c>
      <c r="J260" s="1572">
        <v>10.392933127749789</v>
      </c>
      <c r="K260" s="827">
        <v>8.670924022399463</v>
      </c>
      <c r="L260" s="838">
        <v>7.642820097496811</v>
      </c>
      <c r="M260" s="827">
        <v>6.5206059298673456</v>
      </c>
      <c r="N260" s="1524">
        <v>1117.8054591409193</v>
      </c>
      <c r="O260" s="827">
        <v>61.840666619098997</v>
      </c>
      <c r="P260" s="827">
        <v>24.932189385640356</v>
      </c>
      <c r="Q260" s="827">
        <v>21.944428303451904</v>
      </c>
      <c r="R260" s="827">
        <v>29.227985621548179</v>
      </c>
      <c r="S260" s="827">
        <v>20.262978811913154</v>
      </c>
    </row>
    <row r="261" spans="2:19">
      <c r="B261" s="187">
        <v>43966</v>
      </c>
      <c r="C261" s="827" t="e">
        <v>#REF!</v>
      </c>
      <c r="D261" s="838">
        <v>24.378814435712556</v>
      </c>
      <c r="E261" s="838">
        <v>1438.2473447743059</v>
      </c>
      <c r="F261" s="827">
        <v>403.5099892873356</v>
      </c>
      <c r="G261" s="838">
        <v>50.442852211725047</v>
      </c>
      <c r="H261" s="838">
        <v>35.647216173407884</v>
      </c>
      <c r="I261" s="827">
        <v>16.147668169398553</v>
      </c>
      <c r="J261" s="1572">
        <v>10.861109829159897</v>
      </c>
      <c r="K261" s="827">
        <v>8.670924022399463</v>
      </c>
      <c r="L261" s="838">
        <v>7.6100409801146194</v>
      </c>
      <c r="M261" s="827">
        <v>6.5206059298673456</v>
      </c>
      <c r="N261" s="1524">
        <v>1195.3925423467372</v>
      </c>
      <c r="O261" s="827">
        <v>61.840666619098997</v>
      </c>
      <c r="P261" s="827">
        <v>24.378814435712556</v>
      </c>
      <c r="Q261" s="827">
        <v>21.944428303451904</v>
      </c>
      <c r="R261" s="827">
        <v>31.159208765194126</v>
      </c>
      <c r="S261" s="827">
        <v>20.262978811913154</v>
      </c>
    </row>
    <row r="262" spans="2:19">
      <c r="B262" s="187">
        <v>43973</v>
      </c>
      <c r="C262" s="827" t="e">
        <v>#REF!</v>
      </c>
      <c r="D262" s="838">
        <v>25.091509143883926</v>
      </c>
      <c r="E262" s="838">
        <v>1524.2678094780688</v>
      </c>
      <c r="F262" s="827">
        <v>403.5099892873356</v>
      </c>
      <c r="G262" s="838">
        <v>52.218404301306201</v>
      </c>
      <c r="H262" s="838">
        <v>38.160562663009358</v>
      </c>
      <c r="I262" s="827">
        <v>16.147668169398553</v>
      </c>
      <c r="J262" s="1572">
        <v>11.090954856538398</v>
      </c>
      <c r="K262" s="827">
        <v>8.670924022399463</v>
      </c>
      <c r="L262" s="838">
        <v>8.0957428713119715</v>
      </c>
      <c r="M262" s="827">
        <v>6.5206059298673456</v>
      </c>
      <c r="N262" s="1524">
        <v>1261.5679267718758</v>
      </c>
      <c r="O262" s="827">
        <v>61.840666619098997</v>
      </c>
      <c r="P262" s="827">
        <v>25.091509143883926</v>
      </c>
      <c r="Q262" s="827">
        <v>21.944428303451904</v>
      </c>
      <c r="R262" s="827">
        <v>32.166824936477227</v>
      </c>
      <c r="S262" s="827">
        <v>20.262978811913154</v>
      </c>
    </row>
    <row r="263" spans="2:19">
      <c r="B263" s="187">
        <v>43980</v>
      </c>
      <c r="C263" s="827" t="e">
        <v>#REF!</v>
      </c>
      <c r="D263" s="838">
        <v>24.920670256417665</v>
      </c>
      <c r="E263" s="838">
        <v>1615.7480725946355</v>
      </c>
      <c r="F263" s="827">
        <v>403.5099892873356</v>
      </c>
      <c r="G263" s="838">
        <v>51.747515530614031</v>
      </c>
      <c r="H263" s="838">
        <v>34.812798484140629</v>
      </c>
      <c r="I263" s="827">
        <v>16.147668169398553</v>
      </c>
      <c r="J263" s="1572">
        <v>11.260705579210954</v>
      </c>
      <c r="K263" s="827">
        <v>8.670924022399463</v>
      </c>
      <c r="L263" s="838">
        <v>7.9376693865686798</v>
      </c>
      <c r="M263" s="827">
        <v>6.5206059298673456</v>
      </c>
      <c r="N263" s="1524">
        <v>1140.00613493332</v>
      </c>
      <c r="O263" s="827">
        <v>61.840666619098997</v>
      </c>
      <c r="P263" s="827">
        <v>24.920670256417665</v>
      </c>
      <c r="Q263" s="827">
        <v>21.944428303451904</v>
      </c>
      <c r="R263" s="827">
        <v>32.758842597806158</v>
      </c>
      <c r="S263" s="827">
        <v>20.262978811913154</v>
      </c>
    </row>
    <row r="264" spans="2:19">
      <c r="B264" s="187">
        <v>43987</v>
      </c>
      <c r="C264" s="827" t="e">
        <v>#REF!</v>
      </c>
      <c r="D264" s="838">
        <v>26.542278064185147</v>
      </c>
      <c r="E264" s="838">
        <v>1542.0667533929568</v>
      </c>
      <c r="F264" s="827">
        <v>403.5099892873356</v>
      </c>
      <c r="G264" s="838">
        <v>54.109890714486419</v>
      </c>
      <c r="H264" s="838">
        <v>33.200036846718106</v>
      </c>
      <c r="I264" s="827">
        <v>16.147668169398553</v>
      </c>
      <c r="J264" s="1572">
        <v>11.055375538615447</v>
      </c>
      <c r="K264" s="827">
        <v>8.670924022399463</v>
      </c>
      <c r="L264" s="838">
        <v>8.2284395758664512</v>
      </c>
      <c r="M264" s="827">
        <v>6.5206059298673456</v>
      </c>
      <c r="N264" s="1524">
        <v>1083.2707183283326</v>
      </c>
      <c r="O264" s="827">
        <v>61.840666619098997</v>
      </c>
      <c r="P264" s="827">
        <v>26.542278064185147</v>
      </c>
      <c r="Q264" s="827">
        <v>21.944428303451904</v>
      </c>
      <c r="R264" s="827">
        <v>32.00491578009305</v>
      </c>
      <c r="S264" s="827">
        <v>20.262978811913154</v>
      </c>
    </row>
    <row r="265" spans="2:19">
      <c r="B265" s="187">
        <v>43994</v>
      </c>
      <c r="C265" s="827" t="e">
        <v>#REF!</v>
      </c>
      <c r="D265" s="838">
        <v>26.379027497423507</v>
      </c>
      <c r="E265" s="838">
        <v>1553.6131265224551</v>
      </c>
      <c r="F265" s="827">
        <v>403.5099892873356</v>
      </c>
      <c r="G265" s="838">
        <v>53.250155272101701</v>
      </c>
      <c r="H265" s="838">
        <v>33.633785161871209</v>
      </c>
      <c r="I265" s="827">
        <v>16.147668169398553</v>
      </c>
      <c r="J265" s="1572">
        <v>11.062805676874586</v>
      </c>
      <c r="K265" s="827">
        <v>8.670924022399463</v>
      </c>
      <c r="L265" s="838">
        <v>8.0636419746238754</v>
      </c>
      <c r="M265" s="827">
        <v>6.5206059298673456</v>
      </c>
      <c r="N265" s="1524">
        <v>1086.147208193185</v>
      </c>
      <c r="O265" s="827">
        <v>61.840666619098997</v>
      </c>
      <c r="P265" s="827">
        <v>26.379027497423507</v>
      </c>
      <c r="Q265" s="827">
        <v>21.944428303451904</v>
      </c>
      <c r="R265" s="827">
        <v>31.911766686569706</v>
      </c>
      <c r="S265" s="827">
        <v>20.262978811913154</v>
      </c>
    </row>
    <row r="266" spans="2:19">
      <c r="B266" s="187">
        <v>44001</v>
      </c>
      <c r="C266" s="827" t="e">
        <v>#REF!</v>
      </c>
      <c r="D266" s="838">
        <v>27.952999165190654</v>
      </c>
      <c r="E266" s="838">
        <v>1831.9184656965467</v>
      </c>
      <c r="F266" s="827">
        <v>403.5099892873356</v>
      </c>
      <c r="G266" s="838">
        <v>55.908771684870722</v>
      </c>
      <c r="H266" s="838">
        <v>39.845169366147303</v>
      </c>
      <c r="I266" s="827">
        <v>16.147668169398553</v>
      </c>
      <c r="J266" s="1572">
        <v>11.566139446869105</v>
      </c>
      <c r="K266" s="827">
        <v>8.670924022399463</v>
      </c>
      <c r="L266" s="838">
        <v>8.9166181090676808</v>
      </c>
      <c r="M266" s="827">
        <v>6.5206059298673456</v>
      </c>
      <c r="N266" s="1524">
        <v>1288.4221414137696</v>
      </c>
      <c r="O266" s="827">
        <v>61.840666619098997</v>
      </c>
      <c r="P266" s="827">
        <v>27.952999165190654</v>
      </c>
      <c r="Q266" s="827">
        <v>21.944428303451904</v>
      </c>
      <c r="R266" s="827">
        <v>33.831438205263176</v>
      </c>
      <c r="S266" s="827">
        <v>20.262978811913154</v>
      </c>
    </row>
    <row r="267" spans="2:19">
      <c r="B267" s="187">
        <v>44008</v>
      </c>
      <c r="C267" s="827" t="e">
        <v>#REF!</v>
      </c>
      <c r="D267" s="838">
        <v>27.568744154160044</v>
      </c>
      <c r="E267" s="838">
        <v>1866.1922901567257</v>
      </c>
      <c r="F267" s="827">
        <v>403.5099892873356</v>
      </c>
      <c r="G267" s="838">
        <v>55.289296219616624</v>
      </c>
      <c r="H267" s="838">
        <v>40.914441055423538</v>
      </c>
      <c r="I267" s="827">
        <v>16.147668169398553</v>
      </c>
      <c r="J267" s="1572">
        <v>11.515199513704744</v>
      </c>
      <c r="K267" s="827">
        <v>8.670924022399463</v>
      </c>
      <c r="L267" s="838">
        <v>8.8681742545901958</v>
      </c>
      <c r="M267" s="827">
        <v>6.5206059298673456</v>
      </c>
      <c r="N267" s="1524">
        <v>1297.0959270145856</v>
      </c>
      <c r="O267" s="827">
        <v>61.840666619098997</v>
      </c>
      <c r="P267" s="827">
        <v>27.568744154160044</v>
      </c>
      <c r="Q267" s="827">
        <v>21.944428303451904</v>
      </c>
      <c r="R267" s="827">
        <v>33.823667567548981</v>
      </c>
      <c r="S267" s="827">
        <v>20.262978811913154</v>
      </c>
    </row>
    <row r="268" spans="2:19">
      <c r="B268" s="187">
        <v>44015</v>
      </c>
      <c r="C268" s="827" t="e">
        <v>#REF!</v>
      </c>
      <c r="D268" s="838">
        <v>29.384100438392366</v>
      </c>
      <c r="E268" s="838">
        <v>2084.3580460739518</v>
      </c>
      <c r="F268" s="827">
        <v>403.5099892873356</v>
      </c>
      <c r="G268" s="838">
        <v>57.433090144140145</v>
      </c>
      <c r="H268" s="838">
        <v>47.95682121739928</v>
      </c>
      <c r="I268" s="827">
        <v>16.147668169398553</v>
      </c>
      <c r="J268" s="1572">
        <v>12.06362126555589</v>
      </c>
      <c r="K268" s="827">
        <v>8.670924022399463</v>
      </c>
      <c r="L268" s="838">
        <v>9.7739060967242697</v>
      </c>
      <c r="M268" s="827">
        <v>6.5206059298673456</v>
      </c>
      <c r="N268" s="1524">
        <v>1505.2306550287906</v>
      </c>
      <c r="O268" s="827">
        <v>61.840666619098997</v>
      </c>
      <c r="P268" s="827">
        <v>29.384100438392366</v>
      </c>
      <c r="Q268" s="827">
        <v>21.944428303451904</v>
      </c>
      <c r="R268" s="827">
        <v>36.060514196327041</v>
      </c>
      <c r="S268" s="827">
        <v>20.262978811913154</v>
      </c>
    </row>
    <row r="269" spans="2:19">
      <c r="B269" s="187">
        <v>44022</v>
      </c>
      <c r="C269" s="827" t="e">
        <v>#REF!</v>
      </c>
      <c r="D269" s="838">
        <v>30.651405108861468</v>
      </c>
      <c r="E269" s="838">
        <v>2074.193265539554</v>
      </c>
      <c r="F269" s="827">
        <v>403.5099892873356</v>
      </c>
      <c r="G269" s="838">
        <v>60.399847101061212</v>
      </c>
      <c r="H269" s="838">
        <v>47.733267801300308</v>
      </c>
      <c r="I269" s="827">
        <v>16.147668169398553</v>
      </c>
      <c r="J269" s="1572">
        <v>12.460394029210631</v>
      </c>
      <c r="K269" s="827">
        <v>8.670924022399463</v>
      </c>
      <c r="L269" s="838">
        <v>10.128374232679388</v>
      </c>
      <c r="M269" s="827">
        <v>6.5206059298673456</v>
      </c>
      <c r="N269" s="1524">
        <v>1439.6815341489439</v>
      </c>
      <c r="O269" s="827">
        <v>61.840666619098997</v>
      </c>
      <c r="P269" s="827">
        <v>30.651405108861468</v>
      </c>
      <c r="Q269" s="827">
        <v>21.944428303451904</v>
      </c>
      <c r="R269" s="827">
        <v>37.619804324294364</v>
      </c>
      <c r="S269" s="827">
        <v>20.262978811913154</v>
      </c>
    </row>
    <row r="270" spans="2:19">
      <c r="B270" s="187">
        <v>44029</v>
      </c>
      <c r="C270" s="827" t="e">
        <v>#REF!</v>
      </c>
      <c r="D270" s="838">
        <v>29.0046242959151</v>
      </c>
      <c r="E270" s="838">
        <v>1771.8897000427639</v>
      </c>
      <c r="F270" s="827">
        <v>403.5099892873356</v>
      </c>
      <c r="G270" s="838">
        <v>56.653502835697367</v>
      </c>
      <c r="H270" s="838">
        <v>42.348382980652893</v>
      </c>
      <c r="I270" s="827">
        <v>16.147668169398553</v>
      </c>
      <c r="J270" s="1572">
        <v>11.637966070168057</v>
      </c>
      <c r="K270" s="827">
        <v>8.670924022399463</v>
      </c>
      <c r="L270" s="838">
        <v>9.412045960468193</v>
      </c>
      <c r="M270" s="827">
        <v>6.5206059298673456</v>
      </c>
      <c r="N270" s="1524">
        <v>1255.61606987205</v>
      </c>
      <c r="O270" s="827">
        <v>61.840666619098997</v>
      </c>
      <c r="P270" s="827">
        <v>29.0046242959151</v>
      </c>
      <c r="Q270" s="827">
        <v>21.944428303451904</v>
      </c>
      <c r="R270" s="827">
        <v>34.84632190973538</v>
      </c>
      <c r="S270" s="827">
        <v>20.262978811913154</v>
      </c>
    </row>
    <row r="271" spans="2:19">
      <c r="B271" s="187">
        <v>44036</v>
      </c>
      <c r="C271" s="827" t="e">
        <v>#REF!</v>
      </c>
      <c r="D271" s="838">
        <v>28.218511621554764</v>
      </c>
      <c r="E271" s="838">
        <v>1685.2924704994521</v>
      </c>
      <c r="F271" s="827">
        <v>403.5099892873356</v>
      </c>
      <c r="G271" s="838">
        <v>55.588583828068565</v>
      </c>
      <c r="H271" s="838">
        <v>41.964106892688861</v>
      </c>
      <c r="I271" s="827">
        <v>16.147668169398553</v>
      </c>
      <c r="J271" s="1572">
        <v>11.706921985372656</v>
      </c>
      <c r="K271" s="827">
        <v>8.670924022399463</v>
      </c>
      <c r="L271" s="838">
        <v>9.1572503654860142</v>
      </c>
      <c r="M271" s="827">
        <v>6.5206059298673456</v>
      </c>
      <c r="N271" s="1524">
        <v>1238.2959782793191</v>
      </c>
      <c r="O271" s="827">
        <v>61.840666619098997</v>
      </c>
      <c r="P271" s="827">
        <v>28.218511621554764</v>
      </c>
      <c r="Q271" s="827">
        <v>21.944428303451904</v>
      </c>
      <c r="R271" s="827">
        <v>34.677062447293977</v>
      </c>
      <c r="S271" s="827">
        <v>20.262978811913154</v>
      </c>
    </row>
    <row r="272" spans="2:19">
      <c r="B272" s="187">
        <v>44043</v>
      </c>
      <c r="C272" s="827" t="e">
        <v>#REF!</v>
      </c>
      <c r="D272" s="838">
        <v>28.728701642316462</v>
      </c>
      <c r="E272" s="838">
        <v>510.96157279560748</v>
      </c>
      <c r="F272" s="827">
        <v>403.5099892873356</v>
      </c>
      <c r="G272" s="838">
        <v>54.806570847985711</v>
      </c>
      <c r="H272" s="838">
        <v>40.217172529272489</v>
      </c>
      <c r="I272" s="827">
        <v>16.147668169398553</v>
      </c>
      <c r="J272" s="1572">
        <v>12.133051876171518</v>
      </c>
      <c r="K272" s="827">
        <v>8.670924022399463</v>
      </c>
      <c r="L272" s="838">
        <v>9.3307901998916485</v>
      </c>
      <c r="M272" s="827">
        <v>6.5206059298673456</v>
      </c>
      <c r="N272" s="1524">
        <v>484.94875660795111</v>
      </c>
      <c r="O272" s="827">
        <v>61.840666619098997</v>
      </c>
      <c r="P272" s="827">
        <v>28.728701642316462</v>
      </c>
      <c r="Q272" s="827">
        <v>21.944428303451904</v>
      </c>
      <c r="R272" s="827">
        <v>36.403451926501546</v>
      </c>
      <c r="S272" s="827">
        <v>20.262978811913154</v>
      </c>
    </row>
    <row r="273" spans="2:19">
      <c r="B273" s="187">
        <v>44050</v>
      </c>
      <c r="C273" s="827" t="e">
        <v>#REF!</v>
      </c>
      <c r="D273" s="838">
        <v>29.15317707500903</v>
      </c>
      <c r="E273" s="838">
        <v>525.92312709309022</v>
      </c>
      <c r="F273" s="827">
        <v>403.5099892873356</v>
      </c>
      <c r="G273" s="838">
        <v>54.984990473167855</v>
      </c>
      <c r="H273" s="838">
        <v>41.180429915117095</v>
      </c>
      <c r="I273" s="827">
        <v>16.147668169398553</v>
      </c>
      <c r="J273" s="1572">
        <v>12.18295033238512</v>
      </c>
      <c r="K273" s="827">
        <v>8.670924022399463</v>
      </c>
      <c r="L273" s="838">
        <v>9.551782086210979</v>
      </c>
      <c r="M273" s="827">
        <v>6.5206059298673456</v>
      </c>
      <c r="N273" s="1524">
        <v>496.77588522906217</v>
      </c>
      <c r="O273" s="827">
        <v>61.840666619098997</v>
      </c>
      <c r="P273" s="827">
        <v>29.15317707500903</v>
      </c>
      <c r="Q273" s="827">
        <v>21.944428303451904</v>
      </c>
      <c r="R273" s="827">
        <v>40.146913853548824</v>
      </c>
      <c r="S273" s="827">
        <v>20.262978811913154</v>
      </c>
    </row>
    <row r="274" spans="2:19">
      <c r="B274" s="187">
        <v>44057</v>
      </c>
      <c r="C274" s="827" t="e">
        <v>#REF!</v>
      </c>
      <c r="D274" s="838">
        <v>28.275368228360986</v>
      </c>
      <c r="E274" s="838">
        <v>448.91635028417056</v>
      </c>
      <c r="F274" s="827">
        <v>403.5099892873356</v>
      </c>
      <c r="G274" s="838">
        <v>53.672369973875668</v>
      </c>
      <c r="H274" s="838">
        <v>38.228175279477945</v>
      </c>
      <c r="I274" s="827">
        <v>16.147668169398553</v>
      </c>
      <c r="J274" s="1572">
        <v>11.90887179334562</v>
      </c>
      <c r="K274" s="827">
        <v>8.670924022399463</v>
      </c>
      <c r="L274" s="838">
        <v>9.2035069771516973</v>
      </c>
      <c r="M274" s="827">
        <v>6.5206059298673456</v>
      </c>
      <c r="N274" s="1524">
        <v>442.15282083980151</v>
      </c>
      <c r="O274" s="827">
        <v>61.840666619098997</v>
      </c>
      <c r="P274" s="827">
        <v>28.275368228360986</v>
      </c>
      <c r="Q274" s="827">
        <v>21.944428303451904</v>
      </c>
      <c r="R274" s="827">
        <v>38.749196868227898</v>
      </c>
      <c r="S274" s="827">
        <v>20.262978811913154</v>
      </c>
    </row>
    <row r="275" spans="2:19">
      <c r="B275" s="187">
        <v>44064</v>
      </c>
      <c r="C275" s="827" t="e">
        <v>#REF!</v>
      </c>
      <c r="D275" s="838">
        <v>28.13277684921173</v>
      </c>
      <c r="E275" s="838">
        <v>464.23982184014858</v>
      </c>
      <c r="F275" s="827">
        <v>403.5099892873356</v>
      </c>
      <c r="G275" s="838">
        <v>53.709162784738837</v>
      </c>
      <c r="H275" s="838">
        <v>39.357383241189197</v>
      </c>
      <c r="I275" s="827">
        <v>16.147668169398553</v>
      </c>
      <c r="J275" s="1572">
        <v>12.255164463400291</v>
      </c>
      <c r="K275" s="827">
        <v>8.670924022399463</v>
      </c>
      <c r="L275" s="838">
        <v>9.2963732219726243</v>
      </c>
      <c r="M275" s="827">
        <v>6.5206059298673456</v>
      </c>
      <c r="N275" s="1524">
        <v>434.54559928243486</v>
      </c>
      <c r="O275" s="827">
        <v>61.840666619098997</v>
      </c>
      <c r="P275" s="827">
        <v>28.13277684921173</v>
      </c>
      <c r="Q275" s="827">
        <v>21.944428303451904</v>
      </c>
      <c r="R275" s="827">
        <v>39.816966067730178</v>
      </c>
      <c r="S275" s="827">
        <v>20.262978811913154</v>
      </c>
    </row>
    <row r="276" spans="2:19">
      <c r="B276" s="187">
        <v>44071</v>
      </c>
      <c r="C276" s="827" t="e">
        <v>#REF!</v>
      </c>
      <c r="D276" s="838">
        <v>29.269782500726947</v>
      </c>
      <c r="E276" s="838">
        <v>467.7811005877407</v>
      </c>
      <c r="F276" s="827">
        <v>403.5099892873356</v>
      </c>
      <c r="G276" s="838">
        <v>55.810282431808275</v>
      </c>
      <c r="H276" s="838">
        <v>39.968455832291696</v>
      </c>
      <c r="I276" s="827">
        <v>16.147668169398553</v>
      </c>
      <c r="J276" s="1572">
        <v>20.557758450706572</v>
      </c>
      <c r="K276" s="827">
        <v>8.670924022399463</v>
      </c>
      <c r="L276" s="838">
        <v>9.6202636937153496</v>
      </c>
      <c r="M276" s="827">
        <v>6.5206059298673456</v>
      </c>
      <c r="N276" s="1524">
        <v>441.48923098796291</v>
      </c>
      <c r="O276" s="827">
        <v>61.840666619098997</v>
      </c>
      <c r="P276" s="827">
        <v>29.269782500726947</v>
      </c>
      <c r="Q276" s="827">
        <v>21.944428303451904</v>
      </c>
      <c r="R276" s="827">
        <v>43.194702998103914</v>
      </c>
      <c r="S276" s="827">
        <v>20.262978811913154</v>
      </c>
    </row>
    <row r="277" spans="2:19">
      <c r="B277" s="187">
        <v>44078</v>
      </c>
      <c r="C277" s="827" t="e">
        <v>#REF!</v>
      </c>
      <c r="D277" s="838">
        <v>27.510016972924614</v>
      </c>
      <c r="E277" s="838">
        <v>436.90047530920964</v>
      </c>
      <c r="F277" s="827">
        <v>403.5099892873356</v>
      </c>
      <c r="G277" s="838">
        <v>52.791143299065382</v>
      </c>
      <c r="H277" s="838">
        <v>37.048918210657362</v>
      </c>
      <c r="I277" s="827">
        <v>16.147668169398553</v>
      </c>
      <c r="J277" s="1572">
        <v>18.177472257406752</v>
      </c>
      <c r="K277" s="827">
        <v>8.670924022399463</v>
      </c>
      <c r="L277" s="838">
        <v>9.0897843181187348</v>
      </c>
      <c r="M277" s="827">
        <v>6.5206059298673456</v>
      </c>
      <c r="N277" s="1524">
        <v>408.69751650342084</v>
      </c>
      <c r="O277" s="827">
        <v>61.840666619098997</v>
      </c>
      <c r="P277" s="827">
        <v>27.510016972924614</v>
      </c>
      <c r="Q277" s="827">
        <v>21.944428303451904</v>
      </c>
      <c r="R277" s="827">
        <v>39.526211407638343</v>
      </c>
      <c r="S277" s="827">
        <v>20.262978811913154</v>
      </c>
    </row>
    <row r="278" spans="2:19">
      <c r="B278" s="187">
        <v>44085</v>
      </c>
      <c r="C278" s="827" t="e">
        <v>#REF!</v>
      </c>
      <c r="D278" s="838">
        <v>33.341528645859462</v>
      </c>
      <c r="E278" s="838">
        <v>410.78874939291313</v>
      </c>
      <c r="F278" s="827">
        <v>403.5099892873356</v>
      </c>
      <c r="G278" s="838">
        <v>49.773656830889948</v>
      </c>
      <c r="H278" s="838">
        <v>34.570615828937989</v>
      </c>
      <c r="I278" s="827">
        <v>16.147668169398553</v>
      </c>
      <c r="J278" s="1572">
        <v>15.949668293374614</v>
      </c>
      <c r="K278" s="827">
        <v>8.670924022399463</v>
      </c>
      <c r="L278" s="838">
        <v>8.7643836686883425</v>
      </c>
      <c r="M278" s="827">
        <v>6.5206059298673456</v>
      </c>
      <c r="N278" s="1524">
        <v>384.35505002525377</v>
      </c>
      <c r="O278" s="827">
        <v>61.840666619098997</v>
      </c>
      <c r="P278" s="827">
        <v>33.341528645859462</v>
      </c>
      <c r="Q278" s="827">
        <v>21.944428303451904</v>
      </c>
      <c r="R278" s="827">
        <v>38.089592644355754</v>
      </c>
      <c r="S278" s="827">
        <v>20.262978811913154</v>
      </c>
    </row>
    <row r="279" spans="2:19">
      <c r="B279" s="187">
        <v>44092</v>
      </c>
      <c r="C279" s="827" t="e">
        <v>#REF!</v>
      </c>
      <c r="D279" s="838">
        <v>34.166301878086223</v>
      </c>
      <c r="E279" s="838">
        <v>411.12364643786043</v>
      </c>
      <c r="F279" s="827">
        <v>403.5099892873356</v>
      </c>
      <c r="G279" s="838">
        <v>48.896369467255163</v>
      </c>
      <c r="H279" s="838">
        <v>33.869810360781081</v>
      </c>
      <c r="I279" s="827">
        <v>16.147668169398553</v>
      </c>
      <c r="J279" s="1572">
        <v>15.368093274598861</v>
      </c>
      <c r="K279" s="827">
        <v>8.670924022399463</v>
      </c>
      <c r="L279" s="838">
        <v>8.7389197009607074</v>
      </c>
      <c r="M279" s="827">
        <v>6.5206059298673456</v>
      </c>
      <c r="N279" s="1524">
        <v>377.47790935330312</v>
      </c>
      <c r="O279" s="827">
        <v>61.840666619098997</v>
      </c>
      <c r="P279" s="827">
        <v>34.166301878086223</v>
      </c>
      <c r="Q279" s="827">
        <v>21.944428303451904</v>
      </c>
      <c r="R279" s="827">
        <v>37.648829376407882</v>
      </c>
      <c r="S279" s="827">
        <v>20.262978811913154</v>
      </c>
    </row>
    <row r="280" spans="2:19">
      <c r="B280" s="187">
        <v>44099</v>
      </c>
      <c r="C280" s="827" t="e">
        <v>#REF!</v>
      </c>
      <c r="D280" s="838">
        <v>35.451058458646962</v>
      </c>
      <c r="E280" s="838">
        <v>438.70476085426992</v>
      </c>
      <c r="F280" s="827">
        <v>403.5099892873356</v>
      </c>
      <c r="G280" s="838">
        <v>50.314605294898513</v>
      </c>
      <c r="H280" s="838">
        <v>36.014740089163318</v>
      </c>
      <c r="I280" s="827">
        <v>16.147668169398553</v>
      </c>
      <c r="J280" s="1572">
        <v>15.752942101945067</v>
      </c>
      <c r="K280" s="827">
        <v>8.670924022399463</v>
      </c>
      <c r="L280" s="838">
        <v>9.0500483714033368</v>
      </c>
      <c r="M280" s="827">
        <v>6.5206059298673456</v>
      </c>
      <c r="N280" s="1524">
        <v>400.82657039408451</v>
      </c>
      <c r="O280" s="827">
        <v>61.840666619098997</v>
      </c>
      <c r="P280" s="827">
        <v>35.451058458646962</v>
      </c>
      <c r="Q280" s="827">
        <v>21.944428303451904</v>
      </c>
      <c r="R280" s="827">
        <v>37.491530334721688</v>
      </c>
      <c r="S280" s="827">
        <v>20.262978811913154</v>
      </c>
    </row>
    <row r="281" spans="2:19">
      <c r="B281" s="187">
        <v>44106</v>
      </c>
      <c r="C281" s="827" t="e">
        <v>#REF!</v>
      </c>
      <c r="D281" s="838">
        <v>40.573498745370031</v>
      </c>
      <c r="E281" s="838">
        <v>471.68258836250106</v>
      </c>
      <c r="F281" s="827">
        <v>403.5099892873356</v>
      </c>
      <c r="G281" s="838">
        <v>53.675758269387842</v>
      </c>
      <c r="H281" s="838">
        <v>38.624427615640116</v>
      </c>
      <c r="I281" s="827">
        <v>16.147668169398553</v>
      </c>
      <c r="J281" s="1572">
        <v>14.129719502527252</v>
      </c>
      <c r="K281" s="827">
        <v>8.670924022399463</v>
      </c>
      <c r="L281" s="838">
        <v>10.090849159594006</v>
      </c>
      <c r="M281" s="827">
        <v>6.5206059298673456</v>
      </c>
      <c r="N281" s="1524">
        <v>437.86021512744333</v>
      </c>
      <c r="O281" s="827">
        <v>61.840666619098997</v>
      </c>
      <c r="P281" s="827">
        <v>40.573498745370031</v>
      </c>
      <c r="Q281" s="827">
        <v>21.944428303451904</v>
      </c>
      <c r="R281" s="827">
        <v>38.378229014162606</v>
      </c>
      <c r="S281" s="827">
        <v>20.262978811913154</v>
      </c>
    </row>
    <row r="282" spans="2:19">
      <c r="B282" s="187">
        <v>44113</v>
      </c>
      <c r="C282" s="827" t="e">
        <v>#REF!</v>
      </c>
      <c r="D282" s="838">
        <v>41.642878571173355</v>
      </c>
      <c r="E282" s="838">
        <v>494.66647090632239</v>
      </c>
      <c r="F282" s="827">
        <v>403.5099892873356</v>
      </c>
      <c r="G282" s="838">
        <v>56.873717623351851</v>
      </c>
      <c r="H282" s="838">
        <v>40.98912993592073</v>
      </c>
      <c r="I282" s="827">
        <v>16.147668169398553</v>
      </c>
      <c r="J282" s="1572">
        <v>15.4295371133554</v>
      </c>
      <c r="K282" s="827">
        <v>8.670924022399463</v>
      </c>
      <c r="L282" s="838">
        <v>10.500977505094284</v>
      </c>
      <c r="M282" s="827">
        <v>6.5206059298673456</v>
      </c>
      <c r="N282" s="1524">
        <v>464.90433425129805</v>
      </c>
      <c r="O282" s="827">
        <v>61.840666619098997</v>
      </c>
      <c r="P282" s="827">
        <v>41.642878571173355</v>
      </c>
      <c r="Q282" s="827">
        <v>21.944428303451904</v>
      </c>
      <c r="R282" s="827">
        <v>41.720383356320056</v>
      </c>
      <c r="S282" s="827">
        <v>20.262978811913154</v>
      </c>
    </row>
    <row r="283" spans="2:19">
      <c r="B283" s="187">
        <v>44120</v>
      </c>
      <c r="C283" s="827" t="e">
        <v>#REF!</v>
      </c>
      <c r="D283" s="838">
        <v>39.96520048838908</v>
      </c>
      <c r="E283" s="838">
        <v>467.62684971480599</v>
      </c>
      <c r="F283" s="827">
        <v>403.5099892873356</v>
      </c>
      <c r="G283" s="838">
        <v>55.728291849994037</v>
      </c>
      <c r="H283" s="838">
        <v>39.529709555698744</v>
      </c>
      <c r="I283" s="827">
        <v>16.147668169398553</v>
      </c>
      <c r="J283" s="1572">
        <v>15.441386612391122</v>
      </c>
      <c r="K283" s="827">
        <v>8.670924022399463</v>
      </c>
      <c r="L283" s="838">
        <v>10.281578121921427</v>
      </c>
      <c r="M283" s="827">
        <v>6.5206059298673456</v>
      </c>
      <c r="N283" s="1524">
        <v>421.04662221086522</v>
      </c>
      <c r="O283" s="827">
        <v>61.840666619098997</v>
      </c>
      <c r="P283" s="827">
        <v>39.96520048838908</v>
      </c>
      <c r="Q283" s="827">
        <v>21.944428303451904</v>
      </c>
      <c r="R283" s="827">
        <v>40.174819401253778</v>
      </c>
      <c r="S283" s="827">
        <v>20.262978811913154</v>
      </c>
    </row>
    <row r="284" spans="2:19">
      <c r="B284" s="187">
        <v>44127</v>
      </c>
      <c r="C284" s="827" t="e">
        <v>#REF!</v>
      </c>
      <c r="D284" s="838">
        <v>40.015924664532264</v>
      </c>
      <c r="E284" s="838">
        <v>450.25344800020639</v>
      </c>
      <c r="F284" s="827">
        <v>403.5099892873356</v>
      </c>
      <c r="G284" s="838">
        <v>55.993115041068137</v>
      </c>
      <c r="H284" s="838">
        <v>37.740025107859125</v>
      </c>
      <c r="I284" s="827">
        <v>16.147668169398553</v>
      </c>
      <c r="J284" s="1572">
        <v>14.438799579708679</v>
      </c>
      <c r="K284" s="827">
        <v>8.670924022399463</v>
      </c>
      <c r="L284" s="838">
        <v>10.847260763938623</v>
      </c>
      <c r="M284" s="827">
        <v>6.5206059298673456</v>
      </c>
      <c r="N284" s="1524">
        <v>395.27182856971837</v>
      </c>
      <c r="O284" s="827">
        <v>61.840666619098997</v>
      </c>
      <c r="P284" s="827">
        <v>40.015924664532264</v>
      </c>
      <c r="Q284" s="827">
        <v>21.944428303451904</v>
      </c>
      <c r="R284" s="827">
        <v>38.984534316359714</v>
      </c>
      <c r="S284" s="827">
        <v>20.262978811913154</v>
      </c>
    </row>
    <row r="285" spans="2:19">
      <c r="B285" s="187">
        <v>44134</v>
      </c>
      <c r="C285" s="827" t="e">
        <v>#REF!</v>
      </c>
      <c r="D285" s="838">
        <v>36.433257610184988</v>
      </c>
      <c r="E285" s="838">
        <v>261.96935233446931</v>
      </c>
      <c r="F285" s="827">
        <v>403.5099892873356</v>
      </c>
      <c r="G285" s="838">
        <v>58.849273930850664</v>
      </c>
      <c r="H285" s="838">
        <v>30.839430619752942</v>
      </c>
      <c r="I285" s="827">
        <v>16.147668169398553</v>
      </c>
      <c r="J285" s="1572">
        <v>12.878583406449971</v>
      </c>
      <c r="K285" s="827">
        <v>8.670924022399463</v>
      </c>
      <c r="L285" s="838">
        <v>9.7727508614523959</v>
      </c>
      <c r="M285" s="827">
        <v>6.5206059298673456</v>
      </c>
      <c r="N285" s="1524">
        <v>253.14527507249977</v>
      </c>
      <c r="O285" s="827">
        <v>61.840666619098997</v>
      </c>
      <c r="P285" s="827">
        <v>36.433257610184988</v>
      </c>
      <c r="Q285" s="827">
        <v>21.944428303451904</v>
      </c>
      <c r="R285" s="827">
        <v>35.849711950207919</v>
      </c>
      <c r="S285" s="827">
        <v>20.262978811913154</v>
      </c>
    </row>
    <row r="286" spans="2:19">
      <c r="B286" s="187">
        <v>44141</v>
      </c>
      <c r="C286" s="827" t="e">
        <v>#REF!</v>
      </c>
      <c r="D286" s="838">
        <v>38.571322408734183</v>
      </c>
      <c r="E286" s="838">
        <v>295.17927056259055</v>
      </c>
      <c r="F286" s="827">
        <v>403.5099892873356</v>
      </c>
      <c r="G286" s="838">
        <v>67.582858508370094</v>
      </c>
      <c r="H286" s="838">
        <v>34.571301837019639</v>
      </c>
      <c r="I286" s="827">
        <v>16.147668169398553</v>
      </c>
      <c r="J286" s="1572">
        <v>14.062131243661142</v>
      </c>
      <c r="K286" s="827">
        <v>8.670924022399463</v>
      </c>
      <c r="L286" s="838">
        <v>11.470412594985021</v>
      </c>
      <c r="M286" s="827">
        <v>6.5206059298673456</v>
      </c>
      <c r="N286" s="1524">
        <v>287.16610094647012</v>
      </c>
      <c r="O286" s="827">
        <v>61.840666619098997</v>
      </c>
      <c r="P286" s="827">
        <v>38.571322408734183</v>
      </c>
      <c r="Q286" s="827">
        <v>21.944428303451904</v>
      </c>
      <c r="R286" s="827">
        <v>39.987735996527036</v>
      </c>
      <c r="S286" s="827">
        <v>20.262978811913154</v>
      </c>
    </row>
    <row r="287" spans="2:19">
      <c r="B287" s="187">
        <v>44148</v>
      </c>
      <c r="C287" s="827" t="e">
        <v>#REF!</v>
      </c>
      <c r="D287" s="838">
        <v>35.879926795238326</v>
      </c>
      <c r="E287" s="838">
        <v>259.27040635688235</v>
      </c>
      <c r="F287" s="827">
        <v>403.5099892873356</v>
      </c>
      <c r="G287" s="838">
        <v>63.700905303913068</v>
      </c>
      <c r="H287" s="838">
        <v>30.054442155901679</v>
      </c>
      <c r="I287" s="827">
        <v>16.147668169398553</v>
      </c>
      <c r="J287" s="1572">
        <v>12.72096392498525</v>
      </c>
      <c r="K287" s="827">
        <v>8.670924022399463</v>
      </c>
      <c r="L287" s="838">
        <v>10.719099532098957</v>
      </c>
      <c r="M287" s="827">
        <v>6.5206059298673456</v>
      </c>
      <c r="N287" s="1524">
        <v>249.59997306586789</v>
      </c>
      <c r="O287" s="827">
        <v>61.840666619098997</v>
      </c>
      <c r="P287" s="827">
        <v>35.879926795238326</v>
      </c>
      <c r="Q287" s="827">
        <v>21.944428303451904</v>
      </c>
      <c r="R287" s="827">
        <v>36.95650715272685</v>
      </c>
      <c r="S287" s="827">
        <v>20.262978811913154</v>
      </c>
    </row>
    <row r="288" spans="2:19">
      <c r="B288" s="187">
        <v>44155</v>
      </c>
      <c r="C288" s="827" t="e">
        <v>#REF!</v>
      </c>
      <c r="D288" s="838">
        <v>36.792512887581232</v>
      </c>
      <c r="E288" s="838">
        <v>278.55503406663809</v>
      </c>
      <c r="F288" s="827">
        <v>403.5099892873356</v>
      </c>
      <c r="G288" s="838">
        <v>64.872292546297956</v>
      </c>
      <c r="H288" s="838">
        <v>32.274212513830904</v>
      </c>
      <c r="I288" s="827">
        <v>16.147668169398553</v>
      </c>
      <c r="J288" s="1572">
        <v>12.830498713992116</v>
      </c>
      <c r="K288" s="827">
        <v>8.670924022399463</v>
      </c>
      <c r="L288" s="838">
        <v>11.193945260805096</v>
      </c>
      <c r="M288" s="827">
        <v>6.5206059298673456</v>
      </c>
      <c r="N288" s="1524">
        <v>270.61695815169929</v>
      </c>
      <c r="O288" s="827">
        <v>61.840666619098997</v>
      </c>
      <c r="P288" s="827">
        <v>36.792512887581232</v>
      </c>
      <c r="Q288" s="827">
        <v>21.944428303451904</v>
      </c>
      <c r="R288" s="827">
        <v>37.698128859541228</v>
      </c>
      <c r="S288" s="827">
        <v>20.262978811913154</v>
      </c>
    </row>
    <row r="289" spans="2:19">
      <c r="B289" s="187">
        <v>44162</v>
      </c>
      <c r="C289" s="827" t="e">
        <v>#REF!</v>
      </c>
      <c r="D289" s="838">
        <v>37.576993694325509</v>
      </c>
      <c r="E289" s="838">
        <v>291.34261857018453</v>
      </c>
      <c r="F289" s="827">
        <v>403.5099892873356</v>
      </c>
      <c r="G289" s="838">
        <v>66.815421189508569</v>
      </c>
      <c r="H289" s="838">
        <v>33.678256911184739</v>
      </c>
      <c r="I289" s="827">
        <v>16.147668169398553</v>
      </c>
      <c r="J289" s="1572">
        <v>13.495619700883216</v>
      </c>
      <c r="K289" s="827">
        <v>8.670924022399463</v>
      </c>
      <c r="L289" s="838">
        <v>11.607679850037899</v>
      </c>
      <c r="M289" s="827">
        <v>6.5206059298673456</v>
      </c>
      <c r="N289" s="1524">
        <v>282.68220742490394</v>
      </c>
      <c r="O289" s="827">
        <v>61.840666619098997</v>
      </c>
      <c r="P289" s="827">
        <v>37.576993694325509</v>
      </c>
      <c r="Q289" s="827">
        <v>21.944428303451904</v>
      </c>
      <c r="R289" s="827">
        <v>37.770284782242726</v>
      </c>
      <c r="S289" s="827">
        <v>20.262978811913154</v>
      </c>
    </row>
    <row r="290" spans="2:19">
      <c r="B290" s="187">
        <v>44169</v>
      </c>
      <c r="C290" s="827" t="e">
        <v>#REF!</v>
      </c>
      <c r="D290" s="838">
        <v>38.007925961399039</v>
      </c>
      <c r="E290" s="838">
        <v>291.34882877433563</v>
      </c>
      <c r="F290" s="827">
        <v>403.5099892873356</v>
      </c>
      <c r="G290" s="838">
        <v>66.458551021471379</v>
      </c>
      <c r="H290" s="838">
        <v>34.057427735699278</v>
      </c>
      <c r="I290" s="827">
        <v>16.147668169398553</v>
      </c>
      <c r="J290" s="1572">
        <v>13.390193917079756</v>
      </c>
      <c r="K290" s="827">
        <v>8.670924022399463</v>
      </c>
      <c r="L290" s="838">
        <v>11.875500366974219</v>
      </c>
      <c r="M290" s="827">
        <v>6.5206059298673456</v>
      </c>
      <c r="N290" s="1524">
        <v>275.12544302183397</v>
      </c>
      <c r="O290" s="827">
        <v>61.840666619098997</v>
      </c>
      <c r="P290" s="827">
        <v>38.007925961399039</v>
      </c>
      <c r="Q290" s="827">
        <v>21.944428303451904</v>
      </c>
      <c r="R290" s="827">
        <v>37.207436889179121</v>
      </c>
      <c r="S290" s="827">
        <v>20.262978811913154</v>
      </c>
    </row>
    <row r="291" spans="2:19">
      <c r="B291" s="187">
        <v>44176</v>
      </c>
      <c r="C291" s="827" t="e">
        <v>#REF!</v>
      </c>
      <c r="D291" s="838">
        <v>39.437712652379318</v>
      </c>
      <c r="E291" s="838">
        <v>292.21628540830091</v>
      </c>
      <c r="F291" s="827">
        <v>403.5099892873356</v>
      </c>
      <c r="G291" s="838">
        <v>67.087330389696959</v>
      </c>
      <c r="H291" s="838">
        <v>34.0281533659914</v>
      </c>
      <c r="I291" s="827">
        <v>16.147668169398553</v>
      </c>
      <c r="J291" s="1572">
        <v>12.994256336715926</v>
      </c>
      <c r="K291" s="827">
        <v>8.670924022399463</v>
      </c>
      <c r="L291" s="838">
        <v>12.6160329451428</v>
      </c>
      <c r="M291" s="827">
        <v>6.5206059298673456</v>
      </c>
      <c r="N291" s="1524">
        <v>275.72564540104747</v>
      </c>
      <c r="O291" s="827">
        <v>61.840666619098997</v>
      </c>
      <c r="P291" s="827">
        <v>39.437712652379318</v>
      </c>
      <c r="Q291" s="827">
        <v>21.944428303451904</v>
      </c>
      <c r="R291" s="827">
        <v>39.380138792635599</v>
      </c>
      <c r="S291" s="827">
        <v>20.262978811913154</v>
      </c>
    </row>
    <row r="292" spans="2:19">
      <c r="B292" s="187">
        <v>44183</v>
      </c>
      <c r="C292" s="827" t="e">
        <v>#REF!</v>
      </c>
      <c r="D292" s="838">
        <v>40.788402973741476</v>
      </c>
      <c r="E292" s="838">
        <v>323.20033916493884</v>
      </c>
      <c r="F292" s="827">
        <v>403.5099892873356</v>
      </c>
      <c r="G292" s="838">
        <v>68.157410432220658</v>
      </c>
      <c r="H292" s="838">
        <v>37.640167437013879</v>
      </c>
      <c r="I292" s="827">
        <v>16.147668169398553</v>
      </c>
      <c r="J292" s="1572">
        <v>13.202293789416606</v>
      </c>
      <c r="K292" s="827">
        <v>8.670924022399463</v>
      </c>
      <c r="L292" s="838">
        <v>13.046957780510944</v>
      </c>
      <c r="M292" s="827">
        <v>6.5206059298673456</v>
      </c>
      <c r="N292" s="1524">
        <v>306.98873179091896</v>
      </c>
      <c r="O292" s="827">
        <v>61.840666619098997</v>
      </c>
      <c r="P292" s="827">
        <v>40.788402973741476</v>
      </c>
      <c r="Q292" s="827">
        <v>21.944428303451904</v>
      </c>
      <c r="R292" s="827">
        <v>40.357983425150472</v>
      </c>
      <c r="S292" s="827">
        <v>20.262978811913154</v>
      </c>
    </row>
    <row r="293" spans="2:19">
      <c r="B293" s="187">
        <v>44190</v>
      </c>
      <c r="C293" s="827" t="e">
        <v>#REF!</v>
      </c>
      <c r="D293" s="838">
        <v>40.20340516294754</v>
      </c>
      <c r="E293" s="838">
        <v>338.02897706460482</v>
      </c>
      <c r="F293" s="827">
        <v>403.5099892873356</v>
      </c>
      <c r="G293" s="838">
        <v>66.955360568134978</v>
      </c>
      <c r="H293" s="838">
        <v>39.300651583497654</v>
      </c>
      <c r="I293" s="827">
        <v>16.147668169398553</v>
      </c>
      <c r="J293" s="1572">
        <v>13.156825553249428</v>
      </c>
      <c r="K293" s="827">
        <v>8.670924022399463</v>
      </c>
      <c r="L293" s="838">
        <v>12.8776803754568</v>
      </c>
      <c r="M293" s="827">
        <v>6.5206059298673456</v>
      </c>
      <c r="N293" s="1524">
        <v>319.19621059139797</v>
      </c>
      <c r="O293" s="827">
        <v>61.840666619098997</v>
      </c>
      <c r="P293" s="827">
        <v>40.20340516294754</v>
      </c>
      <c r="Q293" s="827">
        <v>21.944428303451904</v>
      </c>
      <c r="R293" s="827">
        <v>39.597155542230404</v>
      </c>
      <c r="S293" s="827">
        <v>20.262978811913154</v>
      </c>
    </row>
    <row r="294" spans="2:19">
      <c r="B294" s="187">
        <v>44197</v>
      </c>
      <c r="C294" s="827" t="e">
        <v>#REF!</v>
      </c>
      <c r="D294" s="838">
        <v>36.443162957083999</v>
      </c>
      <c r="E294" s="838">
        <v>311.97189637434332</v>
      </c>
      <c r="F294" s="827">
        <v>403.5099892873356</v>
      </c>
      <c r="G294" s="838">
        <v>63.631920501709047</v>
      </c>
      <c r="H294" s="838">
        <v>35.518496781060527</v>
      </c>
      <c r="I294" s="827">
        <v>16.147668169398553</v>
      </c>
      <c r="J294" s="1572">
        <v>13.708083654683987</v>
      </c>
      <c r="K294" s="827">
        <v>8.670924022399463</v>
      </c>
      <c r="L294" s="838">
        <v>11.815431034144682</v>
      </c>
      <c r="M294" s="827">
        <v>6.5206059298673456</v>
      </c>
      <c r="N294" s="1524">
        <v>289.1484428285894</v>
      </c>
      <c r="O294" s="827">
        <v>61.840666619098997</v>
      </c>
      <c r="P294" s="827">
        <v>36.443162957083999</v>
      </c>
      <c r="Q294" s="827">
        <v>21.944428303451904</v>
      </c>
      <c r="R294" s="827">
        <v>37.755826267685187</v>
      </c>
      <c r="S294" s="827">
        <v>20.262978811913154</v>
      </c>
    </row>
    <row r="295" spans="2:19">
      <c r="B295" s="187">
        <v>44204</v>
      </c>
      <c r="C295" s="827" t="e">
        <v>#REF!</v>
      </c>
      <c r="D295" s="838">
        <v>36.760309861310461</v>
      </c>
      <c r="E295" s="838">
        <v>324.73331975315983</v>
      </c>
      <c r="F295" s="827">
        <v>403.5099892873356</v>
      </c>
      <c r="G295" s="838">
        <v>63.490308396991409</v>
      </c>
      <c r="H295" s="838">
        <v>37.027995021630566</v>
      </c>
      <c r="I295" s="827">
        <v>16.147668169398553</v>
      </c>
      <c r="J295" s="1572">
        <v>13.500011779760852</v>
      </c>
      <c r="K295" s="827">
        <v>8.670924022399463</v>
      </c>
      <c r="L295" s="838">
        <v>12.120627593948797</v>
      </c>
      <c r="M295" s="827">
        <v>6.5206059298673456</v>
      </c>
      <c r="N295" s="1524">
        <v>310.60871067973028</v>
      </c>
      <c r="O295" s="827">
        <v>61.840666619098997</v>
      </c>
      <c r="P295" s="827">
        <v>36.760309861310461</v>
      </c>
      <c r="Q295" s="827">
        <v>21.944428303451904</v>
      </c>
      <c r="R295" s="827">
        <v>37.858797630360719</v>
      </c>
      <c r="S295" s="827">
        <v>20.262978811913154</v>
      </c>
    </row>
    <row r="296" spans="2:19">
      <c r="B296" s="187">
        <v>44211</v>
      </c>
      <c r="C296" s="827" t="e">
        <v>#REF!</v>
      </c>
      <c r="D296" s="838">
        <v>35.097208715360715</v>
      </c>
      <c r="E296" s="838">
        <v>318.68724824627668</v>
      </c>
      <c r="F296" s="827">
        <v>403.5099892873356</v>
      </c>
      <c r="G296" s="838">
        <v>61.440557312074247</v>
      </c>
      <c r="H296" s="838">
        <v>36.013008891166784</v>
      </c>
      <c r="I296" s="827">
        <v>16.147668169398553</v>
      </c>
      <c r="J296" s="1572">
        <v>12.835309943998118</v>
      </c>
      <c r="K296" s="827">
        <v>8.670924022399463</v>
      </c>
      <c r="L296" s="838">
        <v>12.03272745127601</v>
      </c>
      <c r="M296" s="827">
        <v>6.5206059298673456</v>
      </c>
      <c r="N296" s="1524">
        <v>298.95276765467827</v>
      </c>
      <c r="O296" s="827">
        <v>61.840666619098997</v>
      </c>
      <c r="P296" s="827">
        <v>35.097208715360715</v>
      </c>
      <c r="Q296" s="827">
        <v>21.944428303451904</v>
      </c>
      <c r="R296" s="827">
        <v>35.324361231881063</v>
      </c>
      <c r="S296" s="827">
        <v>20.262978811913154</v>
      </c>
    </row>
    <row r="297" spans="2:19">
      <c r="B297" s="187">
        <v>44218</v>
      </c>
      <c r="C297" s="827" t="e">
        <v>#REF!</v>
      </c>
      <c r="D297" s="838">
        <v>36.149875398910424</v>
      </c>
      <c r="E297" s="838">
        <v>323.229409419597</v>
      </c>
      <c r="F297" s="827">
        <v>403.5099892873356</v>
      </c>
      <c r="G297" s="838">
        <v>62.927550702613466</v>
      </c>
      <c r="H297" s="838">
        <v>36.654462657212235</v>
      </c>
      <c r="I297" s="827">
        <v>16.147668169398553</v>
      </c>
      <c r="J297" s="1572">
        <v>13.598486295844589</v>
      </c>
      <c r="K297" s="827">
        <v>8.670924022399463</v>
      </c>
      <c r="L297" s="838">
        <v>12.401136191334523</v>
      </c>
      <c r="M297" s="827">
        <v>6.5206059298673456</v>
      </c>
      <c r="N297" s="1524">
        <v>303.77938606716094</v>
      </c>
      <c r="O297" s="827">
        <v>61.840666619098997</v>
      </c>
      <c r="P297" s="827">
        <v>36.149875398910424</v>
      </c>
      <c r="Q297" s="827">
        <v>21.944428303451904</v>
      </c>
      <c r="R297" s="827">
        <v>36.225722337725934</v>
      </c>
      <c r="S297" s="827">
        <v>20.262978811913154</v>
      </c>
    </row>
    <row r="298" spans="2:19">
      <c r="B298" s="187">
        <v>44225</v>
      </c>
      <c r="C298" s="827" t="e">
        <v>#REF!</v>
      </c>
      <c r="D298" s="838">
        <v>33.650389714523484</v>
      </c>
      <c r="E298" s="838">
        <v>291.27979473946976</v>
      </c>
      <c r="F298" s="827">
        <v>403.5099892873356</v>
      </c>
      <c r="G298" s="838">
        <v>59.259009146958341</v>
      </c>
      <c r="H298" s="838">
        <v>33.237271291629504</v>
      </c>
      <c r="I298" s="827">
        <v>16.147668169398553</v>
      </c>
      <c r="J298" s="1572">
        <v>13.948764937534557</v>
      </c>
      <c r="K298" s="827">
        <v>8.670924022399463</v>
      </c>
      <c r="L298" s="838">
        <v>11.755040040900198</v>
      </c>
      <c r="M298" s="827">
        <v>6.5206059298673456</v>
      </c>
      <c r="N298" s="1524">
        <v>266.26172073910141</v>
      </c>
      <c r="O298" s="827">
        <v>61.840666619098997</v>
      </c>
      <c r="P298" s="827">
        <v>33.650389714523484</v>
      </c>
      <c r="Q298" s="827">
        <v>21.944428303451904</v>
      </c>
      <c r="R298" s="827">
        <v>35.341689890176937</v>
      </c>
      <c r="S298" s="827">
        <v>20.262978811913154</v>
      </c>
    </row>
    <row r="299" spans="2:19">
      <c r="B299" s="187">
        <v>44232</v>
      </c>
      <c r="C299" s="827" t="e">
        <v>#REF!</v>
      </c>
      <c r="D299" s="838">
        <v>37.034681550159171</v>
      </c>
      <c r="E299" s="838">
        <v>331.77524151767165</v>
      </c>
      <c r="F299" s="827">
        <v>403.5099892873356</v>
      </c>
      <c r="G299" s="838">
        <v>62.688089607555639</v>
      </c>
      <c r="H299" s="838">
        <v>38.766734709000787</v>
      </c>
      <c r="I299" s="827">
        <v>16.147668169398553</v>
      </c>
      <c r="J299" s="1572">
        <v>14.663814400913481</v>
      </c>
      <c r="K299" s="827">
        <v>8.670924022399463</v>
      </c>
      <c r="L299" s="838">
        <v>12.923474949036111</v>
      </c>
      <c r="M299" s="827">
        <v>6.5206059298673456</v>
      </c>
      <c r="N299" s="1524">
        <v>302.45482977373774</v>
      </c>
      <c r="O299" s="827">
        <v>61.840666619098997</v>
      </c>
      <c r="P299" s="827">
        <v>37.034681550159171</v>
      </c>
      <c r="Q299" s="827">
        <v>21.944428303451904</v>
      </c>
      <c r="R299" s="827">
        <v>38.244087385107647</v>
      </c>
      <c r="S299" s="827">
        <v>20.262978811913154</v>
      </c>
    </row>
    <row r="300" spans="2:19">
      <c r="B300" s="187">
        <v>44239</v>
      </c>
      <c r="C300" s="827" t="e">
        <v>#REF!</v>
      </c>
      <c r="D300" s="838">
        <v>36.651686481919697</v>
      </c>
      <c r="E300" s="838">
        <v>366.30133425705827</v>
      </c>
      <c r="F300" s="827">
        <v>403.5099892873356</v>
      </c>
      <c r="G300" s="838">
        <v>62.568308826608408</v>
      </c>
      <c r="H300" s="838">
        <v>43.625292310242074</v>
      </c>
      <c r="I300" s="827">
        <v>16.147668169398553</v>
      </c>
      <c r="J300" s="1572">
        <v>14.252376981730436</v>
      </c>
      <c r="K300" s="827">
        <v>8.670924022399463</v>
      </c>
      <c r="L300" s="838">
        <v>13.563881292239337</v>
      </c>
      <c r="M300" s="827">
        <v>6.5206059298673456</v>
      </c>
      <c r="N300" s="1524">
        <v>324.81535515569215</v>
      </c>
      <c r="O300" s="827">
        <v>61.840666619098997</v>
      </c>
      <c r="P300" s="827">
        <v>36.651686481919697</v>
      </c>
      <c r="Q300" s="827">
        <v>21.944428303451904</v>
      </c>
      <c r="R300" s="827">
        <v>39.040704603825255</v>
      </c>
      <c r="S300" s="827">
        <v>20.262978811913154</v>
      </c>
    </row>
    <row r="301" spans="2:19">
      <c r="B301" s="187">
        <v>44246</v>
      </c>
      <c r="C301" s="827" t="e">
        <v>#REF!</v>
      </c>
      <c r="D301" s="838">
        <v>35.346450367620591</v>
      </c>
      <c r="E301" s="838">
        <v>345.47874871502665</v>
      </c>
      <c r="F301" s="827">
        <v>403.5099892873356</v>
      </c>
      <c r="G301" s="838">
        <v>61.327051276923385</v>
      </c>
      <c r="H301" s="838">
        <v>40.367484846989626</v>
      </c>
      <c r="I301" s="827">
        <v>16.147668169398553</v>
      </c>
      <c r="J301" s="1572">
        <v>14.18961621812889</v>
      </c>
      <c r="K301" s="827">
        <v>8.670924022399463</v>
      </c>
      <c r="L301" s="838">
        <v>13.332264206935671</v>
      </c>
      <c r="M301" s="827">
        <v>6.5206059298673456</v>
      </c>
      <c r="N301" s="1524">
        <v>291.56620490878004</v>
      </c>
      <c r="O301" s="827">
        <v>61.840666619098997</v>
      </c>
      <c r="P301" s="827">
        <v>35.346450367620591</v>
      </c>
      <c r="Q301" s="827">
        <v>21.944428303451904</v>
      </c>
      <c r="R301" s="827">
        <v>50.221027015829677</v>
      </c>
      <c r="S301" s="827">
        <v>20.262978811913154</v>
      </c>
    </row>
    <row r="302" spans="2:19">
      <c r="B302" s="187">
        <v>44253</v>
      </c>
      <c r="C302" s="827" t="e">
        <v>#REF!</v>
      </c>
      <c r="D302" s="838">
        <v>32.909758181065932</v>
      </c>
      <c r="E302" s="838">
        <v>307.25494854558389</v>
      </c>
      <c r="F302" s="827">
        <v>403.5099892873356</v>
      </c>
      <c r="G302" s="838">
        <v>58.417376075008846</v>
      </c>
      <c r="H302" s="838">
        <v>35.665926359483088</v>
      </c>
      <c r="I302" s="827">
        <v>16.147668169398553</v>
      </c>
      <c r="J302" s="1572">
        <v>12.705665626491971</v>
      </c>
      <c r="K302" s="827">
        <v>8.670924022399463</v>
      </c>
      <c r="L302" s="838">
        <v>12.308655293366293</v>
      </c>
      <c r="M302" s="827">
        <v>6.5206059298673456</v>
      </c>
      <c r="N302" s="1524">
        <v>261.9115539428318</v>
      </c>
      <c r="O302" s="827">
        <v>61.840666619098997</v>
      </c>
      <c r="P302" s="827">
        <v>32.909758181065932</v>
      </c>
      <c r="Q302" s="827">
        <v>21.944428303451904</v>
      </c>
      <c r="R302" s="827">
        <v>52.260988449731784</v>
      </c>
      <c r="S302" s="827">
        <v>20.262978811913154</v>
      </c>
    </row>
    <row r="303" spans="2:19">
      <c r="B303" s="187">
        <v>44260</v>
      </c>
      <c r="C303" s="827" t="e">
        <v>#REF!</v>
      </c>
      <c r="D303" s="838">
        <v>29.476875302534005</v>
      </c>
      <c r="E303" s="838">
        <v>267.67426948708743</v>
      </c>
      <c r="F303" s="827">
        <v>403.5099892873356</v>
      </c>
      <c r="G303" s="838">
        <v>64.346245872879962</v>
      </c>
      <c r="H303" s="838">
        <v>31.140295813337033</v>
      </c>
      <c r="I303" s="827">
        <v>16.147668169398553</v>
      </c>
      <c r="J303" s="1572">
        <v>12.217199355241744</v>
      </c>
      <c r="K303" s="827">
        <v>8.670924022399463</v>
      </c>
      <c r="L303" s="838">
        <v>11.0081826836226</v>
      </c>
      <c r="M303" s="827">
        <v>6.5206059298673456</v>
      </c>
      <c r="N303" s="1524">
        <v>224.3099843356926</v>
      </c>
      <c r="O303" s="827">
        <v>61.840666619098997</v>
      </c>
      <c r="P303" s="827">
        <v>29.476875302534005</v>
      </c>
      <c r="Q303" s="827">
        <v>21.944428303451904</v>
      </c>
      <c r="R303" s="827">
        <v>47.366625952218314</v>
      </c>
      <c r="S303" s="827">
        <v>20.262978811913154</v>
      </c>
    </row>
    <row r="304" spans="2:19">
      <c r="B304" s="187">
        <v>44267</v>
      </c>
      <c r="C304" s="827" t="e">
        <v>#REF!</v>
      </c>
      <c r="D304" s="838">
        <v>31.412386628987768</v>
      </c>
      <c r="E304" s="838">
        <v>268.8065613658917</v>
      </c>
      <c r="F304" s="827">
        <v>403.5099892873356</v>
      </c>
      <c r="G304" s="838">
        <v>63.910493633830946</v>
      </c>
      <c r="H304" s="838">
        <v>31.232684971435791</v>
      </c>
      <c r="I304" s="827">
        <v>16.147668169398553</v>
      </c>
      <c r="J304" s="1572">
        <v>12.074568345065201</v>
      </c>
      <c r="K304" s="827">
        <v>8.670924022399463</v>
      </c>
      <c r="L304" s="838">
        <v>11.599562636830104</v>
      </c>
      <c r="M304" s="827">
        <v>6.5206059298673456</v>
      </c>
      <c r="N304" s="1524">
        <v>225.0434252430787</v>
      </c>
      <c r="O304" s="827">
        <v>61.840666619098997</v>
      </c>
      <c r="P304" s="827">
        <v>31.412386628987768</v>
      </c>
      <c r="Q304" s="827">
        <v>21.944428303451904</v>
      </c>
      <c r="R304" s="827">
        <v>45.921738562635184</v>
      </c>
      <c r="S304" s="827">
        <v>20.262978811913154</v>
      </c>
    </row>
    <row r="305" spans="2:19">
      <c r="B305" s="187">
        <v>44274</v>
      </c>
      <c r="C305" s="827" t="e">
        <v>#REF!</v>
      </c>
      <c r="D305" s="838">
        <v>30.308146428523116</v>
      </c>
      <c r="E305" s="838">
        <v>263.17062322997521</v>
      </c>
      <c r="F305" s="827">
        <v>403.5099892873356</v>
      </c>
      <c r="G305" s="838">
        <v>62.420827076007185</v>
      </c>
      <c r="H305" s="838">
        <v>30.386945309931484</v>
      </c>
      <c r="I305" s="827">
        <v>16.147668169398553</v>
      </c>
      <c r="J305" s="1572">
        <v>11.736295550372434</v>
      </c>
      <c r="K305" s="827">
        <v>8.670924022399463</v>
      </c>
      <c r="L305" s="838">
        <v>11.227505027392777</v>
      </c>
      <c r="M305" s="827">
        <v>6.5206059298673456</v>
      </c>
      <c r="N305" s="1524">
        <v>219.60916232610407</v>
      </c>
      <c r="O305" s="827">
        <v>61.840666619098997</v>
      </c>
      <c r="P305" s="827">
        <v>30.308146428523116</v>
      </c>
      <c r="Q305" s="827">
        <v>21.944428303451904</v>
      </c>
      <c r="R305" s="827">
        <v>44.58937571223781</v>
      </c>
      <c r="S305" s="827">
        <v>20.262978811913154</v>
      </c>
    </row>
    <row r="306" spans="2:19">
      <c r="B306" s="187">
        <v>44281</v>
      </c>
      <c r="C306" s="827" t="e">
        <v>#REF!</v>
      </c>
      <c r="D306" s="838">
        <v>28.745810841770947</v>
      </c>
      <c r="E306" s="838">
        <v>249.1436200837631</v>
      </c>
      <c r="F306" s="827">
        <v>403.5099892873356</v>
      </c>
      <c r="G306" s="838">
        <v>58.638141193779596</v>
      </c>
      <c r="H306" s="838">
        <v>28.634718455245583</v>
      </c>
      <c r="I306" s="827">
        <v>16.147668169398553</v>
      </c>
      <c r="J306" s="1572">
        <v>11.853626648418702</v>
      </c>
      <c r="K306" s="827">
        <v>8.670924022399463</v>
      </c>
      <c r="L306" s="838">
        <v>10.496144053955721</v>
      </c>
      <c r="M306" s="827">
        <v>6.5206059298673456</v>
      </c>
      <c r="N306" s="1524">
        <v>206.36856820459241</v>
      </c>
      <c r="O306" s="827">
        <v>61.840666619098997</v>
      </c>
      <c r="P306" s="827">
        <v>28.745810841770947</v>
      </c>
      <c r="Q306" s="827">
        <v>21.944428303451904</v>
      </c>
      <c r="R306" s="827">
        <v>43.901067575060836</v>
      </c>
      <c r="S306" s="827">
        <v>20.262978811913154</v>
      </c>
    </row>
    <row r="307" spans="2:19">
      <c r="B307" s="187">
        <v>44288</v>
      </c>
      <c r="C307" s="827" t="e">
        <v>#REF!</v>
      </c>
      <c r="D307" s="838">
        <v>30.769313059641256</v>
      </c>
      <c r="E307" s="838">
        <v>269.961042676977</v>
      </c>
      <c r="F307" s="827">
        <v>403.5099892873356</v>
      </c>
      <c r="G307" s="838">
        <v>61.101567318325479</v>
      </c>
      <c r="H307" s="838">
        <v>31.499461925454145</v>
      </c>
      <c r="I307" s="827">
        <v>16.147668169398553</v>
      </c>
      <c r="J307" s="1572">
        <v>12.477842488984825</v>
      </c>
      <c r="K307" s="827">
        <v>8.670924022399463</v>
      </c>
      <c r="L307" s="838">
        <v>11.311013589216667</v>
      </c>
      <c r="M307" s="827">
        <v>6.5206059298673456</v>
      </c>
      <c r="N307" s="1524">
        <v>228.61445381505112</v>
      </c>
      <c r="O307" s="827">
        <v>61.840666619098997</v>
      </c>
      <c r="P307" s="827">
        <v>30.769313059641256</v>
      </c>
      <c r="Q307" s="827">
        <v>21.944428303451904</v>
      </c>
      <c r="R307" s="827">
        <v>50.485751011718598</v>
      </c>
      <c r="S307" s="827">
        <v>20.262978811913154</v>
      </c>
    </row>
    <row r="308" spans="2:19">
      <c r="B308" s="187">
        <v>44295</v>
      </c>
      <c r="C308" s="827" t="e">
        <v>#REF!</v>
      </c>
      <c r="D308" s="838">
        <v>32.021930566456078</v>
      </c>
      <c r="E308" s="838">
        <v>286.30356230402219</v>
      </c>
      <c r="F308" s="827">
        <v>403.5099892873356</v>
      </c>
      <c r="G308" s="838">
        <v>61.756752201981818</v>
      </c>
      <c r="H308" s="838">
        <v>33.322198589481246</v>
      </c>
      <c r="I308" s="827">
        <v>16.147668169398553</v>
      </c>
      <c r="J308" s="1572">
        <v>12.649497553589676</v>
      </c>
      <c r="K308" s="827">
        <v>8.670924022399463</v>
      </c>
      <c r="L308" s="838">
        <v>11.763213809661471</v>
      </c>
      <c r="M308" s="827">
        <v>6.5206059298673456</v>
      </c>
      <c r="N308" s="1524">
        <v>242.05558475971438</v>
      </c>
      <c r="O308" s="827">
        <v>61.840666619098997</v>
      </c>
      <c r="P308" s="827">
        <v>32.021930566456078</v>
      </c>
      <c r="Q308" s="827">
        <v>21.944428303451904</v>
      </c>
      <c r="R308" s="827">
        <v>51.093865330091788</v>
      </c>
      <c r="S308" s="827">
        <v>20.262978811913154</v>
      </c>
    </row>
    <row r="309" spans="2:19">
      <c r="B309" s="187">
        <v>44302</v>
      </c>
      <c r="C309" s="827" t="e">
        <v>#REF!</v>
      </c>
      <c r="D309" s="838">
        <v>31.677119624020566</v>
      </c>
      <c r="E309" s="838">
        <v>281.5239624119157</v>
      </c>
      <c r="F309" s="827">
        <v>403.5099892873356</v>
      </c>
      <c r="G309" s="838">
        <v>59.997176792101619</v>
      </c>
      <c r="H309" s="838">
        <v>32.567910148594535</v>
      </c>
      <c r="I309" s="827">
        <v>16.147668169398553</v>
      </c>
      <c r="J309" s="1572">
        <v>12.875407982158622</v>
      </c>
      <c r="K309" s="827">
        <v>8.670924022399463</v>
      </c>
      <c r="L309" s="838">
        <v>11.616871211473526</v>
      </c>
      <c r="M309" s="827">
        <v>6.5206059298673456</v>
      </c>
      <c r="N309" s="1524">
        <v>237.34326846514409</v>
      </c>
      <c r="O309" s="827">
        <v>61.840666619098997</v>
      </c>
      <c r="P309" s="827">
        <v>31.677119624020566</v>
      </c>
      <c r="Q309" s="827">
        <v>21.944428303451904</v>
      </c>
      <c r="R309" s="827">
        <v>50.599966225357171</v>
      </c>
      <c r="S309" s="827">
        <v>20.262978811913154</v>
      </c>
    </row>
    <row r="310" spans="2:19">
      <c r="B310" s="187">
        <v>44309</v>
      </c>
      <c r="C310" s="827" t="e">
        <v>#REF!</v>
      </c>
      <c r="D310" s="838">
        <v>31.261093289888741</v>
      </c>
      <c r="E310" s="838">
        <v>253.44328088953708</v>
      </c>
      <c r="F310" s="827">
        <v>403.5099892873356</v>
      </c>
      <c r="G310" s="838">
        <v>57.40390576172291</v>
      </c>
      <c r="H310" s="838">
        <v>29.093081362091013</v>
      </c>
      <c r="I310" s="827">
        <v>16.147668169398553</v>
      </c>
      <c r="J310" s="1572">
        <v>12.506329107697205</v>
      </c>
      <c r="K310" s="827">
        <v>8.670924022399463</v>
      </c>
      <c r="L310" s="838">
        <v>11.264010019109547</v>
      </c>
      <c r="M310" s="827">
        <v>6.5206059298673456</v>
      </c>
      <c r="N310" s="1524">
        <v>215.60662079838642</v>
      </c>
      <c r="O310" s="827">
        <v>61.840666619098997</v>
      </c>
      <c r="P310" s="827">
        <v>31.261093289888741</v>
      </c>
      <c r="Q310" s="827">
        <v>21.944428303451904</v>
      </c>
      <c r="R310" s="827">
        <v>50.020014061321412</v>
      </c>
      <c r="S310" s="827">
        <v>20.262978811913154</v>
      </c>
    </row>
    <row r="311" spans="2:19">
      <c r="B311" s="187">
        <v>44316</v>
      </c>
      <c r="C311" s="827" t="e">
        <v>#REF!</v>
      </c>
      <c r="D311" s="838">
        <v>30.846813741460267</v>
      </c>
      <c r="E311" s="838">
        <v>261.65219762532894</v>
      </c>
      <c r="F311" s="827">
        <v>403.5099892873356</v>
      </c>
      <c r="G311" s="838">
        <v>54.406701912092366</v>
      </c>
      <c r="H311" s="838">
        <v>29.247522073711242</v>
      </c>
      <c r="I311" s="827">
        <v>16.147668169398553</v>
      </c>
      <c r="J311" s="1572">
        <v>13.019952187578548</v>
      </c>
      <c r="K311" s="827">
        <v>8.670924022399463</v>
      </c>
      <c r="L311" s="838">
        <v>11.006998329693054</v>
      </c>
      <c r="M311" s="827">
        <v>6.5206059298673456</v>
      </c>
      <c r="N311" s="1524">
        <v>257.30294064976073</v>
      </c>
      <c r="O311" s="827">
        <v>61.840666619098997</v>
      </c>
      <c r="P311" s="827">
        <v>30.846813741460267</v>
      </c>
      <c r="Q311" s="827">
        <v>21.944428303451904</v>
      </c>
      <c r="R311" s="827">
        <v>51.769925769519276</v>
      </c>
      <c r="S311" s="827">
        <v>20.262978811913154</v>
      </c>
    </row>
    <row r="312" spans="2:19">
      <c r="B312" s="187">
        <v>44323</v>
      </c>
      <c r="C312" s="827" t="e">
        <v>#REF!</v>
      </c>
      <c r="D312" s="838">
        <v>28.938511873390063</v>
      </c>
      <c r="E312" s="838">
        <v>244.77736167539882</v>
      </c>
      <c r="F312" s="827">
        <v>403.5099892873356</v>
      </c>
      <c r="G312" s="838">
        <v>54.465222126563866</v>
      </c>
      <c r="H312" s="838">
        <v>27.175232594206193</v>
      </c>
      <c r="I312" s="827">
        <v>16.147668169398553</v>
      </c>
      <c r="J312" s="1572">
        <v>11.961426443816976</v>
      </c>
      <c r="K312" s="827">
        <v>8.670924022399463</v>
      </c>
      <c r="L312" s="838">
        <v>10.019153708919408</v>
      </c>
      <c r="M312" s="827">
        <v>6.5206059298673456</v>
      </c>
      <c r="N312" s="1524">
        <v>239.72002934336618</v>
      </c>
      <c r="O312" s="827">
        <v>61.840666619098997</v>
      </c>
      <c r="P312" s="827">
        <v>28.938511873390063</v>
      </c>
      <c r="Q312" s="827">
        <v>21.944428303451904</v>
      </c>
      <c r="R312" s="827">
        <v>48.400310199814484</v>
      </c>
      <c r="S312" s="827">
        <v>20.262978811913154</v>
      </c>
    </row>
    <row r="313" spans="2:19">
      <c r="B313" s="187">
        <v>44330</v>
      </c>
      <c r="C313" s="827" t="e">
        <v>#REF!</v>
      </c>
      <c r="D313" s="838">
        <v>26.270148607632422</v>
      </c>
      <c r="E313" s="838">
        <v>238.65772040601706</v>
      </c>
      <c r="F313" s="827">
        <v>403.5099892873356</v>
      </c>
      <c r="G313" s="838">
        <v>49.721902947125301</v>
      </c>
      <c r="H313" s="838">
        <v>26.350801355162591</v>
      </c>
      <c r="I313" s="827">
        <v>16.147668169398553</v>
      </c>
      <c r="J313" s="1572">
        <v>11.27311542064775</v>
      </c>
      <c r="K313" s="827">
        <v>8.670924022399463</v>
      </c>
      <c r="L313" s="838">
        <v>9.3563182924177326</v>
      </c>
      <c r="M313" s="827">
        <v>6.5206059298673456</v>
      </c>
      <c r="N313" s="1524">
        <v>234.0471584383655</v>
      </c>
      <c r="O313" s="827">
        <v>61.840666619098997</v>
      </c>
      <c r="P313" s="827">
        <v>26.270148607632422</v>
      </c>
      <c r="Q313" s="827">
        <v>21.944428303451904</v>
      </c>
      <c r="R313" s="827">
        <v>44.357626376507035</v>
      </c>
      <c r="S313" s="827">
        <v>20.262978811913154</v>
      </c>
    </row>
    <row r="314" spans="2:19">
      <c r="B314" s="187">
        <v>44337</v>
      </c>
      <c r="C314" s="827" t="e">
        <v>#REF!</v>
      </c>
      <c r="D314" s="838">
        <v>26.412305573828842</v>
      </c>
      <c r="E314" s="838">
        <v>268.68514888559821</v>
      </c>
      <c r="F314" s="827">
        <v>403.5099892873356</v>
      </c>
      <c r="G314" s="838">
        <v>49.538281319953484</v>
      </c>
      <c r="H314" s="838">
        <v>29.74025395215499</v>
      </c>
      <c r="I314" s="827">
        <v>16.147668169398553</v>
      </c>
      <c r="J314" s="1572">
        <v>11.683070391302913</v>
      </c>
      <c r="K314" s="827">
        <v>8.670924022399463</v>
      </c>
      <c r="L314" s="838">
        <v>9.6251694432355972</v>
      </c>
      <c r="M314" s="827">
        <v>6.5206059298673456</v>
      </c>
      <c r="N314" s="1524">
        <v>263.95831601149695</v>
      </c>
      <c r="O314" s="827">
        <v>61.840666619098997</v>
      </c>
      <c r="P314" s="827">
        <v>26.412305573828842</v>
      </c>
      <c r="Q314" s="827">
        <v>21.944428303451904</v>
      </c>
      <c r="R314" s="827">
        <v>46.9122409721233</v>
      </c>
      <c r="S314" s="827">
        <v>20.262978811913154</v>
      </c>
    </row>
    <row r="315" spans="2:19">
      <c r="B315" s="187">
        <v>44344</v>
      </c>
      <c r="C315" s="827" t="e">
        <v>#REF!</v>
      </c>
      <c r="D315" s="838">
        <v>38.975185400298521</v>
      </c>
      <c r="E315" s="838">
        <v>278.08174319420516</v>
      </c>
      <c r="F315" s="827">
        <v>403.5099892873356</v>
      </c>
      <c r="G315" s="838">
        <v>51.401220421917877</v>
      </c>
      <c r="H315" s="838">
        <v>29.914245775879756</v>
      </c>
      <c r="I315" s="827">
        <v>16.147668169398553</v>
      </c>
      <c r="J315" s="1572">
        <v>12.048489176762866</v>
      </c>
      <c r="K315" s="827">
        <v>8.670924022399463</v>
      </c>
      <c r="L315" s="838">
        <v>10.044446864548235</v>
      </c>
      <c r="M315" s="827">
        <v>6.5206059298673456</v>
      </c>
      <c r="N315" s="1524">
        <v>274.97432886423104</v>
      </c>
      <c r="O315" s="827">
        <v>61.840666619098997</v>
      </c>
      <c r="P315" s="827">
        <v>38.975185400298521</v>
      </c>
      <c r="Q315" s="827">
        <v>21.944428303451904</v>
      </c>
      <c r="R315" s="827">
        <v>48.265143347537148</v>
      </c>
      <c r="S315" s="827">
        <v>20.262978811913154</v>
      </c>
    </row>
    <row r="316" spans="2:19">
      <c r="B316" s="187">
        <v>44351</v>
      </c>
      <c r="C316" s="827" t="e">
        <v>#REF!</v>
      </c>
      <c r="D316" s="838">
        <v>35.850799633916999</v>
      </c>
      <c r="E316" s="838">
        <v>269.21080335224093</v>
      </c>
      <c r="F316" s="827">
        <v>403.5099892873356</v>
      </c>
      <c r="G316" s="838">
        <v>49.443937851034704</v>
      </c>
      <c r="H316" s="838">
        <v>28.81823548911256</v>
      </c>
      <c r="I316" s="827">
        <v>16.147668169398553</v>
      </c>
      <c r="J316" s="1572">
        <v>12.006070450208933</v>
      </c>
      <c r="K316" s="827">
        <v>8.670924022399463</v>
      </c>
      <c r="L316" s="838">
        <v>9.8326033593673987</v>
      </c>
      <c r="M316" s="827">
        <v>6.5206059298673456</v>
      </c>
      <c r="N316" s="1524">
        <v>264.85115272595294</v>
      </c>
      <c r="O316" s="827">
        <v>61.840666619098997</v>
      </c>
      <c r="P316" s="827">
        <v>35.850799633916999</v>
      </c>
      <c r="Q316" s="827">
        <v>21.944428303451904</v>
      </c>
      <c r="R316" s="827">
        <v>47.312957944933316</v>
      </c>
      <c r="S316" s="827">
        <v>20.262978811913154</v>
      </c>
    </row>
    <row r="317" spans="2:19">
      <c r="B317" s="187">
        <v>44358</v>
      </c>
      <c r="C317" s="827" t="e">
        <v>#REF!</v>
      </c>
      <c r="D317" s="838">
        <v>35.286447107918647</v>
      </c>
      <c r="E317" s="838">
        <v>274.52743293008314</v>
      </c>
      <c r="F317" s="827">
        <v>403.5099892873356</v>
      </c>
      <c r="G317" s="838">
        <v>50.513073498592959</v>
      </c>
      <c r="H317" s="838">
        <v>29.688608755677155</v>
      </c>
      <c r="I317" s="827">
        <v>16.147668169398553</v>
      </c>
      <c r="J317" s="1572">
        <v>12.64071775387246</v>
      </c>
      <c r="K317" s="827">
        <v>8.670924022399463</v>
      </c>
      <c r="L317" s="838">
        <v>10.07805547646573</v>
      </c>
      <c r="M317" s="827">
        <v>6.5206059298673456</v>
      </c>
      <c r="N317" s="1524">
        <v>272.46154654904637</v>
      </c>
      <c r="O317" s="827">
        <v>61.840666619098997</v>
      </c>
      <c r="P317" s="827">
        <v>35.286447107918647</v>
      </c>
      <c r="Q317" s="827">
        <v>21.944428303451904</v>
      </c>
      <c r="R317" s="827">
        <v>50.081447603221989</v>
      </c>
      <c r="S317" s="827">
        <v>20.262978811913154</v>
      </c>
    </row>
    <row r="318" spans="2:19">
      <c r="B318" s="187">
        <v>44365</v>
      </c>
      <c r="C318" s="827" t="e">
        <v>#REF!</v>
      </c>
      <c r="D318" s="838">
        <v>35.542135357463962</v>
      </c>
      <c r="E318" s="838">
        <v>322.23133717602445</v>
      </c>
      <c r="F318" s="827">
        <v>403.5099892873356</v>
      </c>
      <c r="G318" s="838">
        <v>51.300839928956769</v>
      </c>
      <c r="H318" s="838">
        <v>34.970953747261717</v>
      </c>
      <c r="I318" s="827">
        <v>16.147668169398553</v>
      </c>
      <c r="J318" s="1572">
        <v>13.026294909918596</v>
      </c>
      <c r="K318" s="827">
        <v>8.670924022399463</v>
      </c>
      <c r="L318" s="838">
        <v>10.549222932824449</v>
      </c>
      <c r="M318" s="827">
        <v>6.5206059298673456</v>
      </c>
      <c r="N318" s="1524">
        <v>319.35447730503842</v>
      </c>
      <c r="O318" s="827">
        <v>61.840666619098997</v>
      </c>
      <c r="P318" s="827">
        <v>35.542135357463962</v>
      </c>
      <c r="Q318" s="827">
        <v>21.944428303451904</v>
      </c>
      <c r="R318" s="827">
        <v>52.065028612361594</v>
      </c>
      <c r="S318" s="827">
        <v>20.262978811913154</v>
      </c>
    </row>
    <row r="319" spans="2:19">
      <c r="B319" s="187">
        <v>44372</v>
      </c>
      <c r="C319" s="827" t="e">
        <v>#REF!</v>
      </c>
      <c r="D319" s="838">
        <v>37.113376902288287</v>
      </c>
      <c r="E319" s="838">
        <v>323.00101555689366</v>
      </c>
      <c r="F319" s="827">
        <v>403.5099892873356</v>
      </c>
      <c r="G319" s="838">
        <v>53.938442943581478</v>
      </c>
      <c r="H319" s="838">
        <v>34.947626110662611</v>
      </c>
      <c r="I319" s="827">
        <v>16.147668169398553</v>
      </c>
      <c r="J319" s="1572">
        <v>13.12748091495382</v>
      </c>
      <c r="K319" s="827">
        <v>8.670924022399463</v>
      </c>
      <c r="L319" s="838">
        <v>11.10238596336621</v>
      </c>
      <c r="M319" s="827">
        <v>6.5206059298673456</v>
      </c>
      <c r="N319" s="1524">
        <v>320.97907229173018</v>
      </c>
      <c r="O319" s="827">
        <v>61.840666619098997</v>
      </c>
      <c r="P319" s="827">
        <v>37.113376902288287</v>
      </c>
      <c r="Q319" s="827">
        <v>21.944428303451904</v>
      </c>
      <c r="R319" s="827">
        <v>52.270521194751289</v>
      </c>
      <c r="S319" s="827">
        <v>20.262978811913154</v>
      </c>
    </row>
    <row r="320" spans="2:19">
      <c r="B320" s="187">
        <v>44379</v>
      </c>
      <c r="C320" s="827" t="e">
        <v>#REF!</v>
      </c>
      <c r="D320" s="838">
        <v>37.175749908432529</v>
      </c>
      <c r="E320" s="838">
        <v>320.3834758900361</v>
      </c>
      <c r="F320" s="827">
        <v>403.5099892873356</v>
      </c>
      <c r="G320" s="838">
        <v>53.898128378486767</v>
      </c>
      <c r="H320" s="838">
        <v>34.787830188187527</v>
      </c>
      <c r="I320" s="827">
        <v>16.147668169398553</v>
      </c>
      <c r="J320" s="1572">
        <v>13.522608960511091</v>
      </c>
      <c r="K320" s="827">
        <v>8.670924022399463</v>
      </c>
      <c r="L320" s="838">
        <v>11.317057633253434</v>
      </c>
      <c r="M320" s="827">
        <v>6.5206059298673456</v>
      </c>
      <c r="N320" s="1524">
        <v>318.63396230387303</v>
      </c>
      <c r="O320" s="827">
        <v>61.840666619098997</v>
      </c>
      <c r="P320" s="827">
        <v>37.175749908432529</v>
      </c>
      <c r="Q320" s="827">
        <v>21.944428303451904</v>
      </c>
      <c r="R320" s="827">
        <v>55.027913070250065</v>
      </c>
      <c r="S320" s="827">
        <v>20.262978811913154</v>
      </c>
    </row>
    <row r="321" spans="2:19">
      <c r="B321" s="187">
        <v>44386</v>
      </c>
      <c r="C321" s="827" t="e">
        <v>#REF!</v>
      </c>
      <c r="D321" s="838">
        <v>36.248530393736388</v>
      </c>
      <c r="E321" s="838">
        <v>327.25824184544223</v>
      </c>
      <c r="F321" s="827">
        <v>403.5099892873356</v>
      </c>
      <c r="G321" s="838">
        <v>53.583208596471607</v>
      </c>
      <c r="H321" s="838">
        <v>35.290096899652156</v>
      </c>
      <c r="I321" s="827">
        <v>16.147668169398553</v>
      </c>
      <c r="J321" s="1572">
        <v>13.833532758658039</v>
      </c>
      <c r="K321" s="827">
        <v>8.670924022399463</v>
      </c>
      <c r="L321" s="838">
        <v>11.2033259012342</v>
      </c>
      <c r="M321" s="827">
        <v>6.5206059298673456</v>
      </c>
      <c r="N321" s="1524">
        <v>326.27085455670351</v>
      </c>
      <c r="O321" s="827">
        <v>61.840666619098997</v>
      </c>
      <c r="P321" s="827">
        <v>36.248530393736388</v>
      </c>
      <c r="Q321" s="827">
        <v>21.944428303451904</v>
      </c>
      <c r="R321" s="827">
        <v>51.983025013559335</v>
      </c>
      <c r="S321" s="827">
        <v>20.262978811913154</v>
      </c>
    </row>
    <row r="322" spans="2:19">
      <c r="B322" s="187">
        <v>44393</v>
      </c>
      <c r="C322" s="827" t="e">
        <v>#REF!</v>
      </c>
      <c r="D322" s="838">
        <v>33.497793860028068</v>
      </c>
      <c r="E322" s="838">
        <v>313.45889680233381</v>
      </c>
      <c r="F322" s="827">
        <v>403.5099892873356</v>
      </c>
      <c r="G322" s="838">
        <v>50.054100948245257</v>
      </c>
      <c r="H322" s="838">
        <v>33.641420676369172</v>
      </c>
      <c r="I322" s="827">
        <v>16.147668169398553</v>
      </c>
      <c r="J322" s="1572">
        <v>13.07495123302713</v>
      </c>
      <c r="K322" s="827">
        <v>8.670924022399463</v>
      </c>
      <c r="L322" s="838">
        <v>10.421208601569923</v>
      </c>
      <c r="M322" s="827">
        <v>6.5206059298673456</v>
      </c>
      <c r="N322" s="1524">
        <v>305.00839609839244</v>
      </c>
      <c r="O322" s="827">
        <v>61.840666619098997</v>
      </c>
      <c r="P322" s="827">
        <v>33.497793860028068</v>
      </c>
      <c r="Q322" s="827">
        <v>21.944428303451904</v>
      </c>
      <c r="R322" s="827">
        <v>49.407215390237212</v>
      </c>
      <c r="S322" s="827">
        <v>20.262978811913154</v>
      </c>
    </row>
    <row r="323" spans="2:19">
      <c r="B323" s="187">
        <v>44400</v>
      </c>
      <c r="C323" s="827" t="e">
        <v>#REF!</v>
      </c>
      <c r="D323" s="838">
        <v>34.966024950630398</v>
      </c>
      <c r="E323" s="838">
        <v>354.68601475150382</v>
      </c>
      <c r="F323" s="827">
        <v>403.5099892873356</v>
      </c>
      <c r="G323" s="838">
        <v>53.232308661576056</v>
      </c>
      <c r="H323" s="838">
        <v>38.133737489453495</v>
      </c>
      <c r="I323" s="827">
        <v>16.147668169398553</v>
      </c>
      <c r="J323" s="1572">
        <v>13.711983202669513</v>
      </c>
      <c r="K323" s="827">
        <v>8.670924022399463</v>
      </c>
      <c r="L323" s="838">
        <v>11.437173258667782</v>
      </c>
      <c r="M323" s="827">
        <v>6.5206059298673456</v>
      </c>
      <c r="N323" s="1524">
        <v>345.63325992415622</v>
      </c>
      <c r="O323" s="827">
        <v>61.840666619098997</v>
      </c>
      <c r="P323" s="827">
        <v>34.966024950630398</v>
      </c>
      <c r="Q323" s="827">
        <v>21.944428303451904</v>
      </c>
      <c r="R323" s="827">
        <v>52.060247384990078</v>
      </c>
      <c r="S323" s="827">
        <v>20.262978811913154</v>
      </c>
    </row>
    <row r="324" spans="2:19">
      <c r="B324" s="187">
        <v>44407</v>
      </c>
      <c r="C324" s="827" t="e">
        <v>#REF!</v>
      </c>
      <c r="D324" s="838">
        <v>34.506655653992553</v>
      </c>
      <c r="E324" s="838">
        <v>239.04783193912016</v>
      </c>
      <c r="F324" s="827">
        <v>403.5099892873356</v>
      </c>
      <c r="G324" s="838">
        <v>49.723520795624196</v>
      </c>
      <c r="H324" s="838">
        <v>33.307983157414192</v>
      </c>
      <c r="I324" s="827">
        <v>16.147668169398553</v>
      </c>
      <c r="J324" s="1572">
        <v>13.341487775448032</v>
      </c>
      <c r="K324" s="827">
        <v>8.670924022399463</v>
      </c>
      <c r="L324" s="838">
        <v>10.667392113312598</v>
      </c>
      <c r="M324" s="827">
        <v>6.5206059298673456</v>
      </c>
      <c r="N324" s="1524">
        <v>248.80594700965406</v>
      </c>
      <c r="O324" s="827">
        <v>61.840666619098997</v>
      </c>
      <c r="P324" s="827">
        <v>34.506655653992553</v>
      </c>
      <c r="Q324" s="827">
        <v>21.944428303451904</v>
      </c>
      <c r="R324" s="827">
        <v>51.295531435544987</v>
      </c>
      <c r="S324" s="827">
        <v>20.262978811913154</v>
      </c>
    </row>
    <row r="325" spans="2:19">
      <c r="B325" s="187">
        <v>44414</v>
      </c>
      <c r="C325" s="827" t="e">
        <v>#REF!</v>
      </c>
      <c r="D325" s="838">
        <v>32.173334624704204</v>
      </c>
      <c r="E325" s="838">
        <v>238.08713564580677</v>
      </c>
      <c r="F325" s="827">
        <v>403.5099892873356</v>
      </c>
      <c r="G325" s="838">
        <v>49.653906529044228</v>
      </c>
      <c r="H325" s="838">
        <v>33.626561080730824</v>
      </c>
      <c r="I325" s="827">
        <v>16.147668169398553</v>
      </c>
      <c r="J325" s="1572">
        <v>12.697906004459218</v>
      </c>
      <c r="K325" s="827">
        <v>8.670924022399463</v>
      </c>
      <c r="L325" s="838">
        <v>10.556556920562933</v>
      </c>
      <c r="M325" s="827">
        <v>6.5206059298673456</v>
      </c>
      <c r="N325" s="1524">
        <v>251.34953047935377</v>
      </c>
      <c r="O325" s="827">
        <v>61.840666619098997</v>
      </c>
      <c r="P325" s="827">
        <v>32.173334624704204</v>
      </c>
      <c r="Q325" s="827">
        <v>21.944428303451904</v>
      </c>
      <c r="R325" s="827">
        <v>47.48050991837605</v>
      </c>
      <c r="S325" s="827">
        <v>20.262978811913154</v>
      </c>
    </row>
    <row r="326" spans="2:19">
      <c r="B326" s="187">
        <v>44421</v>
      </c>
      <c r="C326" s="827" t="e">
        <v>#REF!</v>
      </c>
      <c r="D326" s="838">
        <v>36.566206936451138</v>
      </c>
      <c r="E326" s="838">
        <v>237.90552927071792</v>
      </c>
      <c r="F326" s="827">
        <v>403.5099892873356</v>
      </c>
      <c r="G326" s="838">
        <v>47.1581989033509</v>
      </c>
      <c r="H326" s="838">
        <v>32.843185190530185</v>
      </c>
      <c r="I326" s="827">
        <v>16.147668169398553</v>
      </c>
      <c r="J326" s="1572">
        <v>12.228469222635217</v>
      </c>
      <c r="K326" s="827">
        <v>8.670924022399463</v>
      </c>
      <c r="L326" s="838">
        <v>10.29144623133087</v>
      </c>
      <c r="M326" s="827">
        <v>6.5206059298673456</v>
      </c>
      <c r="N326" s="1524">
        <v>246.76263254709269</v>
      </c>
      <c r="O326" s="827">
        <v>61.840666619098997</v>
      </c>
      <c r="P326" s="827">
        <v>36.566206936451138</v>
      </c>
      <c r="Q326" s="827">
        <v>21.944428303451904</v>
      </c>
      <c r="R326" s="827">
        <v>41.745961110347459</v>
      </c>
      <c r="S326" s="827">
        <v>20.262978811913154</v>
      </c>
    </row>
    <row r="327" spans="2:19">
      <c r="B327" s="187">
        <v>44428</v>
      </c>
      <c r="C327" s="827" t="e">
        <v>#REF!</v>
      </c>
      <c r="D327" s="838">
        <v>34.882401626250704</v>
      </c>
      <c r="E327" s="838">
        <v>230.74475670797338</v>
      </c>
      <c r="F327" s="827">
        <v>403.5099892873356</v>
      </c>
      <c r="G327" s="838">
        <v>55.947073331171772</v>
      </c>
      <c r="H327" s="838">
        <v>31.596263457628762</v>
      </c>
      <c r="I327" s="827">
        <v>16.147668169398553</v>
      </c>
      <c r="J327" s="1572">
        <v>11.926844371301335</v>
      </c>
      <c r="K327" s="827">
        <v>8.670924022399463</v>
      </c>
      <c r="L327" s="838">
        <v>9.8813712512005907</v>
      </c>
      <c r="M327" s="827">
        <v>6.5206059298673456</v>
      </c>
      <c r="N327" s="1524">
        <v>237.47342673882653</v>
      </c>
      <c r="O327" s="827">
        <v>61.840666619098997</v>
      </c>
      <c r="P327" s="827">
        <v>34.882401626250704</v>
      </c>
      <c r="Q327" s="827">
        <v>21.944428303451904</v>
      </c>
      <c r="R327" s="827">
        <v>43.485599852483631</v>
      </c>
      <c r="S327" s="827">
        <v>20.262978811913154</v>
      </c>
    </row>
    <row r="328" spans="2:19">
      <c r="B328" s="187">
        <v>44435</v>
      </c>
      <c r="C328" s="827" t="e">
        <v>#REF!</v>
      </c>
      <c r="D328" s="838">
        <v>35.84380672196469</v>
      </c>
      <c r="E328" s="838">
        <v>243.95582058538591</v>
      </c>
      <c r="F328" s="827">
        <v>403.5099892873356</v>
      </c>
      <c r="G328" s="838">
        <v>57.303232274764831</v>
      </c>
      <c r="H328" s="838">
        <v>33.242654542541551</v>
      </c>
      <c r="I328" s="827">
        <v>16.147668169398553</v>
      </c>
      <c r="J328" s="1572">
        <v>12.35440120214858</v>
      </c>
      <c r="K328" s="827">
        <v>8.670924022399463</v>
      </c>
      <c r="L328" s="838">
        <v>10.283062685612572</v>
      </c>
      <c r="M328" s="827">
        <v>6.5206059298673456</v>
      </c>
      <c r="N328" s="1524">
        <v>251.50568255896462</v>
      </c>
      <c r="O328" s="827">
        <v>61.840666619098997</v>
      </c>
      <c r="P328" s="827">
        <v>35.84380672196469</v>
      </c>
      <c r="Q328" s="827">
        <v>21.944428303451904</v>
      </c>
      <c r="R328" s="827">
        <v>45.25751423578285</v>
      </c>
      <c r="S328" s="827">
        <v>20.262978811913154</v>
      </c>
    </row>
    <row r="329" spans="2:19">
      <c r="B329" s="187">
        <v>44442</v>
      </c>
      <c r="C329" s="827" t="e">
        <v>#REF!</v>
      </c>
      <c r="D329" s="838">
        <v>35.79389771017172</v>
      </c>
      <c r="E329" s="838">
        <v>247.97119912442275</v>
      </c>
      <c r="F329" s="827">
        <v>403.5099892873356</v>
      </c>
      <c r="G329" s="838">
        <v>56.197539794975448</v>
      </c>
      <c r="H329" s="838">
        <v>33.57612641570622</v>
      </c>
      <c r="I329" s="827">
        <v>16.147668169398553</v>
      </c>
      <c r="J329" s="1572">
        <v>12.500601980058129</v>
      </c>
      <c r="K329" s="827">
        <v>8.670924022399463</v>
      </c>
      <c r="L329" s="838">
        <v>10.354874103724139</v>
      </c>
      <c r="M329" s="827">
        <v>6.5206059298673456</v>
      </c>
      <c r="N329" s="1524">
        <v>255.16597407112542</v>
      </c>
      <c r="O329" s="827">
        <v>61.840666619098997</v>
      </c>
      <c r="P329" s="827">
        <v>35.79389771017172</v>
      </c>
      <c r="Q329" s="827">
        <v>21.944428303451904</v>
      </c>
      <c r="R329" s="827">
        <v>46.255393024002238</v>
      </c>
      <c r="S329" s="827">
        <v>20.262978811913154</v>
      </c>
    </row>
    <row r="330" spans="2:19">
      <c r="B330" s="187">
        <v>44449</v>
      </c>
      <c r="C330" s="827" t="e">
        <v>#REF!</v>
      </c>
      <c r="D330" s="838">
        <v>35.116853047057681</v>
      </c>
      <c r="E330" s="838">
        <v>237.14179660517001</v>
      </c>
      <c r="F330" s="827">
        <v>403.5099892873356</v>
      </c>
      <c r="G330" s="838">
        <v>54.822839415353904</v>
      </c>
      <c r="H330" s="838">
        <v>31.832729630704844</v>
      </c>
      <c r="I330" s="827">
        <v>16.147668169398553</v>
      </c>
      <c r="J330" s="1572">
        <v>12.042978163294626</v>
      </c>
      <c r="K330" s="827">
        <v>8.670924022399463</v>
      </c>
      <c r="L330" s="838">
        <v>10.231395681045033</v>
      </c>
      <c r="M330" s="827">
        <v>6.5206059298673456</v>
      </c>
      <c r="N330" s="1524">
        <v>243.70301159868342</v>
      </c>
      <c r="O330" s="827">
        <v>61.840666619098997</v>
      </c>
      <c r="P330" s="827">
        <v>35.116853047057681</v>
      </c>
      <c r="Q330" s="827">
        <v>21.944428303451904</v>
      </c>
      <c r="R330" s="827">
        <v>43.756154039887761</v>
      </c>
      <c r="S330" s="827">
        <v>20.262978811913154</v>
      </c>
    </row>
    <row r="331" spans="2:19">
      <c r="B331" s="187">
        <v>44456</v>
      </c>
      <c r="C331" s="827" t="e">
        <v>#REF!</v>
      </c>
      <c r="D331" s="838">
        <v>34.976484590031419</v>
      </c>
      <c r="E331" s="838">
        <v>238.41110284837637</v>
      </c>
      <c r="F331" s="827">
        <v>403.5099892873356</v>
      </c>
      <c r="G331" s="838">
        <v>54.49496303330249</v>
      </c>
      <c r="H331" s="838">
        <v>31.713421612193891</v>
      </c>
      <c r="I331" s="827">
        <v>16.147668169398553</v>
      </c>
      <c r="J331" s="1572">
        <v>12.084582508960438</v>
      </c>
      <c r="K331" s="827">
        <v>8.670924022399463</v>
      </c>
      <c r="L331" s="838">
        <v>10.213087546214409</v>
      </c>
      <c r="M331" s="827">
        <v>6.5206059298673456</v>
      </c>
      <c r="N331" s="1524">
        <v>239.75205025489242</v>
      </c>
      <c r="O331" s="827">
        <v>61.840666619098997</v>
      </c>
      <c r="P331" s="827">
        <v>34.976484590031419</v>
      </c>
      <c r="Q331" s="827">
        <v>21.944428303451904</v>
      </c>
      <c r="R331" s="827">
        <v>42.86652630153916</v>
      </c>
      <c r="S331" s="827">
        <v>20.262978811913154</v>
      </c>
    </row>
    <row r="332" spans="2:19">
      <c r="B332" s="187">
        <v>44463</v>
      </c>
      <c r="C332" s="827" t="e">
        <v>#REF!</v>
      </c>
      <c r="D332" s="838">
        <v>36.058238054364644</v>
      </c>
      <c r="E332" s="838">
        <v>232.03162635840528</v>
      </c>
      <c r="F332" s="827">
        <v>403.5099892873356</v>
      </c>
      <c r="G332" s="838">
        <v>54.910491557007141</v>
      </c>
      <c r="H332" s="838">
        <v>30.727805033074514</v>
      </c>
      <c r="I332" s="827">
        <v>16.147668169398553</v>
      </c>
      <c r="J332" s="1572">
        <v>11.751085408054427</v>
      </c>
      <c r="K332" s="827">
        <v>8.670924022399463</v>
      </c>
      <c r="L332" s="838">
        <v>10.428381965519884</v>
      </c>
      <c r="M332" s="827">
        <v>6.5206059298673456</v>
      </c>
      <c r="N332" s="1524">
        <v>231.69124423435719</v>
      </c>
      <c r="O332" s="827">
        <v>61.840666619098997</v>
      </c>
      <c r="P332" s="827">
        <v>36.058238054364644</v>
      </c>
      <c r="Q332" s="827">
        <v>21.944428303451904</v>
      </c>
      <c r="R332" s="827">
        <v>42.020943166456256</v>
      </c>
      <c r="S332" s="827">
        <v>20.262978811913154</v>
      </c>
    </row>
    <row r="333" spans="2:19">
      <c r="B333" s="187">
        <v>44470</v>
      </c>
      <c r="C333" s="827" t="e">
        <v>#REF!</v>
      </c>
      <c r="D333" s="838">
        <v>34.77759342641609</v>
      </c>
      <c r="E333" s="838">
        <v>217.04520548561524</v>
      </c>
      <c r="F333" s="827">
        <v>403.5099892873356</v>
      </c>
      <c r="G333" s="838">
        <v>52.941896492722542</v>
      </c>
      <c r="H333" s="838">
        <v>28.570432285899805</v>
      </c>
      <c r="I333" s="827">
        <v>16.147668169398553</v>
      </c>
      <c r="J333" s="1572">
        <v>11.048867880871958</v>
      </c>
      <c r="K333" s="827">
        <v>8.670924022399463</v>
      </c>
      <c r="L333" s="838">
        <v>10.0582846724555</v>
      </c>
      <c r="M333" s="827">
        <v>6.5206059298673456</v>
      </c>
      <c r="N333" s="1524">
        <v>216.07818833506042</v>
      </c>
      <c r="O333" s="827">
        <v>61.840666619098997</v>
      </c>
      <c r="P333" s="827">
        <v>34.77759342641609</v>
      </c>
      <c r="Q333" s="827">
        <v>21.944428303451904</v>
      </c>
      <c r="R333" s="827">
        <v>37.542883359662149</v>
      </c>
      <c r="S333" s="827">
        <v>20.262978811913154</v>
      </c>
    </row>
    <row r="334" spans="2:19">
      <c r="B334" s="187">
        <v>44477</v>
      </c>
      <c r="C334" s="827" t="e">
        <v>#REF!</v>
      </c>
      <c r="D334" s="838">
        <v>34.480263375813642</v>
      </c>
      <c r="E334" s="838">
        <v>219.65623752704997</v>
      </c>
      <c r="F334" s="827">
        <v>403.5099892873356</v>
      </c>
      <c r="G334" s="838">
        <v>52.067131830464177</v>
      </c>
      <c r="H334" s="838">
        <v>29.000335332371236</v>
      </c>
      <c r="I334" s="827">
        <v>16.147668169398553</v>
      </c>
      <c r="J334" s="1572">
        <v>10.936846541713573</v>
      </c>
      <c r="K334" s="827">
        <v>8.670924022399463</v>
      </c>
      <c r="L334" s="838">
        <v>10.053496144692192</v>
      </c>
      <c r="M334" s="827">
        <v>6.5206059298673456</v>
      </c>
      <c r="N334" s="1524">
        <v>221.10585489582863</v>
      </c>
      <c r="O334" s="827">
        <v>61.840666619098997</v>
      </c>
      <c r="P334" s="827">
        <v>34.480263375813642</v>
      </c>
      <c r="Q334" s="827">
        <v>21.944428303451904</v>
      </c>
      <c r="R334" s="827">
        <v>36.868396831646557</v>
      </c>
      <c r="S334" s="827">
        <v>20.262978811913154</v>
      </c>
    </row>
    <row r="335" spans="2:19">
      <c r="B335" s="187">
        <v>44484</v>
      </c>
      <c r="C335" s="827" t="e">
        <v>#REF!</v>
      </c>
      <c r="D335" s="838">
        <v>35.131746015661257</v>
      </c>
      <c r="E335" s="838">
        <v>227.35183421691545</v>
      </c>
      <c r="F335" s="827">
        <v>403.5099892873356</v>
      </c>
      <c r="G335" s="838">
        <v>52.434029758951702</v>
      </c>
      <c r="H335" s="838">
        <v>29.810701160903598</v>
      </c>
      <c r="I335" s="827">
        <v>16.147668169398553</v>
      </c>
      <c r="J335" s="1572">
        <v>11.431727582318716</v>
      </c>
      <c r="K335" s="827">
        <v>8.670924022399463</v>
      </c>
      <c r="L335" s="838">
        <v>10.308365424134619</v>
      </c>
      <c r="M335" s="827">
        <v>6.5206059298673456</v>
      </c>
      <c r="N335" s="1524">
        <v>227.13575198772057</v>
      </c>
      <c r="O335" s="827">
        <v>61.840666619098997</v>
      </c>
      <c r="P335" s="827">
        <v>35.131746015661257</v>
      </c>
      <c r="Q335" s="827">
        <v>21.944428303451904</v>
      </c>
      <c r="R335" s="827">
        <v>37.981296563886438</v>
      </c>
      <c r="S335" s="827">
        <v>20.262978811913154</v>
      </c>
    </row>
    <row r="336" spans="2:19">
      <c r="B336" s="187">
        <v>44491</v>
      </c>
      <c r="C336" s="827" t="e">
        <v>#REF!</v>
      </c>
      <c r="D336" s="838">
        <v>34.094269640418034</v>
      </c>
      <c r="E336" s="838">
        <v>229.58958862379524</v>
      </c>
      <c r="F336" s="827">
        <v>403.5099892873356</v>
      </c>
      <c r="G336" s="838">
        <v>51.207298871470954</v>
      </c>
      <c r="H336" s="838">
        <v>29.796098094686027</v>
      </c>
      <c r="I336" s="827">
        <v>16.147668169398553</v>
      </c>
      <c r="J336" s="1572">
        <v>11.541761397452882</v>
      </c>
      <c r="K336" s="827">
        <v>8.670924022399463</v>
      </c>
      <c r="L336" s="838">
        <v>9.9843008353640919</v>
      </c>
      <c r="M336" s="827">
        <v>6.5206059298673456</v>
      </c>
      <c r="N336" s="1524">
        <v>226.06980618718129</v>
      </c>
      <c r="O336" s="827">
        <v>61.840666619098997</v>
      </c>
      <c r="P336" s="827">
        <v>34.094269640418034</v>
      </c>
      <c r="Q336" s="827">
        <v>21.944428303451904</v>
      </c>
      <c r="R336" s="827">
        <v>39.285076848827508</v>
      </c>
      <c r="S336" s="827">
        <v>20.262978811913154</v>
      </c>
    </row>
    <row r="337" spans="2:19">
      <c r="B337" s="187">
        <v>44498</v>
      </c>
      <c r="C337" s="827" t="e">
        <v>#REF!</v>
      </c>
      <c r="D337" s="838">
        <v>33.260589123022434</v>
      </c>
      <c r="E337" s="838">
        <v>237.04294370058375</v>
      </c>
      <c r="F337" s="827">
        <v>403.5099892873356</v>
      </c>
      <c r="G337" s="838">
        <v>51.288000104194026</v>
      </c>
      <c r="H337" s="838">
        <v>30.938250535373061</v>
      </c>
      <c r="I337" s="827">
        <v>16.147668169398553</v>
      </c>
      <c r="J337" s="1572">
        <v>11.437305351096612</v>
      </c>
      <c r="K337" s="827">
        <v>8.670924022399463</v>
      </c>
      <c r="L337" s="838">
        <v>9.7815727563396653</v>
      </c>
      <c r="M337" s="827">
        <v>6.5206059298673456</v>
      </c>
      <c r="N337" s="1524">
        <v>235.7063284791123</v>
      </c>
      <c r="O337" s="827">
        <v>61.840666619098997</v>
      </c>
      <c r="P337" s="827">
        <v>33.260589123022434</v>
      </c>
      <c r="Q337" s="827">
        <v>21.944428303451904</v>
      </c>
      <c r="R337" s="827">
        <v>38.637689992646045</v>
      </c>
      <c r="S337" s="827">
        <v>20.262978811913154</v>
      </c>
    </row>
    <row r="338" spans="2:19">
      <c r="B338" s="187">
        <v>44505</v>
      </c>
      <c r="C338" s="827" t="e">
        <v>#REF!</v>
      </c>
      <c r="D338" s="838">
        <v>33.083764669224536</v>
      </c>
      <c r="E338" s="838">
        <v>246.78797034209973</v>
      </c>
      <c r="F338" s="827">
        <v>403.5099892873356</v>
      </c>
      <c r="G338" s="838">
        <v>53.497967449349972</v>
      </c>
      <c r="H338" s="838">
        <v>32.138118710267541</v>
      </c>
      <c r="I338" s="827">
        <v>16.147668169398553</v>
      </c>
      <c r="J338" s="1572">
        <v>12.230441903470942</v>
      </c>
      <c r="K338" s="827">
        <v>8.670924022399463</v>
      </c>
      <c r="L338" s="838">
        <v>9.980400703246147</v>
      </c>
      <c r="M338" s="827">
        <v>6.5206059298673456</v>
      </c>
      <c r="N338" s="1524">
        <v>247.84531241512957</v>
      </c>
      <c r="O338" s="827">
        <v>61.840666619098997</v>
      </c>
      <c r="P338" s="827">
        <v>33.083764669224536</v>
      </c>
      <c r="Q338" s="827">
        <v>21.944428303451904</v>
      </c>
      <c r="R338" s="827">
        <v>39.848984345409583</v>
      </c>
      <c r="S338" s="827">
        <v>20.262978811913154</v>
      </c>
    </row>
    <row r="339" spans="2:19">
      <c r="B339" s="187">
        <v>44512</v>
      </c>
      <c r="C339" s="827" t="e">
        <v>#REF!</v>
      </c>
      <c r="D339" s="838">
        <v>34.325500847408648</v>
      </c>
      <c r="E339" s="838">
        <v>270.33876366852036</v>
      </c>
      <c r="F339" s="827">
        <v>403.5099892873356</v>
      </c>
      <c r="G339" s="838">
        <v>56.511786464640444</v>
      </c>
      <c r="H339" s="838">
        <v>35.08078371126058</v>
      </c>
      <c r="I339" s="827">
        <v>16.147668169398553</v>
      </c>
      <c r="J339" s="1572">
        <v>12.180540927814528</v>
      </c>
      <c r="K339" s="827">
        <v>8.670924022399463</v>
      </c>
      <c r="L339" s="838">
        <v>10.74255699697375</v>
      </c>
      <c r="M339" s="827">
        <v>6.5206059298673456</v>
      </c>
      <c r="N339" s="1524">
        <v>270.90960172621118</v>
      </c>
      <c r="O339" s="827">
        <v>61.840666619098997</v>
      </c>
      <c r="P339" s="827">
        <v>34.325500847408648</v>
      </c>
      <c r="Q339" s="827">
        <v>21.944428303451904</v>
      </c>
      <c r="R339" s="827">
        <v>39.680480456569583</v>
      </c>
      <c r="S339" s="827">
        <v>20.262978811913154</v>
      </c>
    </row>
    <row r="340" spans="2:19">
      <c r="B340" s="187">
        <v>44519</v>
      </c>
      <c r="C340" s="827" t="e">
        <v>#REF!</v>
      </c>
      <c r="D340" s="838">
        <v>33.389860013592205</v>
      </c>
      <c r="E340" s="838">
        <v>273.96616503277107</v>
      </c>
      <c r="F340" s="827">
        <v>403.5099892873356</v>
      </c>
      <c r="G340" s="838">
        <v>53.705424674814928</v>
      </c>
      <c r="H340" s="838">
        <v>35.3640665961791</v>
      </c>
      <c r="I340" s="827">
        <v>16.147668169398553</v>
      </c>
      <c r="J340" s="1572">
        <v>11.810804404500475</v>
      </c>
      <c r="K340" s="827">
        <v>8.670924022399463</v>
      </c>
      <c r="L340" s="838">
        <v>10.558351176014506</v>
      </c>
      <c r="M340" s="827">
        <v>6.5206059298673456</v>
      </c>
      <c r="N340" s="1524">
        <v>275.44979117299482</v>
      </c>
      <c r="O340" s="827">
        <v>61.840666619098997</v>
      </c>
      <c r="P340" s="827">
        <v>33.389860013592205</v>
      </c>
      <c r="Q340" s="827">
        <v>21.944428303451904</v>
      </c>
      <c r="R340" s="827">
        <v>37.700998104054001</v>
      </c>
      <c r="S340" s="827">
        <v>20.262978811913154</v>
      </c>
    </row>
    <row r="341" spans="2:19">
      <c r="B341" s="187">
        <v>44526</v>
      </c>
      <c r="C341" s="827" t="e">
        <v>#REF!</v>
      </c>
      <c r="D341" s="838">
        <v>31.784671493462028</v>
      </c>
      <c r="E341" s="838">
        <v>255.71154531058727</v>
      </c>
      <c r="F341" s="827">
        <v>403.5099892873356</v>
      </c>
      <c r="G341" s="838">
        <v>50.284993474686559</v>
      </c>
      <c r="H341" s="838">
        <v>32.746040756364792</v>
      </c>
      <c r="I341" s="827">
        <v>16.147668169398553</v>
      </c>
      <c r="J341" s="1572">
        <v>11.383723812548469</v>
      </c>
      <c r="K341" s="827">
        <v>8.670924022399463</v>
      </c>
      <c r="L341" s="838">
        <v>9.88244530818565</v>
      </c>
      <c r="M341" s="827">
        <v>6.5206059298673456</v>
      </c>
      <c r="N341" s="1524">
        <v>254.50043262565214</v>
      </c>
      <c r="O341" s="827">
        <v>61.840666619098997</v>
      </c>
      <c r="P341" s="827">
        <v>31.784671493462028</v>
      </c>
      <c r="Q341" s="827">
        <v>21.944428303451904</v>
      </c>
      <c r="R341" s="827">
        <v>35.686235789983009</v>
      </c>
      <c r="S341" s="827">
        <v>20.262978811913154</v>
      </c>
    </row>
    <row r="342" spans="2:19">
      <c r="B342" s="187">
        <v>44533</v>
      </c>
      <c r="C342" s="827" t="e">
        <v>#REF!</v>
      </c>
      <c r="D342" s="838">
        <v>29.144783675822737</v>
      </c>
      <c r="E342" s="838">
        <v>234.75518946325471</v>
      </c>
      <c r="F342" s="827">
        <v>403.5099892873356</v>
      </c>
      <c r="G342" s="838">
        <v>46.153066534827538</v>
      </c>
      <c r="H342" s="838">
        <v>28.939380904838067</v>
      </c>
      <c r="I342" s="827">
        <v>16.147668169398553</v>
      </c>
      <c r="J342" s="1572">
        <v>10.550022778073169</v>
      </c>
      <c r="K342" s="827">
        <v>8.670924022399463</v>
      </c>
      <c r="L342" s="838">
        <v>8.9285485850178041</v>
      </c>
      <c r="M342" s="827">
        <v>6.5206059298673456</v>
      </c>
      <c r="N342" s="1524">
        <v>223.67454242445078</v>
      </c>
      <c r="O342" s="827">
        <v>61.840666619098997</v>
      </c>
      <c r="P342" s="827">
        <v>29.144783675822737</v>
      </c>
      <c r="Q342" s="827">
        <v>21.944428303451904</v>
      </c>
      <c r="R342" s="827">
        <v>32.929145957949196</v>
      </c>
      <c r="S342" s="827">
        <v>20.262978811913154</v>
      </c>
    </row>
    <row r="343" spans="2:19">
      <c r="B343" s="187">
        <v>44540</v>
      </c>
      <c r="C343" s="827" t="e">
        <v>#REF!</v>
      </c>
      <c r="D343" s="838">
        <v>30.170998985993361</v>
      </c>
      <c r="E343" s="838">
        <v>244.59690494328134</v>
      </c>
      <c r="F343" s="827">
        <v>403.5099892873356</v>
      </c>
      <c r="G343" s="838">
        <v>46.627189186737745</v>
      </c>
      <c r="H343" s="838">
        <v>29.881057578080163</v>
      </c>
      <c r="I343" s="827">
        <v>16.147668169398553</v>
      </c>
      <c r="J343" s="1572">
        <v>10.742351662040823</v>
      </c>
      <c r="K343" s="827">
        <v>8.670924022399463</v>
      </c>
      <c r="L343" s="838">
        <v>9.2949985165714253</v>
      </c>
      <c r="M343" s="827">
        <v>6.5206059298673456</v>
      </c>
      <c r="N343" s="1524">
        <v>231.2635598587058</v>
      </c>
      <c r="O343" s="827">
        <v>61.840666619098997</v>
      </c>
      <c r="P343" s="827">
        <v>30.170998985993361</v>
      </c>
      <c r="Q343" s="827">
        <v>21.944428303451904</v>
      </c>
      <c r="R343" s="827">
        <v>33.648594870820816</v>
      </c>
      <c r="S343" s="827">
        <v>20.262978811913154</v>
      </c>
    </row>
    <row r="344" spans="2:19">
      <c r="B344" s="187">
        <v>44547</v>
      </c>
      <c r="C344" s="827" t="e">
        <v>#REF!</v>
      </c>
      <c r="D344" s="838">
        <v>28.850362413553459</v>
      </c>
      <c r="E344" s="838">
        <v>221.73115623758483</v>
      </c>
      <c r="F344" s="827">
        <v>403.5099892873356</v>
      </c>
      <c r="G344" s="838">
        <v>45.064044623145577</v>
      </c>
      <c r="H344" s="838">
        <v>26.821580729322772</v>
      </c>
      <c r="I344" s="827">
        <v>16.147668169398553</v>
      </c>
      <c r="J344" s="1572">
        <v>10.114041620871166</v>
      </c>
      <c r="K344" s="827">
        <v>8.670924022399463</v>
      </c>
      <c r="L344" s="838">
        <v>8.7262695732052595</v>
      </c>
      <c r="M344" s="827">
        <v>6.5206059298673456</v>
      </c>
      <c r="N344" s="1524">
        <v>209.72746619329106</v>
      </c>
      <c r="O344" s="827">
        <v>61.840666619098997</v>
      </c>
      <c r="P344" s="827">
        <v>28.850362413553459</v>
      </c>
      <c r="Q344" s="827">
        <v>21.944428303451904</v>
      </c>
      <c r="R344" s="827">
        <v>32.250662585438882</v>
      </c>
      <c r="S344" s="827">
        <v>20.262978811913154</v>
      </c>
    </row>
    <row r="345" spans="2:19">
      <c r="B345" s="187">
        <v>44554</v>
      </c>
      <c r="C345" s="827" t="e">
        <v>#REF!</v>
      </c>
      <c r="D345" s="838">
        <v>30.366039353997675</v>
      </c>
      <c r="E345" s="838">
        <v>241.39657915992453</v>
      </c>
      <c r="F345" s="827">
        <v>403.5099892873356</v>
      </c>
      <c r="G345" s="838">
        <v>46.873962695181525</v>
      </c>
      <c r="H345" s="838">
        <v>29.145667954877904</v>
      </c>
      <c r="I345" s="827">
        <v>16.147668169398553</v>
      </c>
      <c r="J345" s="1572">
        <v>10.479225883341089</v>
      </c>
      <c r="K345" s="827">
        <v>8.670924022399463</v>
      </c>
      <c r="L345" s="838">
        <v>9.2534819215887456</v>
      </c>
      <c r="M345" s="827">
        <v>6.5206059298673456</v>
      </c>
      <c r="N345" s="1524">
        <v>224.16538846103276</v>
      </c>
      <c r="O345" s="827">
        <v>61.840666619098997</v>
      </c>
      <c r="P345" s="827">
        <v>30.366039353997675</v>
      </c>
      <c r="Q345" s="827">
        <v>21.944428303451904</v>
      </c>
      <c r="R345" s="827">
        <v>34.112732324717832</v>
      </c>
      <c r="S345" s="827">
        <v>20.262978811913154</v>
      </c>
    </row>
    <row r="346" spans="2:19">
      <c r="B346" s="187">
        <v>44561</v>
      </c>
      <c r="C346" s="827" t="e">
        <v>#REF!</v>
      </c>
      <c r="D346" s="838">
        <v>29.305115701342267</v>
      </c>
      <c r="E346" s="838">
        <v>231.31757762689014</v>
      </c>
      <c r="F346" s="827">
        <v>403.5099892873356</v>
      </c>
      <c r="G346" s="838">
        <v>44.530779984307422</v>
      </c>
      <c r="H346" s="838">
        <v>27.590948260914786</v>
      </c>
      <c r="I346" s="827">
        <v>16.147668169398553</v>
      </c>
      <c r="J346" s="1572">
        <v>10.325385884763852</v>
      </c>
      <c r="K346" s="827">
        <v>8.670924022399463</v>
      </c>
      <c r="L346" s="838">
        <v>8.8425338120795658</v>
      </c>
      <c r="M346" s="827">
        <v>6.5206059298673456</v>
      </c>
      <c r="N346" s="1524">
        <v>217.05921722165067</v>
      </c>
      <c r="O346" s="827">
        <v>61.840666619098997</v>
      </c>
      <c r="P346" s="827">
        <v>29.305115701342267</v>
      </c>
      <c r="Q346" s="827">
        <v>21.944428303451904</v>
      </c>
      <c r="R346" s="827">
        <v>32.990952998955891</v>
      </c>
      <c r="S346" s="827">
        <v>20.262978811913154</v>
      </c>
    </row>
    <row r="347" spans="2:19">
      <c r="B347" s="187">
        <v>44568</v>
      </c>
      <c r="C347" s="827" t="e">
        <v>#REF!</v>
      </c>
      <c r="D347" s="838">
        <v>26.64931781817916</v>
      </c>
      <c r="E347" s="838">
        <v>190.52593284716659</v>
      </c>
      <c r="F347" s="827">
        <v>403.5099892873356</v>
      </c>
      <c r="G347" s="838">
        <v>41.402309240719887</v>
      </c>
      <c r="H347" s="838">
        <v>22.578536153896355</v>
      </c>
      <c r="I347" s="827">
        <v>16.147668169398553</v>
      </c>
      <c r="J347" s="1572">
        <v>9.4674327341586526</v>
      </c>
      <c r="K347" s="827">
        <v>8.670924022399463</v>
      </c>
      <c r="L347" s="838">
        <v>7.9915191952756537</v>
      </c>
      <c r="M347" s="827">
        <v>6.5206059298673456</v>
      </c>
      <c r="N347" s="1524">
        <v>176.15758844990336</v>
      </c>
      <c r="O347" s="827">
        <v>61.840666619098997</v>
      </c>
      <c r="P347" s="827">
        <v>26.64931781817916</v>
      </c>
      <c r="Q347" s="827">
        <v>21.944428303451904</v>
      </c>
      <c r="R347" s="827">
        <v>29.878196879110607</v>
      </c>
      <c r="S347" s="827">
        <v>20.262978811913154</v>
      </c>
    </row>
    <row r="348" spans="2:19">
      <c r="B348" s="187">
        <v>44575</v>
      </c>
      <c r="C348" s="827" t="e">
        <v>#REF!</v>
      </c>
      <c r="D348" s="838">
        <v>25.597658010796255</v>
      </c>
      <c r="E348" s="838">
        <v>182.08877972577471</v>
      </c>
      <c r="F348" s="827">
        <v>403.5099892873356</v>
      </c>
      <c r="G348" s="838">
        <v>49.236996465180809</v>
      </c>
      <c r="H348" s="838">
        <v>21.574528491115696</v>
      </c>
      <c r="I348" s="827">
        <v>16.147668169398553</v>
      </c>
      <c r="J348" s="1572">
        <v>9.243898845998201</v>
      </c>
      <c r="K348" s="827">
        <v>8.670924022399463</v>
      </c>
      <c r="L348" s="838">
        <v>7.7451224090512607</v>
      </c>
      <c r="M348" s="827">
        <v>6.5206059298673456</v>
      </c>
      <c r="N348" s="1524">
        <v>168.19773265541784</v>
      </c>
      <c r="O348" s="827">
        <v>61.840666619098997</v>
      </c>
      <c r="P348" s="827">
        <v>25.597658010796255</v>
      </c>
      <c r="Q348" s="827">
        <v>21.944428303451904</v>
      </c>
      <c r="R348" s="827">
        <v>28.992262183430711</v>
      </c>
      <c r="S348" s="827">
        <v>20.262978811913154</v>
      </c>
    </row>
    <row r="349" spans="2:19">
      <c r="B349" s="187">
        <v>44582</v>
      </c>
      <c r="C349" s="827" t="e">
        <v>#REF!</v>
      </c>
      <c r="D349" s="838">
        <v>25.629361046656868</v>
      </c>
      <c r="E349" s="838">
        <v>143.88871770671932</v>
      </c>
      <c r="F349" s="827">
        <v>403.5099892873356</v>
      </c>
      <c r="G349" s="838">
        <v>43.907542429443197</v>
      </c>
      <c r="H349" s="838">
        <v>16.922269326510563</v>
      </c>
      <c r="I349" s="827">
        <v>16.147668169398553</v>
      </c>
      <c r="J349" s="1572">
        <v>8.6987746110169013</v>
      </c>
      <c r="K349" s="827">
        <v>8.670924022399463</v>
      </c>
      <c r="L349" s="838">
        <v>6.6795079136111823</v>
      </c>
      <c r="M349" s="827">
        <v>6.5206059298673456</v>
      </c>
      <c r="N349" s="1524">
        <v>133.13426333447256</v>
      </c>
      <c r="O349" s="827">
        <v>61.840666619098997</v>
      </c>
      <c r="P349" s="827">
        <v>25.629361046656868</v>
      </c>
      <c r="Q349" s="827">
        <v>21.944428303451904</v>
      </c>
      <c r="R349" s="827">
        <v>27.194948178673361</v>
      </c>
      <c r="S349" s="827">
        <v>20.262978811913154</v>
      </c>
    </row>
    <row r="350" spans="2:19">
      <c r="B350" s="187">
        <v>44589</v>
      </c>
      <c r="C350" s="827" t="e">
        <v>#REF!</v>
      </c>
      <c r="D350" s="838">
        <v>24.790563414597258</v>
      </c>
      <c r="E350" s="838">
        <v>140.22619949122566</v>
      </c>
      <c r="F350" s="827">
        <v>403.5099892873356</v>
      </c>
      <c r="G350" s="838">
        <v>41.993404259092237</v>
      </c>
      <c r="H350" s="838">
        <v>16.609753030149523</v>
      </c>
      <c r="I350" s="827">
        <v>16.147668169398553</v>
      </c>
      <c r="J350" s="1572">
        <v>8.7647092677172775</v>
      </c>
      <c r="K350" s="827">
        <v>8.670924022399463</v>
      </c>
      <c r="L350" s="838">
        <v>6.4936580470930831</v>
      </c>
      <c r="M350" s="827">
        <v>6.5206059298673456</v>
      </c>
      <c r="N350" s="1524">
        <v>128.52966304501078</v>
      </c>
      <c r="O350" s="827">
        <v>61.840666619098997</v>
      </c>
      <c r="P350" s="827">
        <v>24.790563414597258</v>
      </c>
      <c r="Q350" s="827">
        <v>21.944428303451904</v>
      </c>
      <c r="R350" s="827">
        <v>26.450718188678007</v>
      </c>
      <c r="S350" s="827">
        <v>20.262978811913154</v>
      </c>
    </row>
    <row r="351" spans="2:19">
      <c r="B351" s="187">
        <v>44596</v>
      </c>
      <c r="C351" s="827" t="e">
        <v>#REF!</v>
      </c>
      <c r="D351" s="838">
        <v>27.251870190721018</v>
      </c>
      <c r="E351" s="838">
        <v>139.54350794537794</v>
      </c>
      <c r="F351" s="827">
        <v>403.5099892873356</v>
      </c>
      <c r="G351" s="838">
        <v>44.844560545757517</v>
      </c>
      <c r="H351" s="838">
        <v>16.57838128556164</v>
      </c>
      <c r="I351" s="827">
        <v>16.147668169398553</v>
      </c>
      <c r="J351" s="1572">
        <v>8.8006448480762316</v>
      </c>
      <c r="K351" s="827">
        <v>8.670924022399463</v>
      </c>
      <c r="L351" s="838">
        <v>6.8745078137441737</v>
      </c>
      <c r="M351" s="827">
        <v>6.5206059298673456</v>
      </c>
      <c r="N351" s="1524">
        <v>127.5364502388703</v>
      </c>
      <c r="O351" s="827">
        <v>61.840666619098997</v>
      </c>
      <c r="P351" s="827">
        <v>27.251870190721018</v>
      </c>
      <c r="Q351" s="827">
        <v>21.944428303451904</v>
      </c>
      <c r="R351" s="827">
        <v>26.380349359229363</v>
      </c>
      <c r="S351" s="827">
        <v>20.262978811913154</v>
      </c>
    </row>
    <row r="352" spans="2:19">
      <c r="B352" s="187">
        <v>44603</v>
      </c>
      <c r="C352" s="827" t="e">
        <v>#REF!</v>
      </c>
      <c r="D352" s="838">
        <v>27.393908267990202</v>
      </c>
      <c r="E352" s="838">
        <v>135.31215261892552</v>
      </c>
      <c r="F352" s="827">
        <v>403.5099892873356</v>
      </c>
      <c r="G352" s="838">
        <v>44.549114432650967</v>
      </c>
      <c r="H352" s="838">
        <v>16.082693480426112</v>
      </c>
      <c r="I352" s="827">
        <v>16.147668169398553</v>
      </c>
      <c r="J352" s="1572">
        <v>8.4999370265055862</v>
      </c>
      <c r="K352" s="827">
        <v>8.670924022399463</v>
      </c>
      <c r="L352" s="838">
        <v>6.8530759242334458</v>
      </c>
      <c r="M352" s="827">
        <v>6.5206059298673456</v>
      </c>
      <c r="N352" s="1524">
        <v>124.27528073394058</v>
      </c>
      <c r="O352" s="827">
        <v>61.840666619098997</v>
      </c>
      <c r="P352" s="827">
        <v>27.393908267990202</v>
      </c>
      <c r="Q352" s="827">
        <v>21.944428303451904</v>
      </c>
      <c r="R352" s="827">
        <v>25.461062188221771</v>
      </c>
      <c r="S352" s="827">
        <v>20.262978811913154</v>
      </c>
    </row>
    <row r="353" spans="2:19">
      <c r="B353" s="187">
        <v>44610</v>
      </c>
      <c r="C353" s="827" t="e">
        <v>#REF!</v>
      </c>
      <c r="D353" s="838">
        <v>26.674303597736046</v>
      </c>
      <c r="E353" s="838">
        <v>192.6548434562082</v>
      </c>
      <c r="F353" s="827">
        <v>403.5099892873356</v>
      </c>
      <c r="G353" s="838">
        <v>42.143041555731465</v>
      </c>
      <c r="H353" s="838">
        <v>12.119941529613531</v>
      </c>
      <c r="I353" s="827">
        <v>16.147668169398553</v>
      </c>
      <c r="J353" s="1572">
        <v>7.8284131954366432</v>
      </c>
      <c r="K353" s="827">
        <v>8.670924022399463</v>
      </c>
      <c r="L353" s="838">
        <v>6.5359075412519827</v>
      </c>
      <c r="M353" s="827">
        <v>6.5206059298673456</v>
      </c>
      <c r="N353" s="1524">
        <v>141.5217658265764</v>
      </c>
      <c r="O353" s="827">
        <v>61.840666619098997</v>
      </c>
      <c r="P353" s="827">
        <v>26.674303597736046</v>
      </c>
      <c r="Q353" s="827">
        <v>21.944428303451904</v>
      </c>
      <c r="R353" s="827">
        <v>25.398357351293253</v>
      </c>
      <c r="S353" s="827">
        <v>20.262978811913154</v>
      </c>
    </row>
    <row r="354" spans="2:19">
      <c r="B354" s="187">
        <v>44617</v>
      </c>
      <c r="C354" s="827" t="e">
        <v>#REF!</v>
      </c>
      <c r="D354" s="838">
        <v>26.620874819820031</v>
      </c>
      <c r="E354" s="838">
        <v>193.78345426800649</v>
      </c>
      <c r="F354" s="827">
        <v>403.5099892873356</v>
      </c>
      <c r="G354" s="838">
        <v>41.112998049136145</v>
      </c>
      <c r="H354" s="838">
        <v>12.447732588948963</v>
      </c>
      <c r="I354" s="827">
        <v>16.147668169398553</v>
      </c>
      <c r="J354" s="1572">
        <v>8.0509374424338151</v>
      </c>
      <c r="K354" s="827">
        <v>8.670924022399463</v>
      </c>
      <c r="L354" s="838">
        <v>6.5753130215151021</v>
      </c>
      <c r="M354" s="827">
        <v>6.5206059298673456</v>
      </c>
      <c r="N354" s="1524">
        <v>144.0116951266246</v>
      </c>
      <c r="O354" s="827">
        <v>61.840666619098997</v>
      </c>
      <c r="P354" s="827">
        <v>26.620874819820031</v>
      </c>
      <c r="Q354" s="827">
        <v>21.944428303451904</v>
      </c>
      <c r="R354" s="827">
        <v>26.057491936797533</v>
      </c>
      <c r="S354" s="827">
        <v>20.262978811913154</v>
      </c>
    </row>
    <row r="355" spans="2:19">
      <c r="B355" s="187">
        <v>44624</v>
      </c>
      <c r="C355" s="827" t="e">
        <v>#REF!</v>
      </c>
      <c r="D355" s="838">
        <v>23.748761837813273</v>
      </c>
      <c r="E355" s="838">
        <v>170.39713983293288</v>
      </c>
      <c r="F355" s="827">
        <v>403.5099892873356</v>
      </c>
      <c r="G355" s="838">
        <v>37.381705159346289</v>
      </c>
      <c r="H355" s="838">
        <v>10.86163090613042</v>
      </c>
      <c r="I355" s="827">
        <v>16.147668169398553</v>
      </c>
      <c r="J355" s="1572">
        <v>7.6756846435391033</v>
      </c>
      <c r="K355" s="827">
        <v>8.670924022399463</v>
      </c>
      <c r="L355" s="838">
        <v>5.8949935691855631</v>
      </c>
      <c r="M355" s="827">
        <v>6.5206059298673456</v>
      </c>
      <c r="N355" s="1524">
        <v>124.91911843513002</v>
      </c>
      <c r="O355" s="827">
        <v>61.840666619098997</v>
      </c>
      <c r="P355" s="827">
        <v>23.748761837813273</v>
      </c>
      <c r="Q355" s="827">
        <v>21.944428303451904</v>
      </c>
      <c r="R355" s="827">
        <v>24.037355176866516</v>
      </c>
      <c r="S355" s="827">
        <v>20.262978811913154</v>
      </c>
    </row>
    <row r="356" spans="2:19">
      <c r="B356" s="187">
        <v>44631</v>
      </c>
      <c r="C356" s="827" t="e">
        <v>#REF!</v>
      </c>
      <c r="D356" s="838">
        <v>22.013989792520832</v>
      </c>
      <c r="E356" s="838">
        <v>157.81937499039665</v>
      </c>
      <c r="F356" s="827">
        <v>403.5099892873356</v>
      </c>
      <c r="G356" s="838">
        <v>35.240494084257428</v>
      </c>
      <c r="H356" s="838">
        <v>9.7231265918215772</v>
      </c>
      <c r="I356" s="827">
        <v>16.147668169398553</v>
      </c>
      <c r="J356" s="1572">
        <v>7.2363671529354567</v>
      </c>
      <c r="K356" s="827">
        <v>8.670924022399463</v>
      </c>
      <c r="L356" s="838">
        <v>5.3497753678739475</v>
      </c>
      <c r="M356" s="827">
        <v>6.5206059298673456</v>
      </c>
      <c r="N356" s="1524">
        <v>118.61871597935219</v>
      </c>
      <c r="O356" s="827">
        <v>61.840666619098997</v>
      </c>
      <c r="P356" s="827">
        <v>22.013989792520832</v>
      </c>
      <c r="Q356" s="827">
        <v>21.944428303451904</v>
      </c>
      <c r="R356" s="827">
        <v>23.472283491820527</v>
      </c>
      <c r="S356" s="827">
        <v>20.262978811913154</v>
      </c>
    </row>
    <row r="357" spans="2:19">
      <c r="B357" s="187">
        <v>44638</v>
      </c>
      <c r="C357" s="827" t="e">
        <v>#REF!</v>
      </c>
      <c r="D357" s="838">
        <v>24.780029454612269</v>
      </c>
      <c r="E357" s="838">
        <v>234.71192586641877</v>
      </c>
      <c r="F357" s="827">
        <v>403.5099892873356</v>
      </c>
      <c r="G357" s="838">
        <v>39.478141528274087</v>
      </c>
      <c r="H357" s="838">
        <v>14.295985463401605</v>
      </c>
      <c r="I357" s="827">
        <v>16.147668169398553</v>
      </c>
      <c r="J357" s="1572">
        <v>7.896909578805416</v>
      </c>
      <c r="K357" s="827">
        <v>8.670924022399463</v>
      </c>
      <c r="L357" s="838">
        <v>6.3281036190888749</v>
      </c>
      <c r="M357" s="827">
        <v>6.5206059298673456</v>
      </c>
      <c r="N357" s="1524">
        <v>149.91109155376103</v>
      </c>
      <c r="O357" s="827">
        <v>61.840666619098997</v>
      </c>
      <c r="P357" s="827">
        <v>24.780029454612269</v>
      </c>
      <c r="Q357" s="827">
        <v>21.944428303451904</v>
      </c>
      <c r="R357" s="827">
        <v>25.835917195305449</v>
      </c>
      <c r="S357" s="827">
        <v>20.262978811913154</v>
      </c>
    </row>
    <row r="358" spans="2:19">
      <c r="B358" s="187">
        <v>44645</v>
      </c>
      <c r="C358" s="827" t="e">
        <v>#REF!</v>
      </c>
      <c r="D358" s="838">
        <v>24.431654418692961</v>
      </c>
      <c r="E358" s="838">
        <v>202.86045995794899</v>
      </c>
      <c r="F358" s="827">
        <v>403.5099892873356</v>
      </c>
      <c r="G358" s="838">
        <v>38.964904048369142</v>
      </c>
      <c r="H358" s="838">
        <v>12.237620844109451</v>
      </c>
      <c r="I358" s="827">
        <v>16.147668169398553</v>
      </c>
      <c r="J358" s="1572">
        <v>7.7015568335206943</v>
      </c>
      <c r="K358" s="827">
        <v>8.670924022399463</v>
      </c>
      <c r="L358" s="838">
        <v>6.1595135811186603</v>
      </c>
      <c r="M358" s="827">
        <v>6.5206059298673456</v>
      </c>
      <c r="N358" s="1524">
        <v>147.37064361358361</v>
      </c>
      <c r="O358" s="827">
        <v>61.840666619098997</v>
      </c>
      <c r="P358" s="827">
        <v>24.431654418692961</v>
      </c>
      <c r="Q358" s="827">
        <v>21.944428303451904</v>
      </c>
      <c r="R358" s="827">
        <v>26.070885828287022</v>
      </c>
      <c r="S358" s="827">
        <v>20.262978811913154</v>
      </c>
    </row>
    <row r="359" spans="2:19">
      <c r="B359" s="187">
        <v>44652</v>
      </c>
      <c r="C359" s="827" t="e">
        <v>#REF!</v>
      </c>
      <c r="D359" s="838">
        <v>24.688542938912292</v>
      </c>
      <c r="E359" s="838">
        <v>213.89176058382262</v>
      </c>
      <c r="F359" s="827">
        <v>403.5099892873356</v>
      </c>
      <c r="G359" s="838">
        <v>39.590931491669274</v>
      </c>
      <c r="H359" s="838">
        <v>12.359277294335971</v>
      </c>
      <c r="I359" s="827">
        <v>16.147668169398553</v>
      </c>
      <c r="J359" s="1572">
        <v>8.072850696157678</v>
      </c>
      <c r="K359" s="827">
        <v>8.670924022399463</v>
      </c>
      <c r="L359" s="838">
        <v>6.2941876598545168</v>
      </c>
      <c r="M359" s="827">
        <v>6.5206059298673456</v>
      </c>
      <c r="N359" s="1524">
        <v>157.03834189742753</v>
      </c>
      <c r="O359" s="827">
        <v>61.840666619098997</v>
      </c>
      <c r="P359" s="827">
        <v>24.688542938912292</v>
      </c>
      <c r="Q359" s="827">
        <v>21.944428303451904</v>
      </c>
      <c r="R359" s="827">
        <v>27.879432894026319</v>
      </c>
      <c r="S359" s="827">
        <v>20.262978811913154</v>
      </c>
    </row>
    <row r="360" spans="2:19">
      <c r="B360" s="187">
        <v>44659</v>
      </c>
      <c r="C360" s="827" t="e">
        <v>#REF!</v>
      </c>
      <c r="D360" s="838">
        <v>22.892579369324018</v>
      </c>
      <c r="E360" s="838">
        <v>184.60954215682756</v>
      </c>
      <c r="F360" s="827">
        <v>403.5099892873356</v>
      </c>
      <c r="G360" s="838">
        <v>36.835884349654251</v>
      </c>
      <c r="H360" s="838">
        <v>10.577959109758208</v>
      </c>
      <c r="I360" s="827">
        <v>16.147668169398553</v>
      </c>
      <c r="J360" s="1572">
        <v>7.6918067723371708</v>
      </c>
      <c r="K360" s="827">
        <v>8.670924022399463</v>
      </c>
      <c r="L360" s="838">
        <v>5.805504940879846</v>
      </c>
      <c r="M360" s="827">
        <v>6.5206059298673456</v>
      </c>
      <c r="N360" s="1524">
        <v>133.32153729678066</v>
      </c>
      <c r="O360" s="827">
        <v>61.840666619098997</v>
      </c>
      <c r="P360" s="827">
        <v>22.892579369324018</v>
      </c>
      <c r="Q360" s="827">
        <v>21.944428303451904</v>
      </c>
      <c r="R360" s="827">
        <v>25.678684775780646</v>
      </c>
      <c r="S360" s="827">
        <v>20.262978811913154</v>
      </c>
    </row>
    <row r="361" spans="2:19">
      <c r="B361" s="187">
        <v>44666</v>
      </c>
      <c r="C361" s="827" t="e">
        <v>#REF!</v>
      </c>
      <c r="D361" s="838">
        <v>22.242758254886965</v>
      </c>
      <c r="E361" s="838">
        <v>176.31656379277251</v>
      </c>
      <c r="F361" s="827">
        <v>403.5099892873356</v>
      </c>
      <c r="G361" s="838">
        <v>36.45239919584791</v>
      </c>
      <c r="H361" s="838">
        <v>10.079907472828024</v>
      </c>
      <c r="I361" s="827">
        <v>16.147668169398553</v>
      </c>
      <c r="J361" s="1572">
        <v>7.4626492792959622</v>
      </c>
      <c r="K361" s="827">
        <v>8.670924022399463</v>
      </c>
      <c r="L361" s="838">
        <v>5.63393719556748</v>
      </c>
      <c r="M361" s="827">
        <v>6.5206059298673456</v>
      </c>
      <c r="N361" s="1524">
        <v>126.90469477059153</v>
      </c>
      <c r="O361" s="827">
        <v>61.840666619098997</v>
      </c>
      <c r="P361" s="827">
        <v>22.242758254886965</v>
      </c>
      <c r="Q361" s="827">
        <v>21.944428303451904</v>
      </c>
      <c r="R361" s="827">
        <v>24.759457552359287</v>
      </c>
      <c r="S361" s="827">
        <v>20.262978811913154</v>
      </c>
    </row>
    <row r="362" spans="2:19">
      <c r="B362" s="187">
        <v>44673</v>
      </c>
      <c r="C362" s="827" t="e">
        <v>#REF!</v>
      </c>
      <c r="D362" s="838">
        <v>20.391524744144441</v>
      </c>
      <c r="E362" s="838">
        <v>138.92063046414629</v>
      </c>
      <c r="F362" s="827">
        <v>403.5099892873356</v>
      </c>
      <c r="G362" s="838">
        <v>32.704884606584628</v>
      </c>
      <c r="H362" s="838">
        <v>7.7602310493724174</v>
      </c>
      <c r="I362" s="827">
        <v>16.147668169398553</v>
      </c>
      <c r="J362" s="1572">
        <v>7.0177468590100558</v>
      </c>
      <c r="K362" s="827">
        <v>8.670924022399463</v>
      </c>
      <c r="L362" s="838">
        <v>4.9621565866710871</v>
      </c>
      <c r="M362" s="827">
        <v>6.5206059298673456</v>
      </c>
      <c r="N362" s="1524">
        <v>97.26028686052166</v>
      </c>
      <c r="O362" s="827">
        <v>61.840666619098997</v>
      </c>
      <c r="P362" s="827">
        <v>20.391524744144441</v>
      </c>
      <c r="Q362" s="827">
        <v>21.944428303451904</v>
      </c>
      <c r="R362" s="827">
        <v>23.141485320700856</v>
      </c>
      <c r="S362" s="827">
        <v>20.262978811913154</v>
      </c>
    </row>
    <row r="363" spans="2:19">
      <c r="B363" s="187">
        <v>44680</v>
      </c>
      <c r="C363" s="827" t="e">
        <v>#REF!</v>
      </c>
      <c r="D363" s="838">
        <v>19.933471861927934</v>
      </c>
      <c r="E363" s="838">
        <v>138.98948509873389</v>
      </c>
      <c r="F363" s="827">
        <v>403.5099892873356</v>
      </c>
      <c r="G363" s="838">
        <v>34.04096969106844</v>
      </c>
      <c r="H363" s="838">
        <v>7.1173461494980259</v>
      </c>
      <c r="I363" s="827">
        <v>16.147668169398553</v>
      </c>
      <c r="J363" s="1572">
        <v>6.5953063791169697</v>
      </c>
      <c r="K363" s="827">
        <v>8.670924022399463</v>
      </c>
      <c r="L363" s="838">
        <v>4.8267194194557375</v>
      </c>
      <c r="M363" s="827">
        <v>6.5206059298673456</v>
      </c>
      <c r="N363" s="1524">
        <v>101.23309623193614</v>
      </c>
      <c r="O363" s="827">
        <v>61.840666619098997</v>
      </c>
      <c r="P363" s="827">
        <v>19.933471861927934</v>
      </c>
      <c r="Q363" s="827">
        <v>21.944428303451904</v>
      </c>
      <c r="R363" s="827">
        <v>22.172399784572271</v>
      </c>
      <c r="S363" s="827">
        <v>20.262978811913154</v>
      </c>
    </row>
    <row r="364" spans="2:19">
      <c r="B364" s="187">
        <v>44687</v>
      </c>
      <c r="C364" s="827" t="e">
        <v>#REF!</v>
      </c>
      <c r="D364" s="838">
        <v>17.702684206116903</v>
      </c>
      <c r="E364" s="838">
        <v>225.7892215239352</v>
      </c>
      <c r="F364" s="827">
        <v>403.5099892873356</v>
      </c>
      <c r="G364" s="838">
        <v>30.136646680064697</v>
      </c>
      <c r="H364" s="838">
        <v>6.3549920158421331</v>
      </c>
      <c r="I364" s="827">
        <v>16.147668169398553</v>
      </c>
      <c r="J364" s="1572">
        <v>6.4219329630790467</v>
      </c>
      <c r="K364" s="827">
        <v>8.670924022399463</v>
      </c>
      <c r="L364" s="838">
        <v>4.3163943686559989</v>
      </c>
      <c r="M364" s="827">
        <v>6.5206059298673456</v>
      </c>
      <c r="N364" s="1524">
        <v>172.75644965328365</v>
      </c>
      <c r="O364" s="827">
        <v>61.840666619098997</v>
      </c>
      <c r="P364" s="827">
        <v>17.702684206116903</v>
      </c>
      <c r="Q364" s="827">
        <v>21.944428303451904</v>
      </c>
      <c r="R364" s="827">
        <v>21.204774575609218</v>
      </c>
      <c r="S364" s="827">
        <v>20.262978811913154</v>
      </c>
    </row>
    <row r="365" spans="2:19">
      <c r="B365" s="187">
        <v>44694</v>
      </c>
      <c r="C365" s="827" t="e">
        <v>#REF!</v>
      </c>
      <c r="D365" s="838">
        <v>17.213117445251957</v>
      </c>
      <c r="E365" s="838">
        <v>279.89834977641095</v>
      </c>
      <c r="F365" s="827">
        <v>403.5099892873356</v>
      </c>
      <c r="G365" s="838">
        <v>29.329258723940697</v>
      </c>
      <c r="H365" s="838">
        <v>6.8122560944757655</v>
      </c>
      <c r="I365" s="827">
        <v>16.147668169398553</v>
      </c>
      <c r="J365" s="1572">
        <v>6.2758438912111485</v>
      </c>
      <c r="K365" s="827">
        <v>8.670924022399463</v>
      </c>
      <c r="L365" s="838">
        <v>4.2966465384721078</v>
      </c>
      <c r="M365" s="827">
        <v>6.5206059298673456</v>
      </c>
      <c r="N365" s="1524">
        <v>182.50471371192407</v>
      </c>
      <c r="O365" s="827">
        <v>61.840666619098997</v>
      </c>
      <c r="P365" s="827">
        <v>17.213117445251957</v>
      </c>
      <c r="Q365" s="827">
        <v>21.944428303451904</v>
      </c>
      <c r="R365" s="827">
        <v>20.772898398949259</v>
      </c>
      <c r="S365" s="827">
        <v>20.262978811913154</v>
      </c>
    </row>
    <row r="366" spans="2:19">
      <c r="B366" s="187">
        <v>44701</v>
      </c>
      <c r="C366" s="827" t="e">
        <v>#REF!</v>
      </c>
      <c r="D366" s="838">
        <v>16.761559742023277</v>
      </c>
      <c r="E366" s="838">
        <v>256.26251027233343</v>
      </c>
      <c r="F366" s="827">
        <v>403.5099892873356</v>
      </c>
      <c r="G366" s="838">
        <v>28.427572072868276</v>
      </c>
      <c r="H366" s="838">
        <v>6.0367920157578441</v>
      </c>
      <c r="I366" s="827">
        <v>16.147668169398553</v>
      </c>
      <c r="J366" s="1572">
        <v>6.2576314879441455</v>
      </c>
      <c r="K366" s="827">
        <v>8.670924022399463</v>
      </c>
      <c r="L366" s="838">
        <v>4.14365541248638</v>
      </c>
      <c r="M366" s="827">
        <v>6.5206059298673456</v>
      </c>
      <c r="N366" s="1524">
        <v>166.23368602540987</v>
      </c>
      <c r="O366" s="827">
        <v>61.840666619098997</v>
      </c>
      <c r="P366" s="827">
        <v>16.761559742023277</v>
      </c>
      <c r="Q366" s="827">
        <v>21.944428303451904</v>
      </c>
      <c r="R366" s="827">
        <v>18.886659950554691</v>
      </c>
      <c r="S366" s="827">
        <v>20.262978811913154</v>
      </c>
    </row>
    <row r="367" spans="2:19">
      <c r="B367" s="187">
        <v>44708</v>
      </c>
      <c r="C367" s="827" t="e">
        <v>#REF!</v>
      </c>
      <c r="D367" s="838">
        <v>16.527953197238595</v>
      </c>
      <c r="E367" s="838">
        <v>264.39608025535171</v>
      </c>
      <c r="F367" s="827">
        <v>403.5099892873356</v>
      </c>
      <c r="G367" s="838">
        <v>29.10980501569551</v>
      </c>
      <c r="H367" s="838">
        <v>6.148813771978765</v>
      </c>
      <c r="I367" s="827">
        <v>16.147668169398553</v>
      </c>
      <c r="J367" s="1572">
        <v>6.591745362625069</v>
      </c>
      <c r="K367" s="827">
        <v>8.670924022399463</v>
      </c>
      <c r="L367" s="838">
        <v>4.1554874685153598</v>
      </c>
      <c r="M367" s="827">
        <v>6.5206059298673456</v>
      </c>
      <c r="N367" s="1524">
        <v>168.72494777917811</v>
      </c>
      <c r="O367" s="827">
        <v>61.840666619098997</v>
      </c>
      <c r="P367" s="827">
        <v>16.527953197238595</v>
      </c>
      <c r="Q367" s="827">
        <v>21.944428303451904</v>
      </c>
      <c r="R367" s="827">
        <v>18.517750043937546</v>
      </c>
      <c r="S367" s="827">
        <v>20.262978811913154</v>
      </c>
    </row>
    <row r="368" spans="2:19">
      <c r="B368" s="187">
        <v>44715</v>
      </c>
      <c r="C368" s="827" t="e">
        <v>#REF!</v>
      </c>
      <c r="D368" s="838">
        <v>16.279084648297438</v>
      </c>
      <c r="E368" s="838">
        <v>250.26788131672353</v>
      </c>
      <c r="F368" s="827">
        <v>403.5099892873356</v>
      </c>
      <c r="G368" s="838">
        <v>29.085705034739945</v>
      </c>
      <c r="H368" s="838">
        <v>5.8310580444062952</v>
      </c>
      <c r="I368" s="827">
        <v>16.147668169398553</v>
      </c>
      <c r="J368" s="1572">
        <v>6.5625758740486289</v>
      </c>
      <c r="K368" s="827">
        <v>8.670924022399463</v>
      </c>
      <c r="L368" s="838">
        <v>4.062480953674493</v>
      </c>
      <c r="M368" s="827">
        <v>6.5206059298673456</v>
      </c>
      <c r="N368" s="1524">
        <v>158.63900243960416</v>
      </c>
      <c r="O368" s="827">
        <v>61.840666619098997</v>
      </c>
      <c r="P368" s="827">
        <v>16.279084648297438</v>
      </c>
      <c r="Q368" s="827">
        <v>21.944428303451904</v>
      </c>
      <c r="R368" s="827">
        <v>18.119630558620489</v>
      </c>
      <c r="S368" s="827">
        <v>20.262978811913154</v>
      </c>
    </row>
    <row r="369" spans="2:19">
      <c r="B369" s="187">
        <v>44722</v>
      </c>
      <c r="C369" s="827" t="e">
        <v>#REF!</v>
      </c>
      <c r="D369" s="838">
        <v>15.071938996381892</v>
      </c>
      <c r="E369" s="838">
        <v>251.83853769287771</v>
      </c>
      <c r="F369" s="827">
        <v>403.5099892873356</v>
      </c>
      <c r="G369" s="838">
        <v>26.755554477316537</v>
      </c>
      <c r="H369" s="838">
        <v>5.7040501574399931</v>
      </c>
      <c r="I369" s="827">
        <v>16.147668169398553</v>
      </c>
      <c r="J369" s="1572">
        <v>6.2121245777283827</v>
      </c>
      <c r="K369" s="827">
        <v>8.670924022399463</v>
      </c>
      <c r="L369" s="838">
        <v>3.7882474194598879</v>
      </c>
      <c r="M369" s="827">
        <v>6.5206059298673456</v>
      </c>
      <c r="N369" s="1524">
        <v>161.38772524064879</v>
      </c>
      <c r="O369" s="827">
        <v>61.840666619098997</v>
      </c>
      <c r="P369" s="827">
        <v>15.071938996381892</v>
      </c>
      <c r="Q369" s="827">
        <v>21.944428303451904</v>
      </c>
      <c r="R369" s="827">
        <v>17.21853043816099</v>
      </c>
      <c r="S369" s="827">
        <v>20.262978811913154</v>
      </c>
    </row>
    <row r="370" spans="2:19">
      <c r="B370" s="187">
        <v>44729</v>
      </c>
      <c r="C370" s="827" t="e">
        <v>#REF!</v>
      </c>
      <c r="D370" s="838">
        <v>13.886060834564894</v>
      </c>
      <c r="E370" s="838">
        <v>234.58681955092936</v>
      </c>
      <c r="F370" s="827">
        <v>403.5099892873356</v>
      </c>
      <c r="G370" s="838">
        <v>24.672064447036334</v>
      </c>
      <c r="H370" s="838">
        <v>5.0732303462782999</v>
      </c>
      <c r="I370" s="827">
        <v>16.147668169398553</v>
      </c>
      <c r="J370" s="1572">
        <v>5.7888670286164006</v>
      </c>
      <c r="K370" s="827">
        <v>8.670924022399463</v>
      </c>
      <c r="L370" s="838">
        <v>3.5049416659133836</v>
      </c>
      <c r="M370" s="827">
        <v>6.5206059298673456</v>
      </c>
      <c r="N370" s="1524">
        <v>141.8045908410833</v>
      </c>
      <c r="O370" s="827">
        <v>61.840666619098997</v>
      </c>
      <c r="P370" s="827">
        <v>13.886060834564894</v>
      </c>
      <c r="Q370" s="827">
        <v>21.944428303451904</v>
      </c>
      <c r="R370" s="827">
        <v>16.426849169997094</v>
      </c>
      <c r="S370" s="827">
        <v>20.262978811913154</v>
      </c>
    </row>
    <row r="371" spans="2:19">
      <c r="B371" s="187">
        <v>44736</v>
      </c>
      <c r="C371" s="827" t="e">
        <v>#REF!</v>
      </c>
      <c r="D371" s="838">
        <v>15.308870007978575</v>
      </c>
      <c r="E371" s="838">
        <v>290.20621340923913</v>
      </c>
      <c r="F371" s="827">
        <v>403.5099892873356</v>
      </c>
      <c r="G371" s="838">
        <v>26.634696442303184</v>
      </c>
      <c r="H371" s="838">
        <v>6.3565909325540355</v>
      </c>
      <c r="I371" s="827">
        <v>16.147668169398553</v>
      </c>
      <c r="J371" s="1572">
        <v>6.3590106698278133</v>
      </c>
      <c r="K371" s="827">
        <v>8.670924022399463</v>
      </c>
      <c r="L371" s="838">
        <v>3.8927047151206358</v>
      </c>
      <c r="M371" s="827">
        <v>6.5206059298673456</v>
      </c>
      <c r="N371" s="1524">
        <v>177.83505801935596</v>
      </c>
      <c r="O371" s="827">
        <v>61.840666619098997</v>
      </c>
      <c r="P371" s="827">
        <v>15.308870007978575</v>
      </c>
      <c r="Q371" s="827">
        <v>21.944428303451904</v>
      </c>
      <c r="R371" s="827">
        <v>18.147911625987675</v>
      </c>
      <c r="S371" s="827">
        <v>20.262978811913154</v>
      </c>
    </row>
    <row r="372" spans="2:19">
      <c r="B372" s="187">
        <v>44743</v>
      </c>
      <c r="C372" s="827" t="e">
        <v>#REF!</v>
      </c>
      <c r="D372" s="838">
        <v>13.720782243784438</v>
      </c>
      <c r="E372" s="838">
        <v>238.49993337036244</v>
      </c>
      <c r="F372" s="827">
        <v>403.5099892873356</v>
      </c>
      <c r="G372" s="838">
        <v>24.019397548196245</v>
      </c>
      <c r="H372" s="838">
        <v>5.0424026310215817</v>
      </c>
      <c r="I372" s="827">
        <v>16.147668169398553</v>
      </c>
      <c r="J372" s="1572">
        <v>6.1256823515591483</v>
      </c>
      <c r="K372" s="827">
        <v>8.670924022399463</v>
      </c>
      <c r="L372" s="838">
        <v>3.440914093342363</v>
      </c>
      <c r="M372" s="827">
        <v>6.5206059298673456</v>
      </c>
      <c r="N372" s="1524">
        <v>140.99968031440929</v>
      </c>
      <c r="O372" s="827">
        <v>61.840666619098997</v>
      </c>
      <c r="P372" s="827">
        <v>13.720782243784438</v>
      </c>
      <c r="Q372" s="827">
        <v>21.944428303451904</v>
      </c>
      <c r="R372" s="827">
        <v>17.360079179559833</v>
      </c>
      <c r="S372" s="827">
        <v>20.262978811913154</v>
      </c>
    </row>
    <row r="373" spans="2:19">
      <c r="B373" s="187">
        <v>44750</v>
      </c>
      <c r="C373" s="827" t="e">
        <v>#REF!</v>
      </c>
      <c r="D373" s="838">
        <v>14.658548349114179</v>
      </c>
      <c r="E373" s="838">
        <v>268.29727851369489</v>
      </c>
      <c r="F373" s="827">
        <v>403.5099892873356</v>
      </c>
      <c r="G373" s="838">
        <v>25.205002045465569</v>
      </c>
      <c r="H373" s="838">
        <v>5.8046773686980373</v>
      </c>
      <c r="I373" s="827">
        <v>16.147668169398553</v>
      </c>
      <c r="J373" s="1572">
        <v>6.4057565665911342</v>
      </c>
      <c r="K373" s="827">
        <v>8.670924022399463</v>
      </c>
      <c r="L373" s="838">
        <v>3.7027336310896817</v>
      </c>
      <c r="M373" s="827">
        <v>6.5206059298673456</v>
      </c>
      <c r="N373" s="1524">
        <v>162.11027197926913</v>
      </c>
      <c r="O373" s="827">
        <v>61.840666619098997</v>
      </c>
      <c r="P373" s="827">
        <v>14.658548349114179</v>
      </c>
      <c r="Q373" s="827">
        <v>21.944428303451904</v>
      </c>
      <c r="R373" s="827">
        <v>18.001628430707513</v>
      </c>
      <c r="S373" s="827">
        <v>20.262978811913154</v>
      </c>
    </row>
    <row r="374" spans="2:19">
      <c r="B374" s="187">
        <v>44757</v>
      </c>
      <c r="C374" s="827" t="e">
        <v>#REF!</v>
      </c>
      <c r="D374" s="838">
        <v>14.154578025994219</v>
      </c>
      <c r="E374" s="838">
        <v>245.22499412816711</v>
      </c>
      <c r="F374" s="827">
        <v>403.5099892873356</v>
      </c>
      <c r="G374" s="838">
        <v>24.382613284642051</v>
      </c>
      <c r="H374" s="838">
        <v>4.9889505289305962</v>
      </c>
      <c r="I374" s="827">
        <v>16.147668169398553</v>
      </c>
      <c r="J374" s="1572">
        <v>6.1790288846859092</v>
      </c>
      <c r="K374" s="827">
        <v>8.670924022399463</v>
      </c>
      <c r="L374" s="838">
        <v>3.4934377084293322</v>
      </c>
      <c r="M374" s="827">
        <v>6.5206059298673456</v>
      </c>
      <c r="N374" s="1524">
        <v>142.17097309111728</v>
      </c>
      <c r="O374" s="827">
        <v>61.840666619098997</v>
      </c>
      <c r="P374" s="827">
        <v>14.154578025994219</v>
      </c>
      <c r="Q374" s="827">
        <v>21.944428303451904</v>
      </c>
      <c r="R374" s="827">
        <v>16.789332010567765</v>
      </c>
      <c r="S374" s="827">
        <v>20.262978811913154</v>
      </c>
    </row>
    <row r="375" spans="2:19">
      <c r="B375" s="187">
        <v>44764</v>
      </c>
      <c r="C375" s="827" t="e">
        <v>#REF!</v>
      </c>
      <c r="D375" s="838">
        <v>15.463162407810533</v>
      </c>
      <c r="E375" s="838">
        <v>290.09219805771039</v>
      </c>
      <c r="F375" s="827">
        <v>403.5099892873356</v>
      </c>
      <c r="G375" s="838">
        <v>26.356164052905829</v>
      </c>
      <c r="H375" s="838">
        <v>6.15816792923889</v>
      </c>
      <c r="I375" s="827">
        <v>16.147668169398553</v>
      </c>
      <c r="J375" s="1572">
        <v>6.444278518177363</v>
      </c>
      <c r="K375" s="827">
        <v>8.670924022399463</v>
      </c>
      <c r="L375" s="838">
        <v>3.723830931227381</v>
      </c>
      <c r="M375" s="827">
        <v>6.5206059298673456</v>
      </c>
      <c r="N375" s="1524">
        <v>175.41817159774843</v>
      </c>
      <c r="O375" s="827">
        <v>61.840666619098997</v>
      </c>
      <c r="P375" s="827">
        <v>15.463162407810533</v>
      </c>
      <c r="Q375" s="827">
        <v>21.944428303451904</v>
      </c>
      <c r="R375" s="827">
        <v>17.675931764541946</v>
      </c>
      <c r="S375" s="827">
        <v>20.262978811913154</v>
      </c>
    </row>
    <row r="376" spans="2:19">
      <c r="B376" s="187">
        <v>44771</v>
      </c>
      <c r="C376" s="827" t="e">
        <v>#REF!</v>
      </c>
      <c r="D376" s="838">
        <v>15.813646795344315</v>
      </c>
      <c r="E376" s="838" t="s">
        <v>619</v>
      </c>
      <c r="F376" s="827">
        <v>403.5099892873356</v>
      </c>
      <c r="G376" s="838">
        <v>28.394995762252524</v>
      </c>
      <c r="H376" s="838">
        <v>6.0209908310429521</v>
      </c>
      <c r="I376" s="827">
        <v>16.147668169398553</v>
      </c>
      <c r="J376" s="1572">
        <v>6.4732930238972353</v>
      </c>
      <c r="K376" s="827">
        <v>8.670924022399463</v>
      </c>
      <c r="L376" s="838">
        <v>3.7813038890964807</v>
      </c>
      <c r="M376" s="827">
        <v>6.5206059298673456</v>
      </c>
      <c r="N376" s="1524">
        <v>662.52967976087962</v>
      </c>
      <c r="O376" s="827">
        <v>61.840666619098997</v>
      </c>
      <c r="P376" s="827">
        <v>15.813646795344315</v>
      </c>
      <c r="Q376" s="827">
        <v>21.944428303451904</v>
      </c>
      <c r="R376" s="827">
        <v>17.45464349376806</v>
      </c>
      <c r="S376" s="827">
        <v>20.262978811913154</v>
      </c>
    </row>
    <row r="377" spans="2:19">
      <c r="B377" s="187">
        <v>44778</v>
      </c>
      <c r="C377" s="827" t="e">
        <v>#REF!</v>
      </c>
      <c r="D377" s="838">
        <v>17.890031456839157</v>
      </c>
      <c r="E377" s="838" t="s">
        <v>619</v>
      </c>
      <c r="F377" s="827">
        <v>403.5099892873356</v>
      </c>
      <c r="G377" s="838">
        <v>31.316703462750901</v>
      </c>
      <c r="H377" s="838">
        <v>7.1899611357575388</v>
      </c>
      <c r="I377" s="827">
        <v>16.147668169398553</v>
      </c>
      <c r="J377" s="1572">
        <v>6.9289181182473243</v>
      </c>
      <c r="K377" s="827">
        <v>8.670924022399463</v>
      </c>
      <c r="L377" s="838">
        <v>4.1646046443862899</v>
      </c>
      <c r="M377" s="827">
        <v>6.5206059298673456</v>
      </c>
      <c r="N377" s="1524">
        <v>1054.321342502165</v>
      </c>
      <c r="O377" s="827">
        <v>61.840666619098997</v>
      </c>
      <c r="P377" s="827">
        <v>17.890031456839157</v>
      </c>
      <c r="Q377" s="827">
        <v>21.944428303451904</v>
      </c>
      <c r="R377" s="827">
        <v>18.775643502717323</v>
      </c>
      <c r="S377" s="827">
        <v>20.262978811913154</v>
      </c>
    </row>
    <row r="378" spans="2:19">
      <c r="B378" s="187">
        <v>44785</v>
      </c>
      <c r="C378" s="827" t="e">
        <v>#REF!</v>
      </c>
      <c r="D378" s="838">
        <v>19.647267791163276</v>
      </c>
      <c r="E378" s="838" t="s">
        <v>619</v>
      </c>
      <c r="F378" s="827">
        <v>403.5099892873356</v>
      </c>
      <c r="G378" s="838">
        <v>33.794092135468823</v>
      </c>
      <c r="H378" s="838">
        <v>7.1754576658595104</v>
      </c>
      <c r="I378" s="827">
        <v>16.147668169398553</v>
      </c>
      <c r="J378" s="1572">
        <v>7.164295306938059</v>
      </c>
      <c r="K378" s="827">
        <v>8.670924022399463</v>
      </c>
      <c r="L378" s="838">
        <v>4.6234310695008203</v>
      </c>
      <c r="M378" s="827">
        <v>6.5206059298673456</v>
      </c>
      <c r="N378" s="1524">
        <v>964.95947856291366</v>
      </c>
      <c r="O378" s="827">
        <v>61.840666619098997</v>
      </c>
      <c r="P378" s="827">
        <v>19.647267791163276</v>
      </c>
      <c r="Q378" s="827">
        <v>21.944428303451904</v>
      </c>
      <c r="R378" s="827">
        <v>33.302862160645795</v>
      </c>
      <c r="S378" s="827">
        <v>20.262978811913154</v>
      </c>
    </row>
    <row r="379" spans="2:19">
      <c r="B379" s="187">
        <v>44792</v>
      </c>
      <c r="C379" s="827" t="e">
        <v>#REF!</v>
      </c>
      <c r="D379" s="838">
        <v>19.918952853338894</v>
      </c>
      <c r="E379" s="838" t="s">
        <v>619</v>
      </c>
      <c r="F379" s="827">
        <v>403.5099892873356</v>
      </c>
      <c r="G379" s="838">
        <v>31.241671905827978</v>
      </c>
      <c r="H379" s="838">
        <v>5.844452720423245</v>
      </c>
      <c r="I379" s="827">
        <v>16.147668169398553</v>
      </c>
      <c r="J379" s="1572">
        <v>6.881583347630726</v>
      </c>
      <c r="K379" s="827">
        <v>8.670924022399463</v>
      </c>
      <c r="L379" s="838">
        <v>4.1861985901162582</v>
      </c>
      <c r="M379" s="827">
        <v>6.5206059298673456</v>
      </c>
      <c r="N379" s="1524">
        <v>732.25795240452521</v>
      </c>
      <c r="O379" s="827">
        <v>61.840666619098997</v>
      </c>
      <c r="P379" s="827">
        <v>19.918952853338894</v>
      </c>
      <c r="Q379" s="827">
        <v>21.944428303451904</v>
      </c>
      <c r="R379" s="827">
        <v>30.130432361690193</v>
      </c>
      <c r="S379" s="827">
        <v>20.262978811913154</v>
      </c>
    </row>
    <row r="380" spans="2:19">
      <c r="B380" s="187">
        <v>44799</v>
      </c>
      <c r="C380" s="827" t="e">
        <v>#REF!</v>
      </c>
      <c r="D380" s="838">
        <v>18.999902568890775</v>
      </c>
      <c r="E380" s="838" t="s">
        <v>619</v>
      </c>
      <c r="F380" s="827">
        <v>403.5099892873356</v>
      </c>
      <c r="G380" s="838">
        <v>29.807586741070445</v>
      </c>
      <c r="H380" s="838">
        <v>5.4836129220061176</v>
      </c>
      <c r="I380" s="827">
        <v>16.147668169398553</v>
      </c>
      <c r="J380" s="1572">
        <v>6.3601983184411353</v>
      </c>
      <c r="K380" s="827">
        <v>8.670924022399463</v>
      </c>
      <c r="L380" s="838">
        <v>4.0051306631494148</v>
      </c>
      <c r="M380" s="827">
        <v>6.5206059298673456</v>
      </c>
      <c r="N380" s="1524">
        <v>643.39844771794333</v>
      </c>
      <c r="O380" s="827">
        <v>61.840666619098997</v>
      </c>
      <c r="P380" s="827">
        <v>18.999902568890775</v>
      </c>
      <c r="Q380" s="827">
        <v>21.944428303451904</v>
      </c>
      <c r="R380" s="827">
        <v>27.110561155303472</v>
      </c>
      <c r="S380" s="827">
        <v>20.262978811913154</v>
      </c>
    </row>
    <row r="381" spans="2:19">
      <c r="B381" s="187">
        <v>44806</v>
      </c>
      <c r="C381" s="827" t="e">
        <v>#REF!</v>
      </c>
      <c r="D381" s="838">
        <v>17.989460504738545</v>
      </c>
      <c r="E381" s="838" t="s">
        <v>619</v>
      </c>
      <c r="F381" s="827">
        <v>403.5099892873356</v>
      </c>
      <c r="G381" s="838">
        <v>28.941836940945727</v>
      </c>
      <c r="H381" s="838">
        <v>5.0052642030100172</v>
      </c>
      <c r="I381" s="827">
        <v>16.147668169398553</v>
      </c>
      <c r="J381" s="1572">
        <v>6.0402173240031045</v>
      </c>
      <c r="K381" s="827">
        <v>8.670924022399463</v>
      </c>
      <c r="L381" s="838">
        <v>3.8931645421969296</v>
      </c>
      <c r="M381" s="827">
        <v>6.5206059298673456</v>
      </c>
      <c r="N381" s="1524">
        <v>572.37161905242522</v>
      </c>
      <c r="O381" s="827">
        <v>61.840666619098997</v>
      </c>
      <c r="P381" s="827">
        <v>17.989460504738545</v>
      </c>
      <c r="Q381" s="827">
        <v>21.944428303451904</v>
      </c>
      <c r="R381" s="827">
        <v>25.305655538464158</v>
      </c>
      <c r="S381" s="827">
        <v>20.262978811913154</v>
      </c>
    </row>
    <row r="382" spans="2:19">
      <c r="B382" s="187">
        <v>44813</v>
      </c>
      <c r="C382" s="827" t="e">
        <v>#REF!</v>
      </c>
      <c r="D382" s="838">
        <v>19.673826496806356</v>
      </c>
      <c r="E382" s="838" t="s">
        <v>619</v>
      </c>
      <c r="F382" s="827">
        <v>403.5099892873356</v>
      </c>
      <c r="G382" s="838">
        <v>31.240120703406369</v>
      </c>
      <c r="H382" s="838">
        <v>5.9420084543905265</v>
      </c>
      <c r="I382" s="827">
        <v>16.147668169398553</v>
      </c>
      <c r="J382" s="1572">
        <v>6.4347341890995979</v>
      </c>
      <c r="K382" s="827">
        <v>8.670924022399463</v>
      </c>
      <c r="L382" s="838">
        <v>4.2719965203432428</v>
      </c>
      <c r="M382" s="827">
        <v>6.5206059298673456</v>
      </c>
      <c r="N382" s="1524">
        <v>781.76172398267408</v>
      </c>
      <c r="O382" s="827">
        <v>61.840666619098997</v>
      </c>
      <c r="P382" s="827">
        <v>19.673826496806356</v>
      </c>
      <c r="Q382" s="827">
        <v>21.944428303451904</v>
      </c>
      <c r="R382" s="827">
        <v>27.714869742705758</v>
      </c>
      <c r="S382" s="827">
        <v>20.262978811913154</v>
      </c>
    </row>
    <row r="383" spans="2:19">
      <c r="B383" s="187">
        <v>44820</v>
      </c>
      <c r="C383" s="827" t="e">
        <v>#REF!</v>
      </c>
      <c r="D383" s="838">
        <v>18.143019634991095</v>
      </c>
      <c r="E383" s="838" t="s">
        <v>619</v>
      </c>
      <c r="F383" s="827">
        <v>403.5099892873356</v>
      </c>
      <c r="G383" s="838">
        <v>28.930619796619542</v>
      </c>
      <c r="H383" s="838">
        <v>5.3119100979480285</v>
      </c>
      <c r="I383" s="827">
        <v>16.147668169398553</v>
      </c>
      <c r="J383" s="1572">
        <v>5.7822163217874376</v>
      </c>
      <c r="K383" s="827">
        <v>8.670924022399463</v>
      </c>
      <c r="L383" s="838">
        <v>3.9520493185684487</v>
      </c>
      <c r="M383" s="827">
        <v>6.5206059298673456</v>
      </c>
      <c r="N383" s="1524">
        <v>651.62513054628891</v>
      </c>
      <c r="O383" s="827">
        <v>61.840666619098997</v>
      </c>
      <c r="P383" s="827">
        <v>18.143019634991095</v>
      </c>
      <c r="Q383" s="827">
        <v>21.944428303451904</v>
      </c>
      <c r="R383" s="827">
        <v>23.912046064152175</v>
      </c>
      <c r="S383" s="827">
        <v>20.262978811913154</v>
      </c>
    </row>
    <row r="384" spans="2:19">
      <c r="B384" s="187">
        <v>44827</v>
      </c>
      <c r="C384" s="827" t="e">
        <v>#REF!</v>
      </c>
      <c r="D384" s="838">
        <v>16.083050700290507</v>
      </c>
      <c r="E384" s="838" t="s">
        <v>619</v>
      </c>
      <c r="F384" s="827">
        <v>403.5099892873356</v>
      </c>
      <c r="G384" s="838">
        <v>26.087699953493622</v>
      </c>
      <c r="H384" s="838">
        <v>4.7080803697453932</v>
      </c>
      <c r="I384" s="827">
        <v>16.147668169398553</v>
      </c>
      <c r="J384" s="1572">
        <v>5.574522995636201</v>
      </c>
      <c r="K384" s="827">
        <v>8.670924022399463</v>
      </c>
      <c r="L384" s="838">
        <v>3.551073938763543</v>
      </c>
      <c r="M384" s="827">
        <v>6.5206059298673456</v>
      </c>
      <c r="N384" s="1524">
        <v>539.88301937089125</v>
      </c>
      <c r="O384" s="827">
        <v>61.840666619098997</v>
      </c>
      <c r="P384" s="827">
        <v>16.083050700290507</v>
      </c>
      <c r="Q384" s="827">
        <v>21.944428303451904</v>
      </c>
      <c r="R384" s="827">
        <v>22.860494897052952</v>
      </c>
      <c r="S384" s="827">
        <v>20.262978811913154</v>
      </c>
    </row>
    <row r="385" spans="2:19">
      <c r="B385" s="187">
        <v>44834</v>
      </c>
      <c r="C385" s="827" t="e">
        <v>#REF!</v>
      </c>
      <c r="D385" s="838">
        <v>16.212235173826514</v>
      </c>
      <c r="E385" s="838" t="s">
        <v>619</v>
      </c>
      <c r="F385" s="827">
        <v>403.5099892873356</v>
      </c>
      <c r="G385" s="838">
        <v>26.133426653338866</v>
      </c>
      <c r="H385" s="838">
        <v>4.6799233004483138</v>
      </c>
      <c r="I385" s="827">
        <v>16.147668169398553</v>
      </c>
      <c r="J385" s="1572">
        <v>5.5491386137413707</v>
      </c>
      <c r="K385" s="827">
        <v>8.670924022399463</v>
      </c>
      <c r="L385" s="838">
        <v>3.6332374013759385</v>
      </c>
      <c r="M385" s="827">
        <v>6.5206059298673456</v>
      </c>
      <c r="N385" s="1524">
        <v>505.87602045252186</v>
      </c>
      <c r="O385" s="827">
        <v>61.840666619098997</v>
      </c>
      <c r="P385" s="827">
        <v>16.212235173826514</v>
      </c>
      <c r="Q385" s="827">
        <v>21.944428303451904</v>
      </c>
      <c r="R385" s="827">
        <v>23.066858520716046</v>
      </c>
      <c r="S385" s="827">
        <v>20.262978811913154</v>
      </c>
    </row>
    <row r="386" spans="2:19">
      <c r="B386" s="187">
        <v>44841</v>
      </c>
      <c r="C386" s="827" t="e">
        <v>#REF!</v>
      </c>
      <c r="D386" s="838">
        <v>16.369384313380536</v>
      </c>
      <c r="E386" s="838" t="s">
        <v>619</v>
      </c>
      <c r="F386" s="827">
        <v>403.5099892873356</v>
      </c>
      <c r="G386" s="838">
        <v>26.023438004108055</v>
      </c>
      <c r="H386" s="838">
        <v>4.7151314208652328</v>
      </c>
      <c r="I386" s="827">
        <v>16.147668169398553</v>
      </c>
      <c r="J386" s="1572">
        <v>5.7195401075345051</v>
      </c>
      <c r="K386" s="827">
        <v>8.670924022399463</v>
      </c>
      <c r="L386" s="838">
        <v>3.6516561496904583</v>
      </c>
      <c r="M386" s="827">
        <v>6.5206059298673456</v>
      </c>
      <c r="N386" s="1524">
        <v>479.57014809946446</v>
      </c>
      <c r="O386" s="827">
        <v>61.840666619098997</v>
      </c>
      <c r="P386" s="827">
        <v>16.369384313380536</v>
      </c>
      <c r="Q386" s="827">
        <v>21.944428303451904</v>
      </c>
      <c r="R386" s="827">
        <v>23.519762369676577</v>
      </c>
      <c r="S386" s="827">
        <v>20.262978811913154</v>
      </c>
    </row>
    <row r="387" spans="2:19">
      <c r="B387" s="187">
        <v>44848</v>
      </c>
      <c r="C387" s="827" t="e">
        <v>#REF!</v>
      </c>
      <c r="D387" s="838">
        <v>14.804661276944609</v>
      </c>
      <c r="E387" s="838" t="s">
        <v>619</v>
      </c>
      <c r="F387" s="827">
        <v>403.5099892873356</v>
      </c>
      <c r="G387" s="838">
        <v>24.213594418061163</v>
      </c>
      <c r="H387" s="838">
        <v>4.4761979375680028</v>
      </c>
      <c r="I387" s="827">
        <v>16.147668169398553</v>
      </c>
      <c r="J387" s="1572">
        <v>5.4486453671770176</v>
      </c>
      <c r="K387" s="827">
        <v>8.670924022399463</v>
      </c>
      <c r="L387" s="838">
        <v>3.3897398764854847</v>
      </c>
      <c r="M387" s="827">
        <v>6.5206059298673456</v>
      </c>
      <c r="N387" s="1524">
        <v>430.05560928091973</v>
      </c>
      <c r="O387" s="827">
        <v>61.840666619098997</v>
      </c>
      <c r="P387" s="827">
        <v>14.804661276944609</v>
      </c>
      <c r="Q387" s="827">
        <v>21.944428303451904</v>
      </c>
      <c r="R387" s="827">
        <v>22.742957632493997</v>
      </c>
      <c r="S387" s="827">
        <v>20.262978811913154</v>
      </c>
    </row>
    <row r="388" spans="2:19">
      <c r="B388" s="187">
        <v>44855</v>
      </c>
      <c r="C388" s="827" t="e">
        <v>#REF!</v>
      </c>
      <c r="D388" s="838">
        <v>15.993112602811124</v>
      </c>
      <c r="E388" s="838" t="s">
        <v>619</v>
      </c>
      <c r="F388" s="827">
        <v>403.5099892873356</v>
      </c>
      <c r="G388" s="838">
        <v>26.420897780669865</v>
      </c>
      <c r="H388" s="838">
        <v>5.1937788061102994</v>
      </c>
      <c r="I388" s="827">
        <v>16.147668169398553</v>
      </c>
      <c r="J388" s="1572">
        <v>5.8066472448638615</v>
      </c>
      <c r="K388" s="827">
        <v>8.670924022399463</v>
      </c>
      <c r="L388" s="838">
        <v>3.6849385893514981</v>
      </c>
      <c r="M388" s="827">
        <v>6.5206059298673456</v>
      </c>
      <c r="N388" s="1524">
        <v>461.31761001710606</v>
      </c>
      <c r="O388" s="827">
        <v>61.840666619098997</v>
      </c>
      <c r="P388" s="827">
        <v>15.993112602811124</v>
      </c>
      <c r="Q388" s="827">
        <v>21.944428303451904</v>
      </c>
      <c r="R388" s="827">
        <v>25.050879485638454</v>
      </c>
      <c r="S388" s="827">
        <v>20.262978811913154</v>
      </c>
    </row>
    <row r="389" spans="2:19">
      <c r="B389" s="187">
        <v>44862</v>
      </c>
      <c r="C389" s="827" t="e">
        <v>#REF!</v>
      </c>
      <c r="D389" s="838">
        <v>16.452192808852196</v>
      </c>
      <c r="E389" s="838" t="s">
        <v>619</v>
      </c>
      <c r="F389" s="827">
        <v>403.5099892873356</v>
      </c>
      <c r="G389" s="838">
        <v>26.767383792728797</v>
      </c>
      <c r="H389" s="838">
        <v>6.0853478359572089</v>
      </c>
      <c r="I389" s="827">
        <v>16.147668169398553</v>
      </c>
      <c r="J389" s="1572">
        <v>6.262012046380665</v>
      </c>
      <c r="K389" s="827">
        <v>8.670924022399463</v>
      </c>
      <c r="L389" s="838">
        <v>3.7291103818514366</v>
      </c>
      <c r="M389" s="827">
        <v>6.5206059298673456</v>
      </c>
      <c r="N389" s="1524">
        <v>316.04860758565144</v>
      </c>
      <c r="O389" s="827">
        <v>61.840666619098997</v>
      </c>
      <c r="P389" s="827">
        <v>16.452192808852196</v>
      </c>
      <c r="Q389" s="827">
        <v>21.944428303451904</v>
      </c>
      <c r="R389" s="827">
        <v>26.119962705669444</v>
      </c>
      <c r="S389" s="827">
        <v>20.262978811913154</v>
      </c>
    </row>
    <row r="390" spans="2:19">
      <c r="B390" s="187">
        <v>44869</v>
      </c>
      <c r="C390" s="827" t="e">
        <v>#REF!</v>
      </c>
      <c r="D390" s="838">
        <v>15.401899411441992</v>
      </c>
      <c r="E390" s="838" t="s">
        <v>619</v>
      </c>
      <c r="F390" s="827">
        <v>403.5099892873356</v>
      </c>
      <c r="G390" s="838">
        <v>24.74033581679835</v>
      </c>
      <c r="H390" s="838">
        <v>5.6667093427733013</v>
      </c>
      <c r="I390" s="827">
        <v>16.147668169398553</v>
      </c>
      <c r="J390" s="1572">
        <v>5.3075516732278478</v>
      </c>
      <c r="K390" s="827">
        <v>8.670924022399463</v>
      </c>
      <c r="L390" s="838">
        <v>3.4108218389797913</v>
      </c>
      <c r="M390" s="827">
        <v>6.5206059298673456</v>
      </c>
      <c r="N390" s="1524">
        <v>286.62551359863426</v>
      </c>
      <c r="O390" s="827">
        <v>61.840666619098997</v>
      </c>
      <c r="P390" s="827">
        <v>15.401899411441992</v>
      </c>
      <c r="Q390" s="827">
        <v>21.944428303451904</v>
      </c>
      <c r="R390" s="827">
        <v>21.652454634186384</v>
      </c>
      <c r="S390" s="827">
        <v>20.262978811913154</v>
      </c>
    </row>
    <row r="391" spans="2:19">
      <c r="B391" s="187">
        <v>44876</v>
      </c>
      <c r="C391" s="827" t="e">
        <v>#REF!</v>
      </c>
      <c r="D391" s="838">
        <v>17.499444015814969</v>
      </c>
      <c r="E391" s="838" t="s">
        <v>619</v>
      </c>
      <c r="F391" s="827">
        <v>403.5099892873356</v>
      </c>
      <c r="G391" s="838">
        <v>27.497827814936617</v>
      </c>
      <c r="H391" s="838">
        <v>7.0704134983530809</v>
      </c>
      <c r="I391" s="827">
        <v>16.147668169398553</v>
      </c>
      <c r="J391" s="1572">
        <v>5.9613432171567888</v>
      </c>
      <c r="K391" s="827">
        <v>8.670924022399463</v>
      </c>
      <c r="L391" s="838">
        <v>3.8980389555594694</v>
      </c>
      <c r="M391" s="827">
        <v>6.5206059298673456</v>
      </c>
      <c r="N391" s="1524">
        <v>351.65011346115386</v>
      </c>
      <c r="O391" s="827">
        <v>61.840666619098997</v>
      </c>
      <c r="P391" s="827">
        <v>17.499444015814969</v>
      </c>
      <c r="Q391" s="827">
        <v>21.944428303451904</v>
      </c>
      <c r="R391" s="827">
        <v>25.662057235990652</v>
      </c>
      <c r="S391" s="827">
        <v>20.262978811913154</v>
      </c>
    </row>
    <row r="392" spans="2:19">
      <c r="B392" s="187">
        <v>44883</v>
      </c>
      <c r="C392" s="827" t="e">
        <v>#REF!</v>
      </c>
      <c r="D392" s="838">
        <v>16.543650814503348</v>
      </c>
      <c r="E392" s="838" t="s">
        <v>619</v>
      </c>
      <c r="F392" s="827">
        <v>403.5099892873356</v>
      </c>
      <c r="G392" s="838">
        <v>25.996418608655915</v>
      </c>
      <c r="H392" s="838">
        <v>6.4939886229622523</v>
      </c>
      <c r="I392" s="827">
        <v>16.147668169398553</v>
      </c>
      <c r="J392" s="1572">
        <v>5.8236164490229747</v>
      </c>
      <c r="K392" s="827">
        <v>8.670924022399463</v>
      </c>
      <c r="L392" s="838">
        <v>3.7325387434702657</v>
      </c>
      <c r="M392" s="827">
        <v>6.5206059298673456</v>
      </c>
      <c r="N392" s="1524">
        <v>329.78840072473957</v>
      </c>
      <c r="O392" s="827">
        <v>61.840666619098997</v>
      </c>
      <c r="P392" s="827">
        <v>16.543650814503348</v>
      </c>
      <c r="Q392" s="827">
        <v>21.944428303451904</v>
      </c>
      <c r="R392" s="827">
        <v>24.970089006005853</v>
      </c>
      <c r="S392" s="827">
        <v>20.262978811913154</v>
      </c>
    </row>
    <row r="393" spans="2:19">
      <c r="B393" s="187">
        <v>44890</v>
      </c>
      <c r="C393" s="827" t="e">
        <v>#REF!</v>
      </c>
      <c r="D393" s="838">
        <v>16.323219116379569</v>
      </c>
      <c r="E393" s="838" t="s">
        <v>619</v>
      </c>
      <c r="F393" s="827">
        <v>403.5099892873356</v>
      </c>
      <c r="G393" s="838">
        <v>25.911295862352937</v>
      </c>
      <c r="H393" s="838">
        <v>6.5099591226101445</v>
      </c>
      <c r="I393" s="827">
        <v>16.147668169398553</v>
      </c>
      <c r="J393" s="1572">
        <v>5.9323215240186862</v>
      </c>
      <c r="K393" s="827">
        <v>8.670924022399463</v>
      </c>
      <c r="L393" s="838">
        <v>3.7259440119479894</v>
      </c>
      <c r="M393" s="827">
        <v>6.5206059298673456</v>
      </c>
      <c r="N393" s="1524">
        <v>323.62348701820241</v>
      </c>
      <c r="O393" s="827">
        <v>61.840666619098997</v>
      </c>
      <c r="P393" s="827">
        <v>16.323219116379569</v>
      </c>
      <c r="Q393" s="827">
        <v>21.944428303451904</v>
      </c>
      <c r="R393" s="827">
        <v>25.081744713112336</v>
      </c>
      <c r="S393" s="827">
        <v>20.262978811913154</v>
      </c>
    </row>
    <row r="394" spans="2:19">
      <c r="B394" s="187">
        <v>44897</v>
      </c>
      <c r="C394" s="827" t="e">
        <v>#REF!</v>
      </c>
      <c r="D394" s="838">
        <v>17.139012376991495</v>
      </c>
      <c r="E394" s="838" t="s">
        <v>619</v>
      </c>
      <c r="F394" s="827">
        <v>403.5099892873356</v>
      </c>
      <c r="G394" s="838">
        <v>26.939467314415555</v>
      </c>
      <c r="H394" s="838">
        <v>7.6960017813326056</v>
      </c>
      <c r="I394" s="827">
        <v>16.147668169398553</v>
      </c>
      <c r="J394" s="1572">
        <v>6.0545889971272482</v>
      </c>
      <c r="K394" s="827">
        <v>8.670924022399463</v>
      </c>
      <c r="L394" s="838">
        <v>3.9791733244523604</v>
      </c>
      <c r="M394" s="827">
        <v>6.5206059298673456</v>
      </c>
      <c r="N394" s="1524">
        <v>375.62396731262749</v>
      </c>
      <c r="O394" s="827">
        <v>61.840666619098997</v>
      </c>
      <c r="P394" s="827">
        <v>17.139012376991495</v>
      </c>
      <c r="Q394" s="827">
        <v>21.944428303451904</v>
      </c>
      <c r="R394" s="827">
        <v>25.290288135747801</v>
      </c>
      <c r="S394" s="827">
        <v>20.262978811913154</v>
      </c>
    </row>
    <row r="395" spans="2:19">
      <c r="B395" s="187">
        <v>44904</v>
      </c>
      <c r="C395" s="827" t="e">
        <v>#REF!</v>
      </c>
      <c r="D395" s="838">
        <v>15.955514439627303</v>
      </c>
      <c r="E395" s="838" t="s">
        <v>619</v>
      </c>
      <c r="F395" s="827">
        <v>403.5099892873356</v>
      </c>
      <c r="G395" s="838">
        <v>24.998710882158427</v>
      </c>
      <c r="H395" s="838">
        <v>6.7859849985438592</v>
      </c>
      <c r="I395" s="827">
        <v>16.147668169398553</v>
      </c>
      <c r="J395" s="1572">
        <v>5.7992282529143644</v>
      </c>
      <c r="K395" s="827">
        <v>8.670924022399463</v>
      </c>
      <c r="L395" s="838">
        <v>3.657608055111726</v>
      </c>
      <c r="M395" s="827">
        <v>6.5206059298673456</v>
      </c>
      <c r="N395" s="1524">
        <v>335.32338090192911</v>
      </c>
      <c r="O395" s="827">
        <v>61.840666619098997</v>
      </c>
      <c r="P395" s="827">
        <v>15.955514439627303</v>
      </c>
      <c r="Q395" s="827">
        <v>21.944428303451904</v>
      </c>
      <c r="R395" s="827">
        <v>23.211539396282944</v>
      </c>
      <c r="S395" s="827">
        <v>20.262978811913154</v>
      </c>
    </row>
    <row r="396" spans="2:19">
      <c r="B396" s="187">
        <v>44911</v>
      </c>
      <c r="C396" s="827" t="e">
        <v>#REF!</v>
      </c>
      <c r="D396" s="838">
        <v>15.395917343355999</v>
      </c>
      <c r="E396" s="838" t="s">
        <v>619</v>
      </c>
      <c r="F396" s="827">
        <v>403.5099892873356</v>
      </c>
      <c r="G396" s="838">
        <v>24.420613752817758</v>
      </c>
      <c r="H396" s="838">
        <v>6.3235916082055805</v>
      </c>
      <c r="I396" s="827">
        <v>16.147668169398553</v>
      </c>
      <c r="J396" s="1572">
        <v>5.8472501537245991</v>
      </c>
      <c r="K396" s="827">
        <v>8.670924022399463</v>
      </c>
      <c r="L396" s="838">
        <v>3.5300547074646635</v>
      </c>
      <c r="M396" s="827">
        <v>6.5206059298673456</v>
      </c>
      <c r="N396" s="1524">
        <v>306.02416993337022</v>
      </c>
      <c r="O396" s="827">
        <v>61.840666619098997</v>
      </c>
      <c r="P396" s="827">
        <v>15.395917343355999</v>
      </c>
      <c r="Q396" s="827">
        <v>21.944428303451904</v>
      </c>
      <c r="R396" s="827">
        <v>22.641809301355174</v>
      </c>
      <c r="S396" s="827">
        <v>20.262978811913154</v>
      </c>
    </row>
    <row r="397" spans="2:19">
      <c r="B397" s="187">
        <v>44918</v>
      </c>
      <c r="C397" s="827" t="e">
        <v>#REF!</v>
      </c>
      <c r="D397" s="838">
        <v>14.975546897177772</v>
      </c>
      <c r="E397" s="838" t="s">
        <v>619</v>
      </c>
      <c r="F397" s="827">
        <v>403.5099892873356</v>
      </c>
      <c r="G397" s="838">
        <v>23.763330926458536</v>
      </c>
      <c r="H397" s="838">
        <v>5.8397195593899749</v>
      </c>
      <c r="I397" s="827">
        <v>16.147668169398553</v>
      </c>
      <c r="J397" s="1572">
        <v>5.8145927088751179</v>
      </c>
      <c r="K397" s="827">
        <v>8.670924022399463</v>
      </c>
      <c r="L397" s="838">
        <v>3.429539588713709</v>
      </c>
      <c r="M397" s="827">
        <v>6.5206059298673456</v>
      </c>
      <c r="N397" s="1524">
        <v>363.61367361578903</v>
      </c>
      <c r="O397" s="827">
        <v>61.840666619098997</v>
      </c>
      <c r="P397" s="827">
        <v>14.975546897177772</v>
      </c>
      <c r="Q397" s="827">
        <v>21.944428303451904</v>
      </c>
      <c r="R397" s="827">
        <v>21.674613413717069</v>
      </c>
      <c r="S397" s="827">
        <v>20.262978811913154</v>
      </c>
    </row>
    <row r="398" spans="2:19">
      <c r="B398" s="187">
        <v>44925</v>
      </c>
      <c r="C398" s="827" t="e">
        <v>#REF!</v>
      </c>
      <c r="D398" s="839">
        <v>14.924433693168782</v>
      </c>
      <c r="E398" s="838">
        <v>950.52023251187234</v>
      </c>
      <c r="F398" s="827">
        <v>403.5099892873356</v>
      </c>
      <c r="G398" s="839">
        <v>23.695946579190338</v>
      </c>
      <c r="H398" s="839">
        <v>5.9750990460173039</v>
      </c>
      <c r="I398" s="827">
        <v>16.147668169398553</v>
      </c>
      <c r="J398" s="1572">
        <v>5.8967900030082978</v>
      </c>
      <c r="K398" s="827">
        <v>8.670924022399463</v>
      </c>
      <c r="L398" s="839">
        <v>3.4507563217235226</v>
      </c>
      <c r="M398" s="827">
        <v>6.5206059298673456</v>
      </c>
      <c r="N398" s="1524">
        <v>363.71445804173345</v>
      </c>
      <c r="O398" s="827">
        <v>61.840666619098997</v>
      </c>
      <c r="P398" s="827">
        <v>14.924433693168782</v>
      </c>
      <c r="Q398" s="827">
        <v>21.944428303451904</v>
      </c>
      <c r="R398" s="827">
        <v>21.930727611068676</v>
      </c>
      <c r="S398" s="827">
        <v>20.262978811913154</v>
      </c>
    </row>
    <row r="399" spans="2:19">
      <c r="B399" s="187">
        <v>44932</v>
      </c>
      <c r="C399" s="827" t="e">
        <v>#REF!</v>
      </c>
      <c r="D399" s="838">
        <v>15.329601218174007</v>
      </c>
      <c r="E399" s="838">
        <v>839.59096313045086</v>
      </c>
      <c r="F399" s="827">
        <v>403.5099892873356</v>
      </c>
      <c r="G399" s="838">
        <v>24.428547619063345</v>
      </c>
      <c r="H399" s="838">
        <v>6.4167549189526474</v>
      </c>
      <c r="I399" s="827">
        <v>16.147668169398553</v>
      </c>
      <c r="J399" s="1572">
        <v>5.879084074702412</v>
      </c>
      <c r="K399" s="827">
        <v>8.670924022399463</v>
      </c>
      <c r="L399" s="838">
        <v>3.5524331642844058</v>
      </c>
      <c r="M399" s="827">
        <v>6.5206059298673456</v>
      </c>
      <c r="N399" s="1524">
        <v>373.49645249257986</v>
      </c>
      <c r="O399" s="827">
        <v>61.840666619098997</v>
      </c>
      <c r="P399" s="827">
        <v>15.329601218174007</v>
      </c>
      <c r="Q399" s="827">
        <v>21.944428303451904</v>
      </c>
      <c r="R399" s="827">
        <v>21.462358882916277</v>
      </c>
      <c r="S399" s="827">
        <v>20.262978811913154</v>
      </c>
    </row>
    <row r="400" spans="2:19">
      <c r="B400" s="187">
        <v>44939</v>
      </c>
      <c r="C400" s="827" t="e">
        <v>#REF!</v>
      </c>
      <c r="D400" s="838">
        <v>16.866942354211872</v>
      </c>
      <c r="E400" s="838">
        <v>787.4561973693659</v>
      </c>
      <c r="F400" s="827">
        <v>403.5099892873356</v>
      </c>
      <c r="G400" s="838">
        <v>27.048450213790321</v>
      </c>
      <c r="H400" s="838">
        <v>6.7779813623522713</v>
      </c>
      <c r="I400" s="827">
        <v>16.147668169398553</v>
      </c>
      <c r="J400" s="1572">
        <v>6.1970438356217672</v>
      </c>
      <c r="K400" s="827">
        <v>8.670924022399463</v>
      </c>
      <c r="L400" s="838">
        <v>3.8974819279359108</v>
      </c>
      <c r="M400" s="827">
        <v>6.5206059298673456</v>
      </c>
      <c r="N400" s="1524">
        <v>364.9387446100373</v>
      </c>
      <c r="O400" s="827">
        <v>61.840666619098997</v>
      </c>
      <c r="P400" s="827">
        <v>16.866942354211872</v>
      </c>
      <c r="Q400" s="827">
        <v>21.944428303451904</v>
      </c>
      <c r="R400" s="827">
        <v>23.761485430115968</v>
      </c>
      <c r="S400" s="827">
        <v>20.262978811913154</v>
      </c>
    </row>
    <row r="401" spans="2:19">
      <c r="B401" s="187">
        <v>44946</v>
      </c>
      <c r="C401" s="827" t="e">
        <v>#REF!</v>
      </c>
      <c r="D401" s="838">
        <v>17.13117577056785</v>
      </c>
      <c r="E401" s="838">
        <v>808.93647794333162</v>
      </c>
      <c r="F401" s="827">
        <v>403.5099892873356</v>
      </c>
      <c r="G401" s="838">
        <v>27.143580269330148</v>
      </c>
      <c r="H401" s="838">
        <v>7.0600415908108953</v>
      </c>
      <c r="I401" s="827">
        <v>16.147668169398553</v>
      </c>
      <c r="J401" s="1572">
        <v>6.321613457072222</v>
      </c>
      <c r="K401" s="827">
        <v>8.670924022399463</v>
      </c>
      <c r="L401" s="838">
        <v>3.9663646820280665</v>
      </c>
      <c r="M401" s="827">
        <v>6.5206059298673456</v>
      </c>
      <c r="N401" s="1524">
        <v>430.43382183335405</v>
      </c>
      <c r="O401" s="827">
        <v>61.840666619098997</v>
      </c>
      <c r="P401" s="827">
        <v>17.13117577056785</v>
      </c>
      <c r="Q401" s="827">
        <v>21.944428303451904</v>
      </c>
      <c r="R401" s="827">
        <v>24.021750492324742</v>
      </c>
      <c r="S401" s="827">
        <v>20.262978811913154</v>
      </c>
    </row>
    <row r="402" spans="2:19">
      <c r="B402" s="187">
        <v>44953</v>
      </c>
      <c r="C402" s="827" t="e">
        <v>#REF!</v>
      </c>
      <c r="D402" s="838">
        <v>18.053445346066912</v>
      </c>
      <c r="E402" s="838">
        <v>655.91282227054546</v>
      </c>
      <c r="F402" s="827">
        <v>403.5099892873356</v>
      </c>
      <c r="G402" s="838">
        <v>28.662475672283481</v>
      </c>
      <c r="H402" s="838">
        <v>8.8171020016180357</v>
      </c>
      <c r="I402" s="827">
        <v>16.147668169398553</v>
      </c>
      <c r="J402" s="1572">
        <v>6.5716612607173301</v>
      </c>
      <c r="K402" s="827">
        <v>8.670924022399463</v>
      </c>
      <c r="L402" s="838">
        <v>4.3218834879830137</v>
      </c>
      <c r="M402" s="827">
        <v>6.5206059298673456</v>
      </c>
      <c r="N402" s="1524">
        <v>362.29369485688852</v>
      </c>
      <c r="O402" s="827">
        <v>61.840666619098997</v>
      </c>
      <c r="P402" s="827">
        <v>18.053445346066912</v>
      </c>
      <c r="Q402" s="827">
        <v>21.944428303451904</v>
      </c>
      <c r="R402" s="827">
        <v>24.688162400794994</v>
      </c>
      <c r="S402" s="827">
        <v>20.262978811913154</v>
      </c>
    </row>
    <row r="403" spans="2:19">
      <c r="B403" s="187">
        <v>44960</v>
      </c>
      <c r="C403" s="827" t="e">
        <v>#REF!</v>
      </c>
      <c r="D403" s="838">
        <v>18.915933078199792</v>
      </c>
      <c r="E403" s="838">
        <v>645.67150629563264</v>
      </c>
      <c r="F403" s="827">
        <v>403.5099892873356</v>
      </c>
      <c r="G403" s="838">
        <v>29.253963867859664</v>
      </c>
      <c r="H403" s="838">
        <v>9.2994194000407404</v>
      </c>
      <c r="I403" s="827">
        <v>16.147668169398553</v>
      </c>
      <c r="J403" s="1572">
        <v>6.6169513286837569</v>
      </c>
      <c r="K403" s="827">
        <v>8.670924022399463</v>
      </c>
      <c r="L403" s="838">
        <v>4.4727801255291686</v>
      </c>
      <c r="M403" s="827">
        <v>6.5206059298673456</v>
      </c>
      <c r="N403" s="1524">
        <v>371.01590598617508</v>
      </c>
      <c r="O403" s="827">
        <v>61.840666619098997</v>
      </c>
      <c r="P403" s="827">
        <v>18.915933078199792</v>
      </c>
      <c r="Q403" s="827">
        <v>21.944428303451904</v>
      </c>
      <c r="R403" s="827">
        <v>24.17850498340027</v>
      </c>
      <c r="S403" s="827">
        <v>20.262978811913154</v>
      </c>
    </row>
    <row r="404" spans="2:19">
      <c r="B404" s="187">
        <v>44967</v>
      </c>
      <c r="C404" s="827" t="e">
        <v>#REF!</v>
      </c>
      <c r="D404" s="838">
        <v>18.036842472003894</v>
      </c>
      <c r="E404" s="838">
        <v>540.1674317733864</v>
      </c>
      <c r="F404" s="827">
        <v>403.5099892873356</v>
      </c>
      <c r="G404" s="838">
        <v>27.734123695693061</v>
      </c>
      <c r="H404" s="838">
        <v>8.3407189193054929</v>
      </c>
      <c r="I404" s="827">
        <v>16.147668169398553</v>
      </c>
      <c r="J404" s="1572">
        <v>6.4257835636351315</v>
      </c>
      <c r="K404" s="827">
        <v>8.670924022399463</v>
      </c>
      <c r="L404" s="838">
        <v>4.1317350237989032</v>
      </c>
      <c r="M404" s="827">
        <v>6.5206059298673456</v>
      </c>
      <c r="N404" s="1524">
        <v>324.38681126906948</v>
      </c>
      <c r="O404" s="827">
        <v>61.840666619098997</v>
      </c>
      <c r="P404" s="827">
        <v>18.036842472003894</v>
      </c>
      <c r="Q404" s="827">
        <v>21.944428303451904</v>
      </c>
      <c r="R404" s="827">
        <v>22.847764703803158</v>
      </c>
      <c r="S404" s="827">
        <v>20.262978811913154</v>
      </c>
    </row>
    <row r="405" spans="2:19">
      <c r="B405" s="187">
        <v>44974</v>
      </c>
      <c r="C405" s="827" t="e">
        <v>#REF!</v>
      </c>
      <c r="D405" s="838">
        <v>18.45296254713848</v>
      </c>
      <c r="E405" s="838">
        <v>518.15946336692207</v>
      </c>
      <c r="F405" s="827">
        <v>403.5099892873356</v>
      </c>
      <c r="G405" s="838">
        <v>35.252559458788767</v>
      </c>
      <c r="H405" s="838">
        <v>7.4699228944641627</v>
      </c>
      <c r="I405" s="827">
        <v>16.147668169398553</v>
      </c>
      <c r="J405" s="1572">
        <v>6.2766181672567543</v>
      </c>
      <c r="K405" s="827">
        <v>8.670924022399463</v>
      </c>
      <c r="L405" s="838">
        <v>4.3407436356349027</v>
      </c>
      <c r="M405" s="827">
        <v>6.5206059298673456</v>
      </c>
      <c r="N405" s="1524">
        <v>296.46612304103485</v>
      </c>
      <c r="O405" s="827">
        <v>61.840666619098997</v>
      </c>
      <c r="P405" s="827">
        <v>18.45296254713848</v>
      </c>
      <c r="Q405" s="827">
        <v>21.944428303451904</v>
      </c>
      <c r="R405" s="827">
        <v>22.958375569046563</v>
      </c>
      <c r="S405" s="827">
        <v>20.262978811913154</v>
      </c>
    </row>
    <row r="406" spans="2:19">
      <c r="B406" s="187">
        <v>44981</v>
      </c>
      <c r="C406" s="827" t="e">
        <v>#REF!</v>
      </c>
      <c r="D406" s="838">
        <v>17.081480193456834</v>
      </c>
      <c r="E406" s="838">
        <v>527.04170135010622</v>
      </c>
      <c r="F406" s="827">
        <v>403.5099892873356</v>
      </c>
      <c r="G406" s="838">
        <v>32.129728518785285</v>
      </c>
      <c r="H406" s="838">
        <v>6.9128090672305378</v>
      </c>
      <c r="I406" s="827">
        <v>16.147668169398553</v>
      </c>
      <c r="J406" s="1572">
        <v>5.9843940197873051</v>
      </c>
      <c r="K406" s="827">
        <v>8.670924022399463</v>
      </c>
      <c r="L406" s="838">
        <v>4.0342435660715559</v>
      </c>
      <c r="M406" s="827">
        <v>6.5206059298673456</v>
      </c>
      <c r="N406" s="1524">
        <v>263.93954773069697</v>
      </c>
      <c r="O406" s="827">
        <v>61.840666619098997</v>
      </c>
      <c r="P406" s="827">
        <v>17.081480193456834</v>
      </c>
      <c r="Q406" s="827">
        <v>21.944428303451904</v>
      </c>
      <c r="R406" s="827">
        <v>18.033944167986718</v>
      </c>
      <c r="S406" s="827">
        <v>20.262978811913154</v>
      </c>
    </row>
    <row r="407" spans="2:19">
      <c r="B407" s="187">
        <v>44988</v>
      </c>
      <c r="C407" s="827" t="e">
        <v>#REF!</v>
      </c>
      <c r="D407" s="838">
        <v>17.6700305916563</v>
      </c>
      <c r="E407" s="838">
        <v>529.01604235053765</v>
      </c>
      <c r="F407" s="827">
        <v>403.5099892873356</v>
      </c>
      <c r="G407" s="838">
        <v>30.307366210779005</v>
      </c>
      <c r="H407" s="838">
        <v>7.3680342153585974</v>
      </c>
      <c r="I407" s="827">
        <v>16.147668169398553</v>
      </c>
      <c r="J407" s="1572">
        <v>6.239255639438106</v>
      </c>
      <c r="K407" s="827">
        <v>8.670924022399463</v>
      </c>
      <c r="L407" s="838">
        <v>4.2047990348083122</v>
      </c>
      <c r="M407" s="827">
        <v>6.5206059298673456</v>
      </c>
      <c r="N407" s="1524">
        <v>270.35711841760974</v>
      </c>
      <c r="O407" s="827">
        <v>61.840666619098997</v>
      </c>
      <c r="P407" s="827">
        <v>17.6700305916563</v>
      </c>
      <c r="Q407" s="827">
        <v>21.944428303451904</v>
      </c>
      <c r="R407" s="827">
        <v>18.617535267053345</v>
      </c>
      <c r="S407" s="827">
        <v>20.262978811913154</v>
      </c>
    </row>
    <row r="408" spans="2:19">
      <c r="B408" s="187">
        <v>44995</v>
      </c>
      <c r="C408" s="827" t="e">
        <v>#REF!</v>
      </c>
      <c r="D408" s="838">
        <v>16.218287416153295</v>
      </c>
      <c r="E408" s="838">
        <v>481.14667488306429</v>
      </c>
      <c r="F408" s="827">
        <v>403.5099892873356</v>
      </c>
      <c r="G408" s="838">
        <v>27.599012670719127</v>
      </c>
      <c r="H408" s="838">
        <v>6.9842205637884875</v>
      </c>
      <c r="I408" s="827">
        <v>16.147668169398553</v>
      </c>
      <c r="J408" s="1572">
        <v>5.8576213478508699</v>
      </c>
      <c r="K408" s="827">
        <v>8.670924022399463</v>
      </c>
      <c r="L408" s="838">
        <v>3.9008240947295167</v>
      </c>
      <c r="M408" s="827">
        <v>6.5206059298673456</v>
      </c>
      <c r="N408" s="1524">
        <v>249.38043880630889</v>
      </c>
      <c r="O408" s="827">
        <v>61.840666619098997</v>
      </c>
      <c r="P408" s="827">
        <v>16.218287416153295</v>
      </c>
      <c r="Q408" s="827">
        <v>21.944428303451904</v>
      </c>
      <c r="R408" s="827">
        <v>17.365407829337599</v>
      </c>
      <c r="S408" s="827">
        <v>20.262978811913154</v>
      </c>
    </row>
    <row r="409" spans="2:19">
      <c r="B409" s="187">
        <v>45002</v>
      </c>
      <c r="C409" s="827" t="e">
        <v>#REF!</v>
      </c>
      <c r="D409" s="838">
        <v>17.128110515178655</v>
      </c>
      <c r="E409" s="838">
        <v>498.6179422153586</v>
      </c>
      <c r="F409" s="827">
        <v>403.5099892873356</v>
      </c>
      <c r="G409" s="838">
        <v>30.580785876116888</v>
      </c>
      <c r="H409" s="838">
        <v>7.5466485242095596</v>
      </c>
      <c r="I409" s="827">
        <v>16.147668169398553</v>
      </c>
      <c r="J409" s="1572">
        <v>6.0496678449076748</v>
      </c>
      <c r="K409" s="827">
        <v>8.670924022399463</v>
      </c>
      <c r="L409" s="838">
        <v>4.1276774110655632</v>
      </c>
      <c r="M409" s="827">
        <v>6.5206059298673456</v>
      </c>
      <c r="N409" s="1524">
        <v>259.29811952311894</v>
      </c>
      <c r="O409" s="827">
        <v>61.840666619098997</v>
      </c>
      <c r="P409" s="827">
        <v>17.128110515178655</v>
      </c>
      <c r="Q409" s="827">
        <v>21.944428303451904</v>
      </c>
      <c r="R409" s="827">
        <v>18.097031042632231</v>
      </c>
      <c r="S409" s="827">
        <v>20.262978811913154</v>
      </c>
    </row>
    <row r="410" spans="2:19">
      <c r="B410" s="187">
        <v>45009</v>
      </c>
      <c r="C410" s="827" t="e">
        <v>#REF!</v>
      </c>
      <c r="D410" s="838">
        <v>17.604525405348575</v>
      </c>
      <c r="E410" s="838">
        <v>480.0571884935265</v>
      </c>
      <c r="F410" s="827">
        <v>403.5099892873356</v>
      </c>
      <c r="G410" s="838">
        <v>30.743956221357159</v>
      </c>
      <c r="H410" s="838">
        <v>7.5716274974588069</v>
      </c>
      <c r="I410" s="827">
        <v>16.147668169398553</v>
      </c>
      <c r="J410" s="1572">
        <v>6.2696447806703182</v>
      </c>
      <c r="K410" s="827">
        <v>8.670924022399463</v>
      </c>
      <c r="L410" s="838">
        <v>4.2496946304022742</v>
      </c>
      <c r="M410" s="827">
        <v>6.5206059298673456</v>
      </c>
      <c r="N410" s="1524">
        <v>251.83054038691023</v>
      </c>
      <c r="O410" s="827">
        <v>61.840666619098997</v>
      </c>
      <c r="P410" s="827">
        <v>17.604525405348575</v>
      </c>
      <c r="Q410" s="827">
        <v>21.944428303451904</v>
      </c>
      <c r="R410" s="827">
        <v>18.794697947523559</v>
      </c>
      <c r="S410" s="827">
        <v>20.262978811913154</v>
      </c>
    </row>
    <row r="411" spans="2:19">
      <c r="B411" s="187">
        <v>45016</v>
      </c>
      <c r="C411" s="827" t="e">
        <v>#REF!</v>
      </c>
      <c r="D411" s="839">
        <v>17.792387550845444</v>
      </c>
      <c r="E411" s="838">
        <v>493.88068032321263</v>
      </c>
      <c r="F411" s="827">
        <v>403.5099892873356</v>
      </c>
      <c r="G411" s="839">
        <v>28.163844304929913</v>
      </c>
      <c r="H411" s="839">
        <v>8.0826707998816971</v>
      </c>
      <c r="I411" s="827">
        <v>16.147668169398553</v>
      </c>
      <c r="J411" s="1572">
        <v>6.4202328453331887</v>
      </c>
      <c r="K411" s="827">
        <v>8.670924022399463</v>
      </c>
      <c r="L411" s="839">
        <v>4.3504228806337402</v>
      </c>
      <c r="M411" s="827">
        <v>6.5206059298673456</v>
      </c>
      <c r="N411" s="1524">
        <v>271.6050252207333</v>
      </c>
      <c r="O411" s="827">
        <v>61.840666619098997</v>
      </c>
      <c r="P411" s="827">
        <v>17.792387550845444</v>
      </c>
      <c r="Q411" s="827">
        <v>21.944428303451904</v>
      </c>
      <c r="R411" s="827">
        <v>19.054935663478098</v>
      </c>
      <c r="S411" s="827">
        <v>20.262978811913154</v>
      </c>
    </row>
    <row r="412" spans="2:19">
      <c r="B412" s="187">
        <v>45023</v>
      </c>
      <c r="C412" s="827" t="e">
        <v>#REF!</v>
      </c>
      <c r="D412" s="838">
        <v>17.325784460436932</v>
      </c>
      <c r="E412" s="838">
        <v>454.05426404011376</v>
      </c>
      <c r="F412" s="827">
        <v>403.5099892873356</v>
      </c>
      <c r="G412" s="838">
        <v>27.707268884985606</v>
      </c>
      <c r="H412" s="838">
        <v>7.7901205925269288</v>
      </c>
      <c r="I412" s="827">
        <v>16.147668169398553</v>
      </c>
      <c r="J412" s="1572">
        <v>6.308269792729738</v>
      </c>
      <c r="K412" s="827">
        <v>8.670924022399463</v>
      </c>
      <c r="L412" s="838">
        <v>4.2358142963280487</v>
      </c>
      <c r="M412" s="827">
        <v>6.5206059298673456</v>
      </c>
      <c r="N412" s="1524">
        <v>251.43804737724423</v>
      </c>
      <c r="O412" s="827">
        <v>61.840666619098997</v>
      </c>
      <c r="P412" s="827">
        <v>17.325784460436932</v>
      </c>
      <c r="Q412" s="827">
        <v>21.944428303451904</v>
      </c>
      <c r="R412" s="827">
        <v>18.258337963331833</v>
      </c>
      <c r="S412" s="827">
        <v>20.262978811913154</v>
      </c>
    </row>
    <row r="413" spans="2:19">
      <c r="B413" s="187">
        <v>45030</v>
      </c>
      <c r="C413" s="827" t="e">
        <v>#REF!</v>
      </c>
      <c r="D413" s="838">
        <v>17.46869225630185</v>
      </c>
      <c r="E413" s="838">
        <v>444.3107606578194</v>
      </c>
      <c r="F413" s="827">
        <v>403.5099892873356</v>
      </c>
      <c r="G413" s="838">
        <v>27.905688662025792</v>
      </c>
      <c r="H413" s="838">
        <v>7.7411913150839604</v>
      </c>
      <c r="I413" s="827">
        <v>16.147668169398553</v>
      </c>
      <c r="J413" s="1572">
        <v>6.2930246871851701</v>
      </c>
      <c r="K413" s="827">
        <v>8.670924022399463</v>
      </c>
      <c r="L413" s="838">
        <v>4.2812917895193214</v>
      </c>
      <c r="M413" s="827">
        <v>6.5206059298673456</v>
      </c>
      <c r="N413" s="1524">
        <v>252.66050411549045</v>
      </c>
      <c r="O413" s="827">
        <v>61.840666619098997</v>
      </c>
      <c r="P413" s="827">
        <v>17.46869225630185</v>
      </c>
      <c r="Q413" s="827">
        <v>21.944428303451904</v>
      </c>
      <c r="R413" s="827">
        <v>18.105168233225818</v>
      </c>
      <c r="S413" s="827">
        <v>20.262978811913154</v>
      </c>
    </row>
    <row r="414" spans="2:19">
      <c r="B414" s="187">
        <v>45037</v>
      </c>
      <c r="C414" s="827" t="e">
        <v>#REF!</v>
      </c>
      <c r="D414" s="838">
        <v>16.163612194466705</v>
      </c>
      <c r="E414" s="838">
        <v>430.97158731309111</v>
      </c>
      <c r="F414" s="827">
        <v>403.5099892873356</v>
      </c>
      <c r="G414" s="838">
        <v>27.948122496939728</v>
      </c>
      <c r="H414" s="838">
        <v>8.3735008568286613</v>
      </c>
      <c r="I414" s="827">
        <v>16.147668169398553</v>
      </c>
      <c r="J414" s="1572">
        <v>6.3325918522713209</v>
      </c>
      <c r="K414" s="827">
        <v>8.670924022399463</v>
      </c>
      <c r="L414" s="838">
        <v>4.2661026190062632</v>
      </c>
      <c r="M414" s="827">
        <v>6.5206059298673456</v>
      </c>
      <c r="N414" s="1524">
        <v>259.53494437961211</v>
      </c>
      <c r="O414" s="827">
        <v>61.840666619098997</v>
      </c>
      <c r="P414" s="827">
        <v>16.163612194466705</v>
      </c>
      <c r="Q414" s="827">
        <v>21.944428303451904</v>
      </c>
      <c r="R414" s="827">
        <v>18.179361330646309</v>
      </c>
      <c r="S414" s="827">
        <v>20.262978811913154</v>
      </c>
    </row>
    <row r="415" spans="2:19">
      <c r="B415" s="187">
        <v>45044</v>
      </c>
      <c r="C415" s="827" t="e">
        <v>#REF!</v>
      </c>
      <c r="D415" s="838">
        <v>16.854518757808172</v>
      </c>
      <c r="E415" s="838">
        <v>398.27882388238652</v>
      </c>
      <c r="F415" s="827">
        <v>403.5099892873356</v>
      </c>
      <c r="G415" s="838">
        <v>28.456841760002575</v>
      </c>
      <c r="H415" s="838">
        <v>8.0490111041033536</v>
      </c>
      <c r="I415" s="827">
        <v>16.147668169398553</v>
      </c>
      <c r="J415" s="1572">
        <v>6.2671705761134531</v>
      </c>
      <c r="K415" s="827">
        <v>8.670924022399463</v>
      </c>
      <c r="L415" s="838">
        <v>4.2419114794106569</v>
      </c>
      <c r="M415" s="827">
        <v>6.5206059298673456</v>
      </c>
      <c r="N415" s="1524">
        <v>240.70467900062252</v>
      </c>
      <c r="O415" s="827">
        <v>61.840666619098997</v>
      </c>
      <c r="P415" s="827">
        <v>16.854518757808172</v>
      </c>
      <c r="Q415" s="827">
        <v>21.944428303451904</v>
      </c>
      <c r="R415" s="827">
        <v>17.663500045241474</v>
      </c>
      <c r="S415" s="827">
        <v>20.262978811913154</v>
      </c>
    </row>
    <row r="416" spans="2:19">
      <c r="B416" s="187">
        <v>45051</v>
      </c>
      <c r="C416" s="827" t="e">
        <v>#REF!</v>
      </c>
      <c r="D416" s="838">
        <v>16.630217531023757</v>
      </c>
      <c r="E416" s="838">
        <v>173.8465019746418</v>
      </c>
      <c r="F416" s="827">
        <v>403.5099892873356</v>
      </c>
      <c r="G416" s="838">
        <v>27.56268432756767</v>
      </c>
      <c r="H416" s="838">
        <v>10.653581328744318</v>
      </c>
      <c r="I416" s="827">
        <v>16.147668169398553</v>
      </c>
      <c r="J416" s="1572">
        <v>6.0155560900566272</v>
      </c>
      <c r="K416" s="827">
        <v>8.670924022399463</v>
      </c>
      <c r="L416" s="838">
        <v>4.283709497243307</v>
      </c>
      <c r="M416" s="827">
        <v>6.5206059298673456</v>
      </c>
      <c r="N416" s="1524">
        <v>134.14852857784823</v>
      </c>
      <c r="O416" s="827">
        <v>61.840666619098997</v>
      </c>
      <c r="P416" s="827">
        <v>16.630217531023757</v>
      </c>
      <c r="Q416" s="827">
        <v>21.944428303451904</v>
      </c>
      <c r="R416" s="827">
        <v>16.281480793955687</v>
      </c>
      <c r="S416" s="827">
        <v>20.262978811913154</v>
      </c>
    </row>
    <row r="417" spans="2:19">
      <c r="B417" s="187">
        <v>45058</v>
      </c>
      <c r="C417" s="827" t="e">
        <v>#REF!</v>
      </c>
      <c r="D417" s="838">
        <v>16.499784885415909</v>
      </c>
      <c r="E417" s="838">
        <v>153.14468362088769</v>
      </c>
      <c r="F417" s="827">
        <v>403.5099892873356</v>
      </c>
      <c r="G417" s="838">
        <v>26.31603696758037</v>
      </c>
      <c r="H417" s="838">
        <v>10.491648187582877</v>
      </c>
      <c r="I417" s="827">
        <v>16.147668169398553</v>
      </c>
      <c r="J417" s="1572">
        <v>6.0031552654943914</v>
      </c>
      <c r="K417" s="827">
        <v>8.670924022399463</v>
      </c>
      <c r="L417" s="838">
        <v>4.2216854838961329</v>
      </c>
      <c r="M417" s="827">
        <v>6.5206059298673456</v>
      </c>
      <c r="N417" s="1524">
        <v>131.6005907581559</v>
      </c>
      <c r="O417" s="827">
        <v>61.840666619098997</v>
      </c>
      <c r="P417" s="827">
        <v>16.499784885415909</v>
      </c>
      <c r="Q417" s="827">
        <v>21.944428303451904</v>
      </c>
      <c r="R417" s="827">
        <v>16.131465491930772</v>
      </c>
      <c r="S417" s="827">
        <v>20.262978811913154</v>
      </c>
    </row>
    <row r="418" spans="2:19">
      <c r="B418" s="187">
        <v>45065</v>
      </c>
      <c r="C418" s="827" t="e">
        <v>#REF!</v>
      </c>
      <c r="D418" s="838">
        <v>17.918858560073918</v>
      </c>
      <c r="E418" s="838">
        <v>148.79354265684711</v>
      </c>
      <c r="F418" s="827">
        <v>403.5099892873356</v>
      </c>
      <c r="G418" s="838">
        <v>27.29447892982914</v>
      </c>
      <c r="H418" s="838">
        <v>10.255371107757506</v>
      </c>
      <c r="I418" s="827">
        <v>16.147668169398553</v>
      </c>
      <c r="J418" s="1572">
        <v>6.2365779000903698</v>
      </c>
      <c r="K418" s="827">
        <v>8.670924022399463</v>
      </c>
      <c r="L418" s="838">
        <v>4.3854646421440338</v>
      </c>
      <c r="M418" s="827">
        <v>6.5206059298673456</v>
      </c>
      <c r="N418" s="1524">
        <v>127.16649898087444</v>
      </c>
      <c r="O418" s="827">
        <v>61.840666619098997</v>
      </c>
      <c r="P418" s="827">
        <v>17.918858560073918</v>
      </c>
      <c r="Q418" s="827">
        <v>21.944428303451904</v>
      </c>
      <c r="R418" s="827">
        <v>16.226438317377109</v>
      </c>
      <c r="S418" s="827">
        <v>20.262978811913154</v>
      </c>
    </row>
    <row r="419" spans="2:19">
      <c r="B419" s="187">
        <v>45072</v>
      </c>
      <c r="C419" s="827" t="e">
        <v>#REF!</v>
      </c>
      <c r="D419" s="838">
        <v>18.226317763947581</v>
      </c>
      <c r="E419" s="838">
        <v>143.27598038874356</v>
      </c>
      <c r="F419" s="827">
        <v>403.5099892873356</v>
      </c>
      <c r="G419" s="838">
        <v>27.744749699729546</v>
      </c>
      <c r="H419" s="838">
        <v>10.049125901303366</v>
      </c>
      <c r="I419" s="827">
        <v>16.147668169398553</v>
      </c>
      <c r="J419" s="1572">
        <v>6.4182572108548896</v>
      </c>
      <c r="K419" s="827">
        <v>8.670924022399463</v>
      </c>
      <c r="L419" s="838">
        <v>4.4303176431540585</v>
      </c>
      <c r="M419" s="827">
        <v>6.5206059298673456</v>
      </c>
      <c r="N419" s="1524">
        <v>126.39783056218418</v>
      </c>
      <c r="O419" s="827">
        <v>61.840666619098997</v>
      </c>
      <c r="P419" s="827">
        <v>18.226317763947581</v>
      </c>
      <c r="Q419" s="827">
        <v>21.944428303451904</v>
      </c>
      <c r="R419" s="827">
        <v>16.79021560272982</v>
      </c>
      <c r="S419" s="827">
        <v>20.262978811913154</v>
      </c>
    </row>
    <row r="420" spans="2:19">
      <c r="B420" s="187">
        <v>45079</v>
      </c>
      <c r="C420" s="827" t="e">
        <v>#REF!</v>
      </c>
      <c r="D420" s="838">
        <v>19.205934497771196</v>
      </c>
      <c r="E420" s="838">
        <v>139.52105669308526</v>
      </c>
      <c r="F420" s="827">
        <v>403.5099892873356</v>
      </c>
      <c r="G420" s="838">
        <v>29.142535326573384</v>
      </c>
      <c r="H420" s="838">
        <v>9.8618654327488446</v>
      </c>
      <c r="I420" s="827">
        <v>16.147668169398553</v>
      </c>
      <c r="J420" s="1572">
        <v>6.5520776887087377</v>
      </c>
      <c r="K420" s="827">
        <v>8.670924022399463</v>
      </c>
      <c r="L420" s="838">
        <v>4.615636474014801</v>
      </c>
      <c r="M420" s="827">
        <v>6.5206059298673456</v>
      </c>
      <c r="N420" s="1524">
        <v>122.70315688440188</v>
      </c>
      <c r="O420" s="827">
        <v>61.840666619098997</v>
      </c>
      <c r="P420" s="827">
        <v>19.205934497771196</v>
      </c>
      <c r="Q420" s="827">
        <v>21.944428303451904</v>
      </c>
      <c r="R420" s="827">
        <v>16.303845724711742</v>
      </c>
      <c r="S420" s="827">
        <v>20.262978811913154</v>
      </c>
    </row>
    <row r="421" spans="2:19">
      <c r="B421" s="187">
        <v>45086</v>
      </c>
      <c r="C421" s="827" t="e">
        <v>#REF!</v>
      </c>
      <c r="D421" s="838">
        <v>19.186893580668581</v>
      </c>
      <c r="E421" s="838">
        <v>142.1116884385587</v>
      </c>
      <c r="F421" s="827">
        <v>403.5099892873356</v>
      </c>
      <c r="G421" s="838">
        <v>29.478183022616797</v>
      </c>
      <c r="H421" s="838">
        <v>10.3722082288291</v>
      </c>
      <c r="I421" s="827">
        <v>16.147668169398553</v>
      </c>
      <c r="J421" s="1572">
        <v>6.5068871045519536</v>
      </c>
      <c r="K421" s="827">
        <v>8.670924022399463</v>
      </c>
      <c r="L421" s="838">
        <v>4.6552324805474061</v>
      </c>
      <c r="M421" s="827">
        <v>6.5206059298673456</v>
      </c>
      <c r="N421" s="1524">
        <v>128.38884839126624</v>
      </c>
      <c r="O421" s="827">
        <v>61.840666619098997</v>
      </c>
      <c r="P421" s="827">
        <v>19.186893580668581</v>
      </c>
      <c r="Q421" s="827">
        <v>21.944428303451904</v>
      </c>
      <c r="R421" s="827">
        <v>16.239904410820149</v>
      </c>
      <c r="S421" s="827">
        <v>20.262978811913154</v>
      </c>
    </row>
    <row r="422" spans="2:19">
      <c r="B422" s="187">
        <v>45093</v>
      </c>
      <c r="C422" s="827" t="e">
        <v>#REF!</v>
      </c>
      <c r="D422" s="838">
        <v>19.802973441911664</v>
      </c>
      <c r="E422" s="838">
        <v>144.39650517167541</v>
      </c>
      <c r="F422" s="827">
        <v>403.5099892873356</v>
      </c>
      <c r="G422" s="838">
        <v>30.03697226216542</v>
      </c>
      <c r="H422" s="838">
        <v>10.962530509250097</v>
      </c>
      <c r="I422" s="827">
        <v>16.147668169398553</v>
      </c>
      <c r="J422" s="1572">
        <v>6.7492736017033907</v>
      </c>
      <c r="K422" s="827">
        <v>8.670924022399463</v>
      </c>
      <c r="L422" s="838">
        <v>4.8278441166154566</v>
      </c>
      <c r="M422" s="827">
        <v>6.5206059298673456</v>
      </c>
      <c r="N422" s="1524">
        <v>129.65925412297412</v>
      </c>
      <c r="O422" s="827">
        <v>61.840666619098997</v>
      </c>
      <c r="P422" s="827">
        <v>19.802973441911664</v>
      </c>
      <c r="Q422" s="827">
        <v>21.944428303451904</v>
      </c>
      <c r="R422" s="827">
        <v>17.240913073437088</v>
      </c>
      <c r="S422" s="827">
        <v>20.262978811913154</v>
      </c>
    </row>
    <row r="423" spans="2:19">
      <c r="B423" s="187">
        <v>45100</v>
      </c>
      <c r="C423" s="827" t="e">
        <v>#REF!</v>
      </c>
      <c r="D423" s="838">
        <v>19.660843331117679</v>
      </c>
      <c r="E423" s="838">
        <v>140.30221171183655</v>
      </c>
      <c r="F423" s="827">
        <v>403.5099892873356</v>
      </c>
      <c r="G423" s="838">
        <v>29.921319446542409</v>
      </c>
      <c r="H423" s="838">
        <v>10.744255877286239</v>
      </c>
      <c r="I423" s="827">
        <v>16.147668169398553</v>
      </c>
      <c r="J423" s="1572">
        <v>6.5892308041013017</v>
      </c>
      <c r="K423" s="827">
        <v>8.670924022399463</v>
      </c>
      <c r="L423" s="838">
        <v>4.7791556058981435</v>
      </c>
      <c r="M423" s="827">
        <v>6.5206059298673456</v>
      </c>
      <c r="N423" s="1524">
        <v>125.95896013485959</v>
      </c>
      <c r="O423" s="827">
        <v>61.840666619098997</v>
      </c>
      <c r="P423" s="827">
        <v>19.660843331117679</v>
      </c>
      <c r="Q423" s="827">
        <v>21.944428303451904</v>
      </c>
      <c r="R423" s="827">
        <v>22466.803393863338</v>
      </c>
      <c r="S423" s="827">
        <v>20.262978811913154</v>
      </c>
    </row>
    <row r="424" spans="2:19">
      <c r="B424" s="187">
        <v>45107</v>
      </c>
      <c r="C424" s="827" t="e">
        <v>#REF!</v>
      </c>
      <c r="D424" s="838">
        <v>20.206083917149861</v>
      </c>
      <c r="E424" s="838">
        <v>140.77137308222973</v>
      </c>
      <c r="F424" s="827">
        <v>403.5099892873356</v>
      </c>
      <c r="G424" s="838">
        <v>30.135840991151497</v>
      </c>
      <c r="H424" s="838">
        <v>10.786980256570384</v>
      </c>
      <c r="I424" s="827">
        <v>16.147668169398553</v>
      </c>
      <c r="J424" s="1572">
        <v>6.7302950360686467</v>
      </c>
      <c r="K424" s="827">
        <v>8.670924022399463</v>
      </c>
      <c r="L424" s="838">
        <v>4.8734365751930913</v>
      </c>
      <c r="M424" s="827">
        <v>6.5206059298673456</v>
      </c>
      <c r="N424" s="1524">
        <v>125.34922266054478</v>
      </c>
      <c r="O424" s="827">
        <v>61.840666619098997</v>
      </c>
      <c r="P424" s="827">
        <v>20.206083917149861</v>
      </c>
      <c r="Q424" s="827">
        <v>21.944428303451904</v>
      </c>
      <c r="R424" s="827">
        <v>417.32147168241755</v>
      </c>
      <c r="S424" s="827">
        <v>20.262978811913154</v>
      </c>
    </row>
    <row r="425" spans="2:19">
      <c r="B425" s="187">
        <v>45114</v>
      </c>
      <c r="C425" s="827" t="e">
        <v>#REF!</v>
      </c>
      <c r="D425" s="838">
        <v>19.962518444300478</v>
      </c>
      <c r="E425" s="838">
        <v>135.98317133835488</v>
      </c>
      <c r="F425" s="827">
        <v>403.5099892873356</v>
      </c>
      <c r="G425" s="838">
        <v>29.726739072337786</v>
      </c>
      <c r="H425" s="838">
        <v>10.307912078576676</v>
      </c>
      <c r="I425" s="827">
        <v>16.147668169398553</v>
      </c>
      <c r="J425" s="1572">
        <v>6.6343680925732533</v>
      </c>
      <c r="K425" s="827">
        <v>8.670924022399463</v>
      </c>
      <c r="L425" s="838">
        <v>4.8029016180801909</v>
      </c>
      <c r="M425" s="827">
        <v>6.5206059298673456</v>
      </c>
      <c r="N425" s="1524">
        <v>117.62255867608317</v>
      </c>
      <c r="O425" s="827">
        <v>61.840666619098997</v>
      </c>
      <c r="P425" s="827">
        <v>19.962518444300478</v>
      </c>
      <c r="Q425" s="827">
        <v>21.944428303451904</v>
      </c>
      <c r="R425" s="827">
        <v>210.82626715859311</v>
      </c>
      <c r="S425" s="827">
        <v>20.262978811913154</v>
      </c>
    </row>
    <row r="426" spans="2:19">
      <c r="B426" s="187">
        <v>45121</v>
      </c>
      <c r="C426" s="827" t="e">
        <v>#REF!</v>
      </c>
      <c r="D426" s="838">
        <v>21.679232246168336</v>
      </c>
      <c r="E426" s="838">
        <v>145.79906771240988</v>
      </c>
      <c r="F426" s="827">
        <v>403.5099892873356</v>
      </c>
      <c r="G426" s="838">
        <v>32.025303718186812</v>
      </c>
      <c r="H426" s="838">
        <v>11.396780286732499</v>
      </c>
      <c r="I426" s="827">
        <v>16.147668169398553</v>
      </c>
      <c r="J426" s="1572">
        <v>6.8131573544443986</v>
      </c>
      <c r="K426" s="827">
        <v>8.670924022399463</v>
      </c>
      <c r="L426" s="838">
        <v>5.2662719898093071</v>
      </c>
      <c r="M426" s="827">
        <v>6.5206059298673456</v>
      </c>
      <c r="N426" s="1524">
        <v>130.1316048973697</v>
      </c>
      <c r="O426" s="827">
        <v>61.840666619098997</v>
      </c>
      <c r="P426" s="827">
        <v>21.679232246168336</v>
      </c>
      <c r="Q426" s="827">
        <v>21.944428303451904</v>
      </c>
      <c r="R426" s="827">
        <v>155.5930387353344</v>
      </c>
      <c r="S426" s="827">
        <v>20.262978811913154</v>
      </c>
    </row>
    <row r="427" spans="2:19">
      <c r="B427" s="187">
        <v>45128</v>
      </c>
      <c r="C427" s="827" t="e">
        <v>#REF!</v>
      </c>
      <c r="D427" s="838">
        <v>21.111375346532196</v>
      </c>
      <c r="E427" s="838">
        <v>137.36144316452942</v>
      </c>
      <c r="F427" s="827">
        <v>403.5099892873356</v>
      </c>
      <c r="G427" s="838">
        <v>31.001045935750994</v>
      </c>
      <c r="H427" s="838">
        <v>10.897007607251492</v>
      </c>
      <c r="I427" s="827">
        <v>16.147668169398553</v>
      </c>
      <c r="J427" s="1572">
        <v>6.8182316313656388</v>
      </c>
      <c r="K427" s="827">
        <v>8.670924022399463</v>
      </c>
      <c r="L427" s="838">
        <v>5.1348848297488248</v>
      </c>
      <c r="M427" s="827">
        <v>6.5206059298673456</v>
      </c>
      <c r="N427" s="1524">
        <v>121.13966991313082</v>
      </c>
      <c r="O427" s="827">
        <v>61.840666619098997</v>
      </c>
      <c r="P427" s="827">
        <v>21.111375346532196</v>
      </c>
      <c r="Q427" s="827">
        <v>21.944428303451904</v>
      </c>
      <c r="R427" s="827">
        <v>117.46434881917097</v>
      </c>
      <c r="S427" s="827">
        <v>20.262978811913154</v>
      </c>
    </row>
    <row r="428" spans="2:19">
      <c r="B428" s="187">
        <v>45135</v>
      </c>
      <c r="C428" s="827" t="e">
        <v>#REF!</v>
      </c>
      <c r="D428" s="838">
        <v>23.869823849939539</v>
      </c>
      <c r="E428" s="838">
        <v>138.59465855682248</v>
      </c>
      <c r="F428" s="827">
        <v>403.5099892873356</v>
      </c>
      <c r="G428" s="838">
        <v>31.850512299487523</v>
      </c>
      <c r="H428" s="838">
        <v>10.865265094858646</v>
      </c>
      <c r="I428" s="827">
        <v>16.147668169398553</v>
      </c>
      <c r="J428" s="1572">
        <v>6.80156594210536</v>
      </c>
      <c r="K428" s="827">
        <v>8.670924022399463</v>
      </c>
      <c r="L428" s="838">
        <v>5.2514617947610978</v>
      </c>
      <c r="M428" s="827">
        <v>6.5206059298673456</v>
      </c>
      <c r="N428" s="1524">
        <v>102.13798689411222</v>
      </c>
      <c r="O428" s="827">
        <v>61.840666619098997</v>
      </c>
      <c r="P428" s="827">
        <v>23.869823849939539</v>
      </c>
      <c r="Q428" s="827">
        <v>21.944428303451904</v>
      </c>
      <c r="R428" s="827">
        <v>98.382769591403729</v>
      </c>
      <c r="S428" s="827">
        <v>20.262978811913154</v>
      </c>
    </row>
    <row r="429" spans="2:19">
      <c r="B429" s="187">
        <v>45142</v>
      </c>
      <c r="C429" s="827" t="e">
        <v>#REF!</v>
      </c>
      <c r="D429" s="838">
        <v>22.296192825072996</v>
      </c>
      <c r="E429" s="838">
        <v>88.093754260792124</v>
      </c>
      <c r="F429" s="827">
        <v>403.5099892873356</v>
      </c>
      <c r="G429" s="838">
        <v>28.999590764697562</v>
      </c>
      <c r="H429" s="838">
        <v>9.1484951206292617</v>
      </c>
      <c r="I429" s="827">
        <v>16.147668169398553</v>
      </c>
      <c r="J429" s="1572">
        <v>6.7764033239436792</v>
      </c>
      <c r="K429" s="827">
        <v>8.670924022399463</v>
      </c>
      <c r="L429" s="838">
        <v>4.9184410913245484</v>
      </c>
      <c r="M429" s="827">
        <v>6.5206059298673456</v>
      </c>
      <c r="N429" s="1524">
        <v>83.136303875093617</v>
      </c>
      <c r="O429" s="827">
        <v>61.840666619098997</v>
      </c>
      <c r="P429" s="827">
        <v>22.296192825072996</v>
      </c>
      <c r="Q429" s="827">
        <v>21.944428303451904</v>
      </c>
      <c r="R429" s="827">
        <v>61.821831701075084</v>
      </c>
      <c r="S429" s="827">
        <v>20.262978811913154</v>
      </c>
    </row>
    <row r="430" spans="2:19">
      <c r="B430" s="187">
        <v>45149</v>
      </c>
      <c r="C430" s="827" t="e">
        <v>#REF!</v>
      </c>
      <c r="D430" s="838">
        <v>21.044601489661737</v>
      </c>
      <c r="E430" s="838">
        <v>82.593004923899969</v>
      </c>
      <c r="F430" s="827">
        <v>403.5099892873356</v>
      </c>
      <c r="G430" s="838">
        <v>27.51870099904389</v>
      </c>
      <c r="H430" s="838">
        <v>8.665860958103087</v>
      </c>
      <c r="I430" s="827">
        <v>16.147668169398553</v>
      </c>
      <c r="J430" s="1572">
        <v>6.6150204853765224</v>
      </c>
      <c r="K430" s="827">
        <v>8.670924022399463</v>
      </c>
      <c r="L430" s="838">
        <v>4.691157606856617</v>
      </c>
      <c r="M430" s="827">
        <v>6.5206059298673456</v>
      </c>
      <c r="N430" s="1524">
        <v>79.570767289130501</v>
      </c>
      <c r="O430" s="827">
        <v>61.840666619098997</v>
      </c>
      <c r="P430" s="827">
        <v>21.044601489661737</v>
      </c>
      <c r="Q430" s="827">
        <v>21.944428303451904</v>
      </c>
      <c r="R430" s="827">
        <v>48.888996281318654</v>
      </c>
      <c r="S430" s="827">
        <v>20.262978811913154</v>
      </c>
    </row>
    <row r="431" spans="2:19">
      <c r="B431" s="187">
        <v>45156</v>
      </c>
      <c r="C431" s="827" t="e">
        <v>#REF!</v>
      </c>
      <c r="D431" s="838">
        <v>19.804777491551551</v>
      </c>
      <c r="E431" s="838">
        <v>77.907104940313246</v>
      </c>
      <c r="F431" s="827">
        <v>403.5099892873356</v>
      </c>
      <c r="G431" s="838">
        <v>26.202668697879808</v>
      </c>
      <c r="H431" s="838">
        <v>8.2610876517540426</v>
      </c>
      <c r="I431" s="827">
        <v>16.147668169398553</v>
      </c>
      <c r="J431" s="1572">
        <v>6.505065732250249</v>
      </c>
      <c r="K431" s="827">
        <v>8.670924022399463</v>
      </c>
      <c r="L431" s="838">
        <v>4.4852821154494569</v>
      </c>
      <c r="M431" s="827">
        <v>6.5206059298673456</v>
      </c>
      <c r="N431" s="1524">
        <v>75.652861247320615</v>
      </c>
      <c r="O431" s="827">
        <v>61.840666619098997</v>
      </c>
      <c r="P431" s="827">
        <v>19.804777491551551</v>
      </c>
      <c r="Q431" s="827">
        <v>21.944428303451904</v>
      </c>
      <c r="R431" s="827">
        <v>44.408965756662973</v>
      </c>
      <c r="S431" s="827">
        <v>20.262978811913154</v>
      </c>
    </row>
    <row r="432" spans="2:19">
      <c r="B432" s="187">
        <v>45163</v>
      </c>
      <c r="C432" s="827" t="e">
        <v>#REF!</v>
      </c>
      <c r="D432" s="838">
        <v>20.23055806213549</v>
      </c>
      <c r="E432" s="838">
        <v>80.810907336544958</v>
      </c>
      <c r="F432" s="827">
        <v>403.5099892873356</v>
      </c>
      <c r="G432" s="838">
        <v>26.165965204186534</v>
      </c>
      <c r="H432" s="838">
        <v>8.6213333150845024</v>
      </c>
      <c r="I432" s="827">
        <v>16.147668169398553</v>
      </c>
      <c r="J432" s="1572">
        <v>6.6566542650995402</v>
      </c>
      <c r="K432" s="827">
        <v>8.670924022399463</v>
      </c>
      <c r="L432" s="838">
        <v>4.5565556074130464</v>
      </c>
      <c r="M432" s="827">
        <v>6.5206059298673456</v>
      </c>
      <c r="N432" s="1524">
        <v>78.581335739436724</v>
      </c>
      <c r="O432" s="827">
        <v>61.840666619098997</v>
      </c>
      <c r="P432" s="827">
        <v>20.23055806213549</v>
      </c>
      <c r="Q432" s="827">
        <v>21.944428303451904</v>
      </c>
      <c r="R432" s="827">
        <v>42.22840641193757</v>
      </c>
      <c r="S432" s="827">
        <v>20.262978811913154</v>
      </c>
    </row>
    <row r="433" spans="2:19">
      <c r="B433" s="187">
        <v>45170</v>
      </c>
      <c r="C433" s="827" t="e">
        <v>#REF!</v>
      </c>
      <c r="D433" s="838">
        <v>21.593152697994984</v>
      </c>
      <c r="E433" s="838">
        <v>95.544731003842685</v>
      </c>
      <c r="F433" s="827">
        <v>403.5099892873356</v>
      </c>
      <c r="G433" s="838">
        <v>27.513559026360522</v>
      </c>
      <c r="H433" s="838">
        <v>10.444262297469185</v>
      </c>
      <c r="I433" s="827">
        <v>16.147668169398553</v>
      </c>
      <c r="J433" s="1572">
        <v>6.8712018094421188</v>
      </c>
      <c r="K433" s="827">
        <v>8.670924022399463</v>
      </c>
      <c r="L433" s="838">
        <v>4.8799579722136315</v>
      </c>
      <c r="M433" s="827">
        <v>6.5206059298673456</v>
      </c>
      <c r="N433" s="1524">
        <v>93.672740498542325</v>
      </c>
      <c r="O433" s="827">
        <v>61.840666619098997</v>
      </c>
      <c r="P433" s="827">
        <v>21.593152697994984</v>
      </c>
      <c r="Q433" s="827">
        <v>21.944428303451904</v>
      </c>
      <c r="R433" s="827">
        <v>41.921909786294464</v>
      </c>
      <c r="S433" s="827">
        <v>20.262978811913154</v>
      </c>
    </row>
    <row r="434" spans="2:19">
      <c r="B434" s="187">
        <v>45177</v>
      </c>
      <c r="C434" s="827" t="e">
        <v>#REF!</v>
      </c>
      <c r="D434" s="838">
        <v>20.808024415614987</v>
      </c>
      <c r="E434" s="838">
        <v>89.113891683273863</v>
      </c>
      <c r="F434" s="827">
        <v>403.5099892873356</v>
      </c>
      <c r="G434" s="838">
        <v>27.415601695910716</v>
      </c>
      <c r="H434" s="838">
        <v>9.8056864242339721</v>
      </c>
      <c r="I434" s="827">
        <v>16.147668169398553</v>
      </c>
      <c r="J434" s="1572">
        <v>6.8582980613600739</v>
      </c>
      <c r="K434" s="827">
        <v>8.670924022399463</v>
      </c>
      <c r="L434" s="838">
        <v>4.8782992251883863</v>
      </c>
      <c r="M434" s="827">
        <v>6.5206059298673456</v>
      </c>
      <c r="N434" s="1524">
        <v>87.476500800849294</v>
      </c>
      <c r="O434" s="827">
        <v>61.840666619098997</v>
      </c>
      <c r="P434" s="827">
        <v>20.808024415614987</v>
      </c>
      <c r="Q434" s="827">
        <v>21.944428303451904</v>
      </c>
      <c r="R434" s="827">
        <v>39.985364998893999</v>
      </c>
      <c r="S434" s="827">
        <v>20.262978811913154</v>
      </c>
    </row>
    <row r="435" spans="2:19">
      <c r="B435" s="187">
        <v>45184</v>
      </c>
      <c r="C435" s="827" t="e">
        <v>#REF!</v>
      </c>
      <c r="D435" s="838">
        <v>19.982579372471179</v>
      </c>
      <c r="E435" s="838">
        <v>87.667176161273872</v>
      </c>
      <c r="F435" s="827">
        <v>403.5099892873356</v>
      </c>
      <c r="G435" s="838">
        <v>26.777179342244406</v>
      </c>
      <c r="H435" s="838">
        <v>9.7318234821225715</v>
      </c>
      <c r="I435" s="827">
        <v>16.147668169398553</v>
      </c>
      <c r="J435" s="1572">
        <v>6.6265646801864628</v>
      </c>
      <c r="K435" s="827">
        <v>8.670924022399463</v>
      </c>
      <c r="L435" s="838">
        <v>4.7735158041766326</v>
      </c>
      <c r="M435" s="827">
        <v>6.5206059298673456</v>
      </c>
      <c r="N435" s="1524">
        <v>86.45373982306802</v>
      </c>
      <c r="O435" s="827">
        <v>61.840666619098997</v>
      </c>
      <c r="P435" s="827">
        <v>19.982579372471179</v>
      </c>
      <c r="Q435" s="827">
        <v>21.944428303451904</v>
      </c>
      <c r="R435" s="827">
        <v>37.585297843313654</v>
      </c>
      <c r="S435" s="827">
        <v>20.262978811913154</v>
      </c>
    </row>
    <row r="436" spans="2:19">
      <c r="B436" s="187">
        <v>45191</v>
      </c>
      <c r="C436" s="827" t="e">
        <v>#REF!</v>
      </c>
      <c r="D436" s="838">
        <v>18.65444194719506</v>
      </c>
      <c r="E436" s="838">
        <v>74.059263874915189</v>
      </c>
      <c r="F436" s="827">
        <v>403.5099892873356</v>
      </c>
      <c r="G436" s="838">
        <v>25.077661193428028</v>
      </c>
      <c r="H436" s="838">
        <v>8.1403373189467221</v>
      </c>
      <c r="I436" s="827">
        <v>16.147668169398553</v>
      </c>
      <c r="J436" s="1572">
        <v>6.4334986985651703</v>
      </c>
      <c r="K436" s="827">
        <v>8.670924022399463</v>
      </c>
      <c r="L436" s="838">
        <v>4.4477107632139967</v>
      </c>
      <c r="M436" s="827">
        <v>6.5206059298673456</v>
      </c>
      <c r="N436" s="1524">
        <v>72.335495343877795</v>
      </c>
      <c r="O436" s="827">
        <v>61.840666619098997</v>
      </c>
      <c r="P436" s="827">
        <v>18.65444194719506</v>
      </c>
      <c r="Q436" s="827">
        <v>21.944428303451904</v>
      </c>
      <c r="R436" s="827">
        <v>34.216853832543755</v>
      </c>
      <c r="S436" s="827">
        <v>20.262978811913154</v>
      </c>
    </row>
    <row r="437" spans="2:19">
      <c r="B437" s="187">
        <v>45198</v>
      </c>
      <c r="C437" s="827" t="e">
        <v>#REF!</v>
      </c>
      <c r="D437" s="838">
        <v>18.761328114975989</v>
      </c>
      <c r="E437" s="838">
        <v>75.593050127071677</v>
      </c>
      <c r="F437" s="827">
        <v>403.5099892873356</v>
      </c>
      <c r="G437" s="838">
        <v>25.194652075397617</v>
      </c>
      <c r="H437" s="838">
        <v>8.4725858841480655</v>
      </c>
      <c r="I437" s="827">
        <v>16.147668169398553</v>
      </c>
      <c r="J437" s="1572">
        <v>6.3943917851204617</v>
      </c>
      <c r="K437" s="827">
        <v>8.670924022399463</v>
      </c>
      <c r="L437" s="838">
        <v>4.5106809940943187</v>
      </c>
      <c r="M437" s="827">
        <v>6.5206059298673456</v>
      </c>
      <c r="N437" s="1524">
        <v>76.14949279519422</v>
      </c>
      <c r="O437" s="827">
        <v>61.840666619098997</v>
      </c>
      <c r="P437" s="827">
        <v>18.761328114975989</v>
      </c>
      <c r="Q437" s="827">
        <v>21.944428303451904</v>
      </c>
      <c r="R437" s="827">
        <v>34.207798554524416</v>
      </c>
      <c r="S437" s="827">
        <v>20.262978811913154</v>
      </c>
    </row>
    <row r="438" spans="2:19">
      <c r="B438" s="187">
        <v>45205</v>
      </c>
      <c r="C438" s="827" t="e">
        <v>#REF!</v>
      </c>
      <c r="D438" s="838">
        <v>18.437949087447052</v>
      </c>
      <c r="E438" s="838">
        <v>73.685004229505509</v>
      </c>
      <c r="F438" s="827">
        <v>403.5099892873356</v>
      </c>
      <c r="G438" s="838">
        <v>25.29696715812948</v>
      </c>
      <c r="H438" s="838">
        <v>8.2165129641122761</v>
      </c>
      <c r="I438" s="827">
        <v>16.147668169398553</v>
      </c>
      <c r="J438" s="1572">
        <v>6.5010989499591139</v>
      </c>
      <c r="K438" s="827">
        <v>8.670924022399463</v>
      </c>
      <c r="L438" s="838">
        <v>4.5085845251656274</v>
      </c>
      <c r="M438" s="827">
        <v>6.5206059298673456</v>
      </c>
      <c r="N438" s="1524">
        <v>74.234028905983592</v>
      </c>
      <c r="O438" s="827">
        <v>61.840666619098997</v>
      </c>
      <c r="P438" s="827">
        <v>18.437949087447052</v>
      </c>
      <c r="Q438" s="827">
        <v>21.944428303451904</v>
      </c>
      <c r="R438" s="827">
        <v>33.156148185168355</v>
      </c>
      <c r="S438" s="827">
        <v>20.262978811913154</v>
      </c>
    </row>
    <row r="439" spans="2:19">
      <c r="B439" s="187">
        <v>45212</v>
      </c>
      <c r="C439" s="827" t="e">
        <v>#REF!</v>
      </c>
      <c r="D439" s="838">
        <v>17.98260046343924</v>
      </c>
      <c r="E439" s="838">
        <v>70.249859193662431</v>
      </c>
      <c r="F439" s="827">
        <v>403.5099892873356</v>
      </c>
      <c r="G439" s="838">
        <v>24.511739951673764</v>
      </c>
      <c r="H439" s="838">
        <v>7.8894963614578844</v>
      </c>
      <c r="I439" s="827">
        <v>16.147668169398553</v>
      </c>
      <c r="J439" s="1572">
        <v>6.4875228576683668</v>
      </c>
      <c r="K439" s="827">
        <v>8.670924022399463</v>
      </c>
      <c r="L439" s="838">
        <v>4.3739864303322822</v>
      </c>
      <c r="M439" s="827">
        <v>6.5206059298673456</v>
      </c>
      <c r="N439" s="1524">
        <v>70.394607738572347</v>
      </c>
      <c r="O439" s="827">
        <v>61.840666619098997</v>
      </c>
      <c r="P439" s="827">
        <v>17.98260046343924</v>
      </c>
      <c r="Q439" s="827">
        <v>21.944428303451904</v>
      </c>
      <c r="R439" s="827">
        <v>30.639879551184642</v>
      </c>
      <c r="S439" s="827">
        <v>20.262978811913154</v>
      </c>
    </row>
    <row r="440" spans="2:19">
      <c r="B440" s="187">
        <v>45219</v>
      </c>
      <c r="C440" s="827" t="e">
        <v>#REF!</v>
      </c>
      <c r="D440" s="838">
        <v>17.781055284153204</v>
      </c>
      <c r="E440" s="838">
        <v>68.578791050052061</v>
      </c>
      <c r="F440" s="827">
        <v>403.5099892873356</v>
      </c>
      <c r="G440" s="838">
        <v>23.581828122207011</v>
      </c>
      <c r="H440" s="838">
        <v>7.7124409564025358</v>
      </c>
      <c r="I440" s="827">
        <v>16.147668169398553</v>
      </c>
      <c r="J440" s="1572">
        <v>6.4699583725201633</v>
      </c>
      <c r="K440" s="827">
        <v>8.670924022399463</v>
      </c>
      <c r="L440" s="838">
        <v>4.2237742664425495</v>
      </c>
      <c r="M440" s="827">
        <v>6.5206059298673456</v>
      </c>
      <c r="N440" s="1524">
        <v>67.302596907713792</v>
      </c>
      <c r="O440" s="827">
        <v>61.840666619098997</v>
      </c>
      <c r="P440" s="827">
        <v>17.781055284153204</v>
      </c>
      <c r="Q440" s="827">
        <v>21.944428303451904</v>
      </c>
      <c r="R440" s="827">
        <v>30.621257856390365</v>
      </c>
      <c r="S440" s="827">
        <v>20.262978811913154</v>
      </c>
    </row>
    <row r="441" spans="2:19">
      <c r="B441" s="187">
        <v>45226</v>
      </c>
      <c r="C441" s="827" t="e">
        <v>#REF!</v>
      </c>
      <c r="D441" s="838">
        <v>16.612662456628012</v>
      </c>
      <c r="E441" s="838">
        <v>61.782523811836846</v>
      </c>
      <c r="F441" s="827">
        <v>403.5099892873356</v>
      </c>
      <c r="G441" s="838">
        <v>22.287752585905171</v>
      </c>
      <c r="H441" s="838">
        <v>6.9188404367826024</v>
      </c>
      <c r="I441" s="827">
        <v>16.147668169398553</v>
      </c>
      <c r="J441" s="1572">
        <v>6.0872077022880751</v>
      </c>
      <c r="K441" s="827">
        <v>8.670924022399463</v>
      </c>
      <c r="L441" s="838">
        <v>3.9912795199741384</v>
      </c>
      <c r="M441" s="827">
        <v>6.5206059298673456</v>
      </c>
      <c r="N441" s="1524">
        <v>60.210715159356745</v>
      </c>
      <c r="O441" s="827">
        <v>61.840666619098997</v>
      </c>
      <c r="P441" s="827">
        <v>16.612662456628012</v>
      </c>
      <c r="Q441" s="827">
        <v>21.944428303451904</v>
      </c>
      <c r="R441" s="827">
        <v>28.360628315994887</v>
      </c>
      <c r="S441" s="827">
        <v>20.262978811913154</v>
      </c>
    </row>
    <row r="442" spans="2:19">
      <c r="B442" s="187">
        <v>45233</v>
      </c>
      <c r="C442" s="827" t="e">
        <v>#REF!</v>
      </c>
      <c r="D442" s="838">
        <v>18.588439056105344</v>
      </c>
      <c r="E442" s="838">
        <v>65.209068420511613</v>
      </c>
      <c r="F442" s="827">
        <v>403.5099892873356</v>
      </c>
      <c r="G442" s="838">
        <v>23.777395472699315</v>
      </c>
      <c r="H442" s="838">
        <v>9.3381701436686129</v>
      </c>
      <c r="I442" s="827">
        <v>16.147668169398553</v>
      </c>
      <c r="J442" s="1572">
        <v>6.5927804721105732</v>
      </c>
      <c r="K442" s="827">
        <v>8.670924022399463</v>
      </c>
      <c r="L442" s="838">
        <v>4.5352236426164607</v>
      </c>
      <c r="M442" s="827">
        <v>6.5206059298673456</v>
      </c>
      <c r="N442" s="1524">
        <v>61.995610870895639</v>
      </c>
      <c r="O442" s="827">
        <v>61.840666619098997</v>
      </c>
      <c r="P442" s="827">
        <v>18.588439056105344</v>
      </c>
      <c r="Q442" s="827">
        <v>21.944428303451904</v>
      </c>
      <c r="R442" s="827">
        <v>30.460947661506406</v>
      </c>
      <c r="S442" s="827">
        <v>20.262978811913154</v>
      </c>
    </row>
    <row r="443" spans="2:19">
      <c r="B443" s="187">
        <v>45240</v>
      </c>
      <c r="C443" s="827" t="e">
        <v>#REF!</v>
      </c>
      <c r="D443" s="838">
        <v>18.426970625133507</v>
      </c>
      <c r="E443" s="838">
        <v>63.941474224789367</v>
      </c>
      <c r="F443" s="827">
        <v>403.5099892873356</v>
      </c>
      <c r="G443" s="838">
        <v>23.325238069542721</v>
      </c>
      <c r="H443" s="838">
        <v>9.2585096036806931</v>
      </c>
      <c r="I443" s="827">
        <v>16.147668169398553</v>
      </c>
      <c r="J443" s="1572">
        <v>6.7521898571304417</v>
      </c>
      <c r="K443" s="827">
        <v>8.670924022399463</v>
      </c>
      <c r="L443" s="838">
        <v>4.4175169622919874</v>
      </c>
      <c r="M443" s="827">
        <v>6.5206059298673456</v>
      </c>
      <c r="N443" s="1524">
        <v>61.373973287623016</v>
      </c>
      <c r="O443" s="827">
        <v>61.840666619098997</v>
      </c>
      <c r="P443" s="827">
        <v>18.426970625133507</v>
      </c>
      <c r="Q443" s="827">
        <v>21.944428303451904</v>
      </c>
      <c r="R443" s="827">
        <v>21.825391844234286</v>
      </c>
      <c r="S443" s="827">
        <v>20.262978811913154</v>
      </c>
    </row>
    <row r="444" spans="2:19">
      <c r="B444" s="187">
        <v>45247</v>
      </c>
      <c r="C444" s="827" t="e">
        <v>#REF!</v>
      </c>
      <c r="D444" s="838">
        <v>19.103169970578154</v>
      </c>
      <c r="E444" s="838">
        <v>69.790187758991024</v>
      </c>
      <c r="F444" s="827">
        <v>403.5099892873356</v>
      </c>
      <c r="G444" s="838">
        <v>24.170458816138275</v>
      </c>
      <c r="H444" s="838">
        <v>10.374425442110146</v>
      </c>
      <c r="I444" s="827">
        <v>16.147668169398553</v>
      </c>
      <c r="J444" s="1572">
        <v>6.9210909953907453</v>
      </c>
      <c r="K444" s="827">
        <v>8.670924022399463</v>
      </c>
      <c r="L444" s="838">
        <v>4.6375389487013798</v>
      </c>
      <c r="M444" s="827">
        <v>6.5206059298673456</v>
      </c>
      <c r="N444" s="1524">
        <v>67.300185532639034</v>
      </c>
      <c r="O444" s="827">
        <v>61.840666619098997</v>
      </c>
      <c r="P444" s="827">
        <v>19.103169970578154</v>
      </c>
      <c r="Q444" s="827">
        <v>21.944428303451904</v>
      </c>
      <c r="R444" s="827">
        <v>22.812475428233125</v>
      </c>
      <c r="S444" s="827">
        <v>20.262978811913154</v>
      </c>
    </row>
    <row r="445" spans="2:19">
      <c r="B445" s="187">
        <v>45254</v>
      </c>
      <c r="C445" s="827" t="e">
        <v>#REF!</v>
      </c>
      <c r="D445" s="838">
        <v>19.352048378359328</v>
      </c>
      <c r="E445" s="838">
        <v>70.981450987989149</v>
      </c>
      <c r="F445" s="827">
        <v>403.5099892873356</v>
      </c>
      <c r="G445" s="838">
        <v>24.262429559437926</v>
      </c>
      <c r="H445" s="838">
        <v>10.731286762594038</v>
      </c>
      <c r="I445" s="827">
        <v>16.147668169398553</v>
      </c>
      <c r="J445" s="1572">
        <v>7.0055152024124068</v>
      </c>
      <c r="K445" s="827">
        <v>8.670924022399463</v>
      </c>
      <c r="L445" s="838">
        <v>4.6976560152384383</v>
      </c>
      <c r="M445" s="827">
        <v>6.5206059298673456</v>
      </c>
      <c r="N445" s="1524">
        <v>69.234137822489586</v>
      </c>
      <c r="O445" s="827">
        <v>61.840666619098997</v>
      </c>
      <c r="P445" s="827">
        <v>19.352048378359328</v>
      </c>
      <c r="Q445" s="827">
        <v>21.944428303451904</v>
      </c>
      <c r="R445" s="827">
        <v>22.347807384678937</v>
      </c>
      <c r="S445" s="827">
        <v>20.262978811913154</v>
      </c>
    </row>
    <row r="446" spans="2:19">
      <c r="B446" s="187">
        <v>45261</v>
      </c>
      <c r="C446" s="827" t="e">
        <v>#REF!</v>
      </c>
      <c r="D446" s="838">
        <v>20.500385615274471</v>
      </c>
      <c r="E446" s="838">
        <v>74.031434593087212</v>
      </c>
      <c r="F446" s="827">
        <v>403.5099892873356</v>
      </c>
      <c r="G446" s="838">
        <v>25.240029168056999</v>
      </c>
      <c r="H446" s="838">
        <v>11.171931148072625</v>
      </c>
      <c r="I446" s="827">
        <v>16.147668169398553</v>
      </c>
      <c r="J446" s="1572">
        <v>7.2843873539533988</v>
      </c>
      <c r="K446" s="827">
        <v>8.670924022399463</v>
      </c>
      <c r="L446" s="838">
        <v>4.8749819814097268</v>
      </c>
      <c r="M446" s="827">
        <v>6.5206059298673456</v>
      </c>
      <c r="N446" s="1524">
        <v>71.748395164088734</v>
      </c>
      <c r="O446" s="827">
        <v>61.840666619098997</v>
      </c>
      <c r="P446" s="827">
        <v>20.500385615274471</v>
      </c>
      <c r="Q446" s="827">
        <v>21.944428303451904</v>
      </c>
      <c r="R446" s="827">
        <v>23.402408381286961</v>
      </c>
      <c r="S446" s="827">
        <v>20.262978811913154</v>
      </c>
    </row>
    <row r="447" spans="2:19">
      <c r="B447" s="187">
        <v>45268</v>
      </c>
      <c r="C447" s="827" t="e">
        <v>#REF!</v>
      </c>
      <c r="D447" s="838">
        <v>20.803300807282529</v>
      </c>
      <c r="E447" s="838">
        <v>71.719999268163278</v>
      </c>
      <c r="F447" s="827">
        <v>403.5099892873356</v>
      </c>
      <c r="G447" s="838">
        <v>25.430343589826936</v>
      </c>
      <c r="H447" s="838">
        <v>10.92763022610997</v>
      </c>
      <c r="I447" s="827">
        <v>16.147668169398553</v>
      </c>
      <c r="J447" s="1572">
        <v>7.1606045864583239</v>
      </c>
      <c r="K447" s="827">
        <v>8.670924022399463</v>
      </c>
      <c r="L447" s="838">
        <v>4.9400977191072677</v>
      </c>
      <c r="M447" s="827">
        <v>6.5206059298673456</v>
      </c>
      <c r="N447" s="1524">
        <v>68.007640694802674</v>
      </c>
      <c r="O447" s="827">
        <v>61.840666619098997</v>
      </c>
      <c r="P447" s="827">
        <v>20.803300807282529</v>
      </c>
      <c r="Q447" s="827">
        <v>21.944428303451904</v>
      </c>
      <c r="R447" s="827">
        <v>22.581038281874552</v>
      </c>
      <c r="S447" s="827">
        <v>20.262978811913154</v>
      </c>
    </row>
    <row r="448" spans="2:19">
      <c r="B448" s="187">
        <v>45275</v>
      </c>
      <c r="C448" s="827" t="e">
        <v>#REF!</v>
      </c>
      <c r="D448" s="838">
        <v>21.832644823066438</v>
      </c>
      <c r="E448" s="838">
        <v>75.396395420233318</v>
      </c>
      <c r="F448" s="827">
        <v>403.5099892873356</v>
      </c>
      <c r="G448" s="838">
        <v>27.02740442795637</v>
      </c>
      <c r="H448" s="838">
        <v>11.55056282841354</v>
      </c>
      <c r="I448" s="827">
        <v>16.147668169398553</v>
      </c>
      <c r="J448" s="1572">
        <v>7.1271070943964387</v>
      </c>
      <c r="K448" s="827">
        <v>8.670924022399463</v>
      </c>
      <c r="L448" s="838">
        <v>5.1987384974210853</v>
      </c>
      <c r="M448" s="827">
        <v>6.5206059298673456</v>
      </c>
      <c r="N448" s="1524">
        <v>71.441686396946096</v>
      </c>
      <c r="O448" s="827">
        <v>61.840666619098997</v>
      </c>
      <c r="P448" s="827">
        <v>21.832644823066438</v>
      </c>
      <c r="Q448" s="827">
        <v>21.944428303451904</v>
      </c>
      <c r="R448" s="827">
        <v>22.822287189080846</v>
      </c>
      <c r="S448" s="827">
        <v>20.262978811913154</v>
      </c>
    </row>
    <row r="449" spans="2:19">
      <c r="B449" s="187">
        <v>45282</v>
      </c>
      <c r="C449" s="827" t="e">
        <v>#REF!</v>
      </c>
      <c r="D449" s="838">
        <v>21.875925231187193</v>
      </c>
      <c r="E449" s="838">
        <v>74.91236335782115</v>
      </c>
      <c r="F449" s="827">
        <v>403.5099892873356</v>
      </c>
      <c r="G449" s="838">
        <v>27.382597401368336</v>
      </c>
      <c r="H449" s="838">
        <v>11.505017161275783</v>
      </c>
      <c r="I449" s="827">
        <v>16.147668169398553</v>
      </c>
      <c r="J449" s="1572">
        <v>7.2623371436998037</v>
      </c>
      <c r="K449" s="827">
        <v>8.670924022399463</v>
      </c>
      <c r="L449" s="838">
        <v>5.2302204027010752</v>
      </c>
      <c r="M449" s="827">
        <v>6.5206059298673456</v>
      </c>
      <c r="N449" s="1524">
        <v>70.874139505935133</v>
      </c>
      <c r="O449" s="827">
        <v>61.840666619098997</v>
      </c>
      <c r="P449" s="827">
        <v>21.875925231187193</v>
      </c>
      <c r="Q449" s="827">
        <v>21.944428303451904</v>
      </c>
      <c r="R449" s="827">
        <v>23.395780352293638</v>
      </c>
      <c r="S449" s="827">
        <v>20.262978811913154</v>
      </c>
    </row>
    <row r="450" spans="2:19">
      <c r="B450" s="187">
        <v>45289</v>
      </c>
      <c r="C450" s="827" t="e">
        <v>#REF!</v>
      </c>
      <c r="D450" s="838">
        <v>21.507954920150212</v>
      </c>
      <c r="E450" s="838">
        <v>75.47299965547883</v>
      </c>
      <c r="F450" s="827">
        <v>403.5099892873356</v>
      </c>
      <c r="G450" s="838">
        <v>27.03944224465441</v>
      </c>
      <c r="H450" s="838">
        <v>11.674121732582423</v>
      </c>
      <c r="I450" s="827">
        <v>16.147668169398553</v>
      </c>
      <c r="J450" s="1572">
        <v>7.2415747775542378</v>
      </c>
      <c r="K450" s="827">
        <v>8.670924022399463</v>
      </c>
      <c r="L450" s="838">
        <v>5.173550919851964</v>
      </c>
      <c r="M450" s="827">
        <v>6.5206059298673456</v>
      </c>
      <c r="N450" s="1524">
        <v>71.338598744677782</v>
      </c>
      <c r="O450" s="827">
        <v>61.840666619098997</v>
      </c>
      <c r="P450" s="827">
        <v>21.507954920150212</v>
      </c>
      <c r="Q450" s="827">
        <v>21.944428303451904</v>
      </c>
      <c r="R450" s="827">
        <v>23.092185857477272</v>
      </c>
      <c r="S450" s="827">
        <v>20.262978811913154</v>
      </c>
    </row>
    <row r="451" spans="2:19">
      <c r="B451" s="187">
        <v>45296</v>
      </c>
      <c r="C451" s="827" t="e">
        <v>#REF!</v>
      </c>
      <c r="D451" s="838">
        <v>20.336770282624691</v>
      </c>
      <c r="E451" s="838">
        <v>71.384412100841061</v>
      </c>
      <c r="F451" s="827">
        <v>403.5099892873356</v>
      </c>
      <c r="G451" s="838">
        <v>25.941415507713632</v>
      </c>
      <c r="H451" s="838">
        <v>11.088020321351701</v>
      </c>
      <c r="I451" s="827">
        <v>16.147668169398553</v>
      </c>
      <c r="J451" s="1572">
        <v>6.8683338010905786</v>
      </c>
      <c r="K451" s="827">
        <v>8.670924022399463</v>
      </c>
      <c r="L451" s="838">
        <v>4.9648540501127307</v>
      </c>
      <c r="M451" s="827">
        <v>6.5206059298673456</v>
      </c>
      <c r="N451" s="1524">
        <v>67.305004059332987</v>
      </c>
      <c r="O451" s="827">
        <v>61.840666619098997</v>
      </c>
      <c r="P451" s="827">
        <v>20.336770282624691</v>
      </c>
      <c r="Q451" s="827">
        <v>21.944428303451904</v>
      </c>
      <c r="R451" s="827">
        <v>21.236163817091132</v>
      </c>
      <c r="S451" s="827">
        <v>20.262978811913154</v>
      </c>
    </row>
    <row r="452" spans="2:19">
      <c r="B452" s="187">
        <v>45303</v>
      </c>
      <c r="C452" s="827" t="e">
        <v>#REF!</v>
      </c>
      <c r="D452" s="838">
        <v>20.731352329240199</v>
      </c>
      <c r="E452" s="838">
        <v>77.307906946352873</v>
      </c>
      <c r="F452" s="827">
        <v>403.5099892873356</v>
      </c>
      <c r="G452" s="838">
        <v>26.379055014812636</v>
      </c>
      <c r="H452" s="838">
        <v>12.077489310333664</v>
      </c>
      <c r="I452" s="827">
        <v>16.147668169398553</v>
      </c>
      <c r="J452" s="1572">
        <v>7.201151088280672</v>
      </c>
      <c r="K452" s="827">
        <v>8.670924022399463</v>
      </c>
      <c r="L452" s="838">
        <v>5.1187259105550407</v>
      </c>
      <c r="M452" s="827">
        <v>6.5206059298673456</v>
      </c>
      <c r="N452" s="1524">
        <v>72.766395366015175</v>
      </c>
      <c r="O452" s="827">
        <v>61.840666619098997</v>
      </c>
      <c r="P452" s="827">
        <v>20.731352329240199</v>
      </c>
      <c r="Q452" s="827">
        <v>21.944428303451904</v>
      </c>
      <c r="R452" s="827">
        <v>21.981596307211106</v>
      </c>
      <c r="S452" s="827">
        <v>20.262978811913154</v>
      </c>
    </row>
    <row r="453" spans="2:19">
      <c r="B453" s="187">
        <v>45310</v>
      </c>
      <c r="C453" s="827" t="e">
        <v>#REF!</v>
      </c>
      <c r="D453" s="838">
        <v>20.577087345784452</v>
      </c>
      <c r="E453" s="838">
        <v>75.370969581912021</v>
      </c>
      <c r="F453" s="827">
        <v>403.5099892873356</v>
      </c>
      <c r="G453" s="838">
        <v>26.211717689911719</v>
      </c>
      <c r="H453" s="838">
        <v>11.791381365578376</v>
      </c>
      <c r="I453" s="827">
        <v>16.147668169398553</v>
      </c>
      <c r="J453" s="1572">
        <v>7.3159323691379434</v>
      </c>
      <c r="K453" s="827">
        <v>8.670924022399463</v>
      </c>
      <c r="L453" s="838">
        <v>5.1471440165619988</v>
      </c>
      <c r="M453" s="827">
        <v>6.5206059298673456</v>
      </c>
      <c r="N453" s="1524">
        <v>70.817253312690013</v>
      </c>
      <c r="O453" s="827">
        <v>61.840666619098997</v>
      </c>
      <c r="P453" s="827">
        <v>20.577087345784452</v>
      </c>
      <c r="Q453" s="827">
        <v>21.944428303451904</v>
      </c>
      <c r="R453" s="827">
        <v>22.161573208971099</v>
      </c>
      <c r="S453" s="827">
        <v>20.262978811913154</v>
      </c>
    </row>
    <row r="454" spans="2:19">
      <c r="B454" s="187">
        <v>45317</v>
      </c>
      <c r="C454" s="827" t="e">
        <v>#REF!</v>
      </c>
      <c r="D454" s="838">
        <v>20.631989599997276</v>
      </c>
      <c r="E454" s="838">
        <v>76.341073004439195</v>
      </c>
      <c r="F454" s="827">
        <v>403.5099892873356</v>
      </c>
      <c r="G454" s="838">
        <v>26.894587377237997</v>
      </c>
      <c r="H454" s="838">
        <v>12.010296207030912</v>
      </c>
      <c r="I454" s="827">
        <v>16.147668169398553</v>
      </c>
      <c r="J454" s="1572">
        <v>7.2889634019431435</v>
      </c>
      <c r="K454" s="827">
        <v>8.670924022399463</v>
      </c>
      <c r="L454" s="838">
        <v>5.3068106803349719</v>
      </c>
      <c r="M454" s="827">
        <v>6.5206059298673456</v>
      </c>
      <c r="N454" s="1524">
        <v>71.90566509996836</v>
      </c>
      <c r="O454" s="827">
        <v>61.840666619098997</v>
      </c>
      <c r="P454" s="827">
        <v>20.631989599997276</v>
      </c>
      <c r="Q454" s="827">
        <v>21.944428303451904</v>
      </c>
      <c r="R454" s="827">
        <v>22.071091363343292</v>
      </c>
      <c r="S454" s="827">
        <v>20.262978811913154</v>
      </c>
    </row>
    <row r="455" spans="2:19">
      <c r="B455" s="187">
        <v>45324</v>
      </c>
      <c r="C455" s="827" t="e">
        <v>#REF!</v>
      </c>
      <c r="D455" s="838">
        <v>20.837760528225981</v>
      </c>
      <c r="E455" s="838">
        <v>77.211226938813667</v>
      </c>
      <c r="F455" s="827">
        <v>403.5099892873356</v>
      </c>
      <c r="G455" s="838">
        <v>26.973539656038426</v>
      </c>
      <c r="H455" s="838">
        <v>12.182973418936552</v>
      </c>
      <c r="I455" s="827">
        <v>16.147668169398553</v>
      </c>
      <c r="J455" s="1572">
        <v>7.3321729608025157</v>
      </c>
      <c r="K455" s="827">
        <v>8.670924022399463</v>
      </c>
      <c r="L455" s="838">
        <v>5.398815035115863</v>
      </c>
      <c r="M455" s="827">
        <v>6.5206059298673456</v>
      </c>
      <c r="N455" s="1524">
        <v>72.684428462246515</v>
      </c>
      <c r="O455" s="827">
        <v>61.840666619098997</v>
      </c>
      <c r="P455" s="827">
        <v>20.837760528225981</v>
      </c>
      <c r="Q455" s="827">
        <v>21.944428303451904</v>
      </c>
      <c r="R455" s="827">
        <v>22.234745499703731</v>
      </c>
      <c r="S455" s="827">
        <v>20.262978811913154</v>
      </c>
    </row>
    <row r="456" spans="2:19">
      <c r="B456" s="187">
        <v>45331</v>
      </c>
      <c r="C456" s="827" t="e">
        <v>#REF!</v>
      </c>
      <c r="D456" s="838">
        <v>18.892593076754146</v>
      </c>
      <c r="E456" s="838">
        <v>83.094074546156321</v>
      </c>
      <c r="F456" s="827">
        <v>403.5099892873356</v>
      </c>
      <c r="G456" s="838">
        <v>26.42373563609241</v>
      </c>
      <c r="H456" s="838">
        <v>13.283877897512927</v>
      </c>
      <c r="I456" s="827">
        <v>16.147668169398553</v>
      </c>
      <c r="J456" s="1572">
        <v>7.3870233667415208</v>
      </c>
      <c r="K456" s="827">
        <v>8.670924022399463</v>
      </c>
      <c r="L456" s="838">
        <v>5.3733636850595472</v>
      </c>
      <c r="M456" s="827">
        <v>6.5206059298673456</v>
      </c>
      <c r="N456" s="1524">
        <v>79.10343832373465</v>
      </c>
      <c r="O456" s="827">
        <v>61.840666619098997</v>
      </c>
      <c r="P456" s="827">
        <v>18.892593076754146</v>
      </c>
      <c r="Q456" s="827">
        <v>21.944428303451904</v>
      </c>
      <c r="R456" s="827">
        <v>22.63662424988388</v>
      </c>
      <c r="S456" s="827">
        <v>20.262978811913154</v>
      </c>
    </row>
    <row r="457" spans="2:19">
      <c r="B457" s="187">
        <v>45338</v>
      </c>
      <c r="C457" s="827" t="e">
        <v>#REF!</v>
      </c>
      <c r="D457" s="838">
        <v>19.599660067011115</v>
      </c>
      <c r="E457" s="838">
        <v>75.508201125089855</v>
      </c>
      <c r="F457" s="827">
        <v>403.5099892873356</v>
      </c>
      <c r="G457" s="838">
        <v>27.520093644081506</v>
      </c>
      <c r="H457" s="838">
        <v>11.579545623600753</v>
      </c>
      <c r="I457" s="827">
        <v>16.147668169398553</v>
      </c>
      <c r="J457" s="1572">
        <v>6.9991739003297626</v>
      </c>
      <c r="K457" s="827">
        <v>8.670924022399463</v>
      </c>
      <c r="L457" s="838">
        <v>5.4875222504397625</v>
      </c>
      <c r="M457" s="827">
        <v>6.5206059298673456</v>
      </c>
      <c r="N457" s="1524">
        <v>72.074744962479372</v>
      </c>
      <c r="O457" s="827">
        <v>61.840666619098997</v>
      </c>
      <c r="P457" s="827">
        <v>19.599660067011115</v>
      </c>
      <c r="Q457" s="827">
        <v>21.944428303451904</v>
      </c>
      <c r="R457" s="827">
        <v>21.602927517793493</v>
      </c>
      <c r="S457" s="827">
        <v>20.262978811913154</v>
      </c>
    </row>
    <row r="458" spans="2:19">
      <c r="B458" s="187">
        <v>45345</v>
      </c>
      <c r="C458" s="827" t="e">
        <v>#REF!</v>
      </c>
      <c r="D458" s="838">
        <v>19.126646223440225</v>
      </c>
      <c r="E458" s="838">
        <v>71.035426123576116</v>
      </c>
      <c r="F458" s="827">
        <v>403.5099892873356</v>
      </c>
      <c r="G458" s="838">
        <v>26.823979269056522</v>
      </c>
      <c r="H458" s="838">
        <v>10.759339213518508</v>
      </c>
      <c r="I458" s="827">
        <v>16.147668169398553</v>
      </c>
      <c r="J458" s="1572">
        <v>7.1080357257752302</v>
      </c>
      <c r="K458" s="827">
        <v>8.670924022399463</v>
      </c>
      <c r="L458" s="838">
        <v>5.3552783517203668</v>
      </c>
      <c r="M458" s="827">
        <v>6.5206059298673456</v>
      </c>
      <c r="N458" s="1524">
        <v>66.903121337312442</v>
      </c>
      <c r="O458" s="827">
        <v>61.840666619098997</v>
      </c>
      <c r="P458" s="827">
        <v>19.126646223440225</v>
      </c>
      <c r="Q458" s="827">
        <v>21.944428303451904</v>
      </c>
      <c r="R458" s="827">
        <v>22.258523279589479</v>
      </c>
      <c r="S458" s="827">
        <v>20.262978811913154</v>
      </c>
    </row>
    <row r="459" spans="2:19">
      <c r="B459" s="187">
        <v>45352</v>
      </c>
      <c r="C459" s="827" t="e">
        <v>#REF!</v>
      </c>
      <c r="D459" s="838">
        <v>19.620605268982764</v>
      </c>
      <c r="E459" s="838">
        <v>70.889321767177591</v>
      </c>
      <c r="F459" s="827">
        <v>403.5099892873356</v>
      </c>
      <c r="G459" s="838">
        <v>27.281795376574564</v>
      </c>
      <c r="H459" s="838">
        <v>10.7797299680243</v>
      </c>
      <c r="I459" s="827">
        <v>16.147668169398553</v>
      </c>
      <c r="J459" s="1572">
        <v>7.2779527680467728</v>
      </c>
      <c r="K459" s="827">
        <v>8.670924022399463</v>
      </c>
      <c r="L459" s="838">
        <v>5.4851468994303936</v>
      </c>
      <c r="M459" s="827">
        <v>6.5206059298673456</v>
      </c>
      <c r="N459" s="1524">
        <v>66.851847712851253</v>
      </c>
      <c r="O459" s="827">
        <v>61.840666619098997</v>
      </c>
      <c r="P459" s="827">
        <v>19.620605268982764</v>
      </c>
      <c r="Q459" s="827">
        <v>21.944428303451904</v>
      </c>
      <c r="R459" s="827">
        <v>22.764976920887182</v>
      </c>
      <c r="S459" s="827">
        <v>20.262978811913154</v>
      </c>
    </row>
    <row r="460" spans="2:19">
      <c r="B460" s="187">
        <v>45359</v>
      </c>
      <c r="C460" s="827" t="e">
        <v>#REF!</v>
      </c>
      <c r="D460" s="838">
        <v>19.76348570027811</v>
      </c>
      <c r="E460" s="838">
        <v>70.058506580035484</v>
      </c>
      <c r="F460" s="827">
        <v>403.5099892873356</v>
      </c>
      <c r="G460" s="838">
        <v>27.159709886567228</v>
      </c>
      <c r="H460" s="838">
        <v>10.699737035503594</v>
      </c>
      <c r="I460" s="827">
        <v>16.147668169398553</v>
      </c>
      <c r="J460" s="1572">
        <v>7.0910023926318573</v>
      </c>
      <c r="K460" s="827">
        <v>8.670924022399463</v>
      </c>
      <c r="L460" s="838">
        <v>5.4595426267380862</v>
      </c>
      <c r="M460" s="827">
        <v>6.5206059298673456</v>
      </c>
      <c r="N460" s="1524">
        <v>67.216157245298049</v>
      </c>
      <c r="O460" s="827">
        <v>61.840666619098997</v>
      </c>
      <c r="P460" s="827">
        <v>19.76348570027811</v>
      </c>
      <c r="Q460" s="827">
        <v>21.944428303451904</v>
      </c>
      <c r="R460" s="827">
        <v>22.151387538975495</v>
      </c>
      <c r="S460" s="827">
        <v>20.262978811913154</v>
      </c>
    </row>
    <row r="461" spans="2:19">
      <c r="B461" s="187">
        <v>45366</v>
      </c>
      <c r="C461" s="827" t="e">
        <v>#REF!</v>
      </c>
      <c r="D461" s="838">
        <v>18.716052253420511</v>
      </c>
      <c r="E461" s="838">
        <v>70.743257177277115</v>
      </c>
      <c r="F461" s="827">
        <v>403.5099892873356</v>
      </c>
      <c r="G461" s="838">
        <v>25.971869644459463</v>
      </c>
      <c r="H461" s="838">
        <v>10.777106033667623</v>
      </c>
      <c r="I461" s="827">
        <v>16.147668169398553</v>
      </c>
      <c r="J461" s="1572">
        <v>6.8077204879850148</v>
      </c>
      <c r="K461" s="827">
        <v>8.670924022399463</v>
      </c>
      <c r="L461" s="838">
        <v>5.2689376165118977</v>
      </c>
      <c r="M461" s="827">
        <v>6.5206059298673456</v>
      </c>
      <c r="N461" s="1524">
        <v>68.328915204904675</v>
      </c>
      <c r="O461" s="827">
        <v>61.840666619098997</v>
      </c>
      <c r="P461" s="827">
        <v>18.716052253420511</v>
      </c>
      <c r="Q461" s="827">
        <v>21.944428303451904</v>
      </c>
      <c r="R461" s="827">
        <v>21.123585502047341</v>
      </c>
      <c r="S461" s="827">
        <v>20.262978811913154</v>
      </c>
    </row>
    <row r="462" spans="2:19">
      <c r="B462" s="187">
        <v>45373</v>
      </c>
      <c r="C462" s="827" t="e">
        <v>#REF!</v>
      </c>
      <c r="D462" s="838">
        <v>19.613826152221183</v>
      </c>
      <c r="E462" s="838">
        <v>71.722423288576977</v>
      </c>
      <c r="F462" s="827">
        <v>403.5099892873356</v>
      </c>
      <c r="G462" s="838">
        <v>27.420914176983953</v>
      </c>
      <c r="H462" s="838">
        <v>10.931743323166703</v>
      </c>
      <c r="I462" s="827">
        <v>16.147668169398553</v>
      </c>
      <c r="J462" s="1572">
        <v>6.9122138861753868</v>
      </c>
      <c r="K462" s="827">
        <v>8.670924022399463</v>
      </c>
      <c r="L462" s="838">
        <v>5.5318250377926228</v>
      </c>
      <c r="M462" s="827">
        <v>6.5206059298673456</v>
      </c>
      <c r="N462" s="1524">
        <v>69.293704976932929</v>
      </c>
      <c r="O462" s="827">
        <v>61.840666619098997</v>
      </c>
      <c r="P462" s="827">
        <v>19.613826152221183</v>
      </c>
      <c r="Q462" s="827">
        <v>21.944428303451904</v>
      </c>
      <c r="R462" s="827">
        <v>21.634963735193281</v>
      </c>
      <c r="S462" s="827">
        <v>20.262978811913154</v>
      </c>
    </row>
    <row r="463" spans="2:19">
      <c r="B463" s="187">
        <v>45380</v>
      </c>
      <c r="C463" s="827" t="e">
        <v>#REF!</v>
      </c>
      <c r="D463" s="838">
        <v>19.356153502368567</v>
      </c>
      <c r="E463" s="838">
        <v>69.8933919724129</v>
      </c>
      <c r="F463" s="827">
        <v>403.5099892873356</v>
      </c>
      <c r="G463" s="838">
        <v>27.142524142654789</v>
      </c>
      <c r="H463" s="838">
        <v>10.581071964738028</v>
      </c>
      <c r="I463" s="827">
        <v>16.147668169398553</v>
      </c>
      <c r="J463" s="1572">
        <v>6.793772032656169</v>
      </c>
      <c r="K463" s="827">
        <v>8.670924022399463</v>
      </c>
      <c r="L463" s="838">
        <v>5.4377506968739819</v>
      </c>
      <c r="M463" s="827">
        <v>6.5206059298673456</v>
      </c>
      <c r="N463" s="1524">
        <v>67.44139487894239</v>
      </c>
      <c r="O463" s="827">
        <v>61.840666619098997</v>
      </c>
      <c r="P463" s="827">
        <v>19.356153502368567</v>
      </c>
      <c r="Q463" s="827">
        <v>21.944428303451904</v>
      </c>
      <c r="R463" s="827">
        <v>21.172728310191292</v>
      </c>
      <c r="S463" s="827">
        <v>20.262978811913154</v>
      </c>
    </row>
    <row r="464" spans="2:19">
      <c r="B464" s="187">
        <v>45387</v>
      </c>
      <c r="C464" s="827" t="e">
        <v>#REF!</v>
      </c>
      <c r="D464" s="838">
        <v>19.003001624404263</v>
      </c>
      <c r="E464" s="838">
        <v>68.213157781709555</v>
      </c>
      <c r="F464" s="827">
        <v>403.5099892873356</v>
      </c>
      <c r="G464" s="838">
        <v>26.827704349700674</v>
      </c>
      <c r="H464" s="838">
        <v>10.241772838584804</v>
      </c>
      <c r="I464" s="827">
        <v>16.147668169398553</v>
      </c>
      <c r="J464" s="1572">
        <v>6.7103418142255178</v>
      </c>
      <c r="K464" s="827">
        <v>8.670924022399463</v>
      </c>
      <c r="L464" s="838">
        <v>5.4272188436296283</v>
      </c>
      <c r="M464" s="827">
        <v>6.5206059298673456</v>
      </c>
      <c r="N464" s="1524">
        <v>65.014240614470651</v>
      </c>
      <c r="O464" s="827">
        <v>61.840666619098997</v>
      </c>
      <c r="P464" s="827">
        <v>19.003001624404263</v>
      </c>
      <c r="Q464" s="827">
        <v>21.944428303451904</v>
      </c>
      <c r="R464" s="827">
        <v>20.649678881310848</v>
      </c>
      <c r="S464" s="827">
        <v>20.262978811913154</v>
      </c>
    </row>
    <row r="465" spans="2:19">
      <c r="B465" s="187">
        <v>45394</v>
      </c>
      <c r="C465" s="827" t="e">
        <v>#REF!</v>
      </c>
      <c r="D465" s="838">
        <v>18.672667802510638</v>
      </c>
      <c r="E465" s="838">
        <v>63.168526047270987</v>
      </c>
      <c r="F465" s="827">
        <v>403.5099892873356</v>
      </c>
      <c r="G465" s="838">
        <v>26.553290002722374</v>
      </c>
      <c r="H465" s="838">
        <v>9.4764356018297153</v>
      </c>
      <c r="I465" s="827">
        <v>16.147668169398553</v>
      </c>
      <c r="J465" s="1572">
        <v>6.5364282828259981</v>
      </c>
      <c r="K465" s="827">
        <v>8.670924022399463</v>
      </c>
      <c r="L465" s="838">
        <v>5.3131936429745066</v>
      </c>
      <c r="M465" s="827">
        <v>6.5206059298673456</v>
      </c>
      <c r="N465" s="1524">
        <v>60.277883839867421</v>
      </c>
      <c r="O465" s="827">
        <v>61.840666619098997</v>
      </c>
      <c r="P465" s="827">
        <v>18.672667802510638</v>
      </c>
      <c r="Q465" s="827">
        <v>21.944428303451904</v>
      </c>
      <c r="R465" s="827">
        <v>19.951295491216495</v>
      </c>
      <c r="S465" s="827">
        <v>20.262978811913154</v>
      </c>
    </row>
    <row r="466" spans="2:19">
      <c r="B466" s="187">
        <v>45401</v>
      </c>
      <c r="C466" s="827" t="e">
        <v>#REF!</v>
      </c>
      <c r="D466" s="838">
        <v>17.443197596944227</v>
      </c>
      <c r="E466" s="838">
        <v>62.44354022158987</v>
      </c>
      <c r="F466" s="827">
        <v>403.5099892873356</v>
      </c>
      <c r="G466" s="838">
        <v>24.605378605079402</v>
      </c>
      <c r="H466" s="838">
        <v>9.3909973058023137</v>
      </c>
      <c r="I466" s="827">
        <v>16.147668169398553</v>
      </c>
      <c r="J466" s="1572">
        <v>6.320474876319655</v>
      </c>
      <c r="K466" s="827">
        <v>8.670924022399463</v>
      </c>
      <c r="L466" s="838">
        <v>4.9932932719310319</v>
      </c>
      <c r="M466" s="827">
        <v>6.5206059298673456</v>
      </c>
      <c r="N466" s="1524">
        <v>59.408767257233706</v>
      </c>
      <c r="O466" s="827">
        <v>61.840666619098997</v>
      </c>
      <c r="P466" s="827">
        <v>17.443197596944227</v>
      </c>
      <c r="Q466" s="827">
        <v>21.944428303451904</v>
      </c>
      <c r="R466" s="827">
        <v>18.979644469511371</v>
      </c>
      <c r="S466" s="827">
        <v>20.262978811913154</v>
      </c>
    </row>
    <row r="467" spans="2:19">
      <c r="B467" s="187">
        <v>45408</v>
      </c>
      <c r="C467" s="827" t="e">
        <v>#REF!</v>
      </c>
      <c r="D467" s="838">
        <v>18.025047501054875</v>
      </c>
      <c r="E467" s="838">
        <v>63.494629394052225</v>
      </c>
      <c r="F467" s="827">
        <v>403.5099892873356</v>
      </c>
      <c r="G467" s="838">
        <v>25.333033260827044</v>
      </c>
      <c r="H467" s="838">
        <v>9.5574807540222508</v>
      </c>
      <c r="I467" s="827">
        <v>16.147668169398553</v>
      </c>
      <c r="J467" s="1572">
        <v>6.3241400246773907</v>
      </c>
      <c r="K467" s="827">
        <v>8.670924022399463</v>
      </c>
      <c r="L467" s="838">
        <v>5.2177665836841376</v>
      </c>
      <c r="M467" s="827">
        <v>6.5206059298673456</v>
      </c>
      <c r="N467" s="1524">
        <v>58.868148659214462</v>
      </c>
      <c r="O467" s="827">
        <v>61.840666619098997</v>
      </c>
      <c r="P467" s="827">
        <v>18.025047501054875</v>
      </c>
      <c r="Q467" s="827">
        <v>21.944428303451904</v>
      </c>
      <c r="R467" s="827">
        <v>19.124950416877404</v>
      </c>
      <c r="S467" s="827">
        <v>20.262978811913154</v>
      </c>
    </row>
    <row r="468" spans="2:19">
      <c r="B468" s="187">
        <v>45415</v>
      </c>
      <c r="C468" s="827" t="e">
        <v>#REF!</v>
      </c>
      <c r="D468" s="838">
        <v>18.214022552857408</v>
      </c>
      <c r="E468" s="838">
        <v>64.978545124615081</v>
      </c>
      <c r="F468" s="827">
        <v>403.5099892873356</v>
      </c>
      <c r="G468" s="838">
        <v>25.548138143485936</v>
      </c>
      <c r="H468" s="838">
        <v>9.9557522675126222</v>
      </c>
      <c r="I468" s="827">
        <v>16.147668169398553</v>
      </c>
      <c r="J468" s="1572">
        <v>6.2369584947872569</v>
      </c>
      <c r="K468" s="827">
        <v>8.670924022399463</v>
      </c>
      <c r="L468" s="838">
        <v>5.2941039619980153</v>
      </c>
      <c r="M468" s="827">
        <v>6.5206059298673456</v>
      </c>
      <c r="N468" s="1524">
        <v>61.1753084265072</v>
      </c>
      <c r="O468" s="827">
        <v>61.840666619098997</v>
      </c>
      <c r="P468" s="827">
        <v>18.214022552857408</v>
      </c>
      <c r="Q468" s="827">
        <v>21.944428303451904</v>
      </c>
      <c r="R468" s="827">
        <v>19.02407405667654</v>
      </c>
      <c r="S468" s="827">
        <v>20.262978811913154</v>
      </c>
    </row>
    <row r="469" spans="2:19">
      <c r="B469" s="187">
        <v>45422</v>
      </c>
      <c r="C469" s="827" t="e">
        <v>#REF!</v>
      </c>
      <c r="D469" s="838">
        <v>18.050483354122527</v>
      </c>
      <c r="E469" s="838">
        <v>54.28349652766137</v>
      </c>
      <c r="F469" s="827">
        <v>403.5099892873356</v>
      </c>
      <c r="G469" s="838">
        <v>25.357159273729753</v>
      </c>
      <c r="H469" s="838">
        <v>7.8024348869388955</v>
      </c>
      <c r="I469" s="827">
        <v>16.147668169398553</v>
      </c>
      <c r="J469" s="1572">
        <v>6.3831977326569875</v>
      </c>
      <c r="K469" s="827">
        <v>8.670924022399463</v>
      </c>
      <c r="L469" s="838">
        <v>5.1699542826397966</v>
      </c>
      <c r="M469" s="827">
        <v>6.5206059298673456</v>
      </c>
      <c r="N469" s="1524">
        <v>51.823251328015729</v>
      </c>
      <c r="O469" s="827">
        <v>61.840666619098997</v>
      </c>
      <c r="P469" s="827">
        <v>18.050483354122527</v>
      </c>
      <c r="Q469" s="827">
        <v>21.944428303451904</v>
      </c>
      <c r="R469" s="827">
        <v>20.386208646564089</v>
      </c>
      <c r="S469" s="827">
        <v>20.262978811913154</v>
      </c>
    </row>
    <row r="470" spans="2:19">
      <c r="B470" s="187">
        <v>45429</v>
      </c>
      <c r="C470" s="827" t="e">
        <v>#REF!</v>
      </c>
      <c r="D470" s="838">
        <v>18.257913904378821</v>
      </c>
      <c r="E470" s="838">
        <v>53.825005554468362</v>
      </c>
      <c r="F470" s="827">
        <v>403.5099892873356</v>
      </c>
      <c r="G470" s="838">
        <v>25.691548008747557</v>
      </c>
      <c r="H470" s="838">
        <v>7.7061428174451114</v>
      </c>
      <c r="I470" s="827">
        <v>16.147668169398553</v>
      </c>
      <c r="J470" s="1572">
        <v>6.5007318241582013</v>
      </c>
      <c r="K470" s="827">
        <v>8.670924022399463</v>
      </c>
      <c r="L470" s="838">
        <v>5.2623733357836198</v>
      </c>
      <c r="M470" s="827">
        <v>6.5206059298673456</v>
      </c>
      <c r="N470" s="1524">
        <v>51.09528170170524</v>
      </c>
      <c r="O470" s="827">
        <v>61.840666619098997</v>
      </c>
      <c r="P470" s="827">
        <v>18.257913904378821</v>
      </c>
      <c r="Q470" s="827">
        <v>21.944428303451904</v>
      </c>
      <c r="R470" s="827">
        <v>21.076371711499842</v>
      </c>
      <c r="S470" s="827">
        <v>20.262978811913154</v>
      </c>
    </row>
    <row r="471" spans="2:19">
      <c r="B471" s="187">
        <v>45436</v>
      </c>
      <c r="C471" s="827" t="e">
        <v>#REF!</v>
      </c>
      <c r="D471" s="838">
        <v>17.777980531636285</v>
      </c>
      <c r="E471" s="838">
        <v>51.781301305821344</v>
      </c>
      <c r="F471" s="827">
        <v>403.5099892873356</v>
      </c>
      <c r="G471" s="838">
        <v>25.282563627737243</v>
      </c>
      <c r="H471" s="838">
        <v>7.4864782985847702</v>
      </c>
      <c r="I471" s="827">
        <v>16.147668169398553</v>
      </c>
      <c r="J471" s="1572">
        <v>6.6268501097637014</v>
      </c>
      <c r="K471" s="827">
        <v>8.670924022399463</v>
      </c>
      <c r="L471" s="838">
        <v>5.1887775508313529</v>
      </c>
      <c r="M471" s="827">
        <v>6.5206059298673456</v>
      </c>
      <c r="N471" s="1524">
        <v>49.723469887094026</v>
      </c>
      <c r="O471" s="827">
        <v>61.840666619098997</v>
      </c>
      <c r="P471" s="827">
        <v>17.777980531636285</v>
      </c>
      <c r="Q471" s="827">
        <v>21.944428303451904</v>
      </c>
      <c r="R471" s="827">
        <v>21.638437951314142</v>
      </c>
      <c r="S471" s="827">
        <v>20.262978811913154</v>
      </c>
    </row>
    <row r="472" spans="2:19">
      <c r="B472" s="187">
        <v>45443</v>
      </c>
      <c r="C472" s="827" t="e">
        <v>#REF!</v>
      </c>
      <c r="D472" s="838">
        <v>17.561490447825353</v>
      </c>
      <c r="E472" s="838">
        <v>53.597963802934558</v>
      </c>
      <c r="F472" s="827">
        <v>403.5099892873356</v>
      </c>
      <c r="G472" s="838">
        <v>25.053995663741105</v>
      </c>
      <c r="H472" s="838">
        <v>7.7663114664989896</v>
      </c>
      <c r="I472" s="827">
        <v>16.147668169398553</v>
      </c>
      <c r="J472" s="1572">
        <v>6.335105047253065</v>
      </c>
      <c r="K472" s="827">
        <v>8.670924022399463</v>
      </c>
      <c r="L472" s="838">
        <v>5.1478861694609011</v>
      </c>
      <c r="M472" s="827">
        <v>6.5206059298673456</v>
      </c>
      <c r="N472" s="1524">
        <v>51.44285956199802</v>
      </c>
      <c r="O472" s="827">
        <v>61.840666619098997</v>
      </c>
      <c r="P472" s="827">
        <v>17.561490447825353</v>
      </c>
      <c r="Q472" s="827">
        <v>21.944428303451904</v>
      </c>
      <c r="R472" s="827">
        <v>20.388858151612546</v>
      </c>
      <c r="S472" s="827">
        <v>20.262978811913154</v>
      </c>
    </row>
    <row r="473" spans="2:19">
      <c r="B473" s="187">
        <v>45450</v>
      </c>
      <c r="C473" s="827" t="e">
        <v>#REF!</v>
      </c>
      <c r="D473" s="838">
        <v>17.987069933627772</v>
      </c>
      <c r="E473" s="838">
        <v>55.485236818990565</v>
      </c>
      <c r="F473" s="827">
        <v>403.5099892873356</v>
      </c>
      <c r="G473" s="838">
        <v>25.963695614549433</v>
      </c>
      <c r="H473" s="838">
        <v>8.0785826554604494</v>
      </c>
      <c r="I473" s="827">
        <v>16.147668169398553</v>
      </c>
      <c r="J473" s="1572">
        <v>6.524062009972682</v>
      </c>
      <c r="K473" s="827">
        <v>8.670924022399463</v>
      </c>
      <c r="L473" s="838">
        <v>5.2864325568383537</v>
      </c>
      <c r="M473" s="827">
        <v>6.5206059298673456</v>
      </c>
      <c r="N473" s="1524">
        <v>53.414345274442574</v>
      </c>
      <c r="O473" s="827">
        <v>61.840666619098997</v>
      </c>
      <c r="P473" s="827">
        <v>17.987069933627772</v>
      </c>
      <c r="Q473" s="827">
        <v>21.944428303451904</v>
      </c>
      <c r="R473" s="827">
        <v>20.562686002199467</v>
      </c>
      <c r="S473" s="827">
        <v>20.262978811913154</v>
      </c>
    </row>
    <row r="474" spans="2:19">
      <c r="B474" s="187">
        <v>45457</v>
      </c>
      <c r="C474" s="827" t="e">
        <v>#REF!</v>
      </c>
      <c r="D474" s="838">
        <v>18.04837962176606</v>
      </c>
      <c r="E474" s="838">
        <v>60.657117578434466</v>
      </c>
      <c r="F474" s="827">
        <v>403.5099892873356</v>
      </c>
      <c r="G474" s="838">
        <v>26.112838850962223</v>
      </c>
      <c r="H474" s="838">
        <v>8.8591764914367541</v>
      </c>
      <c r="I474" s="827">
        <v>16.147668169398553</v>
      </c>
      <c r="J474" s="1572">
        <v>6.6264222376774606</v>
      </c>
      <c r="K474" s="827">
        <v>8.670924022399463</v>
      </c>
      <c r="L474" s="838">
        <v>5.3844866721864539</v>
      </c>
      <c r="M474" s="827">
        <v>6.5206059298673456</v>
      </c>
      <c r="N474" s="1524">
        <v>58.700931725283624</v>
      </c>
      <c r="O474" s="827">
        <v>61.840666619098997</v>
      </c>
      <c r="P474" s="827">
        <v>18.04837962176606</v>
      </c>
      <c r="Q474" s="827">
        <v>21.944428303451904</v>
      </c>
      <c r="R474" s="827">
        <v>20.628127852028619</v>
      </c>
      <c r="S474" s="827">
        <v>20.262978811913154</v>
      </c>
    </row>
    <row r="475" spans="2:19">
      <c r="B475" s="187">
        <v>45464</v>
      </c>
      <c r="C475" s="827" t="e">
        <v>#REF!</v>
      </c>
      <c r="D475" s="838">
        <v>18.154900254045931</v>
      </c>
      <c r="E475" s="838">
        <v>58.066123948271418</v>
      </c>
      <c r="F475" s="827">
        <v>403.5099892873356</v>
      </c>
      <c r="G475" s="838">
        <v>26.353500924017574</v>
      </c>
      <c r="H475" s="838">
        <v>8.4760033843315163</v>
      </c>
      <c r="I475" s="827">
        <v>16.147668169398553</v>
      </c>
      <c r="J475" s="1572">
        <v>6.6605590565271813</v>
      </c>
      <c r="K475" s="827">
        <v>8.670924022399463</v>
      </c>
      <c r="L475" s="838">
        <v>5.4195078027610739</v>
      </c>
      <c r="M475" s="827">
        <v>6.5206059298673456</v>
      </c>
      <c r="N475" s="1524">
        <v>56.009575617355772</v>
      </c>
      <c r="O475" s="827">
        <v>61.840666619098997</v>
      </c>
      <c r="P475" s="827">
        <v>18.154900254045899</v>
      </c>
      <c r="Q475" s="827">
        <v>21.944428303451904</v>
      </c>
      <c r="R475" s="827">
        <v>20.165687290191137</v>
      </c>
      <c r="S475" s="827">
        <v>20.262978811913154</v>
      </c>
    </row>
    <row r="476" spans="2:19">
      <c r="B476" s="187">
        <v>45471</v>
      </c>
      <c r="C476" s="827" t="e">
        <v>#REF!</v>
      </c>
      <c r="D476" s="838">
        <v>18.222858832659377</v>
      </c>
      <c r="E476" s="838">
        <v>58.754051183006816</v>
      </c>
      <c r="F476" s="827">
        <v>403.5099892873356</v>
      </c>
      <c r="G476" s="838">
        <v>31.213150841157567</v>
      </c>
      <c r="H476" s="838">
        <v>8.5925478274947089</v>
      </c>
      <c r="I476" s="827">
        <v>16.147668169398553</v>
      </c>
      <c r="J476" s="1572">
        <v>6.7816548518916173</v>
      </c>
      <c r="K476" s="827">
        <v>8.670924022399463</v>
      </c>
      <c r="L476" s="838">
        <v>5.424403758165858</v>
      </c>
      <c r="M476" s="827">
        <v>6.5206059298673456</v>
      </c>
      <c r="N476" s="1524">
        <v>55.670248254025651</v>
      </c>
      <c r="O476" s="827">
        <v>61.840666619098997</v>
      </c>
      <c r="P476" s="827">
        <v>18.373892160427403</v>
      </c>
      <c r="Q476" s="827">
        <v>21.944428303451904</v>
      </c>
      <c r="R476" s="827">
        <v>20.965885332154066</v>
      </c>
      <c r="S476" s="827">
        <v>20.262978811913154</v>
      </c>
    </row>
    <row r="477" spans="2:19">
      <c r="B477" s="187">
        <v>45478</v>
      </c>
      <c r="C477" s="827" t="e">
        <v>#REF!</v>
      </c>
      <c r="D477" s="838">
        <v>18.223922034685522</v>
      </c>
      <c r="E477" s="838">
        <v>59.856862178136602</v>
      </c>
      <c r="F477" s="827">
        <v>403.5099892873356</v>
      </c>
      <c r="G477" s="838">
        <v>31.271573256722995</v>
      </c>
      <c r="H477" s="838">
        <v>8.7730763722258889</v>
      </c>
      <c r="I477" s="827">
        <v>16.147668169398553</v>
      </c>
      <c r="J477" s="1572">
        <v>6.8499134169702032</v>
      </c>
      <c r="K477" s="827">
        <v>8.670924022399463</v>
      </c>
      <c r="L477" s="838">
        <v>5.4869529585915782</v>
      </c>
      <c r="M477" s="827">
        <v>6.5206059298673456</v>
      </c>
      <c r="N477" s="1524">
        <v>56.664010738252493</v>
      </c>
      <c r="O477" s="827">
        <v>61.840666619098997</v>
      </c>
      <c r="P477" s="827">
        <v>18.360524325129088</v>
      </c>
      <c r="Q477" s="827">
        <v>21.944428303451904</v>
      </c>
      <c r="R477" s="827">
        <v>20.959971416353607</v>
      </c>
      <c r="S477" s="827">
        <v>20.262978811913154</v>
      </c>
    </row>
    <row r="478" spans="2:19">
      <c r="B478" s="187">
        <v>45485</v>
      </c>
      <c r="C478" s="827" t="e">
        <v>#REF!</v>
      </c>
      <c r="D478" s="838">
        <v>17.87572943629748</v>
      </c>
      <c r="E478" s="838">
        <v>57.068073003160514</v>
      </c>
      <c r="F478" s="827">
        <v>403.5099892873356</v>
      </c>
      <c r="G478" s="838">
        <v>30.70957204966976</v>
      </c>
      <c r="H478" s="838">
        <v>8.3800693406357745</v>
      </c>
      <c r="I478" s="827">
        <v>16.147668169398553</v>
      </c>
      <c r="J478" s="1572">
        <v>6.81190329439585</v>
      </c>
      <c r="K478" s="827">
        <v>8.670924022399463</v>
      </c>
      <c r="L478" s="838">
        <v>5.3594279953285886</v>
      </c>
      <c r="M478" s="827">
        <v>6.5206059298673456</v>
      </c>
      <c r="N478" s="1524">
        <v>53.993029993186809</v>
      </c>
      <c r="O478" s="827">
        <v>61.840666619098997</v>
      </c>
      <c r="P478" s="827">
        <v>18.008796829550732</v>
      </c>
      <c r="Q478" s="827">
        <v>21.944428303451904</v>
      </c>
      <c r="R478" s="827">
        <v>20.771138411601886</v>
      </c>
      <c r="S478" s="827">
        <v>20.262978811913154</v>
      </c>
    </row>
    <row r="479" spans="2:19">
      <c r="B479" s="187">
        <v>45492</v>
      </c>
      <c r="C479" s="827" t="e">
        <v>#REF!</v>
      </c>
      <c r="D479" s="840">
        <v>17.27397627247127</v>
      </c>
      <c r="E479" s="838">
        <v>55.477137639691975</v>
      </c>
      <c r="F479" s="827">
        <v>403.5099892873356</v>
      </c>
      <c r="G479" s="838">
        <v>29.391172232792456</v>
      </c>
      <c r="H479" s="838">
        <v>8.212681081545929</v>
      </c>
      <c r="I479" s="827">
        <v>16.147668169398553</v>
      </c>
      <c r="J479" s="1572">
        <v>6.7397337547461476</v>
      </c>
      <c r="K479" s="827">
        <v>8.670924022399463</v>
      </c>
      <c r="L479" s="838">
        <v>5.2372423944119255</v>
      </c>
      <c r="M479" s="827">
        <v>6.5206059298673456</v>
      </c>
      <c r="N479" s="1524">
        <v>52.123318349796605</v>
      </c>
      <c r="O479" s="827">
        <v>61.840666619098997</v>
      </c>
      <c r="P479" s="827">
        <v>17.27397627247127</v>
      </c>
      <c r="Q479" s="827">
        <v>21.944428303451904</v>
      </c>
      <c r="R479" s="827">
        <v>20.598787257700739</v>
      </c>
      <c r="S479" s="827">
        <v>20.262978811913154</v>
      </c>
    </row>
    <row r="480" spans="2:19">
      <c r="B480" s="187">
        <v>45499</v>
      </c>
      <c r="C480" s="827" t="e">
        <v>#REF!</v>
      </c>
      <c r="D480" s="840">
        <v>17.27397627247127</v>
      </c>
      <c r="E480" s="838">
        <v>51.801663408969461</v>
      </c>
      <c r="F480" s="827">
        <v>403.5099892873356</v>
      </c>
      <c r="G480" s="838">
        <v>27.916438403172265</v>
      </c>
      <c r="H480" s="838">
        <v>7.730764687697417</v>
      </c>
      <c r="I480" s="827">
        <v>16.147668169398553</v>
      </c>
      <c r="J480" s="1572">
        <v>6.8103658460285414</v>
      </c>
      <c r="K480" s="827">
        <v>8.670924022399463</v>
      </c>
      <c r="L480" s="838">
        <v>5.0272462726182514</v>
      </c>
      <c r="M480" s="827">
        <v>6.5206059298673456</v>
      </c>
      <c r="N480" s="1524">
        <v>48.946119349629079</v>
      </c>
      <c r="O480" s="827">
        <v>61.840666619098997</v>
      </c>
      <c r="P480" s="827">
        <v>16.462455429983617</v>
      </c>
      <c r="Q480" s="827">
        <v>21.944428303451904</v>
      </c>
      <c r="R480" s="827">
        <v>20.678779077368475</v>
      </c>
      <c r="S480" s="827">
        <v>20.262978811913154</v>
      </c>
    </row>
    <row r="481" spans="2:19">
      <c r="B481" s="187">
        <v>45506</v>
      </c>
      <c r="C481" s="827" t="e">
        <v>#REF!</v>
      </c>
      <c r="D481" s="840">
        <v>17.27397627247127</v>
      </c>
      <c r="E481" s="838">
        <v>46.825388359086297</v>
      </c>
      <c r="F481" s="827">
        <v>403.5099892873356</v>
      </c>
      <c r="G481" s="838">
        <v>25.921593246589207</v>
      </c>
      <c r="H481" s="838">
        <v>6.9559028894843156</v>
      </c>
      <c r="I481" s="827">
        <v>16.147668169398553</v>
      </c>
      <c r="J481" s="1572">
        <v>6.6287629762954845</v>
      </c>
      <c r="K481" s="827">
        <v>8.670924022399463</v>
      </c>
      <c r="L481" s="838">
        <v>4.6581507897633729</v>
      </c>
      <c r="M481" s="827">
        <v>6.5206059298673456</v>
      </c>
      <c r="N481" s="1524">
        <v>43.886477770547486</v>
      </c>
      <c r="O481" s="827">
        <v>61.840666619098997</v>
      </c>
      <c r="P481" s="827">
        <v>14.952876021633061</v>
      </c>
      <c r="Q481" s="827">
        <v>21.944428303451904</v>
      </c>
      <c r="R481" s="827">
        <v>18.773921093702636</v>
      </c>
      <c r="S481" s="827">
        <v>20.262978811913154</v>
      </c>
    </row>
    <row r="482" spans="2:19">
      <c r="B482" s="187">
        <v>45513</v>
      </c>
      <c r="C482" s="827" t="e">
        <v>#REF!</v>
      </c>
      <c r="D482" s="840">
        <v>17.27397627247127</v>
      </c>
      <c r="E482" s="838">
        <v>55.366008865751809</v>
      </c>
      <c r="F482" s="827">
        <v>403.5099892873356</v>
      </c>
      <c r="G482" s="838">
        <v>27.265888405047324</v>
      </c>
      <c r="H482" s="838">
        <v>8.8467015699941225</v>
      </c>
      <c r="I482" s="827">
        <v>16.147668169398553</v>
      </c>
      <c r="J482" s="1572">
        <v>6.6337464907713466</v>
      </c>
      <c r="K482" s="827">
        <v>8.670924022399463</v>
      </c>
      <c r="L482" s="838">
        <v>4.9877783085967762</v>
      </c>
      <c r="M482" s="827">
        <v>6.5206059298673456</v>
      </c>
      <c r="N482" s="1524">
        <v>52.616420126659413</v>
      </c>
      <c r="O482" s="827">
        <v>61.840666619098997</v>
      </c>
      <c r="P482" s="827">
        <v>15.609636238446493</v>
      </c>
      <c r="Q482" s="827">
        <v>21.944428303451904</v>
      </c>
      <c r="R482" s="827">
        <v>19.037751738698329</v>
      </c>
      <c r="S482" s="827">
        <v>20.262978811913154</v>
      </c>
    </row>
    <row r="483" spans="2:19">
      <c r="B483" s="187">
        <v>45520</v>
      </c>
      <c r="C483" s="827" t="e">
        <v>#REF!</v>
      </c>
      <c r="D483" s="840">
        <v>17.27397627247127</v>
      </c>
      <c r="E483" s="838">
        <v>58.948757438475241</v>
      </c>
      <c r="F483" s="827">
        <v>403.5099892873356</v>
      </c>
      <c r="G483" s="838">
        <v>28.098825258603686</v>
      </c>
      <c r="H483" s="838">
        <v>9.4811784175415852</v>
      </c>
      <c r="I483" s="827">
        <v>16.147668169398553</v>
      </c>
      <c r="J483" s="1572">
        <v>6.8404871316523943</v>
      </c>
      <c r="K483" s="827">
        <v>8.670924022399463</v>
      </c>
      <c r="L483" s="838">
        <v>5.1440823723973494</v>
      </c>
      <c r="M483" s="827">
        <v>6.5206059298673456</v>
      </c>
      <c r="N483" s="1524">
        <v>56.798958296328344</v>
      </c>
      <c r="O483" s="827">
        <v>61.840666619098997</v>
      </c>
      <c r="P483" s="827">
        <v>16.136391544065532</v>
      </c>
      <c r="Q483" s="827">
        <v>21.944428303451904</v>
      </c>
      <c r="R483" s="827">
        <v>19.693891373130398</v>
      </c>
      <c r="S483" s="827">
        <v>20.262978811913154</v>
      </c>
    </row>
    <row r="484" spans="2:19">
      <c r="B484" s="187">
        <v>45527</v>
      </c>
      <c r="C484" s="827" t="e">
        <v>#REF!</v>
      </c>
      <c r="D484" s="840">
        <v>17.27397627247127</v>
      </c>
      <c r="E484" s="838">
        <v>59.97891993830379</v>
      </c>
      <c r="F484" s="827">
        <v>403.5099892873356</v>
      </c>
      <c r="G484" s="838">
        <v>28.725447770378679</v>
      </c>
      <c r="H484" s="838">
        <v>9.6760731944477492</v>
      </c>
      <c r="I484" s="827">
        <v>16.147668169398553</v>
      </c>
      <c r="J484" s="1572">
        <v>6.8555017962756741</v>
      </c>
      <c r="K484" s="827">
        <v>8.670924022399463</v>
      </c>
      <c r="L484" s="838">
        <v>5.269791484552603</v>
      </c>
      <c r="M484" s="827">
        <v>6.5206059298673456</v>
      </c>
      <c r="N484" s="1524">
        <v>57.865370987423908</v>
      </c>
      <c r="O484" s="827">
        <v>61.840666619098997</v>
      </c>
      <c r="P484" s="827">
        <v>16.543106083646339</v>
      </c>
      <c r="Q484" s="827">
        <v>21.944428303451904</v>
      </c>
      <c r="R484" s="827">
        <v>19.675981966808557</v>
      </c>
      <c r="S484" s="827">
        <v>20.262978811913154</v>
      </c>
    </row>
    <row r="485" spans="2:19">
      <c r="B485" s="187">
        <v>45534</v>
      </c>
      <c r="C485" s="827" t="e">
        <v>#REF!</v>
      </c>
      <c r="D485" s="840">
        <v>17.27397627247127</v>
      </c>
      <c r="E485" s="838">
        <v>58.126755250261688</v>
      </c>
      <c r="F485" s="827">
        <v>403.5099892873356</v>
      </c>
      <c r="G485" s="838">
        <v>28.476060702577609</v>
      </c>
      <c r="H485" s="838">
        <v>9.3705909433122745</v>
      </c>
      <c r="I485" s="827">
        <v>16.147668169398553</v>
      </c>
      <c r="J485" s="1572">
        <v>6.9100932989351342</v>
      </c>
      <c r="K485" s="827">
        <v>8.670924022399463</v>
      </c>
      <c r="L485" s="838">
        <v>5.2333837588218968</v>
      </c>
      <c r="M485" s="827">
        <v>6.5206059298673456</v>
      </c>
      <c r="N485" s="1524">
        <v>55.941536217827732</v>
      </c>
      <c r="O485" s="827">
        <v>61.840666619098997</v>
      </c>
      <c r="P485" s="827">
        <v>16.433139190044013</v>
      </c>
      <c r="Q485" s="827">
        <v>21.944428303451904</v>
      </c>
      <c r="R485" s="827">
        <v>19.550433776088948</v>
      </c>
      <c r="S485" s="827">
        <v>20.262978811913154</v>
      </c>
    </row>
    <row r="486" spans="2:19">
      <c r="B486" s="187">
        <v>45541</v>
      </c>
      <c r="C486" s="827" t="e">
        <v>#REF!</v>
      </c>
      <c r="D486" s="840">
        <v>17.27397627247127</v>
      </c>
      <c r="E486" s="838">
        <v>52.515299459854951</v>
      </c>
      <c r="F486" s="827">
        <v>403.5099892873356</v>
      </c>
      <c r="G486" s="838">
        <v>26.834831671016847</v>
      </c>
      <c r="H486" s="838">
        <v>8.4274792487429693</v>
      </c>
      <c r="I486" s="827">
        <v>16.147668169398553</v>
      </c>
      <c r="J486" s="1572">
        <v>6.6650620816417474</v>
      </c>
      <c r="K486" s="827">
        <v>8.670924022399463</v>
      </c>
      <c r="L486" s="838">
        <v>4.9443711983077403</v>
      </c>
      <c r="M486" s="827">
        <v>6.5206059298673456</v>
      </c>
      <c r="N486" s="1524">
        <v>49.818687058623105</v>
      </c>
      <c r="O486" s="827">
        <v>61.840666619098997</v>
      </c>
      <c r="P486" s="827">
        <v>15.557931816227615</v>
      </c>
      <c r="Q486" s="827">
        <v>21.944428303451904</v>
      </c>
      <c r="R486" s="827">
        <v>18.683149148653317</v>
      </c>
      <c r="S486" s="827">
        <v>20.262978811913154</v>
      </c>
    </row>
    <row r="487" spans="2:19">
      <c r="B487" s="187">
        <v>45548</v>
      </c>
      <c r="C487" s="827" t="e">
        <v>#REF!</v>
      </c>
      <c r="D487" s="840">
        <v>17.27397627247127</v>
      </c>
      <c r="E487" s="838">
        <v>56.463104381225172</v>
      </c>
      <c r="F487" s="827">
        <v>403.5099892873356</v>
      </c>
      <c r="G487" s="838">
        <v>28.182459269165619</v>
      </c>
      <c r="H487" s="838">
        <v>9.0937310346167095</v>
      </c>
      <c r="I487" s="827">
        <v>16.147668169398553</v>
      </c>
      <c r="J487" s="1572">
        <v>6.6428982562588601</v>
      </c>
      <c r="K487" s="827">
        <v>8.670924022399463</v>
      </c>
      <c r="L487" s="838">
        <v>5.2041101885141385</v>
      </c>
      <c r="M487" s="827">
        <v>6.5206059298673456</v>
      </c>
      <c r="N487" s="1524">
        <v>53.429504698035949</v>
      </c>
      <c r="O487" s="827">
        <v>61.840666619098997</v>
      </c>
      <c r="P487" s="827">
        <v>16.356599091501693</v>
      </c>
      <c r="Q487" s="827">
        <v>21.944428303451904</v>
      </c>
      <c r="R487" s="827">
        <v>18.572933526103412</v>
      </c>
      <c r="S487" s="827">
        <v>20.262978811913154</v>
      </c>
    </row>
    <row r="488" spans="2:19">
      <c r="B488" s="187">
        <v>45555</v>
      </c>
      <c r="C488" s="827" t="e">
        <v>#REF!</v>
      </c>
      <c r="D488" s="840">
        <v>17.27397627247127</v>
      </c>
      <c r="E488" s="838">
        <v>60.830874636237631</v>
      </c>
      <c r="F488" s="827">
        <v>403.5099892873356</v>
      </c>
      <c r="G488" s="838">
        <v>29.589860389103713</v>
      </c>
      <c r="H488" s="838">
        <v>9.8657536300652549</v>
      </c>
      <c r="I488" s="827">
        <v>16.147668169398553</v>
      </c>
      <c r="J488" s="1572">
        <v>6.6899551299963411</v>
      </c>
      <c r="K488" s="827">
        <v>8.670924022399463</v>
      </c>
      <c r="L488" s="838">
        <v>5.478045014280454</v>
      </c>
      <c r="M488" s="827">
        <v>6.5206059298673456</v>
      </c>
      <c r="N488" s="1524">
        <v>57.870559270481465</v>
      </c>
      <c r="O488" s="827">
        <v>61.840666619098997</v>
      </c>
      <c r="P488" s="827">
        <v>17.139080314728261</v>
      </c>
      <c r="Q488" s="827">
        <v>21.944428303451904</v>
      </c>
      <c r="R488" s="827">
        <v>18.936543484311414</v>
      </c>
      <c r="S488" s="827">
        <v>20.262978811913154</v>
      </c>
    </row>
    <row r="489" spans="2:19">
      <c r="B489" s="187">
        <v>45562</v>
      </c>
      <c r="C489" s="827" t="e">
        <v>#REF!</v>
      </c>
      <c r="D489" s="840">
        <v>17.27397627247127</v>
      </c>
      <c r="E489" s="838">
        <v>60.609098098208769</v>
      </c>
      <c r="F489" s="827">
        <v>403.5099892873356</v>
      </c>
      <c r="G489" s="838">
        <v>29.655631078978914</v>
      </c>
      <c r="H489" s="838">
        <v>9.9345660848643149</v>
      </c>
      <c r="I489" s="827">
        <v>16.147668169398553</v>
      </c>
      <c r="J489" s="1572">
        <v>6.8136026221555825</v>
      </c>
      <c r="K489" s="827">
        <v>8.670924022399463</v>
      </c>
      <c r="L489" s="838">
        <v>5.5290566514321142</v>
      </c>
      <c r="M489" s="827">
        <v>6.5206059298673456</v>
      </c>
      <c r="N489" s="1524">
        <v>58.178181510712143</v>
      </c>
      <c r="O489" s="827">
        <v>61.840666619098997</v>
      </c>
      <c r="P489" s="827">
        <v>17.363958546292857</v>
      </c>
      <c r="Q489" s="827">
        <v>21.944428303451904</v>
      </c>
      <c r="R489" s="827">
        <v>19.081509551250566</v>
      </c>
      <c r="S489" s="827">
        <v>20.262978811913154</v>
      </c>
    </row>
    <row r="490" spans="2:19">
      <c r="B490" s="187">
        <v>45569</v>
      </c>
      <c r="C490" s="827" t="e">
        <v>#REF!</v>
      </c>
      <c r="D490" s="840">
        <v>17.27397627247127</v>
      </c>
      <c r="E490" s="838">
        <v>62.818464772505408</v>
      </c>
      <c r="F490" s="827">
        <v>403.5099892873356</v>
      </c>
      <c r="G490" s="838">
        <v>29.863853272837602</v>
      </c>
      <c r="H490" s="838">
        <v>10.316801439211275</v>
      </c>
      <c r="I490" s="827">
        <v>16.147668169398553</v>
      </c>
      <c r="J490" s="1572">
        <v>6.6503733072033349</v>
      </c>
      <c r="K490" s="827">
        <v>8.670924022399463</v>
      </c>
      <c r="L490" s="838">
        <v>5.5967487661162583</v>
      </c>
      <c r="M490" s="827">
        <v>6.5206059298673456</v>
      </c>
      <c r="N490" s="1524">
        <v>60.260516103974822</v>
      </c>
      <c r="O490" s="827">
        <v>61.840666619098997</v>
      </c>
      <c r="P490" s="827">
        <v>17.397879041049578</v>
      </c>
      <c r="Q490" s="827">
        <v>21.944428303451904</v>
      </c>
      <c r="R490" s="827">
        <v>18.39449391373012</v>
      </c>
      <c r="S490" s="827">
        <v>20.262978811913154</v>
      </c>
    </row>
    <row r="491" spans="2:19">
      <c r="B491" s="187">
        <v>45576</v>
      </c>
      <c r="C491" s="827" t="e">
        <v>#REF!</v>
      </c>
      <c r="D491" s="840">
        <v>17.27397627247127</v>
      </c>
      <c r="E491" s="838">
        <v>63.064031584139833</v>
      </c>
      <c r="F491" s="827">
        <v>403.5099892873356</v>
      </c>
      <c r="G491" s="838">
        <v>30.466405171536817</v>
      </c>
      <c r="H491" s="838">
        <v>10.36692980812372</v>
      </c>
      <c r="I491" s="827">
        <v>16.147668169398553</v>
      </c>
      <c r="J491" s="1572">
        <v>6.6837434863490204</v>
      </c>
      <c r="K491" s="827">
        <v>8.670924022399463</v>
      </c>
      <c r="L491" s="838">
        <v>5.7043084882175261</v>
      </c>
      <c r="M491" s="827">
        <v>6.5206059298673456</v>
      </c>
      <c r="N491" s="1524">
        <v>60.459288124105946</v>
      </c>
      <c r="O491" s="827">
        <v>61.840666619098997</v>
      </c>
      <c r="P491" s="827">
        <v>17.859013210372694</v>
      </c>
      <c r="Q491" s="827">
        <v>21.944428303451904</v>
      </c>
      <c r="R491" s="827">
        <v>18.456183721871128</v>
      </c>
      <c r="S491" s="827">
        <v>20.262978811913154</v>
      </c>
    </row>
    <row r="492" spans="2:19">
      <c r="B492" s="187">
        <v>45583</v>
      </c>
      <c r="C492" s="827" t="e">
        <v>#REF!</v>
      </c>
      <c r="D492" s="840">
        <v>17.27397627247127</v>
      </c>
      <c r="E492" s="838">
        <v>62.410348342287399</v>
      </c>
      <c r="F492" s="827">
        <v>403.5099892873356</v>
      </c>
      <c r="G492" s="838">
        <v>30.29686060759596</v>
      </c>
      <c r="H492" s="838">
        <v>10.269653606433442</v>
      </c>
      <c r="I492" s="827">
        <v>16.147668169398553</v>
      </c>
      <c r="J492" s="1572">
        <v>6.7298110344248938</v>
      </c>
      <c r="K492" s="827">
        <v>8.670924022399463</v>
      </c>
      <c r="L492" s="838">
        <v>5.7006435760267902</v>
      </c>
      <c r="M492" s="827">
        <v>6.5206059298673456</v>
      </c>
      <c r="N492" s="1524">
        <v>59.79353899832207</v>
      </c>
      <c r="O492" s="827">
        <v>61.840666619098997</v>
      </c>
      <c r="P492" s="827">
        <v>17.751248900030006</v>
      </c>
      <c r="Q492" s="827">
        <v>21.944428303451904</v>
      </c>
      <c r="R492" s="827">
        <v>18.704502210635383</v>
      </c>
      <c r="S492" s="827">
        <v>20.262978811913154</v>
      </c>
    </row>
    <row r="493" spans="2:19">
      <c r="B493" s="187">
        <v>45590</v>
      </c>
      <c r="C493" s="827" t="e">
        <v>#REF!</v>
      </c>
      <c r="D493" s="840">
        <v>17.27397627247127</v>
      </c>
      <c r="E493" s="838">
        <v>59.324951842097917</v>
      </c>
      <c r="F493" s="827">
        <v>403.5099892873356</v>
      </c>
      <c r="G493" s="838">
        <v>29.622981094161208</v>
      </c>
      <c r="H493" s="838">
        <v>9.7839203008245015</v>
      </c>
      <c r="I493" s="827">
        <v>16.147668169398553</v>
      </c>
      <c r="J493" s="1572">
        <v>6.5253461220662814</v>
      </c>
      <c r="K493" s="827">
        <v>8.670924022399463</v>
      </c>
      <c r="L493" s="838">
        <v>5.6128940042527073</v>
      </c>
      <c r="M493" s="827">
        <v>6.5206059298673456</v>
      </c>
      <c r="N493" s="1524">
        <v>56.723246501818728</v>
      </c>
      <c r="O493" s="827">
        <v>61.840666619098997</v>
      </c>
      <c r="P493" s="827">
        <v>17.429711577545273</v>
      </c>
      <c r="Q493" s="827">
        <v>21.944428303451904</v>
      </c>
      <c r="R493" s="827">
        <v>17.88581485440282</v>
      </c>
      <c r="S493" s="827">
        <v>20.262978811913154</v>
      </c>
    </row>
    <row r="494" spans="2:19">
      <c r="B494" s="187">
        <v>45597</v>
      </c>
      <c r="C494" s="827" t="e">
        <v>#REF!</v>
      </c>
      <c r="D494" s="840">
        <v>17.27397627247127</v>
      </c>
      <c r="E494" s="838">
        <v>58.948245097534375</v>
      </c>
      <c r="F494" s="827">
        <v>403.5099892873356</v>
      </c>
      <c r="G494" s="838">
        <v>29.236248732916408</v>
      </c>
      <c r="H494" s="838">
        <v>9.7448339505667843</v>
      </c>
      <c r="I494" s="827">
        <v>16.147668169398553</v>
      </c>
      <c r="J494" s="1572">
        <v>6.4910671894268708</v>
      </c>
      <c r="K494" s="827">
        <v>8.670924022399463</v>
      </c>
      <c r="L494" s="838">
        <v>5.6345769738028268</v>
      </c>
      <c r="M494" s="827">
        <v>6.5206059298673456</v>
      </c>
      <c r="N494" s="1524">
        <v>56.408281750104436</v>
      </c>
      <c r="O494" s="827">
        <v>61.840666619098997</v>
      </c>
      <c r="P494" s="827">
        <v>17.489150271109565</v>
      </c>
      <c r="Q494" s="827">
        <v>21.944428303451904</v>
      </c>
      <c r="R494" s="827">
        <v>17.829597799790896</v>
      </c>
      <c r="S494" s="827">
        <v>20.262978811913154</v>
      </c>
    </row>
    <row r="495" spans="2:19">
      <c r="B495" s="187">
        <v>45604</v>
      </c>
      <c r="C495" s="827" t="e">
        <v>#REF!</v>
      </c>
      <c r="D495" s="840">
        <v>17.27397627247127</v>
      </c>
      <c r="E495" s="838">
        <v>64.77204952236562</v>
      </c>
      <c r="F495" s="827">
        <v>403.5099892873356</v>
      </c>
      <c r="G495" s="838">
        <v>30.629676575938035</v>
      </c>
      <c r="H495" s="838">
        <v>10.739521818136966</v>
      </c>
      <c r="I495" s="827">
        <v>16.147668169398553</v>
      </c>
      <c r="J495" s="1572">
        <v>6.8520294427035466</v>
      </c>
      <c r="K495" s="827">
        <v>8.670924022399463</v>
      </c>
      <c r="L495" s="838">
        <v>5.8902328224671621</v>
      </c>
      <c r="M495" s="827">
        <v>6.5206059298673456</v>
      </c>
      <c r="N495" s="1524">
        <v>62.073674949433908</v>
      </c>
      <c r="O495" s="827">
        <v>61.840666619098997</v>
      </c>
      <c r="P495" s="827">
        <v>18.215374504508244</v>
      </c>
      <c r="Q495" s="827">
        <v>21.944428303451904</v>
      </c>
      <c r="R495" s="827">
        <v>18.645556353414214</v>
      </c>
      <c r="S495" s="827">
        <v>20.262978811913154</v>
      </c>
    </row>
    <row r="496" spans="2:19">
      <c r="B496" s="187">
        <v>45611</v>
      </c>
      <c r="C496" s="827" t="e">
        <v>#REF!</v>
      </c>
      <c r="D496" s="840">
        <v>17.27397627247127</v>
      </c>
      <c r="E496" s="838">
        <v>73.831721384984817</v>
      </c>
      <c r="F496" s="827">
        <v>403.5099892873356</v>
      </c>
      <c r="G496" s="838">
        <v>30.987110138004368</v>
      </c>
      <c r="H496" s="838">
        <v>13.016785279640747</v>
      </c>
      <c r="I496" s="827">
        <v>16.147668169398553</v>
      </c>
      <c r="J496" s="1572">
        <v>6.9103179354272726</v>
      </c>
      <c r="K496" s="827">
        <v>8.670924022399463</v>
      </c>
      <c r="L496" s="838">
        <v>5.9150772359168506</v>
      </c>
      <c r="M496" s="827">
        <v>6.5206059298673456</v>
      </c>
      <c r="N496" s="1524">
        <v>72.084186383960031</v>
      </c>
      <c r="O496" s="827">
        <v>61.840666619098997</v>
      </c>
      <c r="P496" s="827">
        <v>17.70239025793953</v>
      </c>
      <c r="Q496" s="827">
        <v>21.944428303451904</v>
      </c>
      <c r="R496" s="827">
        <v>18.986763488675653</v>
      </c>
      <c r="S496" s="827">
        <v>20.262978811913154</v>
      </c>
    </row>
    <row r="497" spans="2:19">
      <c r="B497" s="187">
        <v>45618</v>
      </c>
      <c r="C497" s="827" t="e">
        <v>#REF!</v>
      </c>
      <c r="D497" s="840">
        <v>17.27397627247127</v>
      </c>
      <c r="E497" s="840">
        <v>72.387053085575957</v>
      </c>
      <c r="F497" s="827">
        <v>403.5099892873356</v>
      </c>
      <c r="G497" s="840">
        <v>31.916294447895858</v>
      </c>
      <c r="H497" s="840">
        <v>12.766625690224409</v>
      </c>
      <c r="I497" s="827">
        <v>16.147668169398553</v>
      </c>
      <c r="J497" s="1572">
        <v>7.2641419773110938</v>
      </c>
      <c r="K497" s="827">
        <v>8.670924022399463</v>
      </c>
      <c r="L497" s="840">
        <v>6.1696800204002731</v>
      </c>
      <c r="M497" s="827">
        <v>6.5206059298673456</v>
      </c>
      <c r="N497" s="1524">
        <v>70.612422587144465</v>
      </c>
      <c r="O497" s="827">
        <v>61.840666619098997</v>
      </c>
      <c r="P497" s="827">
        <v>18.524121244291713</v>
      </c>
      <c r="Q497" s="827">
        <v>21.944428303451904</v>
      </c>
      <c r="R497" s="827">
        <v>20.436754660313717</v>
      </c>
      <c r="S497" s="827">
        <v>20.262978811913154</v>
      </c>
    </row>
    <row r="498" spans="2:19">
      <c r="B498" s="187">
        <v>45625</v>
      </c>
      <c r="C498" s="827" t="e">
        <v>#REF!</v>
      </c>
      <c r="D498" s="840">
        <v>17.27397627247127</v>
      </c>
      <c r="E498" s="840">
        <v>77.984902500657398</v>
      </c>
      <c r="F498" s="827">
        <v>403.5099892873356</v>
      </c>
      <c r="G498" s="840">
        <v>32.351975900345018</v>
      </c>
      <c r="H498" s="840">
        <v>13.779833089360157</v>
      </c>
      <c r="I498" s="827">
        <v>16.147668169398553</v>
      </c>
      <c r="J498" s="1572">
        <v>7.3465545209136387</v>
      </c>
      <c r="K498" s="827">
        <v>8.670924022399463</v>
      </c>
      <c r="L498" s="840">
        <v>6.2467746223524259</v>
      </c>
      <c r="M498" s="827">
        <v>6.5206059298673456</v>
      </c>
      <c r="N498" s="1524">
        <v>76.121280904885992</v>
      </c>
      <c r="O498" s="827">
        <v>61.840666619098997</v>
      </c>
      <c r="P498" s="827">
        <v>18.637116058461775</v>
      </c>
      <c r="Q498" s="827">
        <v>21.944428303451904</v>
      </c>
      <c r="R498" s="827">
        <v>20.701783172671277</v>
      </c>
      <c r="S498" s="827">
        <v>20.262978811913154</v>
      </c>
    </row>
    <row r="499" spans="2:19">
      <c r="B499" s="187">
        <v>45632</v>
      </c>
      <c r="E499" s="840">
        <v>79.778493869382984</v>
      </c>
      <c r="F499" s="827">
        <v>403.5099892873356</v>
      </c>
      <c r="G499" s="840">
        <v>33.165270108601078</v>
      </c>
      <c r="H499" s="840">
        <v>14.075546544159135</v>
      </c>
      <c r="I499" s="827">
        <v>16.147668169398553</v>
      </c>
      <c r="J499" s="1572">
        <v>7.6541481463884447</v>
      </c>
      <c r="K499" s="827">
        <v>8.670924022399463</v>
      </c>
      <c r="L499" s="840">
        <v>6.4628700203443135</v>
      </c>
      <c r="M499" s="827">
        <v>6.5206059298673456</v>
      </c>
      <c r="N499" s="1524">
        <v>77.409336996695814</v>
      </c>
      <c r="O499" s="827">
        <v>61.840666619098997</v>
      </c>
      <c r="P499" s="827">
        <v>19.058117331862629</v>
      </c>
      <c r="Q499" s="827">
        <v>21.944428303451904</v>
      </c>
      <c r="R499" s="827">
        <v>21.537852242759506</v>
      </c>
      <c r="S499" s="827">
        <v>20.262978811913154</v>
      </c>
    </row>
    <row r="500" spans="2:19">
      <c r="B500" s="187">
        <v>45639</v>
      </c>
      <c r="E500" s="840">
        <v>76.77067308049709</v>
      </c>
      <c r="F500" s="827">
        <v>403.5099892873356</v>
      </c>
      <c r="G500" s="840">
        <v>32.062399158329939</v>
      </c>
      <c r="H500" s="840">
        <v>13.529299203777072</v>
      </c>
      <c r="I500" s="827">
        <v>16.147668169398553</v>
      </c>
      <c r="J500" s="1572">
        <v>7.3890597621028791</v>
      </c>
      <c r="K500" s="827">
        <v>8.670924022399463</v>
      </c>
      <c r="L500" s="840">
        <v>6.2638407051272758</v>
      </c>
      <c r="M500" s="827">
        <v>6.5206059298673456</v>
      </c>
      <c r="N500" s="1524">
        <v>73.983688975038916</v>
      </c>
      <c r="O500" s="827">
        <v>61.840666619098997</v>
      </c>
      <c r="P500" s="827">
        <v>18.296082509915038</v>
      </c>
      <c r="Q500" s="827">
        <v>21.944428303451904</v>
      </c>
      <c r="R500" s="827">
        <v>20.402672040583745</v>
      </c>
      <c r="S500" s="827">
        <v>20.262978811913154</v>
      </c>
    </row>
    <row r="501" spans="2:19">
      <c r="B501" s="187">
        <v>45646</v>
      </c>
      <c r="E501" s="840">
        <v>71.952623143661953</v>
      </c>
      <c r="F501" s="827">
        <v>403.5099892873356</v>
      </c>
      <c r="G501" s="840">
        <v>31.107626420994986</v>
      </c>
      <c r="H501" s="840">
        <v>12.795455591574513</v>
      </c>
      <c r="I501" s="827">
        <v>16.147668169398553</v>
      </c>
      <c r="J501" s="1572">
        <v>7.2623163065352374</v>
      </c>
      <c r="K501" s="827">
        <v>8.670924022399463</v>
      </c>
      <c r="L501" s="840">
        <v>6.0729290795643465</v>
      </c>
      <c r="M501" s="827">
        <v>6.5206059298673456</v>
      </c>
      <c r="N501" s="1525">
        <v>69.953381197804944</v>
      </c>
      <c r="O501" s="827">
        <v>61.840666619098997</v>
      </c>
      <c r="P501" s="1526">
        <v>17.855812916243558</v>
      </c>
      <c r="Q501" s="827">
        <v>21.944428303451904</v>
      </c>
      <c r="R501" s="827">
        <v>19.666228025585024</v>
      </c>
      <c r="S501" s="827">
        <v>20.262978811913154</v>
      </c>
    </row>
    <row r="502" spans="2:19">
      <c r="B502" s="187">
        <v>45653</v>
      </c>
      <c r="E502" s="840">
        <v>70.996191813623255</v>
      </c>
      <c r="F502" s="827">
        <v>403.5099892873356</v>
      </c>
      <c r="G502" s="840">
        <v>30.907348921103349</v>
      </c>
      <c r="H502" s="840">
        <v>12.653174049413897</v>
      </c>
      <c r="I502" s="827">
        <v>16.147668169398553</v>
      </c>
      <c r="J502" s="1571">
        <v>7.2561708438504526</v>
      </c>
      <c r="K502" s="827">
        <v>8.670924022399463</v>
      </c>
      <c r="L502" s="840">
        <v>6.0326070850995404</v>
      </c>
      <c r="M502" s="827">
        <v>6.5206059298673456</v>
      </c>
      <c r="N502" s="1525">
        <v>69.09056039322212</v>
      </c>
      <c r="O502" s="827">
        <v>61.840666619098997</v>
      </c>
      <c r="P502" s="1526">
        <v>17.738524592571846</v>
      </c>
      <c r="Q502" s="827">
        <v>21.944428303451904</v>
      </c>
      <c r="R502" s="1526">
        <v>19.403665399945943</v>
      </c>
      <c r="S502" s="827">
        <v>20.262978811913154</v>
      </c>
    </row>
    <row r="503" spans="2:19">
      <c r="B503" s="187">
        <v>45660</v>
      </c>
      <c r="E503" s="840">
        <v>71.312336283520878</v>
      </c>
      <c r="F503" s="827">
        <v>403.5099892873356</v>
      </c>
      <c r="G503" s="840">
        <v>30.825991881328985</v>
      </c>
      <c r="H503" s="840">
        <v>12.722069493260292</v>
      </c>
      <c r="I503" s="827">
        <v>16.147668169398553</v>
      </c>
      <c r="J503" s="1571">
        <v>7.2062751641775904</v>
      </c>
      <c r="K503" s="827">
        <v>8.670924022399463</v>
      </c>
      <c r="L503" s="840">
        <v>6.0289722301362714</v>
      </c>
      <c r="M503" s="827">
        <v>6.5206059298673456</v>
      </c>
      <c r="N503" s="1525">
        <v>69.133369488306357</v>
      </c>
      <c r="O503" s="827">
        <v>61.840666619098997</v>
      </c>
      <c r="P503" s="1526">
        <v>17.750736653298919</v>
      </c>
      <c r="Q503" s="827">
        <v>21.944428303451904</v>
      </c>
      <c r="R503" s="1526">
        <v>19.298423821206892</v>
      </c>
      <c r="S503" s="827">
        <v>20.262978811913154</v>
      </c>
    </row>
    <row r="504" spans="2:19">
      <c r="B504" s="187"/>
      <c r="M504" s="690"/>
    </row>
    <row r="505" spans="2:19">
      <c r="B505" s="187"/>
      <c r="M505" s="690"/>
    </row>
    <row r="506" spans="2:19">
      <c r="B506" s="187"/>
      <c r="M506" s="690"/>
    </row>
    <row r="507" spans="2:19">
      <c r="B507" s="187"/>
      <c r="M507" s="690"/>
    </row>
    <row r="508" spans="2:19">
      <c r="B508" s="187"/>
      <c r="M508" s="690"/>
    </row>
    <row r="509" spans="2:19">
      <c r="B509" s="187"/>
      <c r="M509" s="690"/>
    </row>
    <row r="510" spans="2:19">
      <c r="B510" s="187"/>
      <c r="M510" s="690"/>
    </row>
    <row r="511" spans="2:19">
      <c r="B511" s="187"/>
      <c r="M511" s="690"/>
    </row>
    <row r="512" spans="2:19">
      <c r="B512" s="187"/>
      <c r="M512" s="690"/>
    </row>
    <row r="513" spans="2:13">
      <c r="B513" s="187"/>
      <c r="M513" s="690"/>
    </row>
    <row r="514" spans="2:13">
      <c r="B514" s="187"/>
      <c r="M514" s="690"/>
    </row>
    <row r="515" spans="2:13">
      <c r="B515" s="187"/>
      <c r="M515" s="690"/>
    </row>
    <row r="516" spans="2:13">
      <c r="B516" s="187"/>
      <c r="M516" s="690"/>
    </row>
    <row r="517" spans="2:13">
      <c r="B517" s="187"/>
      <c r="M517" s="690"/>
    </row>
    <row r="518" spans="2:13">
      <c r="B518" s="187"/>
      <c r="M518" s="690"/>
    </row>
    <row r="519" spans="2:13">
      <c r="B519" s="187"/>
      <c r="M519" s="690"/>
    </row>
    <row r="520" spans="2:13">
      <c r="B520" s="187"/>
      <c r="M520" s="690"/>
    </row>
    <row r="521" spans="2:13">
      <c r="B521" s="187"/>
      <c r="M521" s="690"/>
    </row>
    <row r="522" spans="2:13">
      <c r="B522" s="187"/>
      <c r="M522" s="690"/>
    </row>
    <row r="523" spans="2:13">
      <c r="B523" s="187"/>
      <c r="M523" s="690"/>
    </row>
    <row r="524" spans="2:13">
      <c r="B524" s="187"/>
      <c r="M524" s="690"/>
    </row>
    <row r="525" spans="2:13">
      <c r="B525" s="187"/>
      <c r="M525" s="690"/>
    </row>
    <row r="526" spans="2:13">
      <c r="B526" s="187"/>
      <c r="M526" s="690"/>
    </row>
    <row r="527" spans="2:13">
      <c r="B527" s="187"/>
      <c r="M527" s="690"/>
    </row>
    <row r="528" spans="2:13">
      <c r="B528" s="187"/>
      <c r="M528" s="690"/>
    </row>
    <row r="529" spans="2:13">
      <c r="B529" s="187"/>
      <c r="M529" s="690"/>
    </row>
    <row r="530" spans="2:13">
      <c r="B530" s="187"/>
      <c r="M530" s="690"/>
    </row>
    <row r="531" spans="2:13">
      <c r="B531" s="187"/>
      <c r="M531" s="690"/>
    </row>
    <row r="532" spans="2:13">
      <c r="B532" s="187"/>
      <c r="M532" s="690"/>
    </row>
    <row r="533" spans="2:13">
      <c r="B533" s="187"/>
      <c r="M533" s="690"/>
    </row>
    <row r="534" spans="2:13">
      <c r="B534" s="187"/>
      <c r="M534" s="690"/>
    </row>
    <row r="535" spans="2:13">
      <c r="B535" s="187"/>
      <c r="M535" s="690"/>
    </row>
    <row r="536" spans="2:13">
      <c r="B536" s="187"/>
      <c r="M536" s="690"/>
    </row>
    <row r="537" spans="2:13">
      <c r="B537" s="187"/>
      <c r="M537" s="690"/>
    </row>
    <row r="538" spans="2:13">
      <c r="B538" s="187"/>
      <c r="M538" s="690"/>
    </row>
    <row r="539" spans="2:13">
      <c r="B539" s="187"/>
      <c r="M539" s="690"/>
    </row>
    <row r="540" spans="2:13">
      <c r="B540" s="187"/>
      <c r="M540" s="690"/>
    </row>
    <row r="541" spans="2:13">
      <c r="M541" s="690"/>
    </row>
    <row r="542" spans="2:13">
      <c r="M542" s="690"/>
    </row>
    <row r="543" spans="2:13">
      <c r="M543" s="690"/>
    </row>
    <row r="544" spans="2:13">
      <c r="M544" s="690"/>
    </row>
    <row r="545" spans="13:13">
      <c r="M545" s="690"/>
    </row>
    <row r="546" spans="13:13">
      <c r="M546" s="690"/>
    </row>
    <row r="547" spans="13:13">
      <c r="M547" s="690"/>
    </row>
    <row r="548" spans="13:13">
      <c r="M548" s="690"/>
    </row>
    <row r="549" spans="13:13">
      <c r="M549" s="690"/>
    </row>
    <row r="550" spans="13:13">
      <c r="M550" s="690"/>
    </row>
    <row r="551" spans="13:13">
      <c r="M551" s="690"/>
    </row>
    <row r="552" spans="13:13">
      <c r="M552" s="690"/>
    </row>
    <row r="553" spans="13:13">
      <c r="M553" s="690"/>
    </row>
    <row r="554" spans="13:13">
      <c r="M554" s="690"/>
    </row>
    <row r="555" spans="13:13">
      <c r="M555" s="690"/>
    </row>
    <row r="556" spans="13:13">
      <c r="M556" s="690"/>
    </row>
    <row r="557" spans="13:13">
      <c r="M557" s="690"/>
    </row>
    <row r="558" spans="13:13">
      <c r="M558" s="690"/>
    </row>
    <row r="559" spans="13:13">
      <c r="M559" s="690"/>
    </row>
    <row r="560" spans="13:13">
      <c r="M560" s="690"/>
    </row>
    <row r="561" spans="13:13">
      <c r="M561" s="690"/>
    </row>
    <row r="562" spans="13:13">
      <c r="M562" s="690"/>
    </row>
    <row r="563" spans="13:13">
      <c r="M563" s="690"/>
    </row>
    <row r="564" spans="13:13">
      <c r="M564" s="690"/>
    </row>
    <row r="565" spans="13:13">
      <c r="M565" s="690"/>
    </row>
    <row r="566" spans="13:13">
      <c r="M566" s="690"/>
    </row>
    <row r="567" spans="13:13">
      <c r="M567" s="690"/>
    </row>
    <row r="568" spans="13:13">
      <c r="M568" s="690"/>
    </row>
    <row r="569" spans="13:13">
      <c r="M569" s="690"/>
    </row>
    <row r="570" spans="13:13">
      <c r="M570" s="690"/>
    </row>
    <row r="571" spans="13:13">
      <c r="M571" s="690"/>
    </row>
    <row r="572" spans="13:13">
      <c r="M572" s="690"/>
    </row>
    <row r="573" spans="13:13">
      <c r="M573" s="690"/>
    </row>
    <row r="574" spans="13:13">
      <c r="M574" s="690"/>
    </row>
    <row r="575" spans="13:13">
      <c r="M575" s="690"/>
    </row>
    <row r="576" spans="13:13">
      <c r="M576" s="690"/>
    </row>
    <row r="577" spans="13:13">
      <c r="M577" s="690"/>
    </row>
    <row r="578" spans="13:13">
      <c r="M578" s="690"/>
    </row>
    <row r="579" spans="13:13">
      <c r="M579" s="690"/>
    </row>
    <row r="580" spans="13:13">
      <c r="M580" s="690"/>
    </row>
    <row r="581" spans="13:13">
      <c r="M581" s="690"/>
    </row>
    <row r="582" spans="13:13">
      <c r="M582" s="690"/>
    </row>
    <row r="583" spans="13:13">
      <c r="M583" s="690"/>
    </row>
    <row r="584" spans="13:13">
      <c r="M584" s="690"/>
    </row>
    <row r="585" spans="13:13">
      <c r="M585" s="690"/>
    </row>
    <row r="586" spans="13:13">
      <c r="M586" s="690"/>
    </row>
    <row r="587" spans="13:13">
      <c r="M587" s="690"/>
    </row>
    <row r="588" spans="13:13">
      <c r="M588" s="690"/>
    </row>
    <row r="589" spans="13:13">
      <c r="M589" s="690"/>
    </row>
    <row r="590" spans="13:13">
      <c r="M590" s="690"/>
    </row>
    <row r="591" spans="13:13">
      <c r="M591" s="690"/>
    </row>
    <row r="592" spans="13:13">
      <c r="M592" s="690"/>
    </row>
    <row r="593" spans="13:13">
      <c r="M593" s="690"/>
    </row>
    <row r="594" spans="13:13">
      <c r="M594" s="690"/>
    </row>
    <row r="595" spans="13:13">
      <c r="M595" s="690"/>
    </row>
    <row r="596" spans="13:13">
      <c r="M596" s="690"/>
    </row>
    <row r="597" spans="13:13">
      <c r="M597" s="690"/>
    </row>
    <row r="598" spans="13:13">
      <c r="M598" s="690"/>
    </row>
    <row r="599" spans="13:13">
      <c r="M599" s="690"/>
    </row>
    <row r="600" spans="13:13">
      <c r="M600" s="690"/>
    </row>
    <row r="601" spans="13:13">
      <c r="M601" s="690"/>
    </row>
    <row r="602" spans="13:13">
      <c r="M602" s="690"/>
    </row>
    <row r="603" spans="13:13">
      <c r="M603" s="690"/>
    </row>
    <row r="604" spans="13:13">
      <c r="M604" s="690"/>
    </row>
    <row r="605" spans="13:13">
      <c r="M605" s="690"/>
    </row>
    <row r="606" spans="13:13">
      <c r="M606" s="690"/>
    </row>
    <row r="607" spans="13:13">
      <c r="M607" s="690"/>
    </row>
    <row r="608" spans="13:13">
      <c r="M608" s="690"/>
    </row>
    <row r="609" spans="13:13">
      <c r="M609" s="690"/>
    </row>
    <row r="610" spans="13:13">
      <c r="M610" s="690"/>
    </row>
    <row r="611" spans="13:13">
      <c r="M611" s="690"/>
    </row>
    <row r="612" spans="13:13">
      <c r="M612" s="690"/>
    </row>
    <row r="613" spans="13:13">
      <c r="M613" s="690"/>
    </row>
    <row r="614" spans="13:13">
      <c r="M614" s="690"/>
    </row>
    <row r="615" spans="13:13">
      <c r="M615" s="690"/>
    </row>
    <row r="616" spans="13:13">
      <c r="M616" s="690"/>
    </row>
    <row r="617" spans="13:13">
      <c r="M617" s="690"/>
    </row>
    <row r="618" spans="13:13">
      <c r="M618" s="690"/>
    </row>
    <row r="619" spans="13:13">
      <c r="M619" s="690"/>
    </row>
    <row r="620" spans="13:13">
      <c r="M620" s="690"/>
    </row>
    <row r="621" spans="13:13">
      <c r="M621" s="690"/>
    </row>
    <row r="622" spans="13:13">
      <c r="M622" s="690"/>
    </row>
    <row r="623" spans="13:13">
      <c r="M623" s="690"/>
    </row>
    <row r="624" spans="13:13">
      <c r="M624" s="690"/>
    </row>
    <row r="625" spans="13:13">
      <c r="M625" s="690"/>
    </row>
    <row r="626" spans="13:13">
      <c r="M626" s="690"/>
    </row>
    <row r="627" spans="13:13">
      <c r="M627" s="690"/>
    </row>
    <row r="628" spans="13:13">
      <c r="M628" s="690"/>
    </row>
    <row r="629" spans="13:13">
      <c r="M629" s="690"/>
    </row>
    <row r="630" spans="13:13">
      <c r="M630" s="690"/>
    </row>
    <row r="631" spans="13:13">
      <c r="M631" s="690"/>
    </row>
    <row r="632" spans="13:13">
      <c r="M632" s="690"/>
    </row>
    <row r="633" spans="13:13">
      <c r="M633" s="690"/>
    </row>
    <row r="634" spans="13:13">
      <c r="M634" s="690"/>
    </row>
    <row r="635" spans="13:13">
      <c r="M635" s="690"/>
    </row>
    <row r="636" spans="13:13">
      <c r="M636" s="690"/>
    </row>
    <row r="637" spans="13:13">
      <c r="M637" s="690"/>
    </row>
    <row r="638" spans="13:13">
      <c r="M638" s="690"/>
    </row>
    <row r="639" spans="13:13">
      <c r="M639" s="690"/>
    </row>
    <row r="640" spans="13:13">
      <c r="M640" s="690"/>
    </row>
    <row r="641" spans="13:13">
      <c r="M641" s="690"/>
    </row>
    <row r="642" spans="13:13">
      <c r="M642" s="690"/>
    </row>
    <row r="643" spans="13:13">
      <c r="M643" s="690"/>
    </row>
    <row r="644" spans="13:13">
      <c r="M644" s="690"/>
    </row>
    <row r="645" spans="13:13">
      <c r="M645" s="690"/>
    </row>
    <row r="646" spans="13:13">
      <c r="M646" s="690"/>
    </row>
    <row r="647" spans="13:13">
      <c r="M647" s="690"/>
    </row>
    <row r="648" spans="13:13">
      <c r="M648" s="690"/>
    </row>
    <row r="649" spans="13:13">
      <c r="M649" s="690"/>
    </row>
    <row r="650" spans="13:13">
      <c r="M650" s="690"/>
    </row>
    <row r="651" spans="13:13">
      <c r="M651" s="690"/>
    </row>
    <row r="652" spans="13:13">
      <c r="M652" s="690"/>
    </row>
    <row r="653" spans="13:13">
      <c r="M653" s="690"/>
    </row>
    <row r="654" spans="13:13">
      <c r="M654" s="690"/>
    </row>
    <row r="655" spans="13:13">
      <c r="M655" s="690"/>
    </row>
    <row r="656" spans="13:13">
      <c r="M656" s="690"/>
    </row>
    <row r="657" spans="13:13">
      <c r="M657" s="690"/>
    </row>
    <row r="658" spans="13:13">
      <c r="M658" s="690"/>
    </row>
    <row r="659" spans="13:13">
      <c r="M659" s="690"/>
    </row>
    <row r="660" spans="13:13">
      <c r="M660" s="690"/>
    </row>
    <row r="661" spans="13:13">
      <c r="M661" s="690"/>
    </row>
    <row r="662" spans="13:13">
      <c r="M662" s="690"/>
    </row>
    <row r="663" spans="13:13">
      <c r="M663" s="690"/>
    </row>
    <row r="664" spans="13:13">
      <c r="M664" s="690"/>
    </row>
    <row r="665" spans="13:13">
      <c r="M665" s="690"/>
    </row>
    <row r="666" spans="13:13">
      <c r="M666" s="690"/>
    </row>
    <row r="667" spans="13:13">
      <c r="M667" s="690"/>
    </row>
    <row r="668" spans="13:13">
      <c r="M668" s="690"/>
    </row>
    <row r="669" spans="13:13">
      <c r="M669" s="690"/>
    </row>
    <row r="670" spans="13:13">
      <c r="M670" s="690"/>
    </row>
    <row r="671" spans="13:13">
      <c r="M671" s="690"/>
    </row>
    <row r="672" spans="13:13">
      <c r="M672" s="690"/>
    </row>
    <row r="673" spans="13:13">
      <c r="M673" s="690"/>
    </row>
    <row r="674" spans="13:13">
      <c r="M674" s="690"/>
    </row>
    <row r="675" spans="13:13">
      <c r="M675" s="690"/>
    </row>
    <row r="676" spans="13:13">
      <c r="M676" s="690"/>
    </row>
    <row r="677" spans="13:13">
      <c r="M677" s="690"/>
    </row>
    <row r="678" spans="13:13">
      <c r="M678" s="690"/>
    </row>
    <row r="679" spans="13:13">
      <c r="M679" s="690"/>
    </row>
    <row r="680" spans="13:13">
      <c r="M680" s="690"/>
    </row>
    <row r="681" spans="13:13">
      <c r="M681" s="690"/>
    </row>
    <row r="682" spans="13:13">
      <c r="M682" s="690"/>
    </row>
    <row r="683" spans="13:13">
      <c r="M683" s="690"/>
    </row>
    <row r="684" spans="13:13">
      <c r="M684" s="690"/>
    </row>
    <row r="685" spans="13:13">
      <c r="M685" s="690"/>
    </row>
    <row r="686" spans="13:13">
      <c r="M686" s="690"/>
    </row>
    <row r="687" spans="13:13">
      <c r="M687" s="690"/>
    </row>
    <row r="688" spans="13:13">
      <c r="M688" s="690"/>
    </row>
    <row r="689" spans="13:13">
      <c r="M689" s="690"/>
    </row>
    <row r="690" spans="13:13">
      <c r="M690" s="690"/>
    </row>
    <row r="691" spans="13:13">
      <c r="M691" s="690"/>
    </row>
    <row r="692" spans="13:13">
      <c r="M692" s="690"/>
    </row>
    <row r="693" spans="13:13">
      <c r="M693" s="690"/>
    </row>
    <row r="694" spans="13:13">
      <c r="M694" s="690"/>
    </row>
    <row r="695" spans="13:13">
      <c r="M695" s="690"/>
    </row>
    <row r="696" spans="13:13">
      <c r="M696" s="690"/>
    </row>
    <row r="697" spans="13:13">
      <c r="M697" s="690"/>
    </row>
    <row r="698" spans="13:13">
      <c r="M698" s="690"/>
    </row>
    <row r="699" spans="13:13">
      <c r="M699" s="690"/>
    </row>
    <row r="700" spans="13:13">
      <c r="M700" s="690"/>
    </row>
    <row r="701" spans="13:13">
      <c r="M701" s="690"/>
    </row>
    <row r="702" spans="13:13">
      <c r="M702" s="690"/>
    </row>
    <row r="703" spans="13:13">
      <c r="M703" s="690"/>
    </row>
    <row r="704" spans="13:13">
      <c r="M704" s="690"/>
    </row>
    <row r="705" spans="13:13">
      <c r="M705" s="690"/>
    </row>
    <row r="706" spans="13:13">
      <c r="M706" s="690"/>
    </row>
    <row r="707" spans="13:13">
      <c r="M707" s="690"/>
    </row>
    <row r="708" spans="13:13">
      <c r="M708" s="690"/>
    </row>
    <row r="709" spans="13:13">
      <c r="M709" s="690"/>
    </row>
    <row r="710" spans="13:13">
      <c r="M710" s="690"/>
    </row>
    <row r="711" spans="13:13">
      <c r="M711" s="690"/>
    </row>
    <row r="712" spans="13:13">
      <c r="M712" s="690"/>
    </row>
    <row r="713" spans="13:13">
      <c r="M713" s="690"/>
    </row>
    <row r="714" spans="13:13">
      <c r="M714" s="690"/>
    </row>
    <row r="715" spans="13:13">
      <c r="M715" s="690"/>
    </row>
    <row r="716" spans="13:13">
      <c r="M716" s="690"/>
    </row>
    <row r="717" spans="13:13">
      <c r="M717" s="690"/>
    </row>
    <row r="718" spans="13:13">
      <c r="M718" s="690"/>
    </row>
    <row r="719" spans="13:13">
      <c r="M719" s="690"/>
    </row>
    <row r="720" spans="13:13">
      <c r="M720" s="690"/>
    </row>
    <row r="721" spans="13:13">
      <c r="M721" s="690"/>
    </row>
    <row r="722" spans="13:13">
      <c r="M722" s="690"/>
    </row>
    <row r="723" spans="13:13">
      <c r="M723" s="690"/>
    </row>
    <row r="724" spans="13:13">
      <c r="M724" s="690"/>
    </row>
    <row r="725" spans="13:13">
      <c r="M725" s="690"/>
    </row>
    <row r="726" spans="13:13">
      <c r="M726" s="690"/>
    </row>
    <row r="727" spans="13:13">
      <c r="M727" s="690"/>
    </row>
    <row r="728" spans="13:13">
      <c r="M728" s="690"/>
    </row>
    <row r="729" spans="13:13">
      <c r="M729" s="690"/>
    </row>
    <row r="730" spans="13:13">
      <c r="M730" s="690"/>
    </row>
    <row r="731" spans="13:13">
      <c r="M731" s="690"/>
    </row>
    <row r="732" spans="13:13">
      <c r="M732" s="690"/>
    </row>
    <row r="733" spans="13:13">
      <c r="M733" s="690"/>
    </row>
    <row r="734" spans="13:13">
      <c r="M734" s="690"/>
    </row>
    <row r="735" spans="13:13">
      <c r="M735" s="690"/>
    </row>
    <row r="736" spans="13:13">
      <c r="M736" s="690"/>
    </row>
    <row r="737" spans="13:13">
      <c r="M737" s="690"/>
    </row>
    <row r="738" spans="13:13">
      <c r="M738" s="690"/>
    </row>
    <row r="739" spans="13:13">
      <c r="M739" s="690"/>
    </row>
    <row r="740" spans="13:13">
      <c r="M740" s="690"/>
    </row>
    <row r="741" spans="13:13">
      <c r="M741" s="690"/>
    </row>
    <row r="742" spans="13:13">
      <c r="M742" s="690"/>
    </row>
    <row r="743" spans="13:13">
      <c r="M743" s="690"/>
    </row>
    <row r="744" spans="13:13">
      <c r="M744" s="690"/>
    </row>
    <row r="745" spans="13:13">
      <c r="M745" s="690"/>
    </row>
    <row r="746" spans="13:13">
      <c r="M746" s="690"/>
    </row>
    <row r="747" spans="13:13">
      <c r="M747" s="690"/>
    </row>
    <row r="748" spans="13:13">
      <c r="M748" s="690"/>
    </row>
    <row r="749" spans="13:13">
      <c r="M749" s="690"/>
    </row>
    <row r="750" spans="13:13">
      <c r="M750" s="690"/>
    </row>
    <row r="751" spans="13:13">
      <c r="M751" s="690"/>
    </row>
    <row r="752" spans="13:13">
      <c r="M752" s="690"/>
    </row>
    <row r="753" spans="13:13">
      <c r="M753" s="690"/>
    </row>
    <row r="754" spans="13:13">
      <c r="M754" s="690"/>
    </row>
    <row r="755" spans="13:13">
      <c r="M755" s="690"/>
    </row>
    <row r="756" spans="13:13">
      <c r="M756" s="690"/>
    </row>
    <row r="757" spans="13:13">
      <c r="M757" s="690"/>
    </row>
    <row r="758" spans="13:13">
      <c r="M758" s="690"/>
    </row>
    <row r="759" spans="13:13">
      <c r="M759" s="690"/>
    </row>
    <row r="760" spans="13:13">
      <c r="M760" s="690"/>
    </row>
    <row r="761" spans="13:13">
      <c r="M761" s="690"/>
    </row>
    <row r="762" spans="13:13">
      <c r="M762" s="690"/>
    </row>
    <row r="763" spans="13:13">
      <c r="M763" s="690"/>
    </row>
    <row r="764" spans="13:13">
      <c r="M764" s="690"/>
    </row>
    <row r="765" spans="13:13">
      <c r="M765" s="690"/>
    </row>
    <row r="766" spans="13:13">
      <c r="M766" s="690"/>
    </row>
    <row r="767" spans="13:13">
      <c r="M767" s="690"/>
    </row>
    <row r="768" spans="13:13">
      <c r="M768" s="690"/>
    </row>
    <row r="769" spans="13:13">
      <c r="M769" s="690"/>
    </row>
    <row r="770" spans="13:13">
      <c r="M770" s="690"/>
    </row>
    <row r="771" spans="13:13">
      <c r="M771" s="690"/>
    </row>
    <row r="772" spans="13:13">
      <c r="M772" s="690"/>
    </row>
    <row r="773" spans="13:13">
      <c r="M773" s="690"/>
    </row>
    <row r="774" spans="13:13">
      <c r="M774" s="690"/>
    </row>
    <row r="775" spans="13:13">
      <c r="M775" s="690"/>
    </row>
    <row r="776" spans="13:13">
      <c r="M776" s="690"/>
    </row>
    <row r="777" spans="13:13">
      <c r="M777" s="690"/>
    </row>
    <row r="778" spans="13:13">
      <c r="M778" s="690"/>
    </row>
    <row r="779" spans="13:13">
      <c r="M779" s="690"/>
    </row>
    <row r="780" spans="13:13">
      <c r="M780" s="690"/>
    </row>
    <row r="781" spans="13:13">
      <c r="M781" s="690"/>
    </row>
    <row r="782" spans="13:13">
      <c r="M782" s="690"/>
    </row>
    <row r="783" spans="13:13">
      <c r="M783" s="690"/>
    </row>
    <row r="784" spans="13:13">
      <c r="M784" s="690"/>
    </row>
    <row r="785" spans="13:13">
      <c r="M785" s="690"/>
    </row>
    <row r="786" spans="13:13">
      <c r="M786" s="690"/>
    </row>
    <row r="787" spans="13:13">
      <c r="M787" s="690"/>
    </row>
    <row r="788" spans="13:13">
      <c r="M788" s="690"/>
    </row>
    <row r="789" spans="13:13">
      <c r="M789" s="690"/>
    </row>
    <row r="790" spans="13:13">
      <c r="M790" s="690"/>
    </row>
    <row r="791" spans="13:13">
      <c r="M791" s="690"/>
    </row>
    <row r="792" spans="13:13">
      <c r="M792" s="690"/>
    </row>
    <row r="793" spans="13:13">
      <c r="M793" s="690"/>
    </row>
    <row r="794" spans="13:13">
      <c r="M794" s="690"/>
    </row>
    <row r="795" spans="13:13">
      <c r="M795" s="690"/>
    </row>
    <row r="796" spans="13:13">
      <c r="M796" s="690"/>
    </row>
    <row r="797" spans="13:13">
      <c r="M797" s="690"/>
    </row>
    <row r="798" spans="13:13">
      <c r="M798" s="690"/>
    </row>
    <row r="799" spans="13:13">
      <c r="M799" s="690"/>
    </row>
    <row r="800" spans="13:13">
      <c r="M800" s="690"/>
    </row>
    <row r="801" spans="13:13">
      <c r="M801" s="690"/>
    </row>
    <row r="802" spans="13:13">
      <c r="M802" s="690"/>
    </row>
    <row r="803" spans="13:13">
      <c r="M803" s="690"/>
    </row>
    <row r="804" spans="13:13">
      <c r="M804" s="690"/>
    </row>
    <row r="805" spans="13:13">
      <c r="M805" s="690"/>
    </row>
    <row r="806" spans="13:13">
      <c r="M806" s="690"/>
    </row>
    <row r="807" spans="13:13">
      <c r="M807" s="690"/>
    </row>
    <row r="808" spans="13:13">
      <c r="M808" s="690"/>
    </row>
    <row r="809" spans="13:13">
      <c r="M809" s="690"/>
    </row>
    <row r="810" spans="13:13">
      <c r="M810" s="690"/>
    </row>
    <row r="811" spans="13:13">
      <c r="M811" s="690"/>
    </row>
    <row r="812" spans="13:13">
      <c r="M812" s="690"/>
    </row>
    <row r="813" spans="13:13">
      <c r="M813" s="690"/>
    </row>
    <row r="814" spans="13:13">
      <c r="M814" s="690"/>
    </row>
    <row r="815" spans="13:13">
      <c r="M815" s="690"/>
    </row>
    <row r="816" spans="13:13">
      <c r="M816" s="690"/>
    </row>
    <row r="817" spans="13:13">
      <c r="M817" s="690"/>
    </row>
    <row r="818" spans="13:13">
      <c r="M818" s="690"/>
    </row>
    <row r="819" spans="13:13">
      <c r="M819" s="690"/>
    </row>
    <row r="820" spans="13:13">
      <c r="M820" s="690"/>
    </row>
    <row r="821" spans="13:13">
      <c r="M821" s="690"/>
    </row>
    <row r="822" spans="13:13">
      <c r="M822" s="690"/>
    </row>
    <row r="823" spans="13:13">
      <c r="M823" s="690"/>
    </row>
    <row r="824" spans="13:13">
      <c r="M824" s="690"/>
    </row>
    <row r="825" spans="13:13">
      <c r="M825" s="690"/>
    </row>
    <row r="826" spans="13:13">
      <c r="M826" s="690"/>
    </row>
    <row r="827" spans="13:13">
      <c r="M827" s="690"/>
    </row>
    <row r="828" spans="13:13">
      <c r="M828" s="690"/>
    </row>
    <row r="829" spans="13:13">
      <c r="M829" s="690"/>
    </row>
    <row r="830" spans="13:13">
      <c r="M830" s="690"/>
    </row>
    <row r="831" spans="13:13">
      <c r="M831" s="690"/>
    </row>
    <row r="832" spans="13:13">
      <c r="M832" s="690"/>
    </row>
    <row r="833" spans="13:13">
      <c r="M833" s="690"/>
    </row>
    <row r="834" spans="13:13">
      <c r="M834" s="690"/>
    </row>
    <row r="835" spans="13:13">
      <c r="M835" s="690"/>
    </row>
    <row r="836" spans="13:13">
      <c r="M836" s="690"/>
    </row>
    <row r="837" spans="13:13">
      <c r="M837" s="690"/>
    </row>
    <row r="838" spans="13:13">
      <c r="M838" s="690"/>
    </row>
    <row r="839" spans="13:13">
      <c r="M839" s="690"/>
    </row>
    <row r="840" spans="13:13">
      <c r="M840" s="690"/>
    </row>
    <row r="841" spans="13:13">
      <c r="M841" s="690"/>
    </row>
    <row r="842" spans="13:13">
      <c r="M842" s="690"/>
    </row>
    <row r="843" spans="13:13">
      <c r="M843" s="690"/>
    </row>
    <row r="844" spans="13:13">
      <c r="M844" s="690"/>
    </row>
    <row r="845" spans="13:13">
      <c r="M845" s="690"/>
    </row>
    <row r="846" spans="13:13">
      <c r="M846" s="690"/>
    </row>
    <row r="847" spans="13:13">
      <c r="M847" s="690"/>
    </row>
    <row r="848" spans="13:13">
      <c r="M848" s="690"/>
    </row>
    <row r="849" spans="13:13">
      <c r="M849" s="690"/>
    </row>
    <row r="850" spans="13:13">
      <c r="M850" s="690"/>
    </row>
    <row r="851" spans="13:13">
      <c r="M851" s="690"/>
    </row>
    <row r="852" spans="13:13">
      <c r="M852" s="690"/>
    </row>
    <row r="853" spans="13:13">
      <c r="M853" s="690"/>
    </row>
    <row r="854" spans="13:13">
      <c r="M854" s="690"/>
    </row>
    <row r="855" spans="13:13">
      <c r="M855" s="690"/>
    </row>
    <row r="856" spans="13:13">
      <c r="M856" s="690"/>
    </row>
    <row r="857" spans="13:13">
      <c r="M857" s="690"/>
    </row>
    <row r="858" spans="13:13">
      <c r="M858" s="690"/>
    </row>
    <row r="859" spans="13:13">
      <c r="M859" s="690"/>
    </row>
    <row r="860" spans="13:13">
      <c r="M860" s="690"/>
    </row>
    <row r="861" spans="13:13">
      <c r="M861" s="690"/>
    </row>
    <row r="862" spans="13:13">
      <c r="M862" s="690"/>
    </row>
    <row r="863" spans="13:13">
      <c r="M863" s="690"/>
    </row>
    <row r="864" spans="13:13">
      <c r="M864" s="690"/>
    </row>
    <row r="865" spans="13:13">
      <c r="M865" s="690"/>
    </row>
    <row r="866" spans="13:13">
      <c r="M866" s="690"/>
    </row>
    <row r="867" spans="13:13">
      <c r="M867" s="690"/>
    </row>
    <row r="868" spans="13:13">
      <c r="M868" s="690"/>
    </row>
    <row r="869" spans="13:13">
      <c r="M869" s="690"/>
    </row>
    <row r="870" spans="13:13">
      <c r="M870" s="690"/>
    </row>
    <row r="871" spans="13:13">
      <c r="M871" s="690"/>
    </row>
    <row r="872" spans="13:13">
      <c r="M872" s="690"/>
    </row>
    <row r="873" spans="13:13">
      <c r="M873" s="690"/>
    </row>
    <row r="874" spans="13:13">
      <c r="M874" s="690"/>
    </row>
    <row r="875" spans="13:13">
      <c r="M875" s="690"/>
    </row>
    <row r="876" spans="13:13">
      <c r="M876" s="690"/>
    </row>
    <row r="877" spans="13:13">
      <c r="M877" s="690"/>
    </row>
    <row r="878" spans="13:13">
      <c r="M878" s="690"/>
    </row>
    <row r="879" spans="13:13">
      <c r="M879" s="690"/>
    </row>
    <row r="880" spans="13:13">
      <c r="M880" s="690"/>
    </row>
    <row r="881" spans="13:13">
      <c r="M881" s="690"/>
    </row>
    <row r="882" spans="13:13">
      <c r="M882" s="690"/>
    </row>
    <row r="883" spans="13:13">
      <c r="M883" s="690"/>
    </row>
    <row r="884" spans="13:13">
      <c r="M884" s="690"/>
    </row>
    <row r="885" spans="13:13">
      <c r="M885" s="690"/>
    </row>
    <row r="886" spans="13:13">
      <c r="M886" s="690"/>
    </row>
    <row r="887" spans="13:13">
      <c r="M887" s="690"/>
    </row>
    <row r="888" spans="13:13">
      <c r="M888" s="690"/>
    </row>
    <row r="889" spans="13:13">
      <c r="M889" s="690"/>
    </row>
    <row r="890" spans="13:13">
      <c r="M890" s="690"/>
    </row>
    <row r="891" spans="13:13">
      <c r="M891" s="690"/>
    </row>
    <row r="892" spans="13:13">
      <c r="M892" s="690"/>
    </row>
    <row r="893" spans="13:13">
      <c r="M893" s="690"/>
    </row>
    <row r="894" spans="13:13">
      <c r="M894" s="690"/>
    </row>
    <row r="895" spans="13:13">
      <c r="M895" s="690"/>
    </row>
    <row r="896" spans="13:13">
      <c r="M896" s="690"/>
    </row>
    <row r="897" spans="13:13">
      <c r="M897" s="690"/>
    </row>
    <row r="898" spans="13:13">
      <c r="M898" s="690"/>
    </row>
    <row r="899" spans="13:13">
      <c r="M899" s="690"/>
    </row>
    <row r="900" spans="13:13">
      <c r="M900" s="690"/>
    </row>
    <row r="901" spans="13:13">
      <c r="M901" s="690"/>
    </row>
    <row r="902" spans="13:13">
      <c r="M902" s="690"/>
    </row>
    <row r="903" spans="13:13">
      <c r="M903" s="690"/>
    </row>
    <row r="904" spans="13:13">
      <c r="M904" s="690"/>
    </row>
    <row r="905" spans="13:13">
      <c r="M905" s="690"/>
    </row>
    <row r="906" spans="13:13">
      <c r="M906" s="690"/>
    </row>
    <row r="907" spans="13:13">
      <c r="M907" s="690"/>
    </row>
    <row r="908" spans="13:13">
      <c r="M908" s="690"/>
    </row>
    <row r="909" spans="13:13">
      <c r="M909" s="690"/>
    </row>
    <row r="910" spans="13:13">
      <c r="M910" s="690"/>
    </row>
    <row r="911" spans="13:13">
      <c r="M911" s="690"/>
    </row>
    <row r="912" spans="13:13">
      <c r="M912" s="690"/>
    </row>
    <row r="913" spans="13:13">
      <c r="M913" s="690"/>
    </row>
    <row r="914" spans="13:13">
      <c r="M914" s="690"/>
    </row>
    <row r="915" spans="13:13">
      <c r="M915" s="690"/>
    </row>
    <row r="916" spans="13:13">
      <c r="M916" s="690"/>
    </row>
    <row r="917" spans="13:13">
      <c r="M917" s="690"/>
    </row>
    <row r="918" spans="13:13">
      <c r="M918" s="690"/>
    </row>
    <row r="919" spans="13:13">
      <c r="M919" s="690"/>
    </row>
    <row r="920" spans="13:13">
      <c r="M920" s="690"/>
    </row>
    <row r="921" spans="13:13">
      <c r="M921" s="690"/>
    </row>
    <row r="922" spans="13:13">
      <c r="M922" s="690"/>
    </row>
    <row r="923" spans="13:13">
      <c r="M923" s="690"/>
    </row>
    <row r="924" spans="13:13">
      <c r="M924" s="690"/>
    </row>
    <row r="925" spans="13:13">
      <c r="M925" s="690"/>
    </row>
    <row r="926" spans="13:13">
      <c r="M926" s="690"/>
    </row>
    <row r="927" spans="13:13">
      <c r="M927" s="690"/>
    </row>
    <row r="928" spans="13:13">
      <c r="M928" s="690"/>
    </row>
    <row r="929" spans="13:13">
      <c r="M929" s="690"/>
    </row>
    <row r="930" spans="13:13">
      <c r="M930" s="690"/>
    </row>
    <row r="931" spans="13:13">
      <c r="M931" s="690"/>
    </row>
    <row r="932" spans="13:13">
      <c r="M932" s="690"/>
    </row>
    <row r="933" spans="13:13">
      <c r="M933" s="690"/>
    </row>
    <row r="934" spans="13:13">
      <c r="M934" s="690"/>
    </row>
    <row r="935" spans="13:13">
      <c r="M935" s="690"/>
    </row>
    <row r="936" spans="13:13">
      <c r="M936" s="690"/>
    </row>
    <row r="937" spans="13:13">
      <c r="M937" s="690"/>
    </row>
    <row r="938" spans="13:13">
      <c r="M938" s="690"/>
    </row>
    <row r="939" spans="13:13">
      <c r="M939" s="690"/>
    </row>
    <row r="940" spans="13:13">
      <c r="M940" s="690"/>
    </row>
    <row r="941" spans="13:13">
      <c r="M941" s="690"/>
    </row>
    <row r="942" spans="13:13">
      <c r="M942" s="690"/>
    </row>
    <row r="943" spans="13:13">
      <c r="M943" s="690"/>
    </row>
    <row r="944" spans="13:13">
      <c r="M944" s="690"/>
    </row>
    <row r="945" spans="13:13">
      <c r="M945" s="690"/>
    </row>
    <row r="946" spans="13:13">
      <c r="M946" s="690"/>
    </row>
    <row r="947" spans="13:13">
      <c r="M947" s="690"/>
    </row>
    <row r="948" spans="13:13">
      <c r="M948" s="690"/>
    </row>
    <row r="949" spans="13:13">
      <c r="M949" s="690"/>
    </row>
    <row r="950" spans="13:13">
      <c r="M950" s="690"/>
    </row>
    <row r="951" spans="13:13">
      <c r="M951" s="690"/>
    </row>
    <row r="952" spans="13:13">
      <c r="M952" s="690"/>
    </row>
    <row r="953" spans="13:13">
      <c r="M953" s="690"/>
    </row>
    <row r="954" spans="13:13">
      <c r="M954" s="690"/>
    </row>
    <row r="955" spans="13:13">
      <c r="M955" s="690"/>
    </row>
    <row r="956" spans="13:13">
      <c r="M956" s="690"/>
    </row>
    <row r="957" spans="13:13">
      <c r="M957" s="690"/>
    </row>
    <row r="958" spans="13:13">
      <c r="M958" s="690"/>
    </row>
    <row r="959" spans="13:13">
      <c r="M959" s="690"/>
    </row>
    <row r="960" spans="13:13">
      <c r="M960" s="690"/>
    </row>
    <row r="961" spans="13:13">
      <c r="M961" s="690"/>
    </row>
    <row r="962" spans="13:13">
      <c r="M962" s="690"/>
    </row>
    <row r="963" spans="13:13">
      <c r="M963" s="690"/>
    </row>
    <row r="964" spans="13:13">
      <c r="M964" s="690"/>
    </row>
    <row r="965" spans="13:13">
      <c r="M965" s="690"/>
    </row>
    <row r="966" spans="13:13">
      <c r="M966" s="690"/>
    </row>
    <row r="967" spans="13:13">
      <c r="M967" s="690"/>
    </row>
    <row r="968" spans="13:13">
      <c r="M968" s="690"/>
    </row>
    <row r="969" spans="13:13">
      <c r="M969" s="690"/>
    </row>
    <row r="970" spans="13:13">
      <c r="M970" s="690"/>
    </row>
    <row r="971" spans="13:13">
      <c r="M971" s="690"/>
    </row>
    <row r="972" spans="13:13">
      <c r="M972" s="690"/>
    </row>
    <row r="973" spans="13:13">
      <c r="M973" s="690"/>
    </row>
    <row r="974" spans="13:13">
      <c r="M974" s="690"/>
    </row>
    <row r="975" spans="13:13">
      <c r="M975" s="690"/>
    </row>
    <row r="976" spans="13:13">
      <c r="M976" s="690"/>
    </row>
    <row r="977" spans="13:13">
      <c r="M977" s="690"/>
    </row>
    <row r="978" spans="13:13">
      <c r="M978" s="690"/>
    </row>
    <row r="979" spans="13:13">
      <c r="M979" s="690"/>
    </row>
    <row r="980" spans="13:13">
      <c r="M980" s="690"/>
    </row>
    <row r="981" spans="13:13">
      <c r="M981" s="690"/>
    </row>
    <row r="982" spans="13:13">
      <c r="M982" s="690"/>
    </row>
    <row r="983" spans="13:13">
      <c r="M983" s="690"/>
    </row>
    <row r="984" spans="13:13">
      <c r="M984" s="690"/>
    </row>
    <row r="985" spans="13:13">
      <c r="M985" s="690"/>
    </row>
    <row r="986" spans="13:13">
      <c r="M986" s="690"/>
    </row>
    <row r="987" spans="13:13">
      <c r="M987" s="690"/>
    </row>
    <row r="988" spans="13:13">
      <c r="M988" s="690"/>
    </row>
    <row r="989" spans="13:13">
      <c r="M989" s="690"/>
    </row>
    <row r="990" spans="13:13">
      <c r="M990" s="690"/>
    </row>
    <row r="991" spans="13:13">
      <c r="M991" s="690"/>
    </row>
    <row r="992" spans="13:13">
      <c r="M992" s="690"/>
    </row>
    <row r="993" spans="13:13">
      <c r="M993" s="690"/>
    </row>
    <row r="994" spans="13:13">
      <c r="M994" s="690"/>
    </row>
    <row r="995" spans="13:13">
      <c r="M995" s="690"/>
    </row>
    <row r="996" spans="13:13">
      <c r="M996" s="690"/>
    </row>
    <row r="997" spans="13:13">
      <c r="M997" s="690"/>
    </row>
    <row r="998" spans="13:13">
      <c r="M998" s="690"/>
    </row>
    <row r="999" spans="13:13">
      <c r="M999" s="690"/>
    </row>
    <row r="1000" spans="13:13">
      <c r="M1000" s="690"/>
    </row>
    <row r="1001" spans="13:13">
      <c r="M1001" s="690"/>
    </row>
    <row r="1002" spans="13:13">
      <c r="M1002" s="690"/>
    </row>
    <row r="1003" spans="13:13">
      <c r="M1003" s="690"/>
    </row>
    <row r="1004" spans="13:13">
      <c r="M1004" s="690"/>
    </row>
    <row r="1005" spans="13:13">
      <c r="M1005" s="690"/>
    </row>
    <row r="1006" spans="13:13">
      <c r="M1006" s="690"/>
    </row>
    <row r="1007" spans="13:13">
      <c r="M1007" s="690"/>
    </row>
    <row r="1008" spans="13:13">
      <c r="M1008" s="690"/>
    </row>
    <row r="1009" spans="13:13">
      <c r="M1009" s="690"/>
    </row>
    <row r="1010" spans="13:13">
      <c r="M1010" s="690"/>
    </row>
    <row r="1011" spans="13:13">
      <c r="M1011" s="690"/>
    </row>
    <row r="1012" spans="13:13">
      <c r="M1012" s="690"/>
    </row>
    <row r="1013" spans="13:13">
      <c r="M1013" s="690"/>
    </row>
    <row r="1014" spans="13:13">
      <c r="M1014" s="690"/>
    </row>
    <row r="1015" spans="13:13">
      <c r="M1015" s="690"/>
    </row>
    <row r="1016" spans="13:13">
      <c r="M1016" s="690"/>
    </row>
    <row r="1017" spans="13:13">
      <c r="M1017" s="690"/>
    </row>
    <row r="1018" spans="13:13">
      <c r="M1018" s="690"/>
    </row>
    <row r="1019" spans="13:13">
      <c r="M1019" s="690"/>
    </row>
    <row r="1020" spans="13:13">
      <c r="M1020" s="690"/>
    </row>
    <row r="1021" spans="13:13">
      <c r="M1021" s="690"/>
    </row>
    <row r="1022" spans="13:13">
      <c r="M1022" s="690"/>
    </row>
    <row r="1023" spans="13:13">
      <c r="M1023" s="690"/>
    </row>
    <row r="1024" spans="13:13">
      <c r="M1024" s="690"/>
    </row>
    <row r="1025" spans="13:13">
      <c r="M1025" s="690"/>
    </row>
    <row r="1026" spans="13:13">
      <c r="M1026" s="690"/>
    </row>
    <row r="1027" spans="13:13">
      <c r="M1027" s="690"/>
    </row>
    <row r="1028" spans="13:13">
      <c r="M1028" s="690"/>
    </row>
    <row r="1029" spans="13:13">
      <c r="M1029" s="690"/>
    </row>
    <row r="1030" spans="13:13">
      <c r="M1030" s="690"/>
    </row>
    <row r="1031" spans="13:13">
      <c r="M1031" s="690"/>
    </row>
    <row r="1032" spans="13:13">
      <c r="M1032" s="690"/>
    </row>
    <row r="1033" spans="13:13">
      <c r="M1033" s="690"/>
    </row>
    <row r="1034" spans="13:13">
      <c r="M1034" s="690"/>
    </row>
    <row r="1035" spans="13:13">
      <c r="M1035" s="690"/>
    </row>
    <row r="1036" spans="13:13">
      <c r="M1036" s="690"/>
    </row>
    <row r="1037" spans="13:13">
      <c r="M1037" s="690"/>
    </row>
    <row r="1038" spans="13:13">
      <c r="M1038" s="690"/>
    </row>
    <row r="1039" spans="13:13">
      <c r="M1039" s="690"/>
    </row>
    <row r="1040" spans="13:13">
      <c r="M1040" s="690"/>
    </row>
    <row r="1041" spans="13:13">
      <c r="M1041" s="690"/>
    </row>
    <row r="1042" spans="13:13">
      <c r="M1042" s="690"/>
    </row>
    <row r="1043" spans="13:13">
      <c r="M1043" s="690"/>
    </row>
    <row r="1044" spans="13:13">
      <c r="M1044" s="690"/>
    </row>
    <row r="1045" spans="13:13">
      <c r="M1045" s="690"/>
    </row>
    <row r="1046" spans="13:13">
      <c r="M1046" s="690"/>
    </row>
    <row r="1047" spans="13:13">
      <c r="M1047" s="690"/>
    </row>
    <row r="1048" spans="13:13">
      <c r="M1048" s="690"/>
    </row>
    <row r="1049" spans="13:13">
      <c r="M1049" s="690"/>
    </row>
    <row r="1050" spans="13:13">
      <c r="M1050" s="690"/>
    </row>
    <row r="1051" spans="13:13">
      <c r="M1051" s="690"/>
    </row>
    <row r="1052" spans="13:13">
      <c r="M1052" s="690"/>
    </row>
    <row r="1053" spans="13:13">
      <c r="M1053" s="690"/>
    </row>
    <row r="1054" spans="13:13">
      <c r="M1054" s="690"/>
    </row>
    <row r="1055" spans="13:13">
      <c r="M1055" s="690"/>
    </row>
    <row r="1056" spans="13:13">
      <c r="M1056" s="690"/>
    </row>
    <row r="1057" spans="13:13">
      <c r="M1057" s="690"/>
    </row>
    <row r="1058" spans="13:13">
      <c r="M1058" s="690"/>
    </row>
    <row r="1059" spans="13:13">
      <c r="M1059" s="690"/>
    </row>
    <row r="1060" spans="13:13">
      <c r="M1060" s="690"/>
    </row>
    <row r="1061" spans="13:13">
      <c r="M1061" s="690"/>
    </row>
    <row r="1062" spans="13:13">
      <c r="M1062" s="690"/>
    </row>
    <row r="1063" spans="13:13">
      <c r="M1063" s="690"/>
    </row>
    <row r="1064" spans="13:13">
      <c r="M1064" s="690"/>
    </row>
    <row r="1065" spans="13:13">
      <c r="M1065" s="690"/>
    </row>
    <row r="1066" spans="13:13">
      <c r="M1066" s="690"/>
    </row>
    <row r="1067" spans="13:13">
      <c r="M1067" s="690"/>
    </row>
    <row r="1068" spans="13:13">
      <c r="M1068" s="690"/>
    </row>
    <row r="1069" spans="13:13">
      <c r="M1069" s="690"/>
    </row>
    <row r="1070" spans="13:13">
      <c r="M1070" s="690"/>
    </row>
    <row r="1071" spans="13:13">
      <c r="M1071" s="690"/>
    </row>
    <row r="1072" spans="13:13">
      <c r="M1072" s="690"/>
    </row>
    <row r="1073" spans="13:13">
      <c r="M1073" s="690"/>
    </row>
    <row r="1074" spans="13:13">
      <c r="M1074" s="690"/>
    </row>
    <row r="1075" spans="13:13">
      <c r="M1075" s="690"/>
    </row>
    <row r="1076" spans="13:13">
      <c r="M1076" s="690"/>
    </row>
    <row r="1077" spans="13:13">
      <c r="M1077" s="690"/>
    </row>
    <row r="1078" spans="13:13">
      <c r="M1078" s="690"/>
    </row>
    <row r="1079" spans="13:13">
      <c r="M1079" s="690"/>
    </row>
    <row r="1080" spans="13:13">
      <c r="M1080" s="690"/>
    </row>
    <row r="1081" spans="13:13">
      <c r="M1081" s="690"/>
    </row>
    <row r="1082" spans="13:13">
      <c r="M1082" s="690"/>
    </row>
    <row r="1083" spans="13:13">
      <c r="M1083" s="690"/>
    </row>
    <row r="1084" spans="13:13">
      <c r="M1084" s="690"/>
    </row>
    <row r="1085" spans="13:13">
      <c r="M1085" s="690"/>
    </row>
    <row r="1086" spans="13:13">
      <c r="M1086" s="690"/>
    </row>
    <row r="1087" spans="13:13">
      <c r="M1087" s="690"/>
    </row>
    <row r="1088" spans="13:13">
      <c r="M1088" s="690"/>
    </row>
    <row r="1089" spans="13:13">
      <c r="M1089" s="690"/>
    </row>
    <row r="1090" spans="13:13">
      <c r="M1090" s="690"/>
    </row>
    <row r="1091" spans="13:13">
      <c r="M1091" s="690"/>
    </row>
    <row r="1092" spans="13:13">
      <c r="M1092" s="690"/>
    </row>
    <row r="1093" spans="13:13">
      <c r="M1093" s="690"/>
    </row>
    <row r="1094" spans="13:13">
      <c r="M1094" s="690"/>
    </row>
    <row r="1095" spans="13:13">
      <c r="M1095" s="690"/>
    </row>
    <row r="1096" spans="13:13">
      <c r="M1096" s="690"/>
    </row>
    <row r="1097" spans="13:13">
      <c r="M1097" s="690"/>
    </row>
    <row r="1098" spans="13:13">
      <c r="M1098" s="690"/>
    </row>
    <row r="1099" spans="13:13">
      <c r="M1099" s="690"/>
    </row>
    <row r="1100" spans="13:13">
      <c r="M1100" s="690"/>
    </row>
    <row r="1101" spans="13:13">
      <c r="M1101" s="690"/>
    </row>
    <row r="1102" spans="13:13">
      <c r="M1102" s="690"/>
    </row>
    <row r="1103" spans="13:13">
      <c r="M1103" s="690"/>
    </row>
    <row r="1104" spans="13:13">
      <c r="M1104" s="690"/>
    </row>
    <row r="1105" spans="13:13">
      <c r="M1105" s="690"/>
    </row>
    <row r="1106" spans="13:13">
      <c r="M1106" s="690"/>
    </row>
    <row r="1107" spans="13:13">
      <c r="M1107" s="690"/>
    </row>
    <row r="1108" spans="13:13">
      <c r="M1108" s="690"/>
    </row>
    <row r="1109" spans="13:13">
      <c r="M1109" s="690"/>
    </row>
    <row r="1110" spans="13:13">
      <c r="M1110" s="690"/>
    </row>
    <row r="1111" spans="13:13">
      <c r="M1111" s="690"/>
    </row>
    <row r="1112" spans="13:13">
      <c r="M1112" s="690"/>
    </row>
    <row r="1113" spans="13:13">
      <c r="M1113" s="690"/>
    </row>
    <row r="1114" spans="13:13">
      <c r="M1114" s="690"/>
    </row>
    <row r="1115" spans="13:13">
      <c r="M1115" s="690"/>
    </row>
    <row r="1116" spans="13:13">
      <c r="M1116" s="690"/>
    </row>
    <row r="1117" spans="13:13">
      <c r="M1117" s="690"/>
    </row>
    <row r="1118" spans="13:13">
      <c r="M1118" s="690"/>
    </row>
    <row r="1119" spans="13:13">
      <c r="M1119" s="690"/>
    </row>
    <row r="1120" spans="13:13">
      <c r="M1120" s="690"/>
    </row>
    <row r="1121" spans="13:13">
      <c r="M1121" s="690"/>
    </row>
    <row r="1122" spans="13:13">
      <c r="M1122" s="690"/>
    </row>
    <row r="1123" spans="13:13">
      <c r="M1123" s="690"/>
    </row>
    <row r="1124" spans="13:13">
      <c r="M1124" s="690"/>
    </row>
    <row r="1125" spans="13:13">
      <c r="M1125" s="690"/>
    </row>
    <row r="1126" spans="13:13">
      <c r="M1126" s="690"/>
    </row>
    <row r="1127" spans="13:13">
      <c r="M1127" s="690"/>
    </row>
    <row r="1128" spans="13:13">
      <c r="M1128" s="690"/>
    </row>
    <row r="1129" spans="13:13">
      <c r="M1129" s="690"/>
    </row>
    <row r="1130" spans="13:13">
      <c r="M1130" s="690"/>
    </row>
    <row r="1131" spans="13:13">
      <c r="M1131" s="690"/>
    </row>
    <row r="1132" spans="13:13">
      <c r="M1132" s="690"/>
    </row>
    <row r="1133" spans="13:13">
      <c r="M1133" s="690"/>
    </row>
    <row r="1134" spans="13:13">
      <c r="M1134" s="690"/>
    </row>
    <row r="1135" spans="13:13">
      <c r="M1135" s="690"/>
    </row>
    <row r="1136" spans="13:13">
      <c r="M1136" s="690"/>
    </row>
    <row r="1137" spans="13:13">
      <c r="M1137" s="690"/>
    </row>
    <row r="1138" spans="13:13">
      <c r="M1138" s="690"/>
    </row>
    <row r="1139" spans="13:13">
      <c r="M1139" s="690"/>
    </row>
    <row r="1140" spans="13:13">
      <c r="M1140" s="690"/>
    </row>
    <row r="1141" spans="13:13">
      <c r="M1141" s="690"/>
    </row>
    <row r="1142" spans="13:13">
      <c r="M1142" s="690"/>
    </row>
    <row r="1143" spans="13:13">
      <c r="M1143" s="690"/>
    </row>
    <row r="1144" spans="13:13">
      <c r="M1144" s="690"/>
    </row>
    <row r="1145" spans="13:13">
      <c r="M1145" s="690"/>
    </row>
    <row r="1146" spans="13:13">
      <c r="M1146" s="690"/>
    </row>
    <row r="1147" spans="13:13">
      <c r="M1147" s="690"/>
    </row>
    <row r="1148" spans="13:13">
      <c r="M1148" s="690"/>
    </row>
    <row r="1149" spans="13:13">
      <c r="M1149" s="690"/>
    </row>
    <row r="1150" spans="13:13">
      <c r="M1150" s="690"/>
    </row>
    <row r="1151" spans="13:13">
      <c r="M1151" s="690"/>
    </row>
    <row r="1152" spans="13:13">
      <c r="M1152" s="690"/>
    </row>
    <row r="1153" spans="13:13">
      <c r="M1153" s="690"/>
    </row>
    <row r="1154" spans="13:13">
      <c r="M1154" s="690"/>
    </row>
    <row r="1155" spans="13:13">
      <c r="M1155" s="690"/>
    </row>
    <row r="1156" spans="13:13">
      <c r="M1156" s="690"/>
    </row>
    <row r="1157" spans="13:13">
      <c r="M1157" s="690"/>
    </row>
    <row r="1158" spans="13:13">
      <c r="M1158" s="690"/>
    </row>
    <row r="1159" spans="13:13">
      <c r="M1159" s="690"/>
    </row>
    <row r="1160" spans="13:13">
      <c r="M1160" s="690"/>
    </row>
    <row r="1161" spans="13:13">
      <c r="M1161" s="690"/>
    </row>
    <row r="1162" spans="13:13">
      <c r="M1162" s="690"/>
    </row>
    <row r="1163" spans="13:13">
      <c r="M1163" s="690"/>
    </row>
    <row r="1164" spans="13:13">
      <c r="M1164" s="690"/>
    </row>
    <row r="1165" spans="13:13">
      <c r="M1165" s="690"/>
    </row>
    <row r="1166" spans="13:13">
      <c r="M1166" s="690"/>
    </row>
    <row r="1167" spans="13:13">
      <c r="M1167" s="690"/>
    </row>
    <row r="1168" spans="13:13">
      <c r="M1168" s="690"/>
    </row>
    <row r="1169" spans="13:13">
      <c r="M1169" s="690"/>
    </row>
    <row r="1170" spans="13:13">
      <c r="M1170" s="690"/>
    </row>
    <row r="1171" spans="13:13">
      <c r="M1171" s="690"/>
    </row>
    <row r="1172" spans="13:13">
      <c r="M1172" s="690"/>
    </row>
    <row r="1173" spans="13:13">
      <c r="M1173" s="690"/>
    </row>
    <row r="1174" spans="13:13">
      <c r="M1174" s="690"/>
    </row>
    <row r="1175" spans="13:13">
      <c r="M1175" s="690"/>
    </row>
    <row r="1176" spans="13:13">
      <c r="M1176" s="690"/>
    </row>
    <row r="1177" spans="13:13">
      <c r="M1177" s="690"/>
    </row>
    <row r="1178" spans="13:13">
      <c r="M1178" s="690"/>
    </row>
    <row r="1179" spans="13:13">
      <c r="M1179" s="690"/>
    </row>
    <row r="1180" spans="13:13">
      <c r="M1180" s="690"/>
    </row>
    <row r="1181" spans="13:13">
      <c r="M1181" s="690"/>
    </row>
    <row r="1182" spans="13:13">
      <c r="M1182" s="690"/>
    </row>
    <row r="1183" spans="13:13">
      <c r="M1183" s="690"/>
    </row>
    <row r="1184" spans="13:13">
      <c r="M1184" s="690"/>
    </row>
    <row r="1185" spans="13:13">
      <c r="M1185" s="690"/>
    </row>
    <row r="1186" spans="13:13">
      <c r="M1186" s="690"/>
    </row>
    <row r="1187" spans="13:13">
      <c r="M1187" s="690"/>
    </row>
    <row r="1188" spans="13:13">
      <c r="M1188" s="690"/>
    </row>
    <row r="1189" spans="13:13">
      <c r="M1189" s="690"/>
    </row>
    <row r="1190" spans="13:13">
      <c r="M1190" s="690"/>
    </row>
    <row r="1191" spans="13:13">
      <c r="M1191" s="690"/>
    </row>
    <row r="1192" spans="13:13">
      <c r="M1192" s="690"/>
    </row>
    <row r="1193" spans="13:13">
      <c r="M1193" s="690"/>
    </row>
    <row r="1194" spans="13:13">
      <c r="M1194" s="690"/>
    </row>
    <row r="1195" spans="13:13">
      <c r="M1195" s="690"/>
    </row>
    <row r="1196" spans="13:13">
      <c r="M1196" s="690"/>
    </row>
    <row r="1197" spans="13:13">
      <c r="M1197" s="690"/>
    </row>
    <row r="1198" spans="13:13">
      <c r="M1198" s="690"/>
    </row>
    <row r="1199" spans="13:13">
      <c r="M1199" s="690"/>
    </row>
    <row r="1200" spans="13:13">
      <c r="M1200" s="690"/>
    </row>
    <row r="1201" spans="13:13">
      <c r="M1201" s="690"/>
    </row>
    <row r="1202" spans="13:13">
      <c r="M1202" s="690"/>
    </row>
    <row r="1203" spans="13:13">
      <c r="M1203" s="690"/>
    </row>
    <row r="1204" spans="13:13">
      <c r="M1204" s="690"/>
    </row>
    <row r="1205" spans="13:13">
      <c r="M1205" s="690"/>
    </row>
    <row r="1206" spans="13:13">
      <c r="M1206" s="690"/>
    </row>
    <row r="1207" spans="13:13">
      <c r="M1207" s="690"/>
    </row>
    <row r="1208" spans="13:13">
      <c r="M1208" s="690"/>
    </row>
    <row r="1209" spans="13:13">
      <c r="M1209" s="690"/>
    </row>
    <row r="1210" spans="13:13">
      <c r="M1210" s="690"/>
    </row>
    <row r="1211" spans="13:13">
      <c r="M1211" s="690"/>
    </row>
    <row r="1212" spans="13:13">
      <c r="M1212" s="690"/>
    </row>
    <row r="1213" spans="13:13">
      <c r="M1213" s="690"/>
    </row>
    <row r="1214" spans="13:13">
      <c r="M1214" s="690"/>
    </row>
    <row r="1215" spans="13:13">
      <c r="M1215" s="690"/>
    </row>
    <row r="1216" spans="13:13">
      <c r="M1216" s="690"/>
    </row>
    <row r="1217" spans="13:13">
      <c r="M1217" s="690"/>
    </row>
    <row r="1218" spans="13:13">
      <c r="M1218" s="690"/>
    </row>
    <row r="1219" spans="13:13">
      <c r="M1219" s="690"/>
    </row>
    <row r="1220" spans="13:13">
      <c r="M1220" s="690"/>
    </row>
    <row r="1221" spans="13:13">
      <c r="M1221" s="690"/>
    </row>
    <row r="1222" spans="13:13">
      <c r="M1222" s="690"/>
    </row>
    <row r="1223" spans="13:13">
      <c r="M1223" s="690"/>
    </row>
    <row r="1224" spans="13:13">
      <c r="M1224" s="690"/>
    </row>
    <row r="1225" spans="13:13">
      <c r="M1225" s="690"/>
    </row>
    <row r="1226" spans="13:13">
      <c r="M1226" s="690"/>
    </row>
    <row r="1227" spans="13:13">
      <c r="M1227" s="690"/>
    </row>
    <row r="1228" spans="13:13">
      <c r="M1228" s="690"/>
    </row>
    <row r="1229" spans="13:13">
      <c r="M1229" s="690"/>
    </row>
    <row r="1230" spans="13:13">
      <c r="M1230" s="690"/>
    </row>
    <row r="1231" spans="13:13">
      <c r="M1231" s="690"/>
    </row>
    <row r="1232" spans="13:13">
      <c r="M1232" s="690"/>
    </row>
    <row r="1233" spans="13:13">
      <c r="M1233" s="690"/>
    </row>
    <row r="1234" spans="13:13">
      <c r="M1234" s="690"/>
    </row>
    <row r="1235" spans="13:13">
      <c r="M1235" s="690"/>
    </row>
    <row r="1236" spans="13:13">
      <c r="M1236" s="690"/>
    </row>
    <row r="1237" spans="13:13">
      <c r="M1237" s="690"/>
    </row>
    <row r="1238" spans="13:13">
      <c r="M1238" s="690"/>
    </row>
    <row r="1239" spans="13:13">
      <c r="M1239" s="690"/>
    </row>
    <row r="1240" spans="13:13">
      <c r="M1240" s="690"/>
    </row>
    <row r="1241" spans="13:13">
      <c r="M1241" s="690"/>
    </row>
    <row r="1242" spans="13:13">
      <c r="M1242" s="690"/>
    </row>
    <row r="1243" spans="13:13">
      <c r="M1243" s="690"/>
    </row>
    <row r="1244" spans="13:13">
      <c r="M1244" s="690"/>
    </row>
    <row r="1245" spans="13:13">
      <c r="M1245" s="690"/>
    </row>
    <row r="1246" spans="13:13">
      <c r="M1246" s="690"/>
    </row>
    <row r="1247" spans="13:13">
      <c r="M1247" s="690"/>
    </row>
    <row r="1248" spans="13:13">
      <c r="M1248" s="690"/>
    </row>
    <row r="1249" spans="13:13">
      <c r="M1249" s="690"/>
    </row>
    <row r="1250" spans="13:13">
      <c r="M1250" s="690"/>
    </row>
    <row r="1251" spans="13:13">
      <c r="M1251" s="690"/>
    </row>
    <row r="1252" spans="13:13">
      <c r="M1252" s="690"/>
    </row>
    <row r="1253" spans="13:13">
      <c r="M1253" s="690"/>
    </row>
    <row r="1254" spans="13:13">
      <c r="M1254" s="690"/>
    </row>
    <row r="1255" spans="13:13">
      <c r="M1255" s="690"/>
    </row>
    <row r="1256" spans="13:13">
      <c r="M1256" s="690"/>
    </row>
    <row r="1257" spans="13:13">
      <c r="M1257" s="690"/>
    </row>
    <row r="1258" spans="13:13">
      <c r="M1258" s="690"/>
    </row>
    <row r="1259" spans="13:13">
      <c r="M1259" s="690"/>
    </row>
    <row r="1260" spans="13:13">
      <c r="M1260" s="690"/>
    </row>
    <row r="1261" spans="13:13">
      <c r="M1261" s="690"/>
    </row>
    <row r="1262" spans="13:13">
      <c r="M1262" s="690"/>
    </row>
    <row r="1263" spans="13:13">
      <c r="M1263" s="690"/>
    </row>
    <row r="1264" spans="13:13">
      <c r="M1264" s="690"/>
    </row>
    <row r="1265" spans="13:13">
      <c r="M1265" s="690"/>
    </row>
    <row r="1266" spans="13:13">
      <c r="M1266" s="690"/>
    </row>
    <row r="1267" spans="13:13">
      <c r="M1267" s="690"/>
    </row>
    <row r="1268" spans="13:13">
      <c r="M1268" s="690"/>
    </row>
    <row r="1269" spans="13:13">
      <c r="M1269" s="690"/>
    </row>
    <row r="1270" spans="13:13">
      <c r="M1270" s="690"/>
    </row>
    <row r="1271" spans="13:13">
      <c r="M1271" s="690"/>
    </row>
    <row r="1272" spans="13:13">
      <c r="M1272" s="690"/>
    </row>
    <row r="1273" spans="13:13">
      <c r="M1273" s="690"/>
    </row>
    <row r="1274" spans="13:13">
      <c r="M1274" s="690"/>
    </row>
    <row r="1275" spans="13:13">
      <c r="M1275" s="690"/>
    </row>
    <row r="1276" spans="13:13">
      <c r="M1276" s="690"/>
    </row>
    <row r="1277" spans="13:13">
      <c r="M1277" s="690"/>
    </row>
    <row r="1278" spans="13:13">
      <c r="M1278" s="690"/>
    </row>
    <row r="1279" spans="13:13">
      <c r="M1279" s="690"/>
    </row>
    <row r="1280" spans="13:13">
      <c r="M1280" s="690"/>
    </row>
    <row r="1281" spans="13:13">
      <c r="M1281" s="690"/>
    </row>
    <row r="1282" spans="13:13">
      <c r="M1282" s="690"/>
    </row>
    <row r="1283" spans="13:13">
      <c r="M1283" s="690"/>
    </row>
    <row r="1284" spans="13:13">
      <c r="M1284" s="690"/>
    </row>
    <row r="1285" spans="13:13">
      <c r="M1285" s="690"/>
    </row>
    <row r="1286" spans="13:13">
      <c r="M1286" s="690"/>
    </row>
    <row r="1287" spans="13:13">
      <c r="M1287" s="690"/>
    </row>
    <row r="1288" spans="13:13">
      <c r="M1288" s="690"/>
    </row>
    <row r="1289" spans="13:13">
      <c r="M1289" s="690"/>
    </row>
    <row r="1290" spans="13:13">
      <c r="M1290" s="690"/>
    </row>
    <row r="1291" spans="13:13">
      <c r="M1291" s="690"/>
    </row>
    <row r="1292" spans="13:13">
      <c r="M1292" s="690"/>
    </row>
    <row r="1293" spans="13:13">
      <c r="M1293" s="690"/>
    </row>
    <row r="1294" spans="13:13">
      <c r="M1294" s="690"/>
    </row>
    <row r="1295" spans="13:13">
      <c r="M1295" s="690"/>
    </row>
    <row r="1296" spans="13:13">
      <c r="M1296" s="690"/>
    </row>
    <row r="1297" spans="13:13">
      <c r="M1297" s="690"/>
    </row>
    <row r="1298" spans="13:13">
      <c r="M1298" s="690"/>
    </row>
    <row r="1299" spans="13:13">
      <c r="M1299" s="690"/>
    </row>
    <row r="1300" spans="13:13">
      <c r="M1300" s="690"/>
    </row>
    <row r="1301" spans="13:13">
      <c r="M1301" s="690"/>
    </row>
    <row r="1302" spans="13:13">
      <c r="M1302" s="690"/>
    </row>
    <row r="1303" spans="13:13">
      <c r="M1303" s="690"/>
    </row>
    <row r="1304" spans="13:13">
      <c r="M1304" s="690"/>
    </row>
    <row r="1305" spans="13:13">
      <c r="M1305" s="690"/>
    </row>
    <row r="1306" spans="13:13">
      <c r="M1306" s="690"/>
    </row>
    <row r="1307" spans="13:13">
      <c r="M1307" s="690"/>
    </row>
    <row r="1308" spans="13:13">
      <c r="M1308" s="690"/>
    </row>
    <row r="1309" spans="13:13">
      <c r="M1309" s="690"/>
    </row>
    <row r="1310" spans="13:13">
      <c r="M1310" s="690"/>
    </row>
    <row r="1311" spans="13:13">
      <c r="M1311" s="690"/>
    </row>
    <row r="1312" spans="13:13">
      <c r="M1312" s="690"/>
    </row>
    <row r="1313" spans="13:13">
      <c r="M1313" s="690"/>
    </row>
    <row r="1314" spans="13:13">
      <c r="M1314" s="690"/>
    </row>
    <row r="1315" spans="13:13">
      <c r="M1315" s="690"/>
    </row>
    <row r="1316" spans="13:13">
      <c r="M1316" s="690"/>
    </row>
    <row r="1317" spans="13:13">
      <c r="M1317" s="690"/>
    </row>
    <row r="1318" spans="13:13">
      <c r="M1318" s="690"/>
    </row>
    <row r="1319" spans="13:13">
      <c r="M1319" s="690"/>
    </row>
    <row r="1320" spans="13:13">
      <c r="M1320" s="690"/>
    </row>
    <row r="1321" spans="13:13">
      <c r="M1321" s="690"/>
    </row>
    <row r="1322" spans="13:13">
      <c r="M1322" s="690"/>
    </row>
    <row r="1323" spans="13:13">
      <c r="M1323" s="690"/>
    </row>
    <row r="1324" spans="13:13">
      <c r="M1324" s="690"/>
    </row>
    <row r="1325" spans="13:13">
      <c r="M1325" s="690"/>
    </row>
    <row r="1326" spans="13:13">
      <c r="M1326" s="690"/>
    </row>
    <row r="1327" spans="13:13">
      <c r="M1327" s="690"/>
    </row>
    <row r="1328" spans="13:13">
      <c r="M1328" s="690"/>
    </row>
    <row r="1329" spans="13:13">
      <c r="M1329" s="690"/>
    </row>
    <row r="1330" spans="13:13">
      <c r="M1330" s="690"/>
    </row>
    <row r="1331" spans="13:13">
      <c r="M1331" s="690"/>
    </row>
    <row r="1332" spans="13:13">
      <c r="M1332" s="690"/>
    </row>
    <row r="1333" spans="13:13">
      <c r="M1333" s="690"/>
    </row>
    <row r="1334" spans="13:13">
      <c r="M1334" s="690"/>
    </row>
    <row r="1335" spans="13:13">
      <c r="M1335" s="690"/>
    </row>
    <row r="1336" spans="13:13">
      <c r="M1336" s="690"/>
    </row>
    <row r="1337" spans="13:13">
      <c r="M1337" s="690"/>
    </row>
    <row r="1338" spans="13:13">
      <c r="M1338" s="690"/>
    </row>
    <row r="1339" spans="13:13">
      <c r="M1339" s="690"/>
    </row>
    <row r="1340" spans="13:13">
      <c r="M1340" s="690"/>
    </row>
    <row r="1341" spans="13:13">
      <c r="M1341" s="690"/>
    </row>
    <row r="1342" spans="13:13">
      <c r="M1342" s="690"/>
    </row>
    <row r="1343" spans="13:13">
      <c r="M1343" s="690"/>
    </row>
    <row r="1344" spans="13:13">
      <c r="M1344" s="690"/>
    </row>
    <row r="1345" spans="13:13">
      <c r="M1345" s="690"/>
    </row>
    <row r="1346" spans="13:13">
      <c r="M1346" s="690"/>
    </row>
    <row r="1347" spans="13:13">
      <c r="M1347" s="690"/>
    </row>
    <row r="1348" spans="13:13">
      <c r="M1348" s="690"/>
    </row>
    <row r="1349" spans="13:13">
      <c r="M1349" s="690"/>
    </row>
    <row r="1350" spans="13:13">
      <c r="M1350" s="690"/>
    </row>
    <row r="1351" spans="13:13">
      <c r="M1351" s="690"/>
    </row>
    <row r="1352" spans="13:13">
      <c r="M1352" s="690"/>
    </row>
    <row r="1353" spans="13:13">
      <c r="M1353" s="690"/>
    </row>
    <row r="1354" spans="13:13">
      <c r="M1354" s="690"/>
    </row>
    <row r="1355" spans="13:13">
      <c r="M1355" s="690"/>
    </row>
    <row r="1356" spans="13:13">
      <c r="M1356" s="690"/>
    </row>
    <row r="1357" spans="13:13">
      <c r="M1357" s="690"/>
    </row>
    <row r="1358" spans="13:13">
      <c r="M1358" s="690"/>
    </row>
    <row r="1359" spans="13:13">
      <c r="M1359" s="690"/>
    </row>
    <row r="1360" spans="13:13">
      <c r="M1360" s="690"/>
    </row>
    <row r="1361" spans="13:13">
      <c r="M1361" s="690"/>
    </row>
    <row r="1362" spans="13:13">
      <c r="M1362" s="690"/>
    </row>
    <row r="1363" spans="13:13">
      <c r="M1363" s="690"/>
    </row>
    <row r="1364" spans="13:13">
      <c r="M1364" s="690"/>
    </row>
    <row r="1365" spans="13:13">
      <c r="M1365" s="690"/>
    </row>
    <row r="1366" spans="13:13">
      <c r="M1366" s="690"/>
    </row>
    <row r="1367" spans="13:13">
      <c r="M1367" s="690"/>
    </row>
    <row r="1368" spans="13:13">
      <c r="M1368" s="690"/>
    </row>
    <row r="1369" spans="13:13">
      <c r="M1369" s="690"/>
    </row>
    <row r="1370" spans="13:13">
      <c r="M1370" s="690"/>
    </row>
    <row r="1371" spans="13:13">
      <c r="M1371" s="690"/>
    </row>
    <row r="1372" spans="13:13">
      <c r="M1372" s="690"/>
    </row>
    <row r="1373" spans="13:13">
      <c r="M1373" s="690"/>
    </row>
    <row r="1374" spans="13:13">
      <c r="M1374" s="690"/>
    </row>
    <row r="1375" spans="13:13">
      <c r="M1375" s="690"/>
    </row>
    <row r="1376" spans="13:13">
      <c r="M1376" s="690"/>
    </row>
    <row r="1377" spans="13:13">
      <c r="M1377" s="690"/>
    </row>
    <row r="1378" spans="13:13">
      <c r="M1378" s="690"/>
    </row>
    <row r="1379" spans="13:13">
      <c r="M1379" s="690"/>
    </row>
    <row r="1380" spans="13:13">
      <c r="M1380" s="690"/>
    </row>
    <row r="1381" spans="13:13">
      <c r="M1381" s="690"/>
    </row>
    <row r="1382" spans="13:13">
      <c r="M1382" s="690"/>
    </row>
    <row r="1383" spans="13:13">
      <c r="M1383" s="690"/>
    </row>
    <row r="1384" spans="13:13">
      <c r="M1384" s="690"/>
    </row>
    <row r="1385" spans="13:13">
      <c r="M1385" s="690"/>
    </row>
    <row r="1386" spans="13:13">
      <c r="M1386" s="690"/>
    </row>
    <row r="1387" spans="13:13">
      <c r="M1387" s="690"/>
    </row>
    <row r="1388" spans="13:13">
      <c r="M1388" s="690"/>
    </row>
    <row r="1389" spans="13:13">
      <c r="M1389" s="690"/>
    </row>
    <row r="1390" spans="13:13">
      <c r="M1390" s="690"/>
    </row>
    <row r="1391" spans="13:13">
      <c r="M1391" s="690"/>
    </row>
    <row r="1392" spans="13:13">
      <c r="M1392" s="690"/>
    </row>
    <row r="1393" spans="13:13">
      <c r="M1393" s="690"/>
    </row>
    <row r="1394" spans="13:13">
      <c r="M1394" s="690"/>
    </row>
    <row r="1395" spans="13:13">
      <c r="M1395" s="690"/>
    </row>
    <row r="1396" spans="13:13">
      <c r="M1396" s="690"/>
    </row>
    <row r="1397" spans="13:13">
      <c r="M1397" s="690"/>
    </row>
    <row r="1398" spans="13:13">
      <c r="M1398" s="690"/>
    </row>
    <row r="1399" spans="13:13">
      <c r="M1399" s="690"/>
    </row>
    <row r="1400" spans="13:13">
      <c r="M1400" s="690"/>
    </row>
    <row r="1401" spans="13:13">
      <c r="M1401" s="690"/>
    </row>
    <row r="1402" spans="13:13">
      <c r="M1402" s="690"/>
    </row>
    <row r="1403" spans="13:13">
      <c r="M1403" s="690"/>
    </row>
    <row r="1404" spans="13:13">
      <c r="M1404" s="690"/>
    </row>
    <row r="1405" spans="13:13">
      <c r="M1405" s="690"/>
    </row>
    <row r="1406" spans="13:13">
      <c r="M1406" s="690"/>
    </row>
    <row r="1407" spans="13:13">
      <c r="M1407" s="690"/>
    </row>
    <row r="1408" spans="13:13">
      <c r="M1408" s="690"/>
    </row>
    <row r="1409" spans="13:13">
      <c r="M1409" s="690"/>
    </row>
    <row r="1410" spans="13:13">
      <c r="M1410" s="690"/>
    </row>
    <row r="1411" spans="13:13">
      <c r="M1411" s="690"/>
    </row>
    <row r="1412" spans="13:13">
      <c r="M1412" s="690"/>
    </row>
    <row r="1413" spans="13:13">
      <c r="M1413" s="690"/>
    </row>
    <row r="1414" spans="13:13">
      <c r="M1414" s="690"/>
    </row>
    <row r="1415" spans="13:13">
      <c r="M1415" s="690"/>
    </row>
    <row r="1416" spans="13:13">
      <c r="M1416" s="690"/>
    </row>
    <row r="1417" spans="13:13">
      <c r="M1417" s="690"/>
    </row>
    <row r="1418" spans="13:13">
      <c r="M1418" s="690"/>
    </row>
    <row r="1419" spans="13:13">
      <c r="M1419" s="690"/>
    </row>
    <row r="1420" spans="13:13">
      <c r="M1420" s="690"/>
    </row>
    <row r="1421" spans="13:13">
      <c r="M1421" s="690"/>
    </row>
    <row r="1422" spans="13:13">
      <c r="M1422" s="690"/>
    </row>
    <row r="1423" spans="13:13">
      <c r="M1423" s="690"/>
    </row>
    <row r="1424" spans="13:13">
      <c r="M1424" s="690"/>
    </row>
    <row r="1425" spans="13:13">
      <c r="M1425" s="690"/>
    </row>
    <row r="1426" spans="13:13">
      <c r="M1426" s="690"/>
    </row>
    <row r="1427" spans="13:13">
      <c r="M1427" s="690"/>
    </row>
    <row r="1428" spans="13:13">
      <c r="M1428" s="690"/>
    </row>
    <row r="1429" spans="13:13">
      <c r="M1429" s="690"/>
    </row>
    <row r="1430" spans="13:13">
      <c r="M1430" s="690"/>
    </row>
    <row r="1431" spans="13:13">
      <c r="M1431" s="690"/>
    </row>
    <row r="1432" spans="13:13">
      <c r="M1432" s="690"/>
    </row>
    <row r="1433" spans="13:13">
      <c r="M1433" s="690"/>
    </row>
    <row r="1434" spans="13:13">
      <c r="M1434" s="690"/>
    </row>
    <row r="1435" spans="13:13">
      <c r="M1435" s="690"/>
    </row>
    <row r="1436" spans="13:13">
      <c r="M1436" s="690"/>
    </row>
    <row r="1437" spans="13:13">
      <c r="M1437" s="690"/>
    </row>
    <row r="1438" spans="13:13">
      <c r="M1438" s="690"/>
    </row>
    <row r="1439" spans="13:13">
      <c r="M1439" s="690"/>
    </row>
    <row r="1440" spans="13:13">
      <c r="M1440" s="690"/>
    </row>
    <row r="1441" spans="13:13">
      <c r="M1441" s="690"/>
    </row>
    <row r="1442" spans="13:13">
      <c r="M1442" s="690"/>
    </row>
    <row r="1443" spans="13:13">
      <c r="M1443" s="690"/>
    </row>
    <row r="1444" spans="13:13">
      <c r="M1444" s="690"/>
    </row>
    <row r="1445" spans="13:13">
      <c r="M1445" s="690"/>
    </row>
    <row r="1446" spans="13:13">
      <c r="M1446" s="690"/>
    </row>
    <row r="1447" spans="13:13">
      <c r="M1447" s="690"/>
    </row>
    <row r="1448" spans="13:13">
      <c r="M1448" s="690"/>
    </row>
    <row r="1449" spans="13:13">
      <c r="M1449" s="690"/>
    </row>
    <row r="1450" spans="13:13">
      <c r="M1450" s="690"/>
    </row>
    <row r="1451" spans="13:13">
      <c r="M1451" s="690"/>
    </row>
    <row r="1452" spans="13:13">
      <c r="M1452" s="690"/>
    </row>
    <row r="1453" spans="13:13">
      <c r="M1453" s="690"/>
    </row>
    <row r="1454" spans="13:13">
      <c r="M1454" s="690"/>
    </row>
    <row r="1455" spans="13:13">
      <c r="M1455" s="690"/>
    </row>
    <row r="1456" spans="13:13">
      <c r="M1456" s="690"/>
    </row>
    <row r="1457" spans="13:13">
      <c r="M1457" s="690"/>
    </row>
    <row r="1458" spans="13:13">
      <c r="M1458" s="690"/>
    </row>
    <row r="1459" spans="13:13">
      <c r="M1459" s="690"/>
    </row>
    <row r="1460" spans="13:13">
      <c r="M1460" s="690"/>
    </row>
    <row r="1461" spans="13:13">
      <c r="M1461" s="690"/>
    </row>
    <row r="1462" spans="13:13">
      <c r="M1462" s="690"/>
    </row>
    <row r="1463" spans="13:13">
      <c r="M1463" s="690"/>
    </row>
    <row r="1464" spans="13:13">
      <c r="M1464" s="690"/>
    </row>
    <row r="1465" spans="13:13">
      <c r="M1465" s="690"/>
    </row>
    <row r="1466" spans="13:13">
      <c r="M1466" s="690"/>
    </row>
    <row r="1467" spans="13:13">
      <c r="M1467" s="690"/>
    </row>
    <row r="1468" spans="13:13">
      <c r="M1468" s="690"/>
    </row>
    <row r="1469" spans="13:13">
      <c r="M1469" s="690"/>
    </row>
    <row r="1470" spans="13:13">
      <c r="M1470" s="690"/>
    </row>
    <row r="1471" spans="13:13">
      <c r="M1471" s="690"/>
    </row>
    <row r="1472" spans="13:13">
      <c r="M1472" s="690"/>
    </row>
    <row r="1473" spans="13:13">
      <c r="M1473" s="690"/>
    </row>
    <row r="1474" spans="13:13">
      <c r="M1474" s="690"/>
    </row>
    <row r="1475" spans="13:13">
      <c r="M1475" s="690"/>
    </row>
    <row r="1476" spans="13:13">
      <c r="M1476" s="690"/>
    </row>
    <row r="1477" spans="13:13">
      <c r="M1477" s="690"/>
    </row>
    <row r="1478" spans="13:13">
      <c r="M1478" s="690"/>
    </row>
    <row r="1479" spans="13:13">
      <c r="M1479" s="690"/>
    </row>
    <row r="1480" spans="13:13">
      <c r="M1480" s="690"/>
    </row>
    <row r="1481" spans="13:13">
      <c r="M1481" s="690"/>
    </row>
    <row r="1482" spans="13:13">
      <c r="M1482" s="690"/>
    </row>
    <row r="1483" spans="13:13">
      <c r="M1483" s="690"/>
    </row>
    <row r="1484" spans="13:13">
      <c r="M1484" s="690"/>
    </row>
    <row r="1485" spans="13:13">
      <c r="M1485" s="690"/>
    </row>
    <row r="1486" spans="13:13">
      <c r="M1486" s="690"/>
    </row>
    <row r="1487" spans="13:13">
      <c r="M1487" s="690"/>
    </row>
    <row r="1488" spans="13:13">
      <c r="M1488" s="690"/>
    </row>
    <row r="1489" spans="13:13">
      <c r="M1489" s="690"/>
    </row>
    <row r="1490" spans="13:13">
      <c r="M1490" s="690"/>
    </row>
    <row r="1491" spans="13:13">
      <c r="M1491" s="690"/>
    </row>
    <row r="1492" spans="13:13">
      <c r="M1492" s="690"/>
    </row>
    <row r="1493" spans="13:13">
      <c r="M1493" s="690"/>
    </row>
    <row r="1494" spans="13:13">
      <c r="M1494" s="690"/>
    </row>
    <row r="1495" spans="13:13">
      <c r="M1495" s="690"/>
    </row>
    <row r="1496" spans="13:13">
      <c r="M1496" s="690"/>
    </row>
    <row r="1497" spans="13:13">
      <c r="M1497" s="690"/>
    </row>
    <row r="1498" spans="13:13">
      <c r="M1498" s="690"/>
    </row>
    <row r="1499" spans="13:13">
      <c r="M1499" s="690"/>
    </row>
    <row r="1500" spans="13:13">
      <c r="M1500" s="690"/>
    </row>
    <row r="1501" spans="13:13">
      <c r="M1501" s="690"/>
    </row>
    <row r="1502" spans="13:13">
      <c r="M1502" s="690"/>
    </row>
    <row r="1503" spans="13:13">
      <c r="M1503" s="690"/>
    </row>
    <row r="1504" spans="13:13">
      <c r="M1504" s="690"/>
    </row>
    <row r="1505" spans="13:13">
      <c r="M1505" s="690"/>
    </row>
    <row r="1506" spans="13:13">
      <c r="M1506" s="690"/>
    </row>
    <row r="1507" spans="13:13">
      <c r="M1507" s="690"/>
    </row>
    <row r="1508" spans="13:13">
      <c r="M1508" s="690"/>
    </row>
    <row r="1509" spans="13:13">
      <c r="M1509" s="690"/>
    </row>
    <row r="1510" spans="13:13">
      <c r="M1510" s="690"/>
    </row>
    <row r="1511" spans="13:13">
      <c r="M1511" s="690"/>
    </row>
    <row r="1512" spans="13:13">
      <c r="M1512" s="690"/>
    </row>
    <row r="1513" spans="13:13">
      <c r="M1513" s="690"/>
    </row>
    <row r="1514" spans="13:13">
      <c r="M1514" s="690"/>
    </row>
    <row r="1515" spans="13:13">
      <c r="M1515" s="690"/>
    </row>
    <row r="1516" spans="13:13">
      <c r="M1516" s="690"/>
    </row>
    <row r="1517" spans="13:13">
      <c r="M1517" s="690"/>
    </row>
    <row r="1518" spans="13:13">
      <c r="M1518" s="690"/>
    </row>
    <row r="1519" spans="13:13">
      <c r="M1519" s="690"/>
    </row>
    <row r="1520" spans="13:13">
      <c r="M1520" s="690"/>
    </row>
    <row r="1521" spans="13:13">
      <c r="M1521" s="690"/>
    </row>
    <row r="1522" spans="13:13">
      <c r="M1522" s="690"/>
    </row>
    <row r="1523" spans="13:13">
      <c r="M1523" s="690"/>
    </row>
    <row r="1524" spans="13:13">
      <c r="M1524" s="690"/>
    </row>
    <row r="1525" spans="13:13">
      <c r="M1525" s="690"/>
    </row>
    <row r="1526" spans="13:13">
      <c r="M1526" s="690"/>
    </row>
    <row r="1527" spans="13:13">
      <c r="M1527" s="690"/>
    </row>
    <row r="1528" spans="13:13">
      <c r="M1528" s="690"/>
    </row>
    <row r="1529" spans="13:13">
      <c r="M1529" s="690"/>
    </row>
    <row r="1530" spans="13:13">
      <c r="M1530" s="690"/>
    </row>
    <row r="1531" spans="13:13">
      <c r="M1531" s="690"/>
    </row>
    <row r="1532" spans="13:13">
      <c r="M1532" s="690"/>
    </row>
    <row r="1533" spans="13:13">
      <c r="M1533" s="690"/>
    </row>
    <row r="1534" spans="13:13">
      <c r="M1534" s="690"/>
    </row>
    <row r="1535" spans="13:13">
      <c r="M1535" s="690"/>
    </row>
    <row r="1536" spans="13:13">
      <c r="M1536" s="690"/>
    </row>
    <row r="1537" spans="13:13">
      <c r="M1537" s="690"/>
    </row>
    <row r="1538" spans="13:13">
      <c r="M1538" s="690"/>
    </row>
    <row r="1539" spans="13:13">
      <c r="M1539" s="690"/>
    </row>
    <row r="1540" spans="13:13">
      <c r="M1540" s="690"/>
    </row>
    <row r="1541" spans="13:13">
      <c r="M1541" s="690"/>
    </row>
    <row r="1542" spans="13:13">
      <c r="M1542" s="690"/>
    </row>
    <row r="1543" spans="13:13">
      <c r="M1543" s="690"/>
    </row>
    <row r="1544" spans="13:13">
      <c r="M1544" s="690"/>
    </row>
    <row r="1545" spans="13:13">
      <c r="M1545" s="690"/>
    </row>
    <row r="1546" spans="13:13">
      <c r="M1546" s="690"/>
    </row>
    <row r="1547" spans="13:13">
      <c r="M1547" s="690"/>
    </row>
    <row r="1548" spans="13:13">
      <c r="M1548" s="690"/>
    </row>
    <row r="1549" spans="13:13">
      <c r="M1549" s="690"/>
    </row>
    <row r="1550" spans="13:13">
      <c r="M1550" s="690"/>
    </row>
    <row r="1551" spans="13:13">
      <c r="M1551" s="690"/>
    </row>
    <row r="1552" spans="13:13">
      <c r="M1552" s="690"/>
    </row>
    <row r="1553" spans="13:13">
      <c r="M1553" s="690"/>
    </row>
    <row r="1554" spans="13:13">
      <c r="M1554" s="690"/>
    </row>
    <row r="1555" spans="13:13">
      <c r="M1555" s="690"/>
    </row>
    <row r="1556" spans="13:13">
      <c r="M1556" s="690"/>
    </row>
    <row r="1557" spans="13:13">
      <c r="M1557" s="690"/>
    </row>
    <row r="1558" spans="13:13">
      <c r="M1558" s="690"/>
    </row>
    <row r="1559" spans="13:13">
      <c r="M1559" s="690"/>
    </row>
    <row r="1560" spans="13:13">
      <c r="M1560" s="690"/>
    </row>
    <row r="1561" spans="13:13">
      <c r="M1561" s="690"/>
    </row>
    <row r="1562" spans="13:13">
      <c r="M1562" s="690"/>
    </row>
    <row r="1563" spans="13:13">
      <c r="M1563" s="690"/>
    </row>
    <row r="1564" spans="13:13">
      <c r="M1564" s="690"/>
    </row>
    <row r="1565" spans="13:13">
      <c r="M1565" s="690"/>
    </row>
    <row r="1566" spans="13:13">
      <c r="M1566" s="690"/>
    </row>
    <row r="1567" spans="13:13">
      <c r="M1567" s="690"/>
    </row>
    <row r="1568" spans="13:13">
      <c r="M1568" s="690"/>
    </row>
    <row r="1569" spans="13:13">
      <c r="M1569" s="690"/>
    </row>
    <row r="1570" spans="13:13">
      <c r="M1570" s="690"/>
    </row>
    <row r="1571" spans="13:13">
      <c r="M1571" s="690"/>
    </row>
    <row r="1572" spans="13:13">
      <c r="M1572" s="690"/>
    </row>
    <row r="1573" spans="13:13">
      <c r="M1573" s="690"/>
    </row>
    <row r="1574" spans="13:13">
      <c r="M1574" s="690"/>
    </row>
    <row r="1575" spans="13:13">
      <c r="M1575" s="690"/>
    </row>
    <row r="1576" spans="13:13">
      <c r="M1576" s="690"/>
    </row>
    <row r="1577" spans="13:13">
      <c r="M1577" s="690"/>
    </row>
    <row r="1578" spans="13:13">
      <c r="M1578" s="690"/>
    </row>
    <row r="1579" spans="13:13">
      <c r="M1579" s="690"/>
    </row>
    <row r="1580" spans="13:13">
      <c r="M1580" s="690"/>
    </row>
    <row r="1581" spans="13:13">
      <c r="M1581" s="690"/>
    </row>
    <row r="1582" spans="13:13">
      <c r="M1582" s="690"/>
    </row>
    <row r="1583" spans="13:13">
      <c r="M1583" s="690"/>
    </row>
    <row r="1584" spans="13:13">
      <c r="M1584" s="690"/>
    </row>
    <row r="1585" spans="13:13">
      <c r="M1585" s="690"/>
    </row>
    <row r="1586" spans="13:13">
      <c r="M1586" s="690"/>
    </row>
    <row r="1587" spans="13:13">
      <c r="M1587" s="690"/>
    </row>
    <row r="1588" spans="13:13">
      <c r="M1588" s="690"/>
    </row>
    <row r="1589" spans="13:13">
      <c r="M1589" s="690"/>
    </row>
    <row r="1590" spans="13:13">
      <c r="M1590" s="690"/>
    </row>
    <row r="1591" spans="13:13">
      <c r="M1591" s="690"/>
    </row>
    <row r="1592" spans="13:13">
      <c r="M1592" s="690"/>
    </row>
    <row r="1593" spans="13:13">
      <c r="M1593" s="690"/>
    </row>
    <row r="1594" spans="13:13">
      <c r="M1594" s="690"/>
    </row>
    <row r="1595" spans="13:13">
      <c r="M1595" s="690"/>
    </row>
    <row r="1596" spans="13:13">
      <c r="M1596" s="690"/>
    </row>
    <row r="1597" spans="13:13">
      <c r="M1597" s="690"/>
    </row>
    <row r="1598" spans="13:13">
      <c r="M1598" s="690"/>
    </row>
    <row r="1599" spans="13:13">
      <c r="M1599" s="690"/>
    </row>
    <row r="1600" spans="13:13">
      <c r="M1600" s="690"/>
    </row>
    <row r="1601" spans="13:13">
      <c r="M1601" s="690"/>
    </row>
    <row r="1602" spans="13:13">
      <c r="M1602" s="690"/>
    </row>
    <row r="1603" spans="13:13">
      <c r="M1603" s="690"/>
    </row>
    <row r="1604" spans="13:13">
      <c r="M1604" s="690"/>
    </row>
    <row r="1605" spans="13:13">
      <c r="M1605" s="690"/>
    </row>
    <row r="1606" spans="13:13">
      <c r="M1606" s="690"/>
    </row>
    <row r="1607" spans="13:13">
      <c r="M1607" s="690"/>
    </row>
    <row r="1608" spans="13:13">
      <c r="M1608" s="690"/>
    </row>
    <row r="1609" spans="13:13">
      <c r="M1609" s="690"/>
    </row>
    <row r="1610" spans="13:13">
      <c r="M1610" s="690"/>
    </row>
    <row r="1611" spans="13:13">
      <c r="M1611" s="690"/>
    </row>
    <row r="1612" spans="13:13">
      <c r="M1612" s="690"/>
    </row>
    <row r="1613" spans="13:13">
      <c r="M1613" s="690"/>
    </row>
    <row r="1614" spans="13:13">
      <c r="M1614" s="690"/>
    </row>
    <row r="1615" spans="13:13">
      <c r="M1615" s="690"/>
    </row>
    <row r="1616" spans="13:13">
      <c r="M1616" s="690"/>
    </row>
    <row r="1617" spans="13:13">
      <c r="M1617" s="690"/>
    </row>
    <row r="1618" spans="13:13">
      <c r="M1618" s="690"/>
    </row>
    <row r="1619" spans="13:13">
      <c r="M1619" s="690"/>
    </row>
    <row r="1620" spans="13:13">
      <c r="M1620" s="690"/>
    </row>
    <row r="1621" spans="13:13">
      <c r="M1621" s="690"/>
    </row>
    <row r="1622" spans="13:13">
      <c r="M1622" s="690"/>
    </row>
    <row r="1623" spans="13:13">
      <c r="M1623" s="690"/>
    </row>
    <row r="1624" spans="13:13">
      <c r="M1624" s="690"/>
    </row>
    <row r="1625" spans="13:13">
      <c r="M1625" s="690"/>
    </row>
    <row r="1626" spans="13:13">
      <c r="M1626" s="690"/>
    </row>
    <row r="1627" spans="13:13">
      <c r="M1627" s="690"/>
    </row>
    <row r="1628" spans="13:13">
      <c r="M1628" s="690"/>
    </row>
    <row r="1629" spans="13:13">
      <c r="M1629" s="690"/>
    </row>
    <row r="1630" spans="13:13">
      <c r="M1630" s="690"/>
    </row>
    <row r="1631" spans="13:13">
      <c r="M1631" s="690"/>
    </row>
    <row r="1632" spans="13:13">
      <c r="M1632" s="690"/>
    </row>
    <row r="1633" spans="13:13">
      <c r="M1633" s="690"/>
    </row>
    <row r="1634" spans="13:13">
      <c r="M1634" s="690"/>
    </row>
    <row r="1635" spans="13:13">
      <c r="M1635" s="690"/>
    </row>
    <row r="1636" spans="13:13">
      <c r="M1636" s="690"/>
    </row>
    <row r="1637" spans="13:13">
      <c r="M1637" s="690"/>
    </row>
    <row r="1638" spans="13:13">
      <c r="M1638" s="690"/>
    </row>
    <row r="1639" spans="13:13">
      <c r="M1639" s="690"/>
    </row>
    <row r="1640" spans="13:13">
      <c r="M1640" s="690"/>
    </row>
    <row r="1641" spans="13:13">
      <c r="M1641" s="690"/>
    </row>
    <row r="1642" spans="13:13">
      <c r="M1642" s="690"/>
    </row>
    <row r="1643" spans="13:13">
      <c r="M1643" s="690"/>
    </row>
    <row r="1644" spans="13:13">
      <c r="M1644" s="690"/>
    </row>
    <row r="1645" spans="13:13">
      <c r="M1645" s="690"/>
    </row>
    <row r="1646" spans="13:13">
      <c r="M1646" s="690"/>
    </row>
    <row r="1647" spans="13:13">
      <c r="M1647" s="690"/>
    </row>
    <row r="1648" spans="13:13">
      <c r="M1648" s="690"/>
    </row>
    <row r="1649" spans="13:13">
      <c r="M1649" s="690"/>
    </row>
    <row r="1650" spans="13:13">
      <c r="M1650" s="690"/>
    </row>
    <row r="1651" spans="13:13">
      <c r="M1651" s="690"/>
    </row>
    <row r="1652" spans="13:13">
      <c r="M1652" s="690"/>
    </row>
    <row r="1653" spans="13:13">
      <c r="M1653" s="690"/>
    </row>
    <row r="1654" spans="13:13">
      <c r="M1654" s="690"/>
    </row>
    <row r="1655" spans="13:13">
      <c r="M1655" s="690"/>
    </row>
    <row r="1656" spans="13:13">
      <c r="M1656" s="690"/>
    </row>
    <row r="1657" spans="13:13">
      <c r="M1657" s="690"/>
    </row>
    <row r="1658" spans="13:13">
      <c r="M1658" s="690"/>
    </row>
    <row r="1659" spans="13:13">
      <c r="M1659" s="690"/>
    </row>
    <row r="1660" spans="13:13">
      <c r="M1660" s="690"/>
    </row>
    <row r="1661" spans="13:13">
      <c r="M1661" s="690"/>
    </row>
    <row r="1662" spans="13:13">
      <c r="M1662" s="690"/>
    </row>
    <row r="1663" spans="13:13">
      <c r="M1663" s="690"/>
    </row>
    <row r="1664" spans="13:13">
      <c r="M1664" s="690"/>
    </row>
    <row r="1665" spans="13:13">
      <c r="M1665" s="690"/>
    </row>
    <row r="1666" spans="13:13">
      <c r="M1666" s="690"/>
    </row>
    <row r="1667" spans="13:13">
      <c r="M1667" s="690"/>
    </row>
    <row r="1668" spans="13:13">
      <c r="M1668" s="690"/>
    </row>
    <row r="1669" spans="13:13">
      <c r="M1669" s="690"/>
    </row>
    <row r="1670" spans="13:13">
      <c r="M1670" s="690"/>
    </row>
    <row r="1671" spans="13:13">
      <c r="M1671" s="690"/>
    </row>
    <row r="1672" spans="13:13">
      <c r="M1672" s="690"/>
    </row>
    <row r="1673" spans="13:13">
      <c r="M1673" s="690"/>
    </row>
    <row r="1674" spans="13:13">
      <c r="M1674" s="690"/>
    </row>
    <row r="1675" spans="13:13">
      <c r="M1675" s="690"/>
    </row>
    <row r="1676" spans="13:13">
      <c r="M1676" s="690"/>
    </row>
    <row r="1677" spans="13:13">
      <c r="M1677" s="690"/>
    </row>
    <row r="1678" spans="13:13">
      <c r="M1678" s="690"/>
    </row>
    <row r="1679" spans="13:13">
      <c r="M1679" s="690"/>
    </row>
    <row r="1680" spans="13:13">
      <c r="M1680" s="690"/>
    </row>
    <row r="1681" spans="13:13">
      <c r="M1681" s="690"/>
    </row>
    <row r="1682" spans="13:13">
      <c r="M1682" s="690"/>
    </row>
    <row r="1683" spans="13:13">
      <c r="M1683" s="690"/>
    </row>
    <row r="1684" spans="13:13">
      <c r="M1684" s="690"/>
    </row>
    <row r="1685" spans="13:13">
      <c r="M1685" s="690"/>
    </row>
    <row r="1686" spans="13:13">
      <c r="M1686" s="690"/>
    </row>
    <row r="1687" spans="13:13">
      <c r="M1687" s="690"/>
    </row>
    <row r="1688" spans="13:13">
      <c r="M1688" s="690"/>
    </row>
    <row r="1689" spans="13:13">
      <c r="M1689" s="690"/>
    </row>
    <row r="1690" spans="13:13">
      <c r="M1690" s="690"/>
    </row>
    <row r="1691" spans="13:13">
      <c r="M1691" s="690"/>
    </row>
    <row r="1692" spans="13:13">
      <c r="M1692" s="690"/>
    </row>
    <row r="1693" spans="13:13">
      <c r="M1693" s="690"/>
    </row>
    <row r="1694" spans="13:13">
      <c r="M1694" s="690"/>
    </row>
    <row r="1695" spans="13:13">
      <c r="M1695" s="690"/>
    </row>
    <row r="1696" spans="13:13">
      <c r="M1696" s="690"/>
    </row>
    <row r="1697" spans="13:13">
      <c r="M1697" s="690"/>
    </row>
    <row r="1698" spans="13:13">
      <c r="M1698" s="690"/>
    </row>
    <row r="1699" spans="13:13">
      <c r="M1699" s="690"/>
    </row>
    <row r="1700" spans="13:13">
      <c r="M1700" s="690"/>
    </row>
    <row r="1701" spans="13:13">
      <c r="M1701" s="690"/>
    </row>
    <row r="1702" spans="13:13">
      <c r="M1702" s="690"/>
    </row>
    <row r="1703" spans="13:13">
      <c r="M1703" s="690"/>
    </row>
    <row r="1704" spans="13:13">
      <c r="M1704" s="690"/>
    </row>
    <row r="1705" spans="13:13">
      <c r="M1705" s="690"/>
    </row>
    <row r="1706" spans="13:13">
      <c r="M1706" s="690"/>
    </row>
    <row r="1707" spans="13:13">
      <c r="M1707" s="690"/>
    </row>
    <row r="1708" spans="13:13">
      <c r="M1708" s="690"/>
    </row>
    <row r="1709" spans="13:13">
      <c r="M1709" s="690"/>
    </row>
    <row r="1710" spans="13:13">
      <c r="M1710" s="690"/>
    </row>
    <row r="1711" spans="13:13">
      <c r="M1711" s="690"/>
    </row>
    <row r="1712" spans="13:13">
      <c r="M1712" s="690"/>
    </row>
    <row r="1713" spans="13:13">
      <c r="M1713" s="690"/>
    </row>
    <row r="1714" spans="13:13">
      <c r="M1714" s="690"/>
    </row>
    <row r="1715" spans="13:13">
      <c r="M1715" s="690"/>
    </row>
    <row r="1716" spans="13:13">
      <c r="M1716" s="690"/>
    </row>
    <row r="1717" spans="13:13">
      <c r="M1717" s="690"/>
    </row>
    <row r="1718" spans="13:13">
      <c r="M1718" s="690"/>
    </row>
    <row r="1719" spans="13:13">
      <c r="M1719" s="690"/>
    </row>
    <row r="1720" spans="13:13">
      <c r="M1720" s="690"/>
    </row>
    <row r="1721" spans="13:13">
      <c r="M1721" s="690"/>
    </row>
    <row r="1722" spans="13:13">
      <c r="M1722" s="690"/>
    </row>
    <row r="1723" spans="13:13">
      <c r="M1723" s="690"/>
    </row>
    <row r="1724" spans="13:13">
      <c r="M1724" s="690"/>
    </row>
    <row r="1725" spans="13:13">
      <c r="M1725" s="690"/>
    </row>
    <row r="1726" spans="13:13">
      <c r="M1726" s="690"/>
    </row>
    <row r="1727" spans="13:13">
      <c r="M1727" s="690"/>
    </row>
    <row r="1728" spans="13:13">
      <c r="M1728" s="690"/>
    </row>
    <row r="1729" spans="13:13">
      <c r="M1729" s="690"/>
    </row>
    <row r="1730" spans="13:13">
      <c r="M1730" s="690"/>
    </row>
    <row r="1731" spans="13:13">
      <c r="M1731" s="690"/>
    </row>
    <row r="1732" spans="13:13">
      <c r="M1732" s="690"/>
    </row>
    <row r="1733" spans="13:13">
      <c r="M1733" s="690"/>
    </row>
    <row r="1734" spans="13:13">
      <c r="M1734" s="690"/>
    </row>
    <row r="1735" spans="13:13">
      <c r="M1735" s="690"/>
    </row>
    <row r="1736" spans="13:13">
      <c r="M1736" s="690"/>
    </row>
    <row r="1737" spans="13:13">
      <c r="M1737" s="690"/>
    </row>
    <row r="1738" spans="13:13">
      <c r="M1738" s="690"/>
    </row>
    <row r="1739" spans="13:13">
      <c r="M1739" s="690"/>
    </row>
    <row r="1740" spans="13:13">
      <c r="M1740" s="690"/>
    </row>
    <row r="1741" spans="13:13">
      <c r="M1741" s="690"/>
    </row>
    <row r="1742" spans="13:13">
      <c r="M1742" s="690"/>
    </row>
    <row r="1743" spans="13:13">
      <c r="M1743" s="690"/>
    </row>
    <row r="1744" spans="13:13">
      <c r="M1744" s="690"/>
    </row>
    <row r="1745" spans="13:13">
      <c r="M1745" s="690"/>
    </row>
    <row r="1746" spans="13:13">
      <c r="M1746" s="690"/>
    </row>
    <row r="1747" spans="13:13">
      <c r="M1747" s="690"/>
    </row>
    <row r="1748" spans="13:13">
      <c r="M1748" s="690"/>
    </row>
    <row r="1749" spans="13:13">
      <c r="M1749" s="690"/>
    </row>
    <row r="1750" spans="13:13">
      <c r="M1750" s="690"/>
    </row>
    <row r="1751" spans="13:13">
      <c r="M1751" s="690"/>
    </row>
    <row r="1752" spans="13:13">
      <c r="M1752" s="690"/>
    </row>
    <row r="1753" spans="13:13">
      <c r="M1753" s="690"/>
    </row>
    <row r="1754" spans="13:13">
      <c r="M1754" s="690"/>
    </row>
    <row r="1755" spans="13:13">
      <c r="M1755" s="690"/>
    </row>
    <row r="1756" spans="13:13">
      <c r="M1756" s="690"/>
    </row>
    <row r="1757" spans="13:13">
      <c r="M1757" s="690"/>
    </row>
    <row r="1758" spans="13:13">
      <c r="M1758" s="690"/>
    </row>
    <row r="1759" spans="13:13">
      <c r="M1759" s="690"/>
    </row>
    <row r="1760" spans="13:13">
      <c r="M1760" s="690"/>
    </row>
    <row r="1761" spans="13:13">
      <c r="M1761" s="690"/>
    </row>
    <row r="1762" spans="13:13">
      <c r="M1762" s="690"/>
    </row>
    <row r="1763" spans="13:13">
      <c r="M1763" s="690"/>
    </row>
    <row r="1764" spans="13:13">
      <c r="M1764" s="690"/>
    </row>
    <row r="1765" spans="13:13">
      <c r="M1765" s="690"/>
    </row>
    <row r="1766" spans="13:13">
      <c r="M1766" s="690"/>
    </row>
    <row r="1767" spans="13:13">
      <c r="M1767" s="690"/>
    </row>
    <row r="1768" spans="13:13">
      <c r="M1768" s="690"/>
    </row>
    <row r="1769" spans="13:13">
      <c r="M1769" s="690"/>
    </row>
    <row r="1770" spans="13:13">
      <c r="M1770" s="690"/>
    </row>
    <row r="1771" spans="13:13">
      <c r="M1771" s="690"/>
    </row>
    <row r="1772" spans="13:13">
      <c r="M1772" s="690"/>
    </row>
    <row r="1773" spans="13:13">
      <c r="M1773" s="690"/>
    </row>
    <row r="1774" spans="13:13">
      <c r="M1774" s="690"/>
    </row>
    <row r="1775" spans="13:13">
      <c r="M1775" s="690"/>
    </row>
    <row r="1776" spans="13:13">
      <c r="M1776" s="690"/>
    </row>
    <row r="1777" spans="13:13">
      <c r="M1777" s="690"/>
    </row>
    <row r="1778" spans="13:13">
      <c r="M1778" s="690"/>
    </row>
    <row r="1779" spans="13:13">
      <c r="M1779" s="690"/>
    </row>
    <row r="1780" spans="13:13">
      <c r="M1780" s="690"/>
    </row>
    <row r="1781" spans="13:13">
      <c r="M1781" s="690"/>
    </row>
    <row r="1782" spans="13:13">
      <c r="M1782" s="690"/>
    </row>
    <row r="1783" spans="13:13">
      <c r="M1783" s="690"/>
    </row>
    <row r="1784" spans="13:13">
      <c r="M1784" s="690"/>
    </row>
    <row r="1785" spans="13:13">
      <c r="M1785" s="690"/>
    </row>
    <row r="1786" spans="13:13">
      <c r="M1786" s="690"/>
    </row>
    <row r="1787" spans="13:13">
      <c r="M1787" s="690"/>
    </row>
    <row r="1788" spans="13:13">
      <c r="M1788" s="690"/>
    </row>
    <row r="1789" spans="13:13">
      <c r="M1789" s="690"/>
    </row>
    <row r="1790" spans="13:13">
      <c r="M1790" s="690"/>
    </row>
    <row r="1791" spans="13:13">
      <c r="M1791" s="690"/>
    </row>
    <row r="1792" spans="13:13">
      <c r="M1792" s="690"/>
    </row>
    <row r="1793" spans="13:13">
      <c r="M1793" s="690"/>
    </row>
    <row r="1794" spans="13:13">
      <c r="M1794" s="690"/>
    </row>
    <row r="1795" spans="13:13">
      <c r="M1795" s="690"/>
    </row>
    <row r="1796" spans="13:13">
      <c r="M1796" s="690"/>
    </row>
    <row r="1797" spans="13:13">
      <c r="M1797" s="690"/>
    </row>
    <row r="1798" spans="13:13">
      <c r="M1798" s="690"/>
    </row>
    <row r="1799" spans="13:13">
      <c r="M1799" s="690"/>
    </row>
    <row r="1800" spans="13:13">
      <c r="M1800" s="690"/>
    </row>
    <row r="1801" spans="13:13">
      <c r="M1801" s="690"/>
    </row>
    <row r="1802" spans="13:13">
      <c r="M1802" s="690"/>
    </row>
    <row r="1803" spans="13:13">
      <c r="M1803" s="690"/>
    </row>
    <row r="1804" spans="13:13">
      <c r="M1804" s="690"/>
    </row>
    <row r="1805" spans="13:13">
      <c r="M1805" s="690"/>
    </row>
    <row r="1806" spans="13:13">
      <c r="M1806" s="690"/>
    </row>
    <row r="1807" spans="13:13">
      <c r="M1807" s="690"/>
    </row>
    <row r="1808" spans="13:13">
      <c r="M1808" s="690"/>
    </row>
    <row r="1809" spans="13:13">
      <c r="M1809" s="690"/>
    </row>
    <row r="1810" spans="13:13">
      <c r="M1810" s="690"/>
    </row>
    <row r="1811" spans="13:13">
      <c r="M1811" s="690"/>
    </row>
    <row r="1812" spans="13:13">
      <c r="M1812" s="690"/>
    </row>
    <row r="1813" spans="13:13">
      <c r="M1813" s="690"/>
    </row>
    <row r="1814" spans="13:13">
      <c r="M1814" s="690"/>
    </row>
    <row r="1815" spans="13:13">
      <c r="M1815" s="690"/>
    </row>
    <row r="1816" spans="13:13">
      <c r="M1816" s="690"/>
    </row>
    <row r="1817" spans="13:13">
      <c r="M1817" s="690"/>
    </row>
    <row r="1818" spans="13:13">
      <c r="M1818" s="690"/>
    </row>
    <row r="1819" spans="13:13">
      <c r="M1819" s="690"/>
    </row>
    <row r="1820" spans="13:13">
      <c r="M1820" s="690"/>
    </row>
    <row r="1821" spans="13:13">
      <c r="M1821" s="690"/>
    </row>
    <row r="1822" spans="13:13">
      <c r="M1822" s="690"/>
    </row>
    <row r="1823" spans="13:13">
      <c r="M1823" s="690"/>
    </row>
    <row r="1824" spans="13:13">
      <c r="M1824" s="690"/>
    </row>
    <row r="1825" spans="13:13">
      <c r="M1825" s="690"/>
    </row>
    <row r="1826" spans="13:13">
      <c r="M1826" s="690"/>
    </row>
    <row r="1827" spans="13:13">
      <c r="M1827" s="690"/>
    </row>
    <row r="1828" spans="13:13">
      <c r="M1828" s="690"/>
    </row>
    <row r="1829" spans="13:13">
      <c r="M1829" s="690"/>
    </row>
    <row r="1830" spans="13:13">
      <c r="M1830" s="690"/>
    </row>
    <row r="1831" spans="13:13">
      <c r="M1831" s="690"/>
    </row>
    <row r="1832" spans="13:13">
      <c r="M1832" s="690"/>
    </row>
    <row r="1833" spans="13:13">
      <c r="M1833" s="690"/>
    </row>
    <row r="1834" spans="13:13">
      <c r="M1834" s="690"/>
    </row>
    <row r="1835" spans="13:13">
      <c r="M1835" s="690"/>
    </row>
    <row r="1836" spans="13:13">
      <c r="M1836" s="690"/>
    </row>
    <row r="1837" spans="13:13">
      <c r="M1837" s="690"/>
    </row>
    <row r="1838" spans="13:13">
      <c r="M1838" s="690"/>
    </row>
    <row r="1839" spans="13:13">
      <c r="M1839" s="690"/>
    </row>
    <row r="1840" spans="13:13">
      <c r="M1840" s="690"/>
    </row>
    <row r="1841" spans="13:13">
      <c r="M1841" s="690"/>
    </row>
    <row r="1842" spans="13:13">
      <c r="M1842" s="690"/>
    </row>
    <row r="1843" spans="13:13">
      <c r="M1843" s="690"/>
    </row>
    <row r="1844" spans="13:13">
      <c r="M1844" s="690"/>
    </row>
    <row r="1845" spans="13:13">
      <c r="M1845" s="690"/>
    </row>
    <row r="1846" spans="13:13">
      <c r="M1846" s="690"/>
    </row>
    <row r="1847" spans="13:13">
      <c r="M1847" s="690"/>
    </row>
    <row r="1848" spans="13:13">
      <c r="M1848" s="690"/>
    </row>
    <row r="1849" spans="13:13">
      <c r="M1849" s="690"/>
    </row>
    <row r="1850" spans="13:13">
      <c r="M1850" s="690"/>
    </row>
    <row r="1851" spans="13:13">
      <c r="M1851" s="690"/>
    </row>
    <row r="1852" spans="13:13">
      <c r="M1852" s="690"/>
    </row>
    <row r="1853" spans="13:13">
      <c r="M1853" s="690"/>
    </row>
    <row r="1854" spans="13:13">
      <c r="M1854" s="690"/>
    </row>
    <row r="1855" spans="13:13">
      <c r="M1855" s="690"/>
    </row>
    <row r="1856" spans="13:13">
      <c r="M1856" s="690"/>
    </row>
    <row r="1857" spans="13:13">
      <c r="M1857" s="690"/>
    </row>
    <row r="1858" spans="13:13">
      <c r="M1858" s="690"/>
    </row>
    <row r="1859" spans="13:13">
      <c r="M1859" s="690"/>
    </row>
    <row r="1860" spans="13:13">
      <c r="M1860" s="690"/>
    </row>
    <row r="1861" spans="13:13">
      <c r="M1861" s="690"/>
    </row>
    <row r="1862" spans="13:13">
      <c r="M1862" s="690"/>
    </row>
    <row r="1863" spans="13:13">
      <c r="M1863" s="690"/>
    </row>
    <row r="1864" spans="13:13">
      <c r="M1864" s="690"/>
    </row>
    <row r="1865" spans="13:13">
      <c r="M1865" s="690"/>
    </row>
    <row r="1866" spans="13:13">
      <c r="M1866" s="690"/>
    </row>
    <row r="1867" spans="13:13">
      <c r="M1867" s="690"/>
    </row>
    <row r="1868" spans="13:13">
      <c r="M1868" s="690"/>
    </row>
    <row r="1869" spans="13:13">
      <c r="M1869" s="690"/>
    </row>
    <row r="1870" spans="13:13">
      <c r="M1870" s="690"/>
    </row>
    <row r="1871" spans="13:13">
      <c r="M1871" s="690"/>
    </row>
    <row r="1872" spans="13:13">
      <c r="M1872" s="690"/>
    </row>
    <row r="1873" spans="13:13">
      <c r="M1873" s="690"/>
    </row>
    <row r="1874" spans="13:13">
      <c r="M1874" s="690"/>
    </row>
    <row r="1875" spans="13:13">
      <c r="M1875" s="690"/>
    </row>
    <row r="1876" spans="13:13">
      <c r="M1876" s="690"/>
    </row>
    <row r="1877" spans="13:13">
      <c r="M1877" s="690"/>
    </row>
    <row r="1878" spans="13:13">
      <c r="M1878" s="690"/>
    </row>
    <row r="1879" spans="13:13">
      <c r="M1879" s="690"/>
    </row>
    <row r="1880" spans="13:13">
      <c r="M1880" s="690"/>
    </row>
    <row r="1881" spans="13:13">
      <c r="M1881" s="690"/>
    </row>
    <row r="1882" spans="13:13">
      <c r="M1882" s="690"/>
    </row>
    <row r="1883" spans="13:13">
      <c r="M1883" s="690"/>
    </row>
    <row r="1884" spans="13:13">
      <c r="M1884" s="690"/>
    </row>
    <row r="1885" spans="13:13">
      <c r="M1885" s="690"/>
    </row>
    <row r="1886" spans="13:13">
      <c r="M1886" s="690"/>
    </row>
    <row r="1887" spans="13:13">
      <c r="M1887" s="690"/>
    </row>
    <row r="1888" spans="13:13">
      <c r="M1888" s="690"/>
    </row>
    <row r="1889" spans="13:13">
      <c r="M1889" s="690"/>
    </row>
    <row r="1890" spans="13:13">
      <c r="M1890" s="690"/>
    </row>
    <row r="1891" spans="13:13">
      <c r="M1891" s="690"/>
    </row>
    <row r="1892" spans="13:13">
      <c r="M1892" s="690"/>
    </row>
    <row r="1893" spans="13:13">
      <c r="M1893" s="690"/>
    </row>
    <row r="1894" spans="13:13">
      <c r="M1894" s="690"/>
    </row>
    <row r="1895" spans="13:13">
      <c r="M1895" s="690"/>
    </row>
    <row r="1896" spans="13:13">
      <c r="M1896" s="690"/>
    </row>
    <row r="1897" spans="13:13">
      <c r="M1897" s="690"/>
    </row>
    <row r="1898" spans="13:13">
      <c r="M1898" s="690"/>
    </row>
    <row r="1899" spans="13:13">
      <c r="M1899" s="690"/>
    </row>
    <row r="1900" spans="13:13">
      <c r="M1900" s="690"/>
    </row>
    <row r="1901" spans="13:13">
      <c r="M1901" s="690"/>
    </row>
    <row r="1902" spans="13:13">
      <c r="M1902" s="690"/>
    </row>
    <row r="1903" spans="13:13">
      <c r="M1903" s="690"/>
    </row>
    <row r="1904" spans="13:13">
      <c r="M1904" s="690"/>
    </row>
    <row r="1905" spans="13:13">
      <c r="M1905" s="690"/>
    </row>
    <row r="1906" spans="13:13">
      <c r="M1906" s="690"/>
    </row>
    <row r="1907" spans="13:13">
      <c r="M1907" s="690"/>
    </row>
    <row r="1908" spans="13:13">
      <c r="M1908" s="690"/>
    </row>
    <row r="1909" spans="13:13">
      <c r="M1909" s="690"/>
    </row>
    <row r="1910" spans="13:13">
      <c r="M1910" s="690"/>
    </row>
    <row r="1911" spans="13:13">
      <c r="M1911" s="690"/>
    </row>
    <row r="1912" spans="13:13">
      <c r="M1912" s="690"/>
    </row>
    <row r="1913" spans="13:13">
      <c r="M1913" s="690"/>
    </row>
    <row r="1914" spans="13:13">
      <c r="M1914" s="690"/>
    </row>
    <row r="1915" spans="13:13">
      <c r="M1915" s="690"/>
    </row>
    <row r="1916" spans="13:13">
      <c r="M1916" s="690"/>
    </row>
    <row r="1917" spans="13:13">
      <c r="M1917" s="690"/>
    </row>
    <row r="1918" spans="13:13">
      <c r="M1918" s="690"/>
    </row>
    <row r="1919" spans="13:13">
      <c r="M1919" s="690"/>
    </row>
    <row r="1920" spans="13:13">
      <c r="M1920" s="690"/>
    </row>
    <row r="1921" spans="13:13">
      <c r="M1921" s="690"/>
    </row>
    <row r="1922" spans="13:13">
      <c r="M1922" s="690"/>
    </row>
    <row r="1923" spans="13:13">
      <c r="M1923" s="690"/>
    </row>
    <row r="1924" spans="13:13">
      <c r="M1924" s="690"/>
    </row>
    <row r="1925" spans="13:13">
      <c r="M1925" s="690"/>
    </row>
    <row r="1926" spans="13:13">
      <c r="M1926" s="690"/>
    </row>
    <row r="1927" spans="13:13">
      <c r="M1927" s="690"/>
    </row>
    <row r="1928" spans="13:13">
      <c r="M1928" s="690"/>
    </row>
    <row r="1929" spans="13:13">
      <c r="M1929" s="690"/>
    </row>
    <row r="1930" spans="13:13">
      <c r="M1930" s="690"/>
    </row>
    <row r="1931" spans="13:13">
      <c r="M1931" s="690"/>
    </row>
    <row r="1932" spans="13:13">
      <c r="M1932" s="690"/>
    </row>
    <row r="1933" spans="13:13">
      <c r="M1933" s="690"/>
    </row>
    <row r="1934" spans="13:13">
      <c r="M1934" s="690"/>
    </row>
    <row r="1935" spans="13:13">
      <c r="M1935" s="690"/>
    </row>
    <row r="1936" spans="13:13">
      <c r="M1936" s="690"/>
    </row>
    <row r="1937" spans="13:13">
      <c r="M1937" s="690"/>
    </row>
    <row r="1938" spans="13:13">
      <c r="M1938" s="690"/>
    </row>
    <row r="1939" spans="13:13">
      <c r="M1939" s="690"/>
    </row>
    <row r="1940" spans="13:13">
      <c r="M1940" s="690"/>
    </row>
    <row r="1941" spans="13:13">
      <c r="M1941" s="690"/>
    </row>
    <row r="1942" spans="13:13">
      <c r="M1942" s="690"/>
    </row>
    <row r="1943" spans="13:13">
      <c r="M1943" s="690"/>
    </row>
    <row r="1944" spans="13:13">
      <c r="M1944" s="690"/>
    </row>
    <row r="1945" spans="13:13">
      <c r="M1945" s="690"/>
    </row>
    <row r="1946" spans="13:13">
      <c r="M1946" s="690"/>
    </row>
    <row r="1947" spans="13:13">
      <c r="M1947" s="690"/>
    </row>
    <row r="1948" spans="13:13">
      <c r="M1948" s="690"/>
    </row>
    <row r="1949" spans="13:13">
      <c r="M1949" s="690"/>
    </row>
    <row r="1950" spans="13:13">
      <c r="M1950" s="690"/>
    </row>
    <row r="1951" spans="13:13">
      <c r="M1951" s="690"/>
    </row>
    <row r="1952" spans="13:13">
      <c r="M1952" s="690"/>
    </row>
    <row r="1953" spans="13:13">
      <c r="M1953" s="690"/>
    </row>
    <row r="1954" spans="13:13">
      <c r="M1954" s="690"/>
    </row>
    <row r="1955" spans="13:13">
      <c r="M1955" s="690"/>
    </row>
    <row r="1956" spans="13:13">
      <c r="M1956" s="690"/>
    </row>
    <row r="1957" spans="13:13">
      <c r="M1957" s="690"/>
    </row>
    <row r="1958" spans="13:13">
      <c r="M1958" s="690"/>
    </row>
    <row r="1959" spans="13:13">
      <c r="M1959" s="690"/>
    </row>
    <row r="1960" spans="13:13">
      <c r="M1960" s="690"/>
    </row>
    <row r="1961" spans="13:13">
      <c r="M1961" s="690"/>
    </row>
    <row r="1962" spans="13:13">
      <c r="M1962" s="690"/>
    </row>
    <row r="1963" spans="13:13">
      <c r="M1963" s="690"/>
    </row>
    <row r="1964" spans="13:13">
      <c r="M1964" s="690"/>
    </row>
    <row r="1965" spans="13:13">
      <c r="M1965" s="690"/>
    </row>
    <row r="1966" spans="13:13">
      <c r="M1966" s="690"/>
    </row>
    <row r="1967" spans="13:13">
      <c r="M1967" s="690"/>
    </row>
    <row r="1968" spans="13:13">
      <c r="M1968" s="690"/>
    </row>
    <row r="1969" spans="13:13">
      <c r="M1969" s="690"/>
    </row>
    <row r="1970" spans="13:13">
      <c r="M1970" s="690"/>
    </row>
    <row r="1971" spans="13:13">
      <c r="M1971" s="690"/>
    </row>
    <row r="1972" spans="13:13">
      <c r="M1972" s="690"/>
    </row>
    <row r="1973" spans="13:13">
      <c r="M1973" s="690"/>
    </row>
    <row r="1974" spans="13:13">
      <c r="M1974" s="690"/>
    </row>
    <row r="1975" spans="13:13">
      <c r="M1975" s="690"/>
    </row>
    <row r="1976" spans="13:13">
      <c r="M1976" s="690"/>
    </row>
    <row r="1977" spans="13:13">
      <c r="M1977" s="690"/>
    </row>
    <row r="1978" spans="13:13">
      <c r="M1978" s="690"/>
    </row>
    <row r="1979" spans="13:13">
      <c r="M1979" s="690"/>
    </row>
    <row r="1980" spans="13:13">
      <c r="M1980" s="690"/>
    </row>
    <row r="1981" spans="13:13">
      <c r="M1981" s="690"/>
    </row>
    <row r="1982" spans="13:13">
      <c r="M1982" s="690"/>
    </row>
    <row r="1983" spans="13:13">
      <c r="M1983" s="690"/>
    </row>
    <row r="1984" spans="13:13">
      <c r="M1984" s="690"/>
    </row>
    <row r="1985" spans="13:13">
      <c r="M1985" s="690"/>
    </row>
    <row r="1986" spans="13:13">
      <c r="M1986" s="690"/>
    </row>
    <row r="1987" spans="13:13">
      <c r="M1987" s="690"/>
    </row>
    <row r="1988" spans="13:13">
      <c r="M1988" s="690"/>
    </row>
    <row r="1989" spans="13:13">
      <c r="M1989" s="690"/>
    </row>
    <row r="1990" spans="13:13">
      <c r="M1990" s="690"/>
    </row>
    <row r="1991" spans="13:13">
      <c r="M1991" s="690"/>
    </row>
    <row r="1992" spans="13:13">
      <c r="M1992" s="690"/>
    </row>
    <row r="1993" spans="13:13">
      <c r="M1993" s="690"/>
    </row>
    <row r="1994" spans="13:13">
      <c r="M1994" s="690"/>
    </row>
    <row r="1995" spans="13:13">
      <c r="M1995" s="690"/>
    </row>
    <row r="1996" spans="13:13">
      <c r="M1996" s="690"/>
    </row>
    <row r="1997" spans="13:13">
      <c r="M1997" s="690"/>
    </row>
    <row r="1998" spans="13:13">
      <c r="M1998" s="690"/>
    </row>
    <row r="1999" spans="13:13">
      <c r="M1999" s="690"/>
    </row>
    <row r="2000" spans="13:13">
      <c r="M2000" s="690"/>
    </row>
    <row r="2001" spans="13:13">
      <c r="M2001" s="690"/>
    </row>
    <row r="2002" spans="13:13">
      <c r="M2002" s="690"/>
    </row>
    <row r="2003" spans="13:13">
      <c r="M2003" s="690"/>
    </row>
    <row r="2004" spans="13:13">
      <c r="M2004" s="690"/>
    </row>
    <row r="2005" spans="13:13">
      <c r="M2005" s="690"/>
    </row>
    <row r="2006" spans="13:13">
      <c r="M2006" s="690"/>
    </row>
    <row r="2007" spans="13:13">
      <c r="M2007" s="690"/>
    </row>
    <row r="2008" spans="13:13">
      <c r="M2008" s="690"/>
    </row>
    <row r="2009" spans="13:13">
      <c r="M2009" s="690"/>
    </row>
    <row r="2010" spans="13:13">
      <c r="M2010" s="690"/>
    </row>
    <row r="2011" spans="13:13">
      <c r="M2011" s="690"/>
    </row>
    <row r="2012" spans="13:13">
      <c r="M2012" s="690"/>
    </row>
    <row r="2013" spans="13:13">
      <c r="M2013" s="690"/>
    </row>
    <row r="2014" spans="13:13">
      <c r="M2014" s="690"/>
    </row>
    <row r="2015" spans="13:13">
      <c r="M2015" s="690"/>
    </row>
    <row r="2016" spans="13:13">
      <c r="M2016" s="690"/>
    </row>
    <row r="2017" spans="13:13">
      <c r="M2017" s="690"/>
    </row>
    <row r="2018" spans="13:13">
      <c r="M2018" s="690"/>
    </row>
    <row r="2019" spans="13:13">
      <c r="M2019" s="690"/>
    </row>
    <row r="2020" spans="13:13">
      <c r="M2020" s="690"/>
    </row>
    <row r="2021" spans="13:13">
      <c r="M2021" s="690"/>
    </row>
    <row r="2022" spans="13:13">
      <c r="M2022" s="690"/>
    </row>
    <row r="2023" spans="13:13">
      <c r="M2023" s="690"/>
    </row>
    <row r="2024" spans="13:13">
      <c r="M2024" s="690"/>
    </row>
    <row r="2025" spans="13:13">
      <c r="M2025" s="690"/>
    </row>
    <row r="2026" spans="13:13">
      <c r="M2026" s="690"/>
    </row>
    <row r="2027" spans="13:13">
      <c r="M2027" s="690"/>
    </row>
    <row r="2028" spans="13:13">
      <c r="M2028" s="690"/>
    </row>
    <row r="2029" spans="13:13">
      <c r="M2029" s="690"/>
    </row>
    <row r="2030" spans="13:13">
      <c r="M2030" s="690"/>
    </row>
    <row r="2031" spans="13:13">
      <c r="M2031" s="690"/>
    </row>
    <row r="2032" spans="13:13">
      <c r="M2032" s="690"/>
    </row>
    <row r="2033" spans="13:13">
      <c r="M2033" s="690"/>
    </row>
    <row r="2034" spans="13:13">
      <c r="M2034" s="690"/>
    </row>
    <row r="2035" spans="13:13">
      <c r="M2035" s="690"/>
    </row>
    <row r="2036" spans="13:13">
      <c r="M2036" s="690"/>
    </row>
    <row r="2037" spans="13:13">
      <c r="M2037" s="690"/>
    </row>
    <row r="2038" spans="13:13">
      <c r="M2038" s="690"/>
    </row>
    <row r="2039" spans="13:13">
      <c r="M2039" s="690"/>
    </row>
    <row r="2040" spans="13:13">
      <c r="M2040" s="690"/>
    </row>
    <row r="2041" spans="13:13">
      <c r="M2041" s="690"/>
    </row>
    <row r="2042" spans="13:13">
      <c r="M2042" s="690"/>
    </row>
    <row r="2043" spans="13:13">
      <c r="M2043" s="690"/>
    </row>
    <row r="2044" spans="13:13">
      <c r="M2044" s="690"/>
    </row>
    <row r="2045" spans="13:13">
      <c r="M2045" s="690"/>
    </row>
    <row r="2046" spans="13:13">
      <c r="M2046" s="690"/>
    </row>
    <row r="2047" spans="13:13">
      <c r="M2047" s="690"/>
    </row>
    <row r="2048" spans="13:13">
      <c r="M2048" s="690"/>
    </row>
    <row r="2049" spans="13:13">
      <c r="M2049" s="690"/>
    </row>
    <row r="2050" spans="13:13">
      <c r="M2050" s="690"/>
    </row>
    <row r="2051" spans="13:13">
      <c r="M2051" s="690"/>
    </row>
    <row r="2052" spans="13:13">
      <c r="M2052" s="690"/>
    </row>
    <row r="2053" spans="13:13">
      <c r="M2053" s="690"/>
    </row>
    <row r="2054" spans="13:13">
      <c r="M2054" s="690"/>
    </row>
    <row r="2055" spans="13:13">
      <c r="M2055" s="690"/>
    </row>
    <row r="2056" spans="13:13">
      <c r="M2056" s="690"/>
    </row>
    <row r="2057" spans="13:13">
      <c r="M2057" s="690"/>
    </row>
    <row r="2058" spans="13:13">
      <c r="M2058" s="690"/>
    </row>
    <row r="2059" spans="13:13">
      <c r="M2059" s="690"/>
    </row>
    <row r="2060" spans="13:13">
      <c r="M2060" s="690"/>
    </row>
    <row r="2061" spans="13:13">
      <c r="M2061" s="690"/>
    </row>
    <row r="2062" spans="13:13">
      <c r="M2062" s="690"/>
    </row>
    <row r="2063" spans="13:13">
      <c r="M2063" s="690"/>
    </row>
    <row r="2064" spans="13:13">
      <c r="M2064" s="690"/>
    </row>
    <row r="2065" spans="13:13">
      <c r="M2065" s="690"/>
    </row>
    <row r="2066" spans="13:13">
      <c r="M2066" s="690"/>
    </row>
    <row r="2067" spans="13:13">
      <c r="M2067" s="690"/>
    </row>
    <row r="2068" spans="13:13">
      <c r="M2068" s="690"/>
    </row>
    <row r="2069" spans="13:13">
      <c r="M2069" s="690"/>
    </row>
    <row r="2070" spans="13:13">
      <c r="M2070" s="690"/>
    </row>
    <row r="2071" spans="13:13">
      <c r="M2071" s="690"/>
    </row>
    <row r="2072" spans="13:13">
      <c r="M2072" s="690"/>
    </row>
    <row r="2073" spans="13:13">
      <c r="M2073" s="690"/>
    </row>
    <row r="2074" spans="13:13">
      <c r="M2074" s="690"/>
    </row>
    <row r="2075" spans="13:13">
      <c r="M2075" s="690"/>
    </row>
    <row r="2076" spans="13:13">
      <c r="M2076" s="690"/>
    </row>
    <row r="2077" spans="13:13">
      <c r="M2077" s="690"/>
    </row>
    <row r="2078" spans="13:13">
      <c r="M2078" s="690"/>
    </row>
    <row r="2079" spans="13:13">
      <c r="M2079" s="690"/>
    </row>
    <row r="2080" spans="13:13">
      <c r="M2080" s="690"/>
    </row>
    <row r="2081" spans="13:13">
      <c r="M2081" s="690"/>
    </row>
    <row r="2082" spans="13:13">
      <c r="M2082" s="690"/>
    </row>
    <row r="2083" spans="13:13">
      <c r="M2083" s="690"/>
    </row>
    <row r="2084" spans="13:13">
      <c r="M2084" s="690"/>
    </row>
    <row r="2085" spans="13:13">
      <c r="M2085" s="690"/>
    </row>
    <row r="2086" spans="13:13">
      <c r="M2086" s="690"/>
    </row>
    <row r="2087" spans="13:13">
      <c r="M2087" s="690"/>
    </row>
    <row r="2088" spans="13:13">
      <c r="M2088" s="690"/>
    </row>
    <row r="2089" spans="13:13">
      <c r="M2089" s="690"/>
    </row>
    <row r="2090" spans="13:13">
      <c r="M2090" s="690"/>
    </row>
    <row r="2091" spans="13:13">
      <c r="M2091" s="690"/>
    </row>
    <row r="2092" spans="13:13">
      <c r="M2092" s="690"/>
    </row>
    <row r="2093" spans="13:13">
      <c r="M2093" s="690"/>
    </row>
    <row r="2094" spans="13:13">
      <c r="M2094" s="690"/>
    </row>
    <row r="2095" spans="13:13">
      <c r="M2095" s="690"/>
    </row>
    <row r="2096" spans="13:13">
      <c r="M2096" s="690"/>
    </row>
    <row r="2097" spans="13:13">
      <c r="M2097" s="690"/>
    </row>
    <row r="2098" spans="13:13">
      <c r="M2098" s="690"/>
    </row>
    <row r="2099" spans="13:13">
      <c r="M2099" s="690"/>
    </row>
    <row r="2100" spans="13:13">
      <c r="M2100" s="690"/>
    </row>
    <row r="2101" spans="13:13">
      <c r="M2101" s="690"/>
    </row>
    <row r="2102" spans="13:13">
      <c r="M2102" s="690"/>
    </row>
    <row r="2103" spans="13:13">
      <c r="M2103" s="690"/>
    </row>
    <row r="2104" spans="13:13">
      <c r="M2104" s="690"/>
    </row>
    <row r="2105" spans="13:13">
      <c r="M2105" s="690"/>
    </row>
    <row r="2106" spans="13:13">
      <c r="M2106" s="690"/>
    </row>
    <row r="2107" spans="13:13">
      <c r="M2107" s="690"/>
    </row>
    <row r="2108" spans="13:13">
      <c r="M2108" s="690"/>
    </row>
    <row r="2109" spans="13:13">
      <c r="M2109" s="690"/>
    </row>
    <row r="2110" spans="13:13">
      <c r="M2110" s="690"/>
    </row>
    <row r="2111" spans="13:13">
      <c r="M2111" s="690"/>
    </row>
    <row r="2112" spans="13:13">
      <c r="M2112" s="690"/>
    </row>
    <row r="2113" spans="13:13">
      <c r="M2113" s="690"/>
    </row>
    <row r="2114" spans="13:13">
      <c r="M2114" s="690"/>
    </row>
    <row r="2115" spans="13:13">
      <c r="M2115" s="690"/>
    </row>
    <row r="2116" spans="13:13">
      <c r="M2116" s="690"/>
    </row>
    <row r="2117" spans="13:13">
      <c r="M2117" s="690"/>
    </row>
    <row r="2118" spans="13:13">
      <c r="M2118" s="690"/>
    </row>
    <row r="2119" spans="13:13">
      <c r="M2119" s="690"/>
    </row>
    <row r="2120" spans="13:13">
      <c r="M2120" s="690"/>
    </row>
    <row r="2121" spans="13:13">
      <c r="M2121" s="690"/>
    </row>
    <row r="2122" spans="13:13">
      <c r="M2122" s="690"/>
    </row>
    <row r="2123" spans="13:13">
      <c r="M2123" s="690"/>
    </row>
    <row r="2124" spans="13:13">
      <c r="M2124" s="690"/>
    </row>
    <row r="2125" spans="13:13">
      <c r="M2125" s="690"/>
    </row>
    <row r="2126" spans="13:13">
      <c r="M2126" s="690"/>
    </row>
    <row r="2127" spans="13:13">
      <c r="M2127" s="690"/>
    </row>
    <row r="2128" spans="13:13">
      <c r="M2128" s="690"/>
    </row>
    <row r="2129" spans="13:13">
      <c r="M2129" s="690"/>
    </row>
    <row r="2130" spans="13:13">
      <c r="M2130" s="690"/>
    </row>
    <row r="2131" spans="13:13">
      <c r="M2131" s="690"/>
    </row>
    <row r="2132" spans="13:13">
      <c r="M2132" s="690"/>
    </row>
    <row r="2133" spans="13:13">
      <c r="M2133" s="690"/>
    </row>
    <row r="2134" spans="13:13">
      <c r="M2134" s="690"/>
    </row>
    <row r="2135" spans="13:13">
      <c r="M2135" s="690"/>
    </row>
    <row r="2136" spans="13:13">
      <c r="M2136" s="690"/>
    </row>
    <row r="2137" spans="13:13">
      <c r="M2137" s="690"/>
    </row>
    <row r="2138" spans="13:13">
      <c r="M2138" s="690"/>
    </row>
    <row r="2139" spans="13:13">
      <c r="M2139" s="690"/>
    </row>
    <row r="2140" spans="13:13">
      <c r="M2140" s="690"/>
    </row>
    <row r="2141" spans="13:13">
      <c r="M2141" s="690"/>
    </row>
    <row r="2142" spans="13:13">
      <c r="M2142" s="690"/>
    </row>
    <row r="2143" spans="13:13">
      <c r="M2143" s="690"/>
    </row>
    <row r="2144" spans="13:13">
      <c r="M2144" s="690"/>
    </row>
    <row r="2145" spans="13:13">
      <c r="M2145" s="690"/>
    </row>
    <row r="2146" spans="13:13">
      <c r="M2146" s="690"/>
    </row>
    <row r="2147" spans="13:13">
      <c r="M2147" s="690"/>
    </row>
    <row r="2148" spans="13:13">
      <c r="M2148" s="690"/>
    </row>
    <row r="2149" spans="13:13">
      <c r="M2149" s="690"/>
    </row>
    <row r="2150" spans="13:13">
      <c r="M2150" s="690"/>
    </row>
    <row r="2151" spans="13:13">
      <c r="M2151" s="690"/>
    </row>
    <row r="2152" spans="13:13">
      <c r="M2152" s="690"/>
    </row>
    <row r="2153" spans="13:13">
      <c r="M2153" s="690"/>
    </row>
    <row r="2154" spans="13:13">
      <c r="M2154" s="690"/>
    </row>
    <row r="2155" spans="13:13">
      <c r="M2155" s="690"/>
    </row>
    <row r="2156" spans="13:13">
      <c r="M2156" s="690"/>
    </row>
    <row r="2157" spans="13:13">
      <c r="M2157" s="690"/>
    </row>
    <row r="2158" spans="13:13">
      <c r="M2158" s="690"/>
    </row>
    <row r="2159" spans="13:13">
      <c r="M2159" s="690"/>
    </row>
    <row r="2160" spans="13:13">
      <c r="M2160" s="690"/>
    </row>
    <row r="2161" spans="13:13">
      <c r="M2161" s="690"/>
    </row>
    <row r="2162" spans="13:13">
      <c r="M2162" s="690"/>
    </row>
    <row r="2163" spans="13:13">
      <c r="M2163" s="690"/>
    </row>
    <row r="2164" spans="13:13">
      <c r="M2164" s="690"/>
    </row>
    <row r="2165" spans="13:13">
      <c r="M2165" s="690"/>
    </row>
    <row r="2166" spans="13:13">
      <c r="M2166" s="690"/>
    </row>
    <row r="2167" spans="13:13">
      <c r="M2167" s="690"/>
    </row>
    <row r="2168" spans="13:13">
      <c r="M2168" s="690"/>
    </row>
    <row r="2169" spans="13:13">
      <c r="M2169" s="690"/>
    </row>
    <row r="2170" spans="13:13">
      <c r="M2170" s="690"/>
    </row>
    <row r="2171" spans="13:13">
      <c r="M2171" s="690"/>
    </row>
    <row r="2172" spans="13:13">
      <c r="M2172" s="690"/>
    </row>
    <row r="2173" spans="13:13">
      <c r="M2173" s="690"/>
    </row>
    <row r="2174" spans="13:13">
      <c r="M2174" s="690"/>
    </row>
    <row r="2175" spans="13:13">
      <c r="M2175" s="690"/>
    </row>
    <row r="2176" spans="13:13">
      <c r="M2176" s="690"/>
    </row>
    <row r="2177" spans="13:13">
      <c r="M2177" s="690"/>
    </row>
    <row r="2178" spans="13:13">
      <c r="M2178" s="690"/>
    </row>
    <row r="2179" spans="13:13">
      <c r="M2179" s="690"/>
    </row>
    <row r="2180" spans="13:13">
      <c r="M2180" s="690"/>
    </row>
    <row r="2181" spans="13:13">
      <c r="M2181" s="690"/>
    </row>
    <row r="2182" spans="13:13">
      <c r="M2182" s="690"/>
    </row>
    <row r="2183" spans="13:13">
      <c r="M2183" s="690"/>
    </row>
    <row r="2184" spans="13:13">
      <c r="M2184" s="690"/>
    </row>
    <row r="2185" spans="13:13">
      <c r="M2185" s="690"/>
    </row>
    <row r="2186" spans="13:13">
      <c r="M2186" s="690"/>
    </row>
    <row r="2187" spans="13:13">
      <c r="M2187" s="690"/>
    </row>
    <row r="2188" spans="13:13">
      <c r="M2188" s="690"/>
    </row>
    <row r="2189" spans="13:13">
      <c r="M2189" s="690"/>
    </row>
    <row r="2190" spans="13:13">
      <c r="M2190" s="690"/>
    </row>
    <row r="2191" spans="13:13">
      <c r="M2191" s="690"/>
    </row>
    <row r="2192" spans="13:13">
      <c r="M2192" s="690"/>
    </row>
    <row r="2193" spans="13:13">
      <c r="M2193" s="690"/>
    </row>
    <row r="2194" spans="13:13">
      <c r="M2194" s="690"/>
    </row>
    <row r="2195" spans="13:13">
      <c r="M2195" s="690"/>
    </row>
    <row r="2196" spans="13:13">
      <c r="M2196" s="690"/>
    </row>
    <row r="2197" spans="13:13">
      <c r="M2197" s="690"/>
    </row>
    <row r="2198" spans="13:13">
      <c r="M2198" s="690"/>
    </row>
    <row r="2199" spans="13:13">
      <c r="M2199" s="690"/>
    </row>
    <row r="2200" spans="13:13">
      <c r="M2200" s="690"/>
    </row>
    <row r="2201" spans="13:13">
      <c r="M2201" s="690"/>
    </row>
    <row r="2202" spans="13:13">
      <c r="M2202" s="690"/>
    </row>
    <row r="2203" spans="13:13">
      <c r="M2203" s="690"/>
    </row>
    <row r="2204" spans="13:13">
      <c r="M2204" s="690"/>
    </row>
    <row r="2205" spans="13:13">
      <c r="M2205" s="690"/>
    </row>
    <row r="2206" spans="13:13">
      <c r="M2206" s="690"/>
    </row>
    <row r="2207" spans="13:13">
      <c r="M2207" s="690"/>
    </row>
    <row r="2208" spans="13:13">
      <c r="M2208" s="690"/>
    </row>
    <row r="2209" spans="13:13">
      <c r="M2209" s="690"/>
    </row>
    <row r="2210" spans="13:13">
      <c r="M2210" s="690"/>
    </row>
    <row r="2211" spans="13:13">
      <c r="M2211" s="690"/>
    </row>
    <row r="2212" spans="13:13">
      <c r="M2212" s="690"/>
    </row>
    <row r="2213" spans="13:13">
      <c r="M2213" s="690"/>
    </row>
    <row r="2214" spans="13:13">
      <c r="M2214" s="690"/>
    </row>
    <row r="2215" spans="13:13">
      <c r="M2215" s="690"/>
    </row>
    <row r="2216" spans="13:13">
      <c r="M2216" s="690"/>
    </row>
    <row r="2217" spans="13:13">
      <c r="M2217" s="690"/>
    </row>
    <row r="2218" spans="13:13">
      <c r="M2218" s="690"/>
    </row>
    <row r="2219" spans="13:13">
      <c r="M2219" s="690"/>
    </row>
    <row r="2220" spans="13:13">
      <c r="M2220" s="690"/>
    </row>
    <row r="2221" spans="13:13">
      <c r="M2221" s="690"/>
    </row>
    <row r="2222" spans="13:13">
      <c r="M2222" s="690"/>
    </row>
    <row r="2223" spans="13:13">
      <c r="M2223" s="690"/>
    </row>
    <row r="2224" spans="13:13">
      <c r="M2224" s="690"/>
    </row>
    <row r="2225" spans="13:13">
      <c r="M2225" s="690"/>
    </row>
    <row r="2226" spans="13:13">
      <c r="M2226" s="690"/>
    </row>
    <row r="2227" spans="13:13">
      <c r="M2227" s="690"/>
    </row>
    <row r="2228" spans="13:13">
      <c r="M2228" s="690"/>
    </row>
    <row r="2229" spans="13:13">
      <c r="M2229" s="690"/>
    </row>
    <row r="2230" spans="13:13">
      <c r="M2230" s="690"/>
    </row>
    <row r="2231" spans="13:13">
      <c r="M2231" s="690"/>
    </row>
    <row r="2232" spans="13:13">
      <c r="M2232" s="690"/>
    </row>
    <row r="2233" spans="13:13">
      <c r="M2233" s="690"/>
    </row>
    <row r="2234" spans="13:13">
      <c r="M2234" s="690"/>
    </row>
    <row r="2235" spans="13:13">
      <c r="M2235" s="690"/>
    </row>
    <row r="2236" spans="13:13">
      <c r="M2236" s="690"/>
    </row>
    <row r="2237" spans="13:13">
      <c r="M2237" s="690"/>
    </row>
    <row r="2238" spans="13:13">
      <c r="M2238" s="690"/>
    </row>
    <row r="2239" spans="13:13">
      <c r="M2239" s="690"/>
    </row>
    <row r="2240" spans="13:13">
      <c r="M2240" s="690"/>
    </row>
    <row r="2241" spans="13:13">
      <c r="M2241" s="690"/>
    </row>
    <row r="2242" spans="13:13">
      <c r="M2242" s="690"/>
    </row>
    <row r="2243" spans="13:13">
      <c r="M2243" s="690"/>
    </row>
    <row r="2244" spans="13:13">
      <c r="M2244" s="690"/>
    </row>
    <row r="2245" spans="13:13">
      <c r="M2245" s="690"/>
    </row>
    <row r="2246" spans="13:13">
      <c r="M2246" s="690"/>
    </row>
    <row r="2247" spans="13:13">
      <c r="M2247" s="690"/>
    </row>
    <row r="2248" spans="13:13">
      <c r="M2248" s="690"/>
    </row>
    <row r="2249" spans="13:13">
      <c r="M2249" s="690"/>
    </row>
    <row r="2250" spans="13:13">
      <c r="M2250" s="690"/>
    </row>
    <row r="2251" spans="13:13">
      <c r="M2251" s="690"/>
    </row>
    <row r="2252" spans="13:13">
      <c r="M2252" s="690"/>
    </row>
    <row r="2253" spans="13:13">
      <c r="M2253" s="690"/>
    </row>
    <row r="2254" spans="13:13">
      <c r="M2254" s="690"/>
    </row>
    <row r="2255" spans="13:13">
      <c r="M2255" s="690"/>
    </row>
    <row r="2256" spans="13:13">
      <c r="M2256" s="690"/>
    </row>
    <row r="2257" spans="13:13">
      <c r="M2257" s="690"/>
    </row>
    <row r="2258" spans="13:13">
      <c r="M2258" s="690"/>
    </row>
    <row r="2259" spans="13:13">
      <c r="M2259" s="690"/>
    </row>
    <row r="2260" spans="13:13">
      <c r="M2260" s="690"/>
    </row>
    <row r="2261" spans="13:13">
      <c r="M2261" s="690"/>
    </row>
    <row r="2262" spans="13:13">
      <c r="M2262" s="690"/>
    </row>
    <row r="2263" spans="13:13">
      <c r="M2263" s="690"/>
    </row>
    <row r="2264" spans="13:13">
      <c r="M2264" s="690"/>
    </row>
    <row r="2265" spans="13:13">
      <c r="M2265" s="690"/>
    </row>
    <row r="2266" spans="13:13">
      <c r="M2266" s="690"/>
    </row>
    <row r="2267" spans="13:13">
      <c r="M2267" s="690"/>
    </row>
    <row r="2268" spans="13:13">
      <c r="M2268" s="690"/>
    </row>
    <row r="2269" spans="13:13">
      <c r="M2269" s="690"/>
    </row>
    <row r="2270" spans="13:13">
      <c r="M2270" s="690"/>
    </row>
    <row r="2271" spans="13:13">
      <c r="M2271" s="690"/>
    </row>
    <row r="2272" spans="13:13">
      <c r="M2272" s="690"/>
    </row>
    <row r="2273" spans="13:13">
      <c r="M2273" s="690"/>
    </row>
    <row r="2274" spans="13:13">
      <c r="M2274" s="690"/>
    </row>
    <row r="2275" spans="13:13">
      <c r="M2275" s="690"/>
    </row>
    <row r="2276" spans="13:13">
      <c r="M2276" s="690"/>
    </row>
    <row r="2277" spans="13:13">
      <c r="M2277" s="690"/>
    </row>
    <row r="2278" spans="13:13">
      <c r="M2278" s="690"/>
    </row>
    <row r="2279" spans="13:13">
      <c r="M2279" s="690"/>
    </row>
    <row r="2280" spans="13:13">
      <c r="M2280" s="690"/>
    </row>
    <row r="2281" spans="13:13">
      <c r="M2281" s="690"/>
    </row>
    <row r="2282" spans="13:13">
      <c r="M2282" s="690"/>
    </row>
    <row r="2283" spans="13:13">
      <c r="M2283" s="690"/>
    </row>
    <row r="2284" spans="13:13">
      <c r="M2284" s="690"/>
    </row>
    <row r="2285" spans="13:13">
      <c r="M2285" s="690"/>
    </row>
    <row r="2286" spans="13:13">
      <c r="M2286" s="690"/>
    </row>
    <row r="2287" spans="13:13">
      <c r="M2287" s="690"/>
    </row>
    <row r="2288" spans="13:13">
      <c r="M2288" s="690"/>
    </row>
    <row r="2289" spans="13:13">
      <c r="M2289" s="690"/>
    </row>
    <row r="2290" spans="13:13">
      <c r="M2290" s="690"/>
    </row>
    <row r="2291" spans="13:13">
      <c r="M2291" s="690"/>
    </row>
    <row r="2292" spans="13:13">
      <c r="M2292" s="690"/>
    </row>
    <row r="2293" spans="13:13">
      <c r="M2293" s="690"/>
    </row>
    <row r="2294" spans="13:13">
      <c r="M2294" s="690"/>
    </row>
    <row r="2295" spans="13:13">
      <c r="M2295" s="690"/>
    </row>
    <row r="2296" spans="13:13">
      <c r="M2296" s="690"/>
    </row>
    <row r="2297" spans="13:13">
      <c r="M2297" s="690"/>
    </row>
    <row r="2298" spans="13:13">
      <c r="M2298" s="690"/>
    </row>
    <row r="2299" spans="13:13">
      <c r="M2299" s="690"/>
    </row>
    <row r="2300" spans="13:13">
      <c r="M2300" s="690"/>
    </row>
    <row r="2301" spans="13:13">
      <c r="M2301" s="690"/>
    </row>
    <row r="2302" spans="13:13">
      <c r="M2302" s="690"/>
    </row>
    <row r="2303" spans="13:13">
      <c r="M2303" s="690"/>
    </row>
    <row r="2304" spans="13:13">
      <c r="M2304" s="690"/>
    </row>
    <row r="2305" spans="13:13">
      <c r="M2305" s="690"/>
    </row>
    <row r="2306" spans="13:13">
      <c r="M2306" s="690"/>
    </row>
    <row r="2307" spans="13:13">
      <c r="M2307" s="690"/>
    </row>
    <row r="2308" spans="13:13">
      <c r="M2308" s="690"/>
    </row>
    <row r="2309" spans="13:13">
      <c r="M2309" s="690"/>
    </row>
    <row r="2310" spans="13:13">
      <c r="M2310" s="690"/>
    </row>
    <row r="2311" spans="13:13">
      <c r="M2311" s="690"/>
    </row>
    <row r="2312" spans="13:13">
      <c r="M2312" s="690"/>
    </row>
    <row r="2313" spans="13:13">
      <c r="M2313" s="690"/>
    </row>
    <row r="2314" spans="13:13">
      <c r="M2314" s="690"/>
    </row>
    <row r="2315" spans="13:13">
      <c r="M2315" s="690"/>
    </row>
    <row r="2316" spans="13:13">
      <c r="M2316" s="690"/>
    </row>
    <row r="2317" spans="13:13">
      <c r="M2317" s="690"/>
    </row>
    <row r="2318" spans="13:13">
      <c r="M2318" s="690"/>
    </row>
    <row r="2319" spans="13:13">
      <c r="M2319" s="690"/>
    </row>
    <row r="2320" spans="13:13">
      <c r="M2320" s="690"/>
    </row>
    <row r="2321" spans="13:13">
      <c r="M2321" s="690"/>
    </row>
    <row r="2322" spans="13:13">
      <c r="M2322" s="690"/>
    </row>
    <row r="2323" spans="13:13">
      <c r="M2323" s="690"/>
    </row>
    <row r="2324" spans="13:13">
      <c r="M2324" s="690"/>
    </row>
    <row r="2325" spans="13:13">
      <c r="M2325" s="690"/>
    </row>
    <row r="2326" spans="13:13">
      <c r="M2326" s="690"/>
    </row>
    <row r="2327" spans="13:13">
      <c r="M2327" s="690"/>
    </row>
    <row r="2328" spans="13:13">
      <c r="M2328" s="690"/>
    </row>
    <row r="2329" spans="13:13">
      <c r="M2329" s="690"/>
    </row>
    <row r="2330" spans="13:13">
      <c r="M2330" s="690"/>
    </row>
    <row r="2331" spans="13:13">
      <c r="M2331" s="690"/>
    </row>
    <row r="2332" spans="13:13">
      <c r="M2332" s="690"/>
    </row>
    <row r="2333" spans="13:13">
      <c r="M2333" s="690"/>
    </row>
    <row r="2334" spans="13:13">
      <c r="M2334" s="690"/>
    </row>
    <row r="2335" spans="13:13">
      <c r="M2335" s="690"/>
    </row>
    <row r="2336" spans="13:13">
      <c r="M2336" s="690"/>
    </row>
    <row r="2337" spans="13:13">
      <c r="M2337" s="690"/>
    </row>
    <row r="2338" spans="13:13">
      <c r="M2338" s="690"/>
    </row>
    <row r="2339" spans="13:13">
      <c r="M2339" s="690"/>
    </row>
    <row r="2340" spans="13:13">
      <c r="M2340" s="690"/>
    </row>
    <row r="2341" spans="13:13">
      <c r="M2341" s="690"/>
    </row>
    <row r="2342" spans="13:13">
      <c r="M2342" s="690"/>
    </row>
    <row r="2343" spans="13:13">
      <c r="M2343" s="690"/>
    </row>
    <row r="2344" spans="13:13">
      <c r="M2344" s="690"/>
    </row>
    <row r="2345" spans="13:13">
      <c r="M2345" s="690"/>
    </row>
    <row r="2346" spans="13:13">
      <c r="M2346" s="690"/>
    </row>
    <row r="2347" spans="13:13">
      <c r="M2347" s="690"/>
    </row>
    <row r="2348" spans="13:13">
      <c r="M2348" s="690"/>
    </row>
    <row r="2349" spans="13:13">
      <c r="M2349" s="690"/>
    </row>
    <row r="2350" spans="13:13">
      <c r="M2350" s="690"/>
    </row>
    <row r="2351" spans="13:13">
      <c r="M2351" s="690"/>
    </row>
    <row r="2352" spans="13:13">
      <c r="M2352" s="690"/>
    </row>
    <row r="2353" spans="13:13">
      <c r="M2353" s="690"/>
    </row>
    <row r="2354" spans="13:13">
      <c r="M2354" s="690"/>
    </row>
    <row r="2355" spans="13:13">
      <c r="M2355" s="690"/>
    </row>
    <row r="2356" spans="13:13">
      <c r="M2356" s="690"/>
    </row>
    <row r="2357" spans="13:13">
      <c r="M2357" s="690"/>
    </row>
    <row r="2358" spans="13:13">
      <c r="M2358" s="690"/>
    </row>
    <row r="2359" spans="13:13">
      <c r="M2359" s="690"/>
    </row>
    <row r="2360" spans="13:13">
      <c r="M2360" s="690"/>
    </row>
    <row r="2361" spans="13:13">
      <c r="M2361" s="690"/>
    </row>
    <row r="2362" spans="13:13">
      <c r="M2362" s="690"/>
    </row>
    <row r="2363" spans="13:13">
      <c r="M2363" s="690"/>
    </row>
    <row r="2364" spans="13:13">
      <c r="M2364" s="690"/>
    </row>
    <row r="2365" spans="13:13">
      <c r="M2365" s="690"/>
    </row>
    <row r="2366" spans="13:13">
      <c r="M2366" s="690"/>
    </row>
    <row r="2367" spans="13:13">
      <c r="M2367" s="690"/>
    </row>
    <row r="2368" spans="13:13">
      <c r="M2368" s="690"/>
    </row>
    <row r="2369" spans="13:13">
      <c r="M2369" s="690"/>
    </row>
    <row r="2370" spans="13:13">
      <c r="M2370" s="690"/>
    </row>
    <row r="2371" spans="13:13">
      <c r="M2371" s="690"/>
    </row>
    <row r="2372" spans="13:13">
      <c r="M2372" s="690"/>
    </row>
    <row r="2373" spans="13:13">
      <c r="M2373" s="690"/>
    </row>
    <row r="2374" spans="13:13">
      <c r="M2374" s="690"/>
    </row>
    <row r="2375" spans="13:13">
      <c r="M2375" s="690"/>
    </row>
    <row r="2376" spans="13:13">
      <c r="M2376" s="690"/>
    </row>
    <row r="2377" spans="13:13">
      <c r="M2377" s="690"/>
    </row>
    <row r="2378" spans="13:13">
      <c r="M2378" s="690"/>
    </row>
    <row r="2379" spans="13:13">
      <c r="M2379" s="690"/>
    </row>
    <row r="2380" spans="13:13">
      <c r="M2380" s="690"/>
    </row>
    <row r="2381" spans="13:13">
      <c r="M2381" s="690"/>
    </row>
    <row r="2382" spans="13:13">
      <c r="M2382" s="690"/>
    </row>
    <row r="2383" spans="13:13">
      <c r="M2383" s="690"/>
    </row>
    <row r="2384" spans="13:13">
      <c r="M2384" s="690"/>
    </row>
    <row r="2385" spans="13:13">
      <c r="M2385" s="690"/>
    </row>
    <row r="2386" spans="13:13">
      <c r="M2386" s="690"/>
    </row>
    <row r="2387" spans="13:13">
      <c r="M2387" s="690"/>
    </row>
    <row r="2388" spans="13:13">
      <c r="M2388" s="690"/>
    </row>
    <row r="2389" spans="13:13">
      <c r="M2389" s="690"/>
    </row>
    <row r="2390" spans="13:13">
      <c r="M2390" s="690"/>
    </row>
    <row r="2391" spans="13:13">
      <c r="M2391" s="690"/>
    </row>
    <row r="2392" spans="13:13">
      <c r="M2392" s="690"/>
    </row>
    <row r="2393" spans="13:13">
      <c r="M2393" s="690"/>
    </row>
    <row r="2394" spans="13:13">
      <c r="M2394" s="690"/>
    </row>
    <row r="2395" spans="13:13">
      <c r="M2395" s="690"/>
    </row>
    <row r="2396" spans="13:13">
      <c r="M2396" s="690"/>
    </row>
    <row r="2397" spans="13:13">
      <c r="M2397" s="690"/>
    </row>
    <row r="2398" spans="13:13">
      <c r="M2398" s="690"/>
    </row>
    <row r="2399" spans="13:13">
      <c r="M2399" s="690"/>
    </row>
    <row r="2400" spans="13:13">
      <c r="M2400" s="690"/>
    </row>
    <row r="2401" spans="13:13">
      <c r="M2401" s="690"/>
    </row>
    <row r="2402" spans="13:13">
      <c r="M2402" s="690"/>
    </row>
    <row r="2403" spans="13:13">
      <c r="M2403" s="690"/>
    </row>
    <row r="2404" spans="13:13">
      <c r="M2404" s="690"/>
    </row>
    <row r="2405" spans="13:13">
      <c r="M2405" s="690"/>
    </row>
    <row r="2406" spans="13:13">
      <c r="M2406" s="690"/>
    </row>
    <row r="2407" spans="13:13">
      <c r="M2407" s="690"/>
    </row>
    <row r="2408" spans="13:13">
      <c r="M2408" s="690"/>
    </row>
    <row r="2409" spans="13:13">
      <c r="M2409" s="690"/>
    </row>
    <row r="2410" spans="13:13">
      <c r="M2410" s="690"/>
    </row>
    <row r="2411" spans="13:13">
      <c r="M2411" s="690"/>
    </row>
    <row r="2412" spans="13:13">
      <c r="M2412" s="690"/>
    </row>
    <row r="2413" spans="13:13">
      <c r="M2413" s="690"/>
    </row>
    <row r="2414" spans="13:13">
      <c r="M2414" s="690"/>
    </row>
    <row r="2415" spans="13:13">
      <c r="M2415" s="690"/>
    </row>
    <row r="2416" spans="13:13">
      <c r="M2416" s="690"/>
    </row>
    <row r="2417" spans="13:13">
      <c r="M2417" s="690"/>
    </row>
    <row r="2418" spans="13:13">
      <c r="M2418" s="690"/>
    </row>
    <row r="2419" spans="13:13">
      <c r="M2419" s="690"/>
    </row>
    <row r="2420" spans="13:13">
      <c r="M2420" s="690"/>
    </row>
    <row r="2421" spans="13:13">
      <c r="M2421" s="690"/>
    </row>
    <row r="2422" spans="13:13">
      <c r="M2422" s="690"/>
    </row>
    <row r="2423" spans="13:13">
      <c r="M2423" s="690"/>
    </row>
    <row r="2424" spans="13:13">
      <c r="M2424" s="690"/>
    </row>
    <row r="2425" spans="13:13">
      <c r="M2425" s="690"/>
    </row>
    <row r="2426" spans="13:13">
      <c r="M2426" s="690"/>
    </row>
    <row r="2427" spans="13:13">
      <c r="M2427" s="690"/>
    </row>
    <row r="2428" spans="13:13">
      <c r="M2428" s="690"/>
    </row>
    <row r="2429" spans="13:13">
      <c r="M2429" s="690"/>
    </row>
    <row r="2430" spans="13:13">
      <c r="M2430" s="690"/>
    </row>
    <row r="2431" spans="13:13">
      <c r="M2431" s="690"/>
    </row>
    <row r="2432" spans="13:13">
      <c r="M2432" s="690"/>
    </row>
    <row r="2433" spans="13:13">
      <c r="M2433" s="690"/>
    </row>
    <row r="2434" spans="13:13">
      <c r="M2434" s="690"/>
    </row>
    <row r="2435" spans="13:13">
      <c r="M2435" s="690"/>
    </row>
    <row r="2436" spans="13:13">
      <c r="M2436" s="690"/>
    </row>
    <row r="2437" spans="13:13">
      <c r="M2437" s="690"/>
    </row>
    <row r="2438" spans="13:13">
      <c r="M2438" s="690"/>
    </row>
    <row r="2439" spans="13:13">
      <c r="M2439" s="690"/>
    </row>
    <row r="2440" spans="13:13">
      <c r="M2440" s="690"/>
    </row>
    <row r="2441" spans="13:13">
      <c r="M2441" s="690"/>
    </row>
    <row r="2442" spans="13:13">
      <c r="M2442" s="690"/>
    </row>
    <row r="2443" spans="13:13">
      <c r="M2443" s="690"/>
    </row>
    <row r="2444" spans="13:13">
      <c r="M2444" s="690"/>
    </row>
    <row r="2445" spans="13:13">
      <c r="M2445" s="690"/>
    </row>
    <row r="2446" spans="13:13">
      <c r="M2446" s="690"/>
    </row>
    <row r="2447" spans="13:13">
      <c r="M2447" s="690"/>
    </row>
    <row r="2448" spans="13:13">
      <c r="M2448" s="690"/>
    </row>
    <row r="2449" spans="13:13">
      <c r="M2449" s="690"/>
    </row>
    <row r="2450" spans="13:13">
      <c r="M2450" s="690"/>
    </row>
    <row r="2451" spans="13:13">
      <c r="M2451" s="690"/>
    </row>
    <row r="2452" spans="13:13">
      <c r="M2452" s="690"/>
    </row>
    <row r="2453" spans="13:13">
      <c r="M2453" s="690"/>
    </row>
    <row r="2454" spans="13:13">
      <c r="M2454" s="690"/>
    </row>
    <row r="2455" spans="13:13">
      <c r="M2455" s="690"/>
    </row>
    <row r="2456" spans="13:13">
      <c r="M2456" s="690"/>
    </row>
    <row r="2457" spans="13:13">
      <c r="M2457" s="690"/>
    </row>
    <row r="2458" spans="13:13">
      <c r="M2458" s="690"/>
    </row>
    <row r="2459" spans="13:13">
      <c r="M2459" s="690"/>
    </row>
    <row r="2460" spans="13:13">
      <c r="M2460" s="690"/>
    </row>
    <row r="2461" spans="13:13">
      <c r="M2461" s="690"/>
    </row>
    <row r="2462" spans="13:13">
      <c r="M2462" s="690"/>
    </row>
    <row r="2463" spans="13:13">
      <c r="M2463" s="690"/>
    </row>
    <row r="2464" spans="13:13">
      <c r="M2464" s="690"/>
    </row>
    <row r="2465" spans="13:13">
      <c r="M2465" s="690"/>
    </row>
    <row r="2466" spans="13:13">
      <c r="M2466" s="690"/>
    </row>
    <row r="2467" spans="13:13">
      <c r="M2467" s="690"/>
    </row>
    <row r="2468" spans="13:13">
      <c r="M2468" s="690"/>
    </row>
    <row r="2469" spans="13:13">
      <c r="M2469" s="690"/>
    </row>
    <row r="2470" spans="13:13">
      <c r="M2470" s="690"/>
    </row>
    <row r="2471" spans="13:13">
      <c r="M2471" s="690"/>
    </row>
    <row r="2472" spans="13:13">
      <c r="M2472" s="690"/>
    </row>
    <row r="2473" spans="13:13">
      <c r="M2473" s="690"/>
    </row>
    <row r="2474" spans="13:13">
      <c r="M2474" s="690"/>
    </row>
    <row r="2475" spans="13:13">
      <c r="M2475" s="690"/>
    </row>
    <row r="2476" spans="13:13">
      <c r="M2476" s="690"/>
    </row>
    <row r="2477" spans="13:13">
      <c r="M2477" s="690"/>
    </row>
    <row r="2478" spans="13:13">
      <c r="M2478" s="690"/>
    </row>
    <row r="2479" spans="13:13">
      <c r="M2479" s="690"/>
    </row>
    <row r="2480" spans="13:13">
      <c r="M2480" s="690"/>
    </row>
    <row r="2481" spans="13:13">
      <c r="M2481" s="690"/>
    </row>
    <row r="2482" spans="13:13">
      <c r="M2482" s="690"/>
    </row>
    <row r="2483" spans="13:13">
      <c r="M2483" s="690"/>
    </row>
    <row r="2484" spans="13:13">
      <c r="M2484" s="690"/>
    </row>
    <row r="2485" spans="13:13">
      <c r="M2485" s="690"/>
    </row>
    <row r="2486" spans="13:13">
      <c r="M2486" s="690"/>
    </row>
    <row r="2487" spans="13:13">
      <c r="M2487" s="690"/>
    </row>
    <row r="2488" spans="13:13">
      <c r="M2488" s="690"/>
    </row>
    <row r="2489" spans="13:13">
      <c r="M2489" s="690"/>
    </row>
    <row r="2490" spans="13:13">
      <c r="M2490" s="690"/>
    </row>
    <row r="2491" spans="13:13">
      <c r="M2491" s="690"/>
    </row>
    <row r="2492" spans="13:13">
      <c r="M2492" s="690"/>
    </row>
    <row r="2493" spans="13:13">
      <c r="M2493" s="690"/>
    </row>
    <row r="2494" spans="13:13">
      <c r="M2494" s="690"/>
    </row>
    <row r="2495" spans="13:13">
      <c r="M2495" s="690"/>
    </row>
    <row r="2496" spans="13:13">
      <c r="M2496" s="690"/>
    </row>
    <row r="2497" spans="13:13">
      <c r="M2497" s="690"/>
    </row>
    <row r="2498" spans="13:13">
      <c r="M2498" s="690"/>
    </row>
    <row r="2499" spans="13:13">
      <c r="M2499" s="690"/>
    </row>
    <row r="2500" spans="13:13">
      <c r="M2500" s="690"/>
    </row>
    <row r="2501" spans="13:13">
      <c r="M2501" s="690"/>
    </row>
    <row r="2502" spans="13:13">
      <c r="M2502" s="690"/>
    </row>
    <row r="2503" spans="13:13">
      <c r="M2503" s="690"/>
    </row>
    <row r="2504" spans="13:13">
      <c r="M2504" s="690"/>
    </row>
    <row r="2505" spans="13:13">
      <c r="M2505" s="690"/>
    </row>
    <row r="2506" spans="13:13">
      <c r="M2506" s="690"/>
    </row>
    <row r="2507" spans="13:13">
      <c r="M2507" s="690"/>
    </row>
    <row r="2508" spans="13:13">
      <c r="M2508" s="690"/>
    </row>
    <row r="2509" spans="13:13">
      <c r="M2509" s="690"/>
    </row>
    <row r="2510" spans="13:13">
      <c r="M2510" s="690"/>
    </row>
    <row r="2511" spans="13:13">
      <c r="M2511" s="690"/>
    </row>
    <row r="2512" spans="13:13">
      <c r="M2512" s="690"/>
    </row>
    <row r="2513" spans="13:13">
      <c r="M2513" s="690"/>
    </row>
    <row r="2514" spans="13:13">
      <c r="M2514" s="690"/>
    </row>
    <row r="2515" spans="13:13">
      <c r="M2515" s="690"/>
    </row>
    <row r="2516" spans="13:13">
      <c r="M2516" s="690"/>
    </row>
    <row r="2517" spans="13:13">
      <c r="M2517" s="690"/>
    </row>
    <row r="2518" spans="13:13">
      <c r="M2518" s="690"/>
    </row>
    <row r="2519" spans="13:13">
      <c r="M2519" s="690"/>
    </row>
    <row r="2520" spans="13:13">
      <c r="M2520" s="690"/>
    </row>
    <row r="2521" spans="13:13">
      <c r="M2521" s="690"/>
    </row>
    <row r="2522" spans="13:13">
      <c r="M2522" s="690"/>
    </row>
    <row r="2523" spans="13:13">
      <c r="M2523" s="690"/>
    </row>
    <row r="2524" spans="13:13">
      <c r="M2524" s="690"/>
    </row>
    <row r="2525" spans="13:13">
      <c r="M2525" s="690"/>
    </row>
    <row r="2526" spans="13:13">
      <c r="M2526" s="690"/>
    </row>
    <row r="2527" spans="13:13">
      <c r="M2527" s="690"/>
    </row>
    <row r="2528" spans="13:13">
      <c r="M2528" s="690"/>
    </row>
    <row r="2529" spans="13:13">
      <c r="M2529" s="690"/>
    </row>
    <row r="2530" spans="13:13">
      <c r="M2530" s="690"/>
    </row>
    <row r="2531" spans="13:13">
      <c r="M2531" s="690"/>
    </row>
    <row r="2532" spans="13:13">
      <c r="M2532" s="690"/>
    </row>
    <row r="2533" spans="13:13">
      <c r="M2533" s="690"/>
    </row>
    <row r="2534" spans="13:13">
      <c r="M2534" s="690"/>
    </row>
    <row r="2535" spans="13:13">
      <c r="M2535" s="690"/>
    </row>
    <row r="2536" spans="13:13">
      <c r="M2536" s="690"/>
    </row>
    <row r="2537" spans="13:13">
      <c r="M2537" s="690"/>
    </row>
    <row r="2538" spans="13:13">
      <c r="M2538" s="690"/>
    </row>
    <row r="2539" spans="13:13">
      <c r="M2539" s="690"/>
    </row>
    <row r="2540" spans="13:13">
      <c r="M2540" s="690"/>
    </row>
    <row r="2541" spans="13:13">
      <c r="M2541" s="690"/>
    </row>
    <row r="2542" spans="13:13">
      <c r="M2542" s="690"/>
    </row>
    <row r="2543" spans="13:13">
      <c r="M2543" s="690"/>
    </row>
    <row r="2544" spans="13:13">
      <c r="M2544" s="690"/>
    </row>
    <row r="2545" spans="13:13">
      <c r="M2545" s="690"/>
    </row>
    <row r="2546" spans="13:13">
      <c r="M2546" s="690"/>
    </row>
    <row r="2547" spans="13:13">
      <c r="M2547" s="690"/>
    </row>
    <row r="2548" spans="13:13">
      <c r="M2548" s="690"/>
    </row>
    <row r="2549" spans="13:13">
      <c r="M2549" s="690"/>
    </row>
    <row r="2550" spans="13:13">
      <c r="M2550" s="690"/>
    </row>
    <row r="2551" spans="13:13">
      <c r="M2551" s="690"/>
    </row>
    <row r="2552" spans="13:13">
      <c r="M2552" s="690"/>
    </row>
    <row r="2553" spans="13:13">
      <c r="M2553" s="690"/>
    </row>
    <row r="2554" spans="13:13">
      <c r="M2554" s="690"/>
    </row>
    <row r="2555" spans="13:13">
      <c r="M2555" s="690"/>
    </row>
    <row r="2556" spans="13:13">
      <c r="M2556" s="690"/>
    </row>
    <row r="2557" spans="13:13">
      <c r="M2557" s="690"/>
    </row>
    <row r="2558" spans="13:13">
      <c r="M2558" s="690"/>
    </row>
    <row r="2559" spans="13:13">
      <c r="M2559" s="690"/>
    </row>
    <row r="2560" spans="13:13">
      <c r="M2560" s="690"/>
    </row>
    <row r="2561" spans="13:13">
      <c r="M2561" s="690"/>
    </row>
    <row r="2562" spans="13:13">
      <c r="M2562" s="690"/>
    </row>
    <row r="2563" spans="13:13">
      <c r="M2563" s="690"/>
    </row>
    <row r="2564" spans="13:13">
      <c r="M2564" s="690"/>
    </row>
    <row r="2565" spans="13:13">
      <c r="M2565" s="690"/>
    </row>
    <row r="2566" spans="13:13">
      <c r="M2566" s="690"/>
    </row>
    <row r="2567" spans="13:13">
      <c r="M2567" s="690"/>
    </row>
    <row r="2568" spans="13:13">
      <c r="M2568" s="690"/>
    </row>
    <row r="2569" spans="13:13">
      <c r="M2569" s="690"/>
    </row>
    <row r="2570" spans="13:13">
      <c r="M2570" s="690"/>
    </row>
    <row r="2571" spans="13:13">
      <c r="M2571" s="690"/>
    </row>
    <row r="2572" spans="13:13">
      <c r="M2572" s="690"/>
    </row>
    <row r="2573" spans="13:13">
      <c r="M2573" s="690"/>
    </row>
    <row r="2574" spans="13:13">
      <c r="M2574" s="690"/>
    </row>
    <row r="2575" spans="13:13">
      <c r="M2575" s="690"/>
    </row>
    <row r="2576" spans="13:13">
      <c r="M2576" s="690"/>
    </row>
    <row r="2577" spans="13:13">
      <c r="M2577" s="690"/>
    </row>
    <row r="2578" spans="13:13">
      <c r="M2578" s="690"/>
    </row>
    <row r="2579" spans="13:13">
      <c r="M2579" s="690"/>
    </row>
    <row r="2580" spans="13:13">
      <c r="M2580" s="690"/>
    </row>
    <row r="2581" spans="13:13">
      <c r="M2581" s="690"/>
    </row>
    <row r="2582" spans="13:13">
      <c r="M2582" s="690"/>
    </row>
    <row r="2583" spans="13:13">
      <c r="M2583" s="690"/>
    </row>
    <row r="2584" spans="13:13">
      <c r="M2584" s="690"/>
    </row>
    <row r="2585" spans="13:13">
      <c r="M2585" s="690"/>
    </row>
    <row r="2586" spans="13:13">
      <c r="M2586" s="690"/>
    </row>
    <row r="2587" spans="13:13">
      <c r="M2587" s="690"/>
    </row>
    <row r="2588" spans="13:13">
      <c r="M2588" s="690"/>
    </row>
    <row r="2589" spans="13:13">
      <c r="M2589" s="690"/>
    </row>
    <row r="2590" spans="13:13">
      <c r="M2590" s="690"/>
    </row>
    <row r="2591" spans="13:13">
      <c r="M2591" s="690"/>
    </row>
    <row r="2592" spans="13:13">
      <c r="M2592" s="690"/>
    </row>
    <row r="2593" spans="13:13">
      <c r="M2593" s="690"/>
    </row>
    <row r="2594" spans="13:13">
      <c r="M2594" s="690"/>
    </row>
    <row r="2595" spans="13:13">
      <c r="M2595" s="690"/>
    </row>
    <row r="2596" spans="13:13">
      <c r="M2596" s="690"/>
    </row>
    <row r="2597" spans="13:13">
      <c r="M2597" s="690"/>
    </row>
    <row r="2598" spans="13:13">
      <c r="M2598" s="690"/>
    </row>
    <row r="2599" spans="13:13">
      <c r="M2599" s="690"/>
    </row>
    <row r="2600" spans="13:13">
      <c r="M2600" s="690"/>
    </row>
    <row r="2601" spans="13:13">
      <c r="M2601" s="690"/>
    </row>
    <row r="2602" spans="13:13">
      <c r="M2602" s="690"/>
    </row>
    <row r="2603" spans="13:13">
      <c r="M2603" s="690"/>
    </row>
    <row r="2604" spans="13:13">
      <c r="M2604" s="690"/>
    </row>
    <row r="2605" spans="13:13">
      <c r="M2605" s="690"/>
    </row>
    <row r="2606" spans="13:13">
      <c r="M2606" s="690"/>
    </row>
    <row r="2607" spans="13:13">
      <c r="M2607" s="690"/>
    </row>
    <row r="2608" spans="13:13">
      <c r="M2608" s="690"/>
    </row>
    <row r="2609" spans="13:13">
      <c r="M2609" s="690"/>
    </row>
    <row r="2610" spans="13:13">
      <c r="M2610" s="690"/>
    </row>
    <row r="2611" spans="13:13">
      <c r="M2611" s="690"/>
    </row>
    <row r="2612" spans="13:13">
      <c r="M2612" s="690"/>
    </row>
    <row r="2613" spans="13:13">
      <c r="M2613" s="690"/>
    </row>
    <row r="2614" spans="13:13">
      <c r="M2614" s="690"/>
    </row>
    <row r="2615" spans="13:13">
      <c r="M2615" s="690"/>
    </row>
    <row r="2616" spans="13:13">
      <c r="M2616" s="690"/>
    </row>
    <row r="2617" spans="13:13">
      <c r="M2617" s="690"/>
    </row>
    <row r="2618" spans="13:13">
      <c r="M2618" s="690"/>
    </row>
    <row r="2619" spans="13:13">
      <c r="M2619" s="690"/>
    </row>
    <row r="2620" spans="13:13">
      <c r="M2620" s="690"/>
    </row>
    <row r="2621" spans="13:13">
      <c r="M2621" s="690"/>
    </row>
    <row r="2622" spans="13:13">
      <c r="M2622" s="690"/>
    </row>
    <row r="2623" spans="13:13">
      <c r="M2623" s="690"/>
    </row>
    <row r="2624" spans="13:13">
      <c r="M2624" s="690"/>
    </row>
    <row r="2625" spans="13:13">
      <c r="M2625" s="690"/>
    </row>
    <row r="2626" spans="13:13">
      <c r="M2626" s="690"/>
    </row>
    <row r="2627" spans="13:13">
      <c r="M2627" s="690"/>
    </row>
    <row r="2628" spans="13:13">
      <c r="M2628" s="690"/>
    </row>
    <row r="2629" spans="13:13">
      <c r="M2629" s="690"/>
    </row>
    <row r="2630" spans="13:13">
      <c r="M2630" s="690"/>
    </row>
    <row r="2631" spans="13:13">
      <c r="M2631" s="690"/>
    </row>
    <row r="2632" spans="13:13">
      <c r="M2632" s="690"/>
    </row>
    <row r="2633" spans="13:13">
      <c r="M2633" s="690"/>
    </row>
    <row r="2634" spans="13:13">
      <c r="M2634" s="690"/>
    </row>
    <row r="2635" spans="13:13">
      <c r="M2635" s="690"/>
    </row>
    <row r="2636" spans="13:13">
      <c r="M2636" s="690"/>
    </row>
    <row r="2637" spans="13:13">
      <c r="M2637" s="690"/>
    </row>
    <row r="2638" spans="13:13">
      <c r="M2638" s="690"/>
    </row>
    <row r="2639" spans="13:13">
      <c r="M2639" s="690"/>
    </row>
    <row r="2640" spans="13:13">
      <c r="M2640" s="690"/>
    </row>
    <row r="2641" spans="13:13">
      <c r="M2641" s="690"/>
    </row>
    <row r="2642" spans="13:13">
      <c r="M2642" s="690"/>
    </row>
    <row r="2643" spans="13:13">
      <c r="M2643" s="690"/>
    </row>
    <row r="2644" spans="13:13">
      <c r="M2644" s="690"/>
    </row>
    <row r="2645" spans="13:13">
      <c r="M2645" s="690"/>
    </row>
    <row r="2646" spans="13:13">
      <c r="M2646" s="690"/>
    </row>
    <row r="2647" spans="13:13">
      <c r="M2647" s="690"/>
    </row>
    <row r="2648" spans="13:13">
      <c r="M2648" s="690"/>
    </row>
    <row r="2649" spans="13:13">
      <c r="M2649" s="690"/>
    </row>
    <row r="2650" spans="13:13">
      <c r="M2650" s="690"/>
    </row>
    <row r="2651" spans="13:13">
      <c r="M2651" s="690"/>
    </row>
    <row r="2652" spans="13:13">
      <c r="M2652" s="690"/>
    </row>
    <row r="2653" spans="13:13">
      <c r="M2653" s="690"/>
    </row>
    <row r="2654" spans="13:13">
      <c r="M2654" s="690"/>
    </row>
    <row r="2655" spans="13:13">
      <c r="M2655" s="690"/>
    </row>
    <row r="2656" spans="13:13">
      <c r="M2656" s="690"/>
    </row>
    <row r="2657" spans="13:13">
      <c r="M2657" s="690"/>
    </row>
    <row r="2658" spans="13:13">
      <c r="M2658" s="690"/>
    </row>
    <row r="2659" spans="13:13">
      <c r="M2659" s="690"/>
    </row>
    <row r="2660" spans="13:13">
      <c r="M2660" s="690"/>
    </row>
    <row r="2661" spans="13:13">
      <c r="M2661" s="690"/>
    </row>
    <row r="2662" spans="13:13">
      <c r="M2662" s="690"/>
    </row>
    <row r="2663" spans="13:13">
      <c r="M2663" s="690"/>
    </row>
    <row r="2664" spans="13:13">
      <c r="M2664" s="690"/>
    </row>
    <row r="2665" spans="13:13">
      <c r="M2665" s="690"/>
    </row>
    <row r="2666" spans="13:13">
      <c r="M2666" s="690"/>
    </row>
    <row r="2667" spans="13:13">
      <c r="M2667" s="690"/>
    </row>
    <row r="2668" spans="13:13">
      <c r="M2668" s="690"/>
    </row>
    <row r="2669" spans="13:13">
      <c r="M2669" s="690"/>
    </row>
    <row r="2670" spans="13:13">
      <c r="M2670" s="690"/>
    </row>
    <row r="2671" spans="13:13">
      <c r="M2671" s="690"/>
    </row>
    <row r="2672" spans="13:13">
      <c r="M2672" s="690"/>
    </row>
    <row r="2673" spans="13:13">
      <c r="M2673" s="690"/>
    </row>
    <row r="2674" spans="13:13">
      <c r="M2674" s="690"/>
    </row>
    <row r="2675" spans="13:13">
      <c r="M2675" s="690"/>
    </row>
    <row r="2676" spans="13:13">
      <c r="M2676" s="690"/>
    </row>
    <row r="2677" spans="13:13">
      <c r="M2677" s="690"/>
    </row>
    <row r="2678" spans="13:13">
      <c r="M2678" s="690"/>
    </row>
    <row r="2679" spans="13:13">
      <c r="M2679" s="690"/>
    </row>
    <row r="2680" spans="13:13">
      <c r="M2680" s="690"/>
    </row>
    <row r="2681" spans="13:13">
      <c r="M2681" s="690"/>
    </row>
    <row r="2682" spans="13:13">
      <c r="M2682" s="690"/>
    </row>
    <row r="2683" spans="13:13">
      <c r="M2683" s="690"/>
    </row>
    <row r="2684" spans="13:13">
      <c r="M2684" s="690"/>
    </row>
    <row r="2685" spans="13:13">
      <c r="M2685" s="690"/>
    </row>
    <row r="2686" spans="13:13">
      <c r="M2686" s="690"/>
    </row>
    <row r="2687" spans="13:13">
      <c r="M2687" s="690"/>
    </row>
    <row r="2688" spans="13:13">
      <c r="M2688" s="690"/>
    </row>
    <row r="2689" spans="13:13">
      <c r="M2689" s="690"/>
    </row>
    <row r="2690" spans="13:13">
      <c r="M2690" s="690"/>
    </row>
    <row r="2691" spans="13:13">
      <c r="M2691" s="690"/>
    </row>
    <row r="2692" spans="13:13">
      <c r="M2692" s="690"/>
    </row>
    <row r="2693" spans="13:13">
      <c r="M2693" s="690"/>
    </row>
    <row r="2694" spans="13:13">
      <c r="M2694" s="690"/>
    </row>
    <row r="2695" spans="13:13">
      <c r="M2695" s="690"/>
    </row>
    <row r="2696" spans="13:13">
      <c r="M2696" s="690"/>
    </row>
    <row r="2697" spans="13:13">
      <c r="M2697" s="690"/>
    </row>
    <row r="2698" spans="13:13">
      <c r="M2698" s="690"/>
    </row>
    <row r="2699" spans="13:13">
      <c r="M2699" s="690"/>
    </row>
    <row r="2700" spans="13:13">
      <c r="M2700" s="690"/>
    </row>
    <row r="2701" spans="13:13">
      <c r="M2701" s="690"/>
    </row>
    <row r="2702" spans="13:13">
      <c r="M2702" s="690"/>
    </row>
    <row r="2703" spans="13:13">
      <c r="M2703" s="690"/>
    </row>
    <row r="2704" spans="13:13">
      <c r="M2704" s="690"/>
    </row>
    <row r="2705" spans="13:13">
      <c r="M2705" s="690"/>
    </row>
    <row r="2706" spans="13:13">
      <c r="M2706" s="690"/>
    </row>
    <row r="2707" spans="13:13">
      <c r="M2707" s="690"/>
    </row>
    <row r="2708" spans="13:13">
      <c r="M2708" s="690"/>
    </row>
    <row r="2709" spans="13:13">
      <c r="M2709" s="690"/>
    </row>
    <row r="2710" spans="13:13">
      <c r="M2710" s="690"/>
    </row>
    <row r="2711" spans="13:13">
      <c r="M2711" s="690"/>
    </row>
    <row r="2712" spans="13:13">
      <c r="M2712" s="690"/>
    </row>
    <row r="2713" spans="13:13">
      <c r="M2713" s="690"/>
    </row>
    <row r="2714" spans="13:13">
      <c r="M2714" s="690"/>
    </row>
    <row r="2715" spans="13:13">
      <c r="M2715" s="690"/>
    </row>
    <row r="2716" spans="13:13">
      <c r="M2716" s="690"/>
    </row>
    <row r="2717" spans="13:13">
      <c r="M2717" s="690"/>
    </row>
    <row r="2718" spans="13:13">
      <c r="M2718" s="690"/>
    </row>
    <row r="2719" spans="13:13">
      <c r="M2719" s="690"/>
    </row>
    <row r="2720" spans="13:13">
      <c r="M2720" s="690"/>
    </row>
    <row r="2721" spans="13:13">
      <c r="M2721" s="690"/>
    </row>
    <row r="2722" spans="13:13">
      <c r="M2722" s="690"/>
    </row>
    <row r="2723" spans="13:13">
      <c r="M2723" s="690"/>
    </row>
    <row r="2724" spans="13:13">
      <c r="M2724" s="690"/>
    </row>
    <row r="2725" spans="13:13">
      <c r="M2725" s="690"/>
    </row>
    <row r="2726" spans="13:13">
      <c r="M2726" s="690"/>
    </row>
    <row r="2727" spans="13:13">
      <c r="M2727" s="690"/>
    </row>
    <row r="2728" spans="13:13">
      <c r="M2728" s="690"/>
    </row>
    <row r="2729" spans="13:13">
      <c r="M2729" s="690"/>
    </row>
    <row r="2730" spans="13:13">
      <c r="M2730" s="690"/>
    </row>
    <row r="2731" spans="13:13">
      <c r="M2731" s="690"/>
    </row>
    <row r="2732" spans="13:13">
      <c r="M2732" s="690"/>
    </row>
    <row r="2733" spans="13:13">
      <c r="M2733" s="690"/>
    </row>
    <row r="2734" spans="13:13">
      <c r="M2734" s="690"/>
    </row>
    <row r="2735" spans="13:13">
      <c r="M2735" s="690"/>
    </row>
    <row r="2736" spans="13:13">
      <c r="M2736" s="690"/>
    </row>
    <row r="2737" spans="13:13">
      <c r="M2737" s="690"/>
    </row>
    <row r="2738" spans="13:13">
      <c r="M2738" s="690"/>
    </row>
    <row r="2739" spans="13:13">
      <c r="M2739" s="690"/>
    </row>
    <row r="2740" spans="13:13">
      <c r="M2740" s="690"/>
    </row>
    <row r="2741" spans="13:13">
      <c r="M2741" s="690"/>
    </row>
    <row r="2742" spans="13:13">
      <c r="M2742" s="690"/>
    </row>
    <row r="2743" spans="13:13">
      <c r="M2743" s="690"/>
    </row>
    <row r="2744" spans="13:13">
      <c r="M2744" s="690"/>
    </row>
    <row r="2745" spans="13:13">
      <c r="M2745" s="690"/>
    </row>
    <row r="2746" spans="13:13">
      <c r="M2746" s="690"/>
    </row>
    <row r="2747" spans="13:13">
      <c r="M2747" s="690"/>
    </row>
    <row r="2748" spans="13:13">
      <c r="M2748" s="690"/>
    </row>
    <row r="2749" spans="13:13">
      <c r="M2749" s="690"/>
    </row>
    <row r="2750" spans="13:13">
      <c r="M2750" s="690"/>
    </row>
    <row r="2751" spans="13:13">
      <c r="M2751" s="690"/>
    </row>
    <row r="2752" spans="13:13">
      <c r="M2752" s="690"/>
    </row>
    <row r="2753" spans="13:13">
      <c r="M2753" s="690"/>
    </row>
    <row r="2754" spans="13:13">
      <c r="M2754" s="690"/>
    </row>
    <row r="2755" spans="13:13">
      <c r="M2755" s="690"/>
    </row>
    <row r="2756" spans="13:13">
      <c r="M2756" s="690"/>
    </row>
    <row r="2757" spans="13:13">
      <c r="M2757" s="690"/>
    </row>
    <row r="2758" spans="13:13">
      <c r="M2758" s="690"/>
    </row>
    <row r="2759" spans="13:13">
      <c r="M2759" s="690"/>
    </row>
    <row r="2760" spans="13:13">
      <c r="M2760" s="690"/>
    </row>
    <row r="2761" spans="13:13">
      <c r="M2761" s="690"/>
    </row>
    <row r="2762" spans="13:13">
      <c r="M2762" s="690"/>
    </row>
    <row r="2763" spans="13:13">
      <c r="M2763" s="690"/>
    </row>
    <row r="2764" spans="13:13">
      <c r="M2764" s="690"/>
    </row>
    <row r="2765" spans="13:13">
      <c r="M2765" s="690"/>
    </row>
    <row r="2766" spans="13:13">
      <c r="M2766" s="690"/>
    </row>
    <row r="2767" spans="13:13">
      <c r="M2767" s="690"/>
    </row>
    <row r="2768" spans="13:13">
      <c r="M2768" s="690"/>
    </row>
    <row r="2769" spans="13:13">
      <c r="M2769" s="690"/>
    </row>
    <row r="2770" spans="13:13">
      <c r="M2770" s="690"/>
    </row>
    <row r="2771" spans="13:13">
      <c r="M2771" s="690"/>
    </row>
    <row r="2772" spans="13:13">
      <c r="M2772" s="690"/>
    </row>
    <row r="2773" spans="13:13">
      <c r="M2773" s="690"/>
    </row>
    <row r="2774" spans="13:13">
      <c r="M2774" s="690"/>
    </row>
    <row r="2775" spans="13:13">
      <c r="M2775" s="690"/>
    </row>
    <row r="2776" spans="13:13">
      <c r="M2776" s="690"/>
    </row>
    <row r="2777" spans="13:13">
      <c r="M2777" s="690"/>
    </row>
    <row r="2778" spans="13:13">
      <c r="M2778" s="690"/>
    </row>
    <row r="2779" spans="13:13">
      <c r="M2779" s="690"/>
    </row>
    <row r="2780" spans="13:13">
      <c r="M2780" s="690"/>
    </row>
    <row r="2781" spans="13:13">
      <c r="M2781" s="690"/>
    </row>
    <row r="2782" spans="13:13">
      <c r="M2782" s="690"/>
    </row>
    <row r="2783" spans="13:13">
      <c r="M2783" s="690"/>
    </row>
    <row r="2784" spans="13:13">
      <c r="M2784" s="690"/>
    </row>
    <row r="2785" spans="13:13">
      <c r="M2785" s="690"/>
    </row>
    <row r="2786" spans="13:13">
      <c r="M2786" s="690"/>
    </row>
    <row r="2787" spans="13:13">
      <c r="M2787" s="690"/>
    </row>
    <row r="2788" spans="13:13">
      <c r="M2788" s="690"/>
    </row>
    <row r="2789" spans="13:13">
      <c r="M2789" s="690"/>
    </row>
    <row r="2790" spans="13:13">
      <c r="M2790" s="690"/>
    </row>
    <row r="2791" spans="13:13">
      <c r="M2791" s="690"/>
    </row>
    <row r="2792" spans="13:13">
      <c r="M2792" s="690"/>
    </row>
    <row r="2793" spans="13:13">
      <c r="M2793" s="690"/>
    </row>
    <row r="2794" spans="13:13">
      <c r="M2794" s="690"/>
    </row>
    <row r="2795" spans="13:13">
      <c r="M2795" s="690"/>
    </row>
    <row r="2796" spans="13:13">
      <c r="M2796" s="690"/>
    </row>
    <row r="2797" spans="13:13">
      <c r="M2797" s="690"/>
    </row>
    <row r="2798" spans="13:13">
      <c r="M2798" s="690"/>
    </row>
    <row r="2799" spans="13:13">
      <c r="M2799" s="690"/>
    </row>
    <row r="2800" spans="13:13">
      <c r="M2800" s="690"/>
    </row>
    <row r="2801" spans="13:13">
      <c r="M2801" s="690"/>
    </row>
    <row r="2802" spans="13:13">
      <c r="M2802" s="690"/>
    </row>
    <row r="2803" spans="13:13">
      <c r="M2803" s="690"/>
    </row>
    <row r="2804" spans="13:13">
      <c r="M2804" s="690"/>
    </row>
    <row r="2805" spans="13:13">
      <c r="M2805" s="690"/>
    </row>
    <row r="2806" spans="13:13">
      <c r="M2806" s="690"/>
    </row>
    <row r="2807" spans="13:13">
      <c r="M2807" s="690"/>
    </row>
    <row r="2808" spans="13:13">
      <c r="M2808" s="690"/>
    </row>
    <row r="2809" spans="13:13">
      <c r="M2809" s="690"/>
    </row>
    <row r="2810" spans="13:13">
      <c r="M2810" s="690"/>
    </row>
    <row r="2811" spans="13:13">
      <c r="M2811" s="690"/>
    </row>
    <row r="2812" spans="13:13">
      <c r="M2812" s="690"/>
    </row>
    <row r="2813" spans="13:13">
      <c r="M2813" s="690"/>
    </row>
    <row r="2814" spans="13:13">
      <c r="M2814" s="690"/>
    </row>
    <row r="2815" spans="13:13">
      <c r="M2815" s="690"/>
    </row>
    <row r="2816" spans="13:13">
      <c r="M2816" s="690"/>
    </row>
    <row r="2817" spans="13:13">
      <c r="M2817" s="690"/>
    </row>
    <row r="2818" spans="13:13">
      <c r="M2818" s="690"/>
    </row>
    <row r="2819" spans="13:13">
      <c r="M2819" s="690"/>
    </row>
    <row r="2820" spans="13:13">
      <c r="M2820" s="690"/>
    </row>
    <row r="2821" spans="13:13">
      <c r="M2821" s="690"/>
    </row>
    <row r="2822" spans="13:13">
      <c r="M2822" s="690"/>
    </row>
    <row r="2823" spans="13:13">
      <c r="M2823" s="690"/>
    </row>
    <row r="2824" spans="13:13">
      <c r="M2824" s="690"/>
    </row>
    <row r="2825" spans="13:13">
      <c r="M2825" s="690"/>
    </row>
    <row r="2826" spans="13:13">
      <c r="M2826" s="690"/>
    </row>
    <row r="2827" spans="13:13">
      <c r="M2827" s="690"/>
    </row>
    <row r="2828" spans="13:13">
      <c r="M2828" s="690"/>
    </row>
    <row r="2829" spans="13:13">
      <c r="M2829" s="690"/>
    </row>
    <row r="2830" spans="13:13">
      <c r="M2830" s="690"/>
    </row>
    <row r="2831" spans="13:13">
      <c r="M2831" s="690"/>
    </row>
    <row r="2832" spans="13:13">
      <c r="M2832" s="690"/>
    </row>
    <row r="2833" spans="13:13">
      <c r="M2833" s="690"/>
    </row>
    <row r="2834" spans="13:13">
      <c r="M2834" s="690"/>
    </row>
    <row r="2835" spans="13:13">
      <c r="M2835" s="690"/>
    </row>
    <row r="2836" spans="13:13">
      <c r="M2836" s="690"/>
    </row>
    <row r="2837" spans="13:13">
      <c r="M2837" s="690"/>
    </row>
    <row r="2838" spans="13:13">
      <c r="M2838" s="690"/>
    </row>
    <row r="2839" spans="13:13">
      <c r="M2839" s="690"/>
    </row>
    <row r="2840" spans="13:13">
      <c r="M2840" s="690"/>
    </row>
    <row r="2841" spans="13:13">
      <c r="M2841" s="690"/>
    </row>
    <row r="2842" spans="13:13">
      <c r="M2842" s="690"/>
    </row>
    <row r="2843" spans="13:13">
      <c r="M2843" s="690"/>
    </row>
    <row r="2844" spans="13:13">
      <c r="M2844" s="690"/>
    </row>
    <row r="2845" spans="13:13">
      <c r="M2845" s="690"/>
    </row>
    <row r="2846" spans="13:13">
      <c r="M2846" s="690"/>
    </row>
    <row r="2847" spans="13:13">
      <c r="M2847" s="690"/>
    </row>
    <row r="2848" spans="13:13">
      <c r="M2848" s="690"/>
    </row>
    <row r="2849" spans="13:13">
      <c r="M2849" s="690"/>
    </row>
    <row r="2850" spans="13:13">
      <c r="M2850" s="690"/>
    </row>
    <row r="2851" spans="13:13">
      <c r="M2851" s="690"/>
    </row>
    <row r="2852" spans="13:13">
      <c r="M2852" s="690"/>
    </row>
    <row r="2853" spans="13:13">
      <c r="M2853" s="690"/>
    </row>
    <row r="2854" spans="13:13">
      <c r="M2854" s="690"/>
    </row>
    <row r="2855" spans="13:13">
      <c r="M2855" s="690"/>
    </row>
    <row r="2856" spans="13:13">
      <c r="M2856" s="690"/>
    </row>
    <row r="2857" spans="13:13">
      <c r="M2857" s="690"/>
    </row>
    <row r="2858" spans="13:13">
      <c r="M2858" s="690"/>
    </row>
    <row r="2859" spans="13:13">
      <c r="M2859" s="690"/>
    </row>
    <row r="2860" spans="13:13">
      <c r="M2860" s="690"/>
    </row>
    <row r="2861" spans="13:13">
      <c r="M2861" s="690"/>
    </row>
    <row r="2862" spans="13:13">
      <c r="M2862" s="690"/>
    </row>
    <row r="2863" spans="13:13">
      <c r="M2863" s="690"/>
    </row>
    <row r="2864" spans="13:13">
      <c r="M2864" s="690"/>
    </row>
    <row r="2865" spans="13:13">
      <c r="M2865" s="690"/>
    </row>
    <row r="2866" spans="13:13">
      <c r="M2866" s="690"/>
    </row>
    <row r="2867" spans="13:13">
      <c r="M2867" s="690"/>
    </row>
    <row r="2868" spans="13:13">
      <c r="M2868" s="690"/>
    </row>
    <row r="2869" spans="13:13">
      <c r="M2869" s="690"/>
    </row>
    <row r="2870" spans="13:13">
      <c r="M2870" s="690"/>
    </row>
    <row r="2871" spans="13:13">
      <c r="M2871" s="690"/>
    </row>
    <row r="2872" spans="13:13">
      <c r="M2872" s="690"/>
    </row>
    <row r="2873" spans="13:13">
      <c r="M2873" s="690"/>
    </row>
    <row r="2874" spans="13:13">
      <c r="M2874" s="690"/>
    </row>
    <row r="2875" spans="13:13">
      <c r="M2875" s="690"/>
    </row>
    <row r="2876" spans="13:13">
      <c r="M2876" s="690"/>
    </row>
    <row r="2877" spans="13:13">
      <c r="M2877" s="690"/>
    </row>
    <row r="2878" spans="13:13">
      <c r="M2878" s="690"/>
    </row>
    <row r="2879" spans="13:13">
      <c r="M2879" s="690"/>
    </row>
    <row r="2880" spans="13:13">
      <c r="M2880" s="690"/>
    </row>
    <row r="2881" spans="13:13">
      <c r="M2881" s="690"/>
    </row>
    <row r="2882" spans="13:13">
      <c r="M2882" s="690"/>
    </row>
    <row r="2883" spans="13:13">
      <c r="M2883" s="690"/>
    </row>
    <row r="2884" spans="13:13">
      <c r="M2884" s="690"/>
    </row>
    <row r="2885" spans="13:13">
      <c r="M2885" s="690"/>
    </row>
    <row r="2886" spans="13:13">
      <c r="M2886" s="690"/>
    </row>
    <row r="2887" spans="13:13">
      <c r="M2887" s="690"/>
    </row>
    <row r="2888" spans="13:13">
      <c r="M2888" s="690"/>
    </row>
    <row r="2889" spans="13:13">
      <c r="M2889" s="690"/>
    </row>
    <row r="2890" spans="13:13">
      <c r="M2890" s="690"/>
    </row>
    <row r="2891" spans="13:13">
      <c r="M2891" s="690"/>
    </row>
    <row r="2892" spans="13:13">
      <c r="M2892" s="690"/>
    </row>
    <row r="2893" spans="13:13">
      <c r="M2893" s="690"/>
    </row>
    <row r="2894" spans="13:13">
      <c r="M2894" s="690"/>
    </row>
    <row r="2895" spans="13:13">
      <c r="M2895" s="690"/>
    </row>
    <row r="2896" spans="13:13">
      <c r="M2896" s="690"/>
    </row>
    <row r="2897" spans="13:13">
      <c r="M2897" s="690"/>
    </row>
    <row r="2898" spans="13:13">
      <c r="M2898" s="690"/>
    </row>
    <row r="2899" spans="13:13">
      <c r="M2899" s="690"/>
    </row>
    <row r="2900" spans="13:13">
      <c r="M2900" s="690"/>
    </row>
    <row r="2901" spans="13:13">
      <c r="M2901" s="690"/>
    </row>
    <row r="2902" spans="13:13">
      <c r="M2902" s="690"/>
    </row>
    <row r="2903" spans="13:13">
      <c r="M2903" s="690"/>
    </row>
    <row r="2904" spans="13:13">
      <c r="M2904" s="690"/>
    </row>
    <row r="2905" spans="13:13">
      <c r="M2905" s="690"/>
    </row>
    <row r="2906" spans="13:13">
      <c r="M2906" s="690"/>
    </row>
    <row r="2907" spans="13:13">
      <c r="M2907" s="690"/>
    </row>
    <row r="2908" spans="13:13">
      <c r="M2908" s="690"/>
    </row>
    <row r="2909" spans="13:13">
      <c r="M2909" s="690"/>
    </row>
    <row r="2910" spans="13:13">
      <c r="M2910" s="690"/>
    </row>
    <row r="2911" spans="13:13">
      <c r="M2911" s="690"/>
    </row>
    <row r="2912" spans="13:13">
      <c r="M2912" s="690"/>
    </row>
    <row r="2913" spans="13:13">
      <c r="M2913" s="690"/>
    </row>
    <row r="2914" spans="13:13">
      <c r="M2914" s="690"/>
    </row>
    <row r="2915" spans="13:13">
      <c r="M2915" s="690"/>
    </row>
    <row r="2916" spans="13:13">
      <c r="M2916" s="690"/>
    </row>
    <row r="2917" spans="13:13">
      <c r="M2917" s="690"/>
    </row>
    <row r="2918" spans="13:13">
      <c r="M2918" s="690"/>
    </row>
    <row r="2919" spans="13:13">
      <c r="M2919" s="690"/>
    </row>
    <row r="2920" spans="13:13">
      <c r="M2920" s="690"/>
    </row>
    <row r="2921" spans="13:13">
      <c r="M2921" s="690"/>
    </row>
    <row r="2922" spans="13:13">
      <c r="M2922" s="690"/>
    </row>
    <row r="2923" spans="13:13">
      <c r="M2923" s="690"/>
    </row>
    <row r="2924" spans="13:13">
      <c r="M2924" s="690"/>
    </row>
    <row r="2925" spans="13:13">
      <c r="M2925" s="690"/>
    </row>
    <row r="2926" spans="13:13">
      <c r="M2926" s="690"/>
    </row>
    <row r="2927" spans="13:13">
      <c r="M2927" s="690"/>
    </row>
    <row r="2928" spans="13:13">
      <c r="M2928" s="690"/>
    </row>
    <row r="2929" spans="13:13">
      <c r="M2929" s="690"/>
    </row>
    <row r="2930" spans="13:13">
      <c r="M2930" s="690"/>
    </row>
    <row r="2931" spans="13:13">
      <c r="M2931" s="690"/>
    </row>
    <row r="2932" spans="13:13">
      <c r="M2932" s="690"/>
    </row>
    <row r="2933" spans="13:13">
      <c r="M2933" s="690"/>
    </row>
    <row r="2934" spans="13:13">
      <c r="M2934" s="690"/>
    </row>
    <row r="2935" spans="13:13">
      <c r="M2935" s="690"/>
    </row>
    <row r="2936" spans="13:13">
      <c r="M2936" s="690"/>
    </row>
    <row r="2937" spans="13:13">
      <c r="M2937" s="690"/>
    </row>
    <row r="2938" spans="13:13">
      <c r="M2938" s="690"/>
    </row>
    <row r="2939" spans="13:13">
      <c r="M2939" s="690"/>
    </row>
    <row r="2940" spans="13:13">
      <c r="M2940" s="690"/>
    </row>
    <row r="2941" spans="13:13">
      <c r="M2941" s="690"/>
    </row>
    <row r="2942" spans="13:13">
      <c r="M2942" s="690"/>
    </row>
    <row r="2943" spans="13:13">
      <c r="M2943" s="690"/>
    </row>
    <row r="2944" spans="13:13">
      <c r="M2944" s="690"/>
    </row>
    <row r="2945" spans="13:13">
      <c r="M2945" s="690"/>
    </row>
    <row r="2946" spans="13:13">
      <c r="M2946" s="690"/>
    </row>
    <row r="2947" spans="13:13">
      <c r="M2947" s="690"/>
    </row>
    <row r="2948" spans="13:13">
      <c r="M2948" s="690"/>
    </row>
    <row r="2949" spans="13:13">
      <c r="M2949" s="690"/>
    </row>
    <row r="2950" spans="13:13">
      <c r="M2950" s="690"/>
    </row>
    <row r="2951" spans="13:13">
      <c r="M2951" s="690"/>
    </row>
    <row r="2952" spans="13:13">
      <c r="M2952" s="690"/>
    </row>
    <row r="2953" spans="13:13">
      <c r="M2953" s="690"/>
    </row>
    <row r="2954" spans="13:13">
      <c r="M2954" s="690"/>
    </row>
    <row r="2955" spans="13:13">
      <c r="M2955" s="690"/>
    </row>
    <row r="2956" spans="13:13">
      <c r="M2956" s="690"/>
    </row>
    <row r="2957" spans="13:13">
      <c r="M2957" s="690"/>
    </row>
    <row r="2958" spans="13:13">
      <c r="M2958" s="690"/>
    </row>
    <row r="2959" spans="13:13">
      <c r="M2959" s="690"/>
    </row>
    <row r="2960" spans="13:13">
      <c r="M2960" s="690"/>
    </row>
    <row r="2961" spans="13:13">
      <c r="M2961" s="690"/>
    </row>
    <row r="2962" spans="13:13">
      <c r="M2962" s="690"/>
    </row>
    <row r="2963" spans="13:13">
      <c r="M2963" s="690"/>
    </row>
    <row r="2964" spans="13:13">
      <c r="M2964" s="690"/>
    </row>
    <row r="2965" spans="13:13">
      <c r="M2965" s="690"/>
    </row>
    <row r="2966" spans="13:13">
      <c r="M2966" s="690"/>
    </row>
    <row r="2967" spans="13:13">
      <c r="M2967" s="690"/>
    </row>
    <row r="2968" spans="13:13">
      <c r="M2968" s="690"/>
    </row>
    <row r="2969" spans="13:13">
      <c r="M2969" s="690"/>
    </row>
    <row r="2970" spans="13:13">
      <c r="M2970" s="690"/>
    </row>
    <row r="2971" spans="13:13">
      <c r="M2971" s="690"/>
    </row>
    <row r="2972" spans="13:13">
      <c r="M2972" s="690"/>
    </row>
    <row r="2973" spans="13:13">
      <c r="M2973" s="690"/>
    </row>
    <row r="2974" spans="13:13">
      <c r="M2974" s="690"/>
    </row>
    <row r="2975" spans="13:13">
      <c r="M2975" s="690"/>
    </row>
    <row r="2976" spans="13:13">
      <c r="M2976" s="690"/>
    </row>
    <row r="2977" spans="13:13">
      <c r="M2977" s="690"/>
    </row>
    <row r="2978" spans="13:13">
      <c r="M2978" s="690"/>
    </row>
    <row r="2979" spans="13:13">
      <c r="M2979" s="690"/>
    </row>
    <row r="2980" spans="13:13">
      <c r="M2980" s="690"/>
    </row>
    <row r="2981" spans="13:13">
      <c r="M2981" s="690"/>
    </row>
    <row r="2982" spans="13:13">
      <c r="M2982" s="690"/>
    </row>
    <row r="2983" spans="13:13">
      <c r="M2983" s="690"/>
    </row>
    <row r="2984" spans="13:13">
      <c r="M2984" s="690"/>
    </row>
    <row r="2985" spans="13:13">
      <c r="M2985" s="690"/>
    </row>
    <row r="2986" spans="13:13">
      <c r="M2986" s="690"/>
    </row>
    <row r="2987" spans="13:13">
      <c r="M2987" s="690"/>
    </row>
    <row r="2988" spans="13:13">
      <c r="M2988" s="690"/>
    </row>
    <row r="2989" spans="13:13">
      <c r="M2989" s="690"/>
    </row>
    <row r="2990" spans="13:13">
      <c r="M2990" s="690"/>
    </row>
    <row r="2991" spans="13:13">
      <c r="M2991" s="690"/>
    </row>
    <row r="2992" spans="13:13">
      <c r="M2992" s="690"/>
    </row>
    <row r="2993" spans="13:13">
      <c r="M2993" s="690"/>
    </row>
    <row r="2994" spans="13:13">
      <c r="M2994" s="690"/>
    </row>
    <row r="2995" spans="13:13">
      <c r="M2995" s="690"/>
    </row>
    <row r="2996" spans="13:13">
      <c r="M2996" s="690"/>
    </row>
    <row r="2997" spans="13:13">
      <c r="M2997" s="690"/>
    </row>
    <row r="2998" spans="13:13">
      <c r="M2998" s="690"/>
    </row>
    <row r="2999" spans="13:13">
      <c r="M2999" s="690"/>
    </row>
    <row r="3000" spans="13:13">
      <c r="M3000" s="690"/>
    </row>
    <row r="3001" spans="13:13">
      <c r="M3001" s="690"/>
    </row>
    <row r="3002" spans="13:13">
      <c r="M3002" s="690"/>
    </row>
    <row r="3003" spans="13:13">
      <c r="M3003" s="690"/>
    </row>
    <row r="3004" spans="13:13">
      <c r="M3004" s="690"/>
    </row>
    <row r="3005" spans="13:13">
      <c r="M3005" s="690"/>
    </row>
    <row r="3006" spans="13:13">
      <c r="M3006" s="690"/>
    </row>
    <row r="3007" spans="13:13">
      <c r="M3007" s="690"/>
    </row>
    <row r="3008" spans="13:13">
      <c r="M3008" s="690"/>
    </row>
    <row r="3009" spans="13:13">
      <c r="M3009" s="690"/>
    </row>
    <row r="3010" spans="13:13">
      <c r="M3010" s="690"/>
    </row>
    <row r="3011" spans="13:13">
      <c r="M3011" s="690"/>
    </row>
    <row r="3012" spans="13:13">
      <c r="M3012" s="690"/>
    </row>
    <row r="3013" spans="13:13">
      <c r="M3013" s="690"/>
    </row>
    <row r="3014" spans="13:13">
      <c r="M3014" s="690"/>
    </row>
    <row r="3015" spans="13:13">
      <c r="M3015" s="690"/>
    </row>
    <row r="3016" spans="13:13">
      <c r="M3016" s="690"/>
    </row>
    <row r="3017" spans="13:13">
      <c r="M3017" s="690"/>
    </row>
    <row r="3018" spans="13:13">
      <c r="M3018" s="690"/>
    </row>
    <row r="3019" spans="13:13">
      <c r="M3019" s="690"/>
    </row>
    <row r="3020" spans="13:13">
      <c r="M3020" s="690"/>
    </row>
    <row r="3021" spans="13:13">
      <c r="M3021" s="690"/>
    </row>
    <row r="3022" spans="13:13">
      <c r="M3022" s="690"/>
    </row>
    <row r="3023" spans="13:13">
      <c r="M3023" s="690"/>
    </row>
    <row r="3024" spans="13:13">
      <c r="M3024" s="690"/>
    </row>
    <row r="3025" spans="13:13">
      <c r="M3025" s="690"/>
    </row>
    <row r="3026" spans="13:13">
      <c r="M3026" s="690"/>
    </row>
    <row r="3027" spans="13:13">
      <c r="M3027" s="690"/>
    </row>
    <row r="3028" spans="13:13">
      <c r="M3028" s="690"/>
    </row>
    <row r="3029" spans="13:13">
      <c r="M3029" s="690"/>
    </row>
    <row r="3030" spans="13:13">
      <c r="M3030" s="690"/>
    </row>
    <row r="3031" spans="13:13">
      <c r="M3031" s="690"/>
    </row>
    <row r="3032" spans="13:13">
      <c r="M3032" s="690"/>
    </row>
    <row r="3033" spans="13:13">
      <c r="M3033" s="690"/>
    </row>
    <row r="3034" spans="13:13">
      <c r="M3034" s="690"/>
    </row>
    <row r="3035" spans="13:13">
      <c r="M3035" s="690"/>
    </row>
    <row r="3036" spans="13:13">
      <c r="M3036" s="690"/>
    </row>
    <row r="3037" spans="13:13">
      <c r="M3037" s="690"/>
    </row>
    <row r="3038" spans="13:13">
      <c r="M3038" s="690"/>
    </row>
    <row r="3039" spans="13:13">
      <c r="M3039" s="690"/>
    </row>
    <row r="3040" spans="13:13">
      <c r="M3040" s="690"/>
    </row>
    <row r="3041" spans="13:13">
      <c r="M3041" s="690"/>
    </row>
    <row r="3042" spans="13:13">
      <c r="M3042" s="690"/>
    </row>
    <row r="3043" spans="13:13">
      <c r="M3043" s="690"/>
    </row>
    <row r="3044" spans="13:13">
      <c r="M3044" s="690"/>
    </row>
    <row r="3045" spans="13:13">
      <c r="M3045" s="690"/>
    </row>
    <row r="3046" spans="13:13">
      <c r="M3046" s="690"/>
    </row>
    <row r="3047" spans="13:13">
      <c r="M3047" s="690"/>
    </row>
    <row r="3048" spans="13:13">
      <c r="M3048" s="690"/>
    </row>
    <row r="3049" spans="13:13">
      <c r="M3049" s="690"/>
    </row>
    <row r="3050" spans="13:13">
      <c r="M3050" s="690"/>
    </row>
    <row r="3051" spans="13:13">
      <c r="M3051" s="690"/>
    </row>
    <row r="3052" spans="13:13">
      <c r="M3052" s="690"/>
    </row>
    <row r="3053" spans="13:13">
      <c r="M3053" s="690"/>
    </row>
    <row r="3054" spans="13:13">
      <c r="M3054" s="690"/>
    </row>
    <row r="3055" spans="13:13">
      <c r="M3055" s="690"/>
    </row>
    <row r="3056" spans="13:13">
      <c r="M3056" s="690"/>
    </row>
    <row r="3057" spans="13:13">
      <c r="M3057" s="690"/>
    </row>
    <row r="3058" spans="13:13">
      <c r="M3058" s="690"/>
    </row>
    <row r="3059" spans="13:13">
      <c r="M3059" s="690"/>
    </row>
    <row r="3060" spans="13:13">
      <c r="M3060" s="690"/>
    </row>
    <row r="3061" spans="13:13">
      <c r="M3061" s="690"/>
    </row>
    <row r="3062" spans="13:13">
      <c r="M3062" s="690"/>
    </row>
    <row r="3063" spans="13:13">
      <c r="M3063" s="690"/>
    </row>
    <row r="3064" spans="13:13">
      <c r="M3064" s="690"/>
    </row>
    <row r="3065" spans="13:13">
      <c r="M3065" s="690"/>
    </row>
    <row r="3066" spans="13:13">
      <c r="M3066" s="690"/>
    </row>
    <row r="3067" spans="13:13">
      <c r="M3067" s="690"/>
    </row>
    <row r="3068" spans="13:13">
      <c r="M3068" s="690"/>
    </row>
    <row r="3069" spans="13:13">
      <c r="M3069" s="690"/>
    </row>
    <row r="3070" spans="13:13">
      <c r="M3070" s="690"/>
    </row>
    <row r="3071" spans="13:13">
      <c r="M3071" s="690"/>
    </row>
    <row r="3072" spans="13:13">
      <c r="M3072" s="690"/>
    </row>
    <row r="3073" spans="13:13">
      <c r="M3073" s="690"/>
    </row>
    <row r="3074" spans="13:13">
      <c r="M3074" s="690"/>
    </row>
    <row r="3075" spans="13:13">
      <c r="M3075" s="690"/>
    </row>
    <row r="3076" spans="13:13">
      <c r="M3076" s="690"/>
    </row>
    <row r="3077" spans="13:13">
      <c r="M3077" s="690"/>
    </row>
    <row r="3078" spans="13:13">
      <c r="M3078" s="690"/>
    </row>
    <row r="3079" spans="13:13">
      <c r="M3079" s="690"/>
    </row>
    <row r="3080" spans="13:13">
      <c r="M3080" s="690"/>
    </row>
    <row r="3081" spans="13:13">
      <c r="M3081" s="690"/>
    </row>
    <row r="3082" spans="13:13">
      <c r="M3082" s="690"/>
    </row>
    <row r="3083" spans="13:13">
      <c r="M3083" s="690"/>
    </row>
    <row r="3084" spans="13:13">
      <c r="M3084" s="690"/>
    </row>
    <row r="3085" spans="13:13">
      <c r="M3085" s="690"/>
    </row>
    <row r="3086" spans="13:13">
      <c r="M3086" s="690"/>
    </row>
    <row r="3087" spans="13:13">
      <c r="M3087" s="690"/>
    </row>
    <row r="3088" spans="13:13">
      <c r="M3088" s="690"/>
    </row>
    <row r="3089" spans="13:13">
      <c r="M3089" s="690"/>
    </row>
    <row r="3090" spans="13:13">
      <c r="M3090" s="690"/>
    </row>
    <row r="3091" spans="13:13">
      <c r="M3091" s="690"/>
    </row>
    <row r="3092" spans="13:13">
      <c r="M3092" s="690"/>
    </row>
    <row r="3093" spans="13:13">
      <c r="M3093" s="690"/>
    </row>
    <row r="3094" spans="13:13">
      <c r="M3094" s="690"/>
    </row>
    <row r="3095" spans="13:13">
      <c r="M3095" s="690"/>
    </row>
    <row r="3096" spans="13:13">
      <c r="M3096" s="690"/>
    </row>
    <row r="3097" spans="13:13">
      <c r="M3097" s="690"/>
    </row>
    <row r="3098" spans="13:13">
      <c r="M3098" s="690"/>
    </row>
    <row r="3099" spans="13:13">
      <c r="M3099" s="690"/>
    </row>
    <row r="3100" spans="13:13">
      <c r="M3100" s="690"/>
    </row>
    <row r="3101" spans="13:13">
      <c r="M3101" s="690"/>
    </row>
    <row r="3102" spans="13:13">
      <c r="M3102" s="690"/>
    </row>
    <row r="3103" spans="13:13">
      <c r="M3103" s="690"/>
    </row>
    <row r="3104" spans="13:13">
      <c r="M3104" s="690"/>
    </row>
    <row r="3105" spans="13:13">
      <c r="M3105" s="690"/>
    </row>
    <row r="3106" spans="13:13">
      <c r="M3106" s="690"/>
    </row>
    <row r="3107" spans="13:13">
      <c r="M3107" s="690"/>
    </row>
    <row r="3108" spans="13:13">
      <c r="M3108" s="690"/>
    </row>
    <row r="3109" spans="13:13">
      <c r="M3109" s="690"/>
    </row>
    <row r="3110" spans="13:13">
      <c r="M3110" s="690"/>
    </row>
    <row r="3111" spans="13:13">
      <c r="M3111" s="690"/>
    </row>
    <row r="3112" spans="13:13">
      <c r="M3112" s="690"/>
    </row>
    <row r="3113" spans="13:13">
      <c r="M3113" s="690"/>
    </row>
    <row r="3114" spans="13:13">
      <c r="M3114" s="690"/>
    </row>
    <row r="3115" spans="13:13">
      <c r="M3115" s="690"/>
    </row>
    <row r="3116" spans="13:13">
      <c r="M3116" s="690"/>
    </row>
    <row r="3117" spans="13:13">
      <c r="M3117" s="690"/>
    </row>
    <row r="3118" spans="13:13">
      <c r="M3118" s="690"/>
    </row>
    <row r="3119" spans="13:13">
      <c r="M3119" s="690"/>
    </row>
    <row r="3120" spans="13:13">
      <c r="M3120" s="690"/>
    </row>
    <row r="3121" spans="13:13">
      <c r="M3121" s="690"/>
    </row>
    <row r="3122" spans="13:13">
      <c r="M3122" s="690"/>
    </row>
    <row r="3123" spans="13:13">
      <c r="M3123" s="690"/>
    </row>
    <row r="3124" spans="13:13">
      <c r="M3124" s="690"/>
    </row>
    <row r="3125" spans="13:13">
      <c r="M3125" s="690"/>
    </row>
    <row r="3126" spans="13:13">
      <c r="M3126" s="690"/>
    </row>
    <row r="3127" spans="13:13">
      <c r="M3127" s="690"/>
    </row>
    <row r="3128" spans="13:13">
      <c r="M3128" s="690"/>
    </row>
    <row r="3129" spans="13:13">
      <c r="M3129" s="690"/>
    </row>
    <row r="3130" spans="13:13">
      <c r="M3130" s="690"/>
    </row>
    <row r="3131" spans="13:13">
      <c r="M3131" s="690"/>
    </row>
    <row r="3132" spans="13:13">
      <c r="M3132" s="690"/>
    </row>
    <row r="3133" spans="13:13">
      <c r="M3133" s="690"/>
    </row>
    <row r="3134" spans="13:13">
      <c r="M3134" s="690"/>
    </row>
    <row r="3135" spans="13:13">
      <c r="M3135" s="690"/>
    </row>
    <row r="3136" spans="13:13">
      <c r="M3136" s="690"/>
    </row>
    <row r="3137" spans="13:13">
      <c r="M3137" s="690"/>
    </row>
    <row r="3138" spans="13:13">
      <c r="M3138" s="690"/>
    </row>
    <row r="3139" spans="13:13">
      <c r="M3139" s="690"/>
    </row>
    <row r="3140" spans="13:13">
      <c r="M3140" s="690"/>
    </row>
    <row r="3141" spans="13:13">
      <c r="M3141" s="690"/>
    </row>
    <row r="3142" spans="13:13">
      <c r="M3142" s="690"/>
    </row>
    <row r="3143" spans="13:13">
      <c r="M3143" s="690"/>
    </row>
    <row r="3144" spans="13:13">
      <c r="M3144" s="690"/>
    </row>
    <row r="3145" spans="13:13">
      <c r="M3145" s="690"/>
    </row>
    <row r="3146" spans="13:13">
      <c r="M3146" s="690"/>
    </row>
    <row r="3147" spans="13:13">
      <c r="M3147" s="690"/>
    </row>
    <row r="3148" spans="13:13">
      <c r="M3148" s="690"/>
    </row>
    <row r="3149" spans="13:13">
      <c r="M3149" s="690"/>
    </row>
    <row r="3150" spans="13:13">
      <c r="M3150" s="690"/>
    </row>
    <row r="3151" spans="13:13">
      <c r="M3151" s="690"/>
    </row>
    <row r="3152" spans="13:13">
      <c r="M3152" s="690"/>
    </row>
    <row r="3153" spans="13:13">
      <c r="M3153" s="690"/>
    </row>
    <row r="3154" spans="13:13">
      <c r="M3154" s="690"/>
    </row>
    <row r="3155" spans="13:13">
      <c r="M3155" s="690"/>
    </row>
    <row r="3156" spans="13:13">
      <c r="M3156" s="690"/>
    </row>
    <row r="3157" spans="13:13">
      <c r="M3157" s="690"/>
    </row>
    <row r="3158" spans="13:13">
      <c r="M3158" s="690"/>
    </row>
    <row r="3159" spans="13:13">
      <c r="M3159" s="690"/>
    </row>
    <row r="3160" spans="13:13">
      <c r="M3160" s="690"/>
    </row>
    <row r="3161" spans="13:13">
      <c r="M3161" s="690"/>
    </row>
    <row r="3162" spans="13:13">
      <c r="M3162" s="690"/>
    </row>
    <row r="3163" spans="13:13">
      <c r="M3163" s="690"/>
    </row>
    <row r="3164" spans="13:13">
      <c r="M3164" s="690"/>
    </row>
    <row r="3165" spans="13:13">
      <c r="M3165" s="690"/>
    </row>
    <row r="3166" spans="13:13">
      <c r="M3166" s="690"/>
    </row>
    <row r="3167" spans="13:13">
      <c r="M3167" s="690"/>
    </row>
    <row r="3168" spans="13:13">
      <c r="M3168" s="690"/>
    </row>
    <row r="3169" spans="13:13">
      <c r="M3169" s="690"/>
    </row>
    <row r="3170" spans="13:13">
      <c r="M3170" s="690"/>
    </row>
    <row r="3171" spans="13:13">
      <c r="M3171" s="690"/>
    </row>
    <row r="3172" spans="13:13">
      <c r="M3172" s="690"/>
    </row>
    <row r="3173" spans="13:13">
      <c r="M3173" s="690"/>
    </row>
    <row r="3174" spans="13:13">
      <c r="M3174" s="690"/>
    </row>
    <row r="3175" spans="13:13">
      <c r="M3175" s="690"/>
    </row>
    <row r="3176" spans="13:13">
      <c r="M3176" s="690"/>
    </row>
    <row r="3177" spans="13:13">
      <c r="M3177" s="690"/>
    </row>
    <row r="3178" spans="13:13">
      <c r="M3178" s="690"/>
    </row>
    <row r="3179" spans="13:13">
      <c r="M3179" s="690"/>
    </row>
    <row r="3180" spans="13:13">
      <c r="M3180" s="690"/>
    </row>
    <row r="3181" spans="13:13">
      <c r="M3181" s="690"/>
    </row>
    <row r="3182" spans="13:13">
      <c r="M3182" s="690"/>
    </row>
    <row r="3183" spans="13:13">
      <c r="M3183" s="690"/>
    </row>
    <row r="3184" spans="13:13">
      <c r="M3184" s="690"/>
    </row>
    <row r="3185" spans="13:13">
      <c r="M3185" s="690"/>
    </row>
    <row r="3186" spans="13:13">
      <c r="M3186" s="690"/>
    </row>
    <row r="3187" spans="13:13">
      <c r="M3187" s="690"/>
    </row>
    <row r="3188" spans="13:13">
      <c r="M3188" s="690"/>
    </row>
    <row r="3189" spans="13:13">
      <c r="M3189" s="690"/>
    </row>
    <row r="3190" spans="13:13">
      <c r="M3190" s="690"/>
    </row>
    <row r="3191" spans="13:13">
      <c r="M3191" s="690"/>
    </row>
    <row r="3192" spans="13:13">
      <c r="M3192" s="690"/>
    </row>
    <row r="3193" spans="13:13">
      <c r="M3193" s="690"/>
    </row>
    <row r="3194" spans="13:13">
      <c r="M3194" s="690"/>
    </row>
    <row r="3195" spans="13:13">
      <c r="M3195" s="690"/>
    </row>
    <row r="3196" spans="13:13">
      <c r="M3196" s="690"/>
    </row>
    <row r="3197" spans="13:13">
      <c r="M3197" s="690"/>
    </row>
    <row r="3198" spans="13:13">
      <c r="M3198" s="690"/>
    </row>
    <row r="3199" spans="13:13">
      <c r="M3199" s="690"/>
    </row>
    <row r="3200" spans="13:13">
      <c r="M3200" s="690"/>
    </row>
    <row r="3201" spans="13:13">
      <c r="M3201" s="690"/>
    </row>
    <row r="3202" spans="13:13">
      <c r="M3202" s="690"/>
    </row>
    <row r="3203" spans="13:13">
      <c r="M3203" s="690"/>
    </row>
    <row r="3204" spans="13:13">
      <c r="M3204" s="690"/>
    </row>
    <row r="3205" spans="13:13">
      <c r="M3205" s="690"/>
    </row>
    <row r="3206" spans="13:13">
      <c r="M3206" s="690"/>
    </row>
    <row r="3207" spans="13:13">
      <c r="M3207" s="690"/>
    </row>
    <row r="3208" spans="13:13">
      <c r="M3208" s="690"/>
    </row>
    <row r="3209" spans="13:13">
      <c r="M3209" s="690"/>
    </row>
    <row r="3210" spans="13:13">
      <c r="M3210" s="690"/>
    </row>
    <row r="3211" spans="13:13">
      <c r="M3211" s="690"/>
    </row>
    <row r="3212" spans="13:13">
      <c r="M3212" s="690"/>
    </row>
    <row r="3213" spans="13:13">
      <c r="M3213" s="690"/>
    </row>
    <row r="3214" spans="13:13">
      <c r="M3214" s="690"/>
    </row>
    <row r="3215" spans="13:13">
      <c r="M3215" s="690"/>
    </row>
    <row r="3216" spans="13:13">
      <c r="M3216" s="690"/>
    </row>
    <row r="3217" spans="13:13">
      <c r="M3217" s="690"/>
    </row>
    <row r="3218" spans="13:13">
      <c r="M3218" s="690"/>
    </row>
    <row r="3219" spans="13:13">
      <c r="M3219" s="690"/>
    </row>
    <row r="3220" spans="13:13">
      <c r="M3220" s="690"/>
    </row>
    <row r="3221" spans="13:13">
      <c r="M3221" s="690"/>
    </row>
    <row r="3222" spans="13:13">
      <c r="M3222" s="690"/>
    </row>
    <row r="3223" spans="13:13">
      <c r="M3223" s="690"/>
    </row>
    <row r="3224" spans="13:13">
      <c r="M3224" s="690"/>
    </row>
    <row r="3225" spans="13:13">
      <c r="M3225" s="690"/>
    </row>
    <row r="3226" spans="13:13">
      <c r="M3226" s="690"/>
    </row>
    <row r="3227" spans="13:13">
      <c r="M3227" s="690"/>
    </row>
    <row r="3228" spans="13:13">
      <c r="M3228" s="690"/>
    </row>
    <row r="3229" spans="13:13">
      <c r="M3229" s="690"/>
    </row>
    <row r="3230" spans="13:13">
      <c r="M3230" s="690"/>
    </row>
    <row r="3231" spans="13:13">
      <c r="M3231" s="690"/>
    </row>
    <row r="3232" spans="13:13">
      <c r="M3232" s="690"/>
    </row>
    <row r="3233" spans="13:13">
      <c r="M3233" s="690"/>
    </row>
    <row r="3234" spans="13:13">
      <c r="M3234" s="690"/>
    </row>
    <row r="3235" spans="13:13">
      <c r="M3235" s="690"/>
    </row>
    <row r="3236" spans="13:13">
      <c r="M3236" s="690"/>
    </row>
    <row r="3237" spans="13:13">
      <c r="M3237" s="690"/>
    </row>
    <row r="3238" spans="13:13">
      <c r="M3238" s="690"/>
    </row>
    <row r="3239" spans="13:13">
      <c r="M3239" s="690"/>
    </row>
    <row r="3240" spans="13:13">
      <c r="M3240" s="690"/>
    </row>
    <row r="3241" spans="13:13">
      <c r="M3241" s="690"/>
    </row>
    <row r="3242" spans="13:13">
      <c r="M3242" s="690"/>
    </row>
    <row r="3243" spans="13:13">
      <c r="M3243" s="690"/>
    </row>
    <row r="3244" spans="13:13">
      <c r="M3244" s="690"/>
    </row>
    <row r="3245" spans="13:13">
      <c r="M3245" s="690"/>
    </row>
    <row r="3246" spans="13:13">
      <c r="M3246" s="690"/>
    </row>
    <row r="3247" spans="13:13">
      <c r="M3247" s="690"/>
    </row>
    <row r="3248" spans="13:13">
      <c r="M3248" s="690"/>
    </row>
    <row r="3249" spans="13:13">
      <c r="M3249" s="690"/>
    </row>
    <row r="3250" spans="13:13">
      <c r="M3250" s="690"/>
    </row>
    <row r="3251" spans="13:13">
      <c r="M3251" s="690"/>
    </row>
    <row r="3252" spans="13:13">
      <c r="M3252" s="690"/>
    </row>
    <row r="3253" spans="13:13">
      <c r="M3253" s="690"/>
    </row>
    <row r="3254" spans="13:13">
      <c r="M3254" s="690"/>
    </row>
    <row r="3255" spans="13:13">
      <c r="M3255" s="690"/>
    </row>
    <row r="3256" spans="13:13">
      <c r="M3256" s="690"/>
    </row>
    <row r="3257" spans="13:13">
      <c r="M3257" s="690"/>
    </row>
    <row r="3258" spans="13:13">
      <c r="M3258" s="690"/>
    </row>
    <row r="3259" spans="13:13">
      <c r="M3259" s="690"/>
    </row>
    <row r="3260" spans="13:13">
      <c r="M3260" s="690"/>
    </row>
    <row r="3261" spans="13:13">
      <c r="M3261" s="690"/>
    </row>
    <row r="3262" spans="13:13">
      <c r="M3262" s="690"/>
    </row>
    <row r="3263" spans="13:13">
      <c r="M3263" s="690"/>
    </row>
    <row r="3264" spans="13:13">
      <c r="M3264" s="690"/>
    </row>
    <row r="3265" spans="13:13">
      <c r="M3265" s="690"/>
    </row>
    <row r="3266" spans="13:13">
      <c r="M3266" s="690"/>
    </row>
    <row r="3267" spans="13:13">
      <c r="M3267" s="690"/>
    </row>
    <row r="3268" spans="13:13">
      <c r="M3268" s="690"/>
    </row>
    <row r="3269" spans="13:13">
      <c r="M3269" s="690"/>
    </row>
    <row r="3270" spans="13:13">
      <c r="M3270" s="690"/>
    </row>
    <row r="3271" spans="13:13">
      <c r="M3271" s="690"/>
    </row>
    <row r="3272" spans="13:13">
      <c r="M3272" s="690"/>
    </row>
    <row r="3273" spans="13:13">
      <c r="M3273" s="690"/>
    </row>
    <row r="3274" spans="13:13">
      <c r="M3274" s="690"/>
    </row>
    <row r="3275" spans="13:13">
      <c r="M3275" s="690"/>
    </row>
    <row r="3276" spans="13:13">
      <c r="M3276" s="690"/>
    </row>
    <row r="3277" spans="13:13">
      <c r="M3277" s="690"/>
    </row>
    <row r="3278" spans="13:13">
      <c r="M3278" s="690"/>
    </row>
    <row r="3279" spans="13:13">
      <c r="M3279" s="690"/>
    </row>
    <row r="3280" spans="13:13">
      <c r="M3280" s="690"/>
    </row>
    <row r="3281" spans="13:13">
      <c r="M3281" s="690"/>
    </row>
    <row r="3282" spans="13:13">
      <c r="M3282" s="690"/>
    </row>
    <row r="3283" spans="13:13">
      <c r="M3283" s="690"/>
    </row>
    <row r="3284" spans="13:13">
      <c r="M3284" s="690"/>
    </row>
    <row r="3285" spans="13:13">
      <c r="M3285" s="690"/>
    </row>
    <row r="3286" spans="13:13">
      <c r="M3286" s="690"/>
    </row>
    <row r="3287" spans="13:13">
      <c r="M3287" s="690"/>
    </row>
    <row r="3288" spans="13:13">
      <c r="M3288" s="690"/>
    </row>
    <row r="3289" spans="13:13">
      <c r="M3289" s="690"/>
    </row>
    <row r="3290" spans="13:13">
      <c r="M3290" s="690"/>
    </row>
    <row r="3291" spans="13:13">
      <c r="M3291" s="690"/>
    </row>
    <row r="3292" spans="13:13">
      <c r="M3292" s="690"/>
    </row>
    <row r="3293" spans="13:13">
      <c r="M3293" s="690"/>
    </row>
    <row r="3294" spans="13:13">
      <c r="M3294" s="690"/>
    </row>
    <row r="3295" spans="13:13">
      <c r="M3295" s="690"/>
    </row>
    <row r="3296" spans="13:13">
      <c r="M3296" s="690"/>
    </row>
    <row r="3297" spans="13:13">
      <c r="M3297" s="690"/>
    </row>
    <row r="3298" spans="13:13">
      <c r="M3298" s="690"/>
    </row>
    <row r="3299" spans="13:13">
      <c r="M3299" s="690"/>
    </row>
    <row r="3300" spans="13:13">
      <c r="M3300" s="690"/>
    </row>
    <row r="3301" spans="13:13">
      <c r="M3301" s="690"/>
    </row>
    <row r="3302" spans="13:13">
      <c r="M3302" s="690"/>
    </row>
    <row r="3303" spans="13:13">
      <c r="M3303" s="690"/>
    </row>
    <row r="3304" spans="13:13">
      <c r="M3304" s="690"/>
    </row>
    <row r="3305" spans="13:13">
      <c r="M3305" s="690"/>
    </row>
    <row r="3306" spans="13:13">
      <c r="M3306" s="690"/>
    </row>
    <row r="3307" spans="13:13">
      <c r="M3307" s="690"/>
    </row>
    <row r="3308" spans="13:13">
      <c r="M3308" s="690"/>
    </row>
    <row r="3309" spans="13:13">
      <c r="M3309" s="690"/>
    </row>
    <row r="3310" spans="13:13">
      <c r="M3310" s="690"/>
    </row>
    <row r="3311" spans="13:13">
      <c r="M3311" s="690"/>
    </row>
    <row r="3312" spans="13:13">
      <c r="M3312" s="690"/>
    </row>
    <row r="3313" spans="13:13">
      <c r="M3313" s="690"/>
    </row>
    <row r="3314" spans="13:13">
      <c r="M3314" s="690"/>
    </row>
    <row r="3315" spans="13:13">
      <c r="M3315" s="690"/>
    </row>
    <row r="3316" spans="13:13">
      <c r="M3316" s="690"/>
    </row>
    <row r="3317" spans="13:13">
      <c r="M3317" s="690"/>
    </row>
    <row r="3318" spans="13:13">
      <c r="M3318" s="690"/>
    </row>
    <row r="3319" spans="13:13">
      <c r="M3319" s="690"/>
    </row>
    <row r="3320" spans="13:13">
      <c r="M3320" s="690"/>
    </row>
    <row r="3321" spans="13:13">
      <c r="M3321" s="690"/>
    </row>
    <row r="3322" spans="13:13">
      <c r="M3322" s="690"/>
    </row>
    <row r="3323" spans="13:13">
      <c r="M3323" s="690"/>
    </row>
    <row r="3324" spans="13:13">
      <c r="M3324" s="690"/>
    </row>
    <row r="3325" spans="13:13">
      <c r="M3325" s="690"/>
    </row>
    <row r="3326" spans="13:13">
      <c r="M3326" s="690"/>
    </row>
    <row r="3327" spans="13:13">
      <c r="M3327" s="690"/>
    </row>
    <row r="3328" spans="13:13">
      <c r="M3328" s="690"/>
    </row>
    <row r="3329" spans="13:13">
      <c r="M3329" s="690"/>
    </row>
    <row r="3330" spans="13:13">
      <c r="M3330" s="690"/>
    </row>
    <row r="3331" spans="13:13">
      <c r="M3331" s="690"/>
    </row>
    <row r="3332" spans="13:13">
      <c r="M3332" s="690"/>
    </row>
    <row r="3333" spans="13:13">
      <c r="M3333" s="690"/>
    </row>
    <row r="3334" spans="13:13">
      <c r="M3334" s="690"/>
    </row>
    <row r="3335" spans="13:13">
      <c r="M3335" s="690"/>
    </row>
    <row r="3336" spans="13:13">
      <c r="M3336" s="690"/>
    </row>
    <row r="3337" spans="13:13">
      <c r="M3337" s="690"/>
    </row>
    <row r="3338" spans="13:13">
      <c r="M3338" s="690"/>
    </row>
    <row r="3339" spans="13:13">
      <c r="M3339" s="690"/>
    </row>
    <row r="3340" spans="13:13">
      <c r="M3340" s="690"/>
    </row>
    <row r="3341" spans="13:13">
      <c r="M3341" s="690"/>
    </row>
    <row r="3342" spans="13:13">
      <c r="M3342" s="690"/>
    </row>
    <row r="3343" spans="13:13">
      <c r="M3343" s="690"/>
    </row>
    <row r="3344" spans="13:13">
      <c r="M3344" s="690"/>
    </row>
    <row r="3345" spans="13:13">
      <c r="M3345" s="690"/>
    </row>
    <row r="3346" spans="13:13">
      <c r="M3346" s="690"/>
    </row>
    <row r="3347" spans="13:13">
      <c r="M3347" s="690"/>
    </row>
    <row r="3348" spans="13:13">
      <c r="M3348" s="690"/>
    </row>
    <row r="3349" spans="13:13">
      <c r="M3349" s="690"/>
    </row>
    <row r="3350" spans="13:13">
      <c r="M3350" s="690"/>
    </row>
    <row r="3351" spans="13:13">
      <c r="M3351" s="690"/>
    </row>
    <row r="3352" spans="13:13">
      <c r="M3352" s="690"/>
    </row>
    <row r="3353" spans="13:13">
      <c r="M3353" s="690"/>
    </row>
    <row r="3354" spans="13:13">
      <c r="M3354" s="690"/>
    </row>
    <row r="3355" spans="13:13">
      <c r="M3355" s="690"/>
    </row>
    <row r="3356" spans="13:13">
      <c r="M3356" s="690"/>
    </row>
    <row r="3357" spans="13:13">
      <c r="M3357" s="690"/>
    </row>
    <row r="3358" spans="13:13">
      <c r="M3358" s="690"/>
    </row>
    <row r="3359" spans="13:13">
      <c r="M3359" s="690"/>
    </row>
    <row r="3360" spans="13:13">
      <c r="M3360" s="690"/>
    </row>
    <row r="3361" spans="13:13">
      <c r="M3361" s="690"/>
    </row>
    <row r="3362" spans="13:13">
      <c r="M3362" s="690"/>
    </row>
    <row r="3363" spans="13:13">
      <c r="M3363" s="690"/>
    </row>
    <row r="3364" spans="13:13">
      <c r="M3364" s="690"/>
    </row>
    <row r="3365" spans="13:13">
      <c r="M3365" s="690"/>
    </row>
    <row r="3366" spans="13:13">
      <c r="M3366" s="690"/>
    </row>
    <row r="3367" spans="13:13">
      <c r="M3367" s="690"/>
    </row>
    <row r="3368" spans="13:13">
      <c r="M3368" s="690"/>
    </row>
    <row r="3369" spans="13:13">
      <c r="M3369" s="690"/>
    </row>
    <row r="3370" spans="13:13">
      <c r="M3370" s="690"/>
    </row>
    <row r="3371" spans="13:13">
      <c r="M3371" s="690"/>
    </row>
    <row r="3372" spans="13:13">
      <c r="M3372" s="690"/>
    </row>
    <row r="3373" spans="13:13">
      <c r="M3373" s="690"/>
    </row>
    <row r="3374" spans="13:13">
      <c r="M3374" s="690"/>
    </row>
    <row r="3375" spans="13:13">
      <c r="M3375" s="690"/>
    </row>
    <row r="3376" spans="13:13">
      <c r="M3376" s="690"/>
    </row>
    <row r="3377" spans="13:13">
      <c r="M3377" s="690"/>
    </row>
    <row r="3378" spans="13:13">
      <c r="M3378" s="690"/>
    </row>
    <row r="3379" spans="13:13">
      <c r="M3379" s="690"/>
    </row>
    <row r="3380" spans="13:13">
      <c r="M3380" s="690"/>
    </row>
    <row r="3381" spans="13:13">
      <c r="M3381" s="690"/>
    </row>
    <row r="3382" spans="13:13">
      <c r="M3382" s="690"/>
    </row>
    <row r="3383" spans="13:13">
      <c r="M3383" s="690"/>
    </row>
    <row r="3384" spans="13:13">
      <c r="M3384" s="690"/>
    </row>
    <row r="3385" spans="13:13">
      <c r="M3385" s="690"/>
    </row>
    <row r="3386" spans="13:13">
      <c r="M3386" s="690"/>
    </row>
    <row r="3387" spans="13:13">
      <c r="M3387" s="690"/>
    </row>
    <row r="3388" spans="13:13">
      <c r="M3388" s="690"/>
    </row>
    <row r="3389" spans="13:13">
      <c r="M3389" s="690"/>
    </row>
    <row r="3390" spans="13:13">
      <c r="M3390" s="690"/>
    </row>
    <row r="3391" spans="13:13">
      <c r="M3391" s="690"/>
    </row>
    <row r="3392" spans="13:13">
      <c r="M3392" s="690"/>
    </row>
    <row r="3393" spans="13:13">
      <c r="M3393" s="690"/>
    </row>
    <row r="3394" spans="13:13">
      <c r="M3394" s="690"/>
    </row>
    <row r="3395" spans="13:13">
      <c r="M3395" s="690"/>
    </row>
    <row r="3396" spans="13:13">
      <c r="M3396" s="690"/>
    </row>
    <row r="3397" spans="13:13">
      <c r="M3397" s="690"/>
    </row>
    <row r="3398" spans="13:13">
      <c r="M3398" s="690"/>
    </row>
    <row r="3399" spans="13:13">
      <c r="M3399" s="690"/>
    </row>
    <row r="3400" spans="13:13">
      <c r="M3400" s="690"/>
    </row>
    <row r="3401" spans="13:13">
      <c r="M3401" s="690"/>
    </row>
    <row r="3402" spans="13:13">
      <c r="M3402" s="690"/>
    </row>
    <row r="3403" spans="13:13">
      <c r="M3403" s="690"/>
    </row>
    <row r="3404" spans="13:13">
      <c r="M3404" s="690"/>
    </row>
    <row r="3405" spans="13:13">
      <c r="M3405" s="690"/>
    </row>
    <row r="3406" spans="13:13">
      <c r="M3406" s="690"/>
    </row>
    <row r="3407" spans="13:13">
      <c r="M3407" s="690"/>
    </row>
    <row r="3408" spans="13:13">
      <c r="M3408" s="690"/>
    </row>
    <row r="3409" spans="13:13">
      <c r="M3409" s="690"/>
    </row>
    <row r="3410" spans="13:13">
      <c r="M3410" s="690"/>
    </row>
    <row r="3411" spans="13:13">
      <c r="M3411" s="690"/>
    </row>
    <row r="3412" spans="13:13">
      <c r="M3412" s="690"/>
    </row>
    <row r="3413" spans="13:13">
      <c r="M3413" s="690"/>
    </row>
    <row r="3414" spans="13:13">
      <c r="M3414" s="690"/>
    </row>
    <row r="3415" spans="13:13">
      <c r="M3415" s="690"/>
    </row>
    <row r="3416" spans="13:13">
      <c r="M3416" s="690"/>
    </row>
    <row r="3417" spans="13:13">
      <c r="M3417" s="690"/>
    </row>
    <row r="3418" spans="13:13">
      <c r="M3418" s="690"/>
    </row>
    <row r="3419" spans="13:13">
      <c r="M3419" s="690"/>
    </row>
    <row r="3420" spans="13:13">
      <c r="M3420" s="690"/>
    </row>
    <row r="3421" spans="13:13">
      <c r="M3421" s="690"/>
    </row>
    <row r="3422" spans="13:13">
      <c r="M3422" s="690"/>
    </row>
    <row r="3423" spans="13:13">
      <c r="M3423" s="690"/>
    </row>
    <row r="3424" spans="13:13">
      <c r="M3424" s="690"/>
    </row>
    <row r="3425" spans="13:13">
      <c r="M3425" s="690"/>
    </row>
    <row r="3426" spans="13:13">
      <c r="M3426" s="690"/>
    </row>
    <row r="3427" spans="13:13">
      <c r="M3427" s="690"/>
    </row>
    <row r="3428" spans="13:13">
      <c r="M3428" s="690"/>
    </row>
    <row r="3429" spans="13:13">
      <c r="M3429" s="690"/>
    </row>
    <row r="3430" spans="13:13">
      <c r="M3430" s="690"/>
    </row>
    <row r="3431" spans="13:13">
      <c r="M3431" s="690"/>
    </row>
    <row r="3432" spans="13:13">
      <c r="M3432" s="690"/>
    </row>
    <row r="3433" spans="13:13">
      <c r="M3433" s="690"/>
    </row>
    <row r="3434" spans="13:13">
      <c r="M3434" s="690"/>
    </row>
    <row r="3435" spans="13:13">
      <c r="M3435" s="690"/>
    </row>
    <row r="3436" spans="13:13">
      <c r="M3436" s="690"/>
    </row>
    <row r="3437" spans="13:13">
      <c r="M3437" s="690"/>
    </row>
    <row r="3438" spans="13:13">
      <c r="M3438" s="690"/>
    </row>
    <row r="3439" spans="13:13">
      <c r="M3439" s="690"/>
    </row>
    <row r="3440" spans="13:13">
      <c r="M3440" s="690"/>
    </row>
    <row r="3441" spans="13:13">
      <c r="M3441" s="690"/>
    </row>
    <row r="3442" spans="13:13">
      <c r="M3442" s="690"/>
    </row>
    <row r="3443" spans="13:13">
      <c r="M3443" s="690"/>
    </row>
    <row r="3444" spans="13:13">
      <c r="M3444" s="690"/>
    </row>
    <row r="3445" spans="13:13">
      <c r="M3445" s="690"/>
    </row>
    <row r="3446" spans="13:13">
      <c r="M3446" s="690"/>
    </row>
    <row r="3447" spans="13:13">
      <c r="M3447" s="690"/>
    </row>
    <row r="3448" spans="13:13">
      <c r="M3448" s="690"/>
    </row>
    <row r="3449" spans="13:13">
      <c r="M3449" s="690"/>
    </row>
    <row r="3450" spans="13:13">
      <c r="M3450" s="690"/>
    </row>
    <row r="3451" spans="13:13">
      <c r="M3451" s="690"/>
    </row>
    <row r="3452" spans="13:13">
      <c r="M3452" s="690"/>
    </row>
    <row r="3453" spans="13:13">
      <c r="M3453" s="690"/>
    </row>
    <row r="3454" spans="13:13">
      <c r="M3454" s="690"/>
    </row>
    <row r="3455" spans="13:13">
      <c r="M3455" s="690"/>
    </row>
    <row r="3456" spans="13:13">
      <c r="M3456" s="690"/>
    </row>
    <row r="3457" spans="13:13">
      <c r="M3457" s="690"/>
    </row>
    <row r="3458" spans="13:13">
      <c r="M3458" s="690"/>
    </row>
    <row r="3459" spans="13:13">
      <c r="M3459" s="690"/>
    </row>
    <row r="3460" spans="13:13">
      <c r="M3460" s="690"/>
    </row>
    <row r="3461" spans="13:13">
      <c r="M3461" s="690"/>
    </row>
    <row r="3462" spans="13:13">
      <c r="M3462" s="690"/>
    </row>
    <row r="3463" spans="13:13">
      <c r="M3463" s="690"/>
    </row>
    <row r="3464" spans="13:13">
      <c r="M3464" s="690"/>
    </row>
    <row r="3465" spans="13:13">
      <c r="M3465" s="690"/>
    </row>
    <row r="3466" spans="13:13">
      <c r="M3466" s="690"/>
    </row>
    <row r="3467" spans="13:13">
      <c r="M3467" s="690"/>
    </row>
    <row r="3468" spans="13:13">
      <c r="M3468" s="690"/>
    </row>
    <row r="3469" spans="13:13">
      <c r="M3469" s="690"/>
    </row>
    <row r="3470" spans="13:13">
      <c r="M3470" s="690"/>
    </row>
    <row r="3471" spans="13:13">
      <c r="M3471" s="690"/>
    </row>
    <row r="3472" spans="13:13">
      <c r="M3472" s="690"/>
    </row>
    <row r="3473" spans="13:13">
      <c r="M3473" s="690"/>
    </row>
    <row r="3474" spans="13:13">
      <c r="M3474" s="690"/>
    </row>
    <row r="3475" spans="13:13">
      <c r="M3475" s="690"/>
    </row>
    <row r="3476" spans="13:13">
      <c r="M3476" s="690"/>
    </row>
    <row r="3477" spans="13:13">
      <c r="M3477" s="690"/>
    </row>
    <row r="3478" spans="13:13">
      <c r="M3478" s="690"/>
    </row>
    <row r="3479" spans="13:13">
      <c r="M3479" s="690"/>
    </row>
    <row r="3480" spans="13:13">
      <c r="M3480" s="690"/>
    </row>
    <row r="3481" spans="13:13">
      <c r="M3481" s="690"/>
    </row>
    <row r="3482" spans="13:13">
      <c r="M3482" s="690"/>
    </row>
    <row r="3483" spans="13:13">
      <c r="M3483" s="690"/>
    </row>
    <row r="3484" spans="13:13">
      <c r="M3484" s="690"/>
    </row>
    <row r="3485" spans="13:13">
      <c r="M3485" s="690"/>
    </row>
    <row r="3486" spans="13:13">
      <c r="M3486" s="690"/>
    </row>
    <row r="3487" spans="13:13">
      <c r="M3487" s="690"/>
    </row>
    <row r="3488" spans="13:13">
      <c r="M3488" s="690"/>
    </row>
    <row r="3489" spans="13:13">
      <c r="M3489" s="690"/>
    </row>
    <row r="3490" spans="13:13">
      <c r="M3490" s="690"/>
    </row>
    <row r="3491" spans="13:13">
      <c r="M3491" s="690"/>
    </row>
    <row r="3492" spans="13:13">
      <c r="M3492" s="690"/>
    </row>
    <row r="3493" spans="13:13">
      <c r="M3493" s="690"/>
    </row>
    <row r="3494" spans="13:13">
      <c r="M3494" s="690"/>
    </row>
    <row r="3495" spans="13:13">
      <c r="M3495" s="690"/>
    </row>
    <row r="3496" spans="13:13">
      <c r="M3496" s="690"/>
    </row>
    <row r="3497" spans="13:13">
      <c r="M3497" s="690"/>
    </row>
    <row r="3498" spans="13:13">
      <c r="M3498" s="690"/>
    </row>
    <row r="3499" spans="13:13">
      <c r="M3499" s="690"/>
    </row>
    <row r="3500" spans="13:13">
      <c r="M3500" s="690"/>
    </row>
    <row r="3501" spans="13:13">
      <c r="M3501" s="690"/>
    </row>
    <row r="3502" spans="13:13">
      <c r="M3502" s="690"/>
    </row>
    <row r="3503" spans="13:13">
      <c r="M3503" s="690"/>
    </row>
    <row r="3504" spans="13:13">
      <c r="M3504" s="690"/>
    </row>
    <row r="3505" spans="13:13">
      <c r="M3505" s="690"/>
    </row>
    <row r="3506" spans="13:13">
      <c r="M3506" s="690"/>
    </row>
    <row r="3507" spans="13:13">
      <c r="M3507" s="690"/>
    </row>
    <row r="3508" spans="13:13">
      <c r="M3508" s="690"/>
    </row>
    <row r="3509" spans="13:13">
      <c r="M3509" s="690"/>
    </row>
    <row r="3510" spans="13:13">
      <c r="M3510" s="690"/>
    </row>
    <row r="3511" spans="13:13">
      <c r="M3511" s="690"/>
    </row>
    <row r="3512" spans="13:13">
      <c r="M3512" s="690"/>
    </row>
    <row r="3513" spans="13:13">
      <c r="M3513" s="690"/>
    </row>
    <row r="3514" spans="13:13">
      <c r="M3514" s="690"/>
    </row>
    <row r="3515" spans="13:13">
      <c r="M3515" s="690"/>
    </row>
    <row r="3516" spans="13:13">
      <c r="M3516" s="690"/>
    </row>
    <row r="3517" spans="13:13">
      <c r="M3517" s="690"/>
    </row>
    <row r="3518" spans="13:13">
      <c r="M3518" s="690"/>
    </row>
    <row r="3519" spans="13:13">
      <c r="M3519" s="690"/>
    </row>
    <row r="3520" spans="13:13">
      <c r="M3520" s="690"/>
    </row>
    <row r="3521" spans="13:13">
      <c r="M3521" s="690"/>
    </row>
    <row r="3522" spans="13:13">
      <c r="M3522" s="690"/>
    </row>
    <row r="3523" spans="13:13">
      <c r="M3523" s="690"/>
    </row>
    <row r="3524" spans="13:13">
      <c r="M3524" s="690"/>
    </row>
    <row r="3525" spans="13:13">
      <c r="M3525" s="690"/>
    </row>
    <row r="3526" spans="13:13">
      <c r="M3526" s="690"/>
    </row>
    <row r="3527" spans="13:13">
      <c r="M3527" s="690"/>
    </row>
    <row r="3528" spans="13:13">
      <c r="M3528" s="690"/>
    </row>
    <row r="3529" spans="13:13">
      <c r="M3529" s="690"/>
    </row>
    <row r="3530" spans="13:13">
      <c r="M3530" s="690"/>
    </row>
    <row r="3531" spans="13:13">
      <c r="M3531" s="690"/>
    </row>
    <row r="3532" spans="13:13">
      <c r="M3532" s="690"/>
    </row>
    <row r="3533" spans="13:13">
      <c r="M3533" s="690"/>
    </row>
    <row r="3534" spans="13:13">
      <c r="M3534" s="690"/>
    </row>
    <row r="3535" spans="13:13">
      <c r="M3535" s="690"/>
    </row>
    <row r="3536" spans="13:13">
      <c r="M3536" s="690"/>
    </row>
    <row r="3537" spans="13:13">
      <c r="M3537" s="690"/>
    </row>
    <row r="3538" spans="13:13">
      <c r="M3538" s="690"/>
    </row>
    <row r="3539" spans="13:13">
      <c r="M3539" s="690"/>
    </row>
    <row r="3540" spans="13:13">
      <c r="M3540" s="690"/>
    </row>
    <row r="3541" spans="13:13">
      <c r="M3541" s="690"/>
    </row>
    <row r="3542" spans="13:13">
      <c r="M3542" s="690"/>
    </row>
    <row r="3543" spans="13:13">
      <c r="M3543" s="690"/>
    </row>
    <row r="3544" spans="13:13">
      <c r="M3544" s="690"/>
    </row>
    <row r="3545" spans="13:13">
      <c r="M3545" s="690"/>
    </row>
    <row r="3546" spans="13:13">
      <c r="M3546" s="690"/>
    </row>
    <row r="3547" spans="13:13">
      <c r="M3547" s="690"/>
    </row>
    <row r="3548" spans="13:13">
      <c r="M3548" s="690"/>
    </row>
    <row r="3549" spans="13:13">
      <c r="M3549" s="690"/>
    </row>
    <row r="3550" spans="13:13">
      <c r="M3550" s="690"/>
    </row>
    <row r="3551" spans="13:13">
      <c r="M3551" s="690"/>
    </row>
    <row r="3552" spans="13:13">
      <c r="M3552" s="690"/>
    </row>
    <row r="3553" spans="13:13">
      <c r="M3553" s="690"/>
    </row>
    <row r="3554" spans="13:13">
      <c r="M3554" s="690"/>
    </row>
    <row r="3555" spans="13:13">
      <c r="M3555" s="690"/>
    </row>
    <row r="3556" spans="13:13">
      <c r="M3556" s="690"/>
    </row>
    <row r="3557" spans="13:13">
      <c r="M3557" s="690"/>
    </row>
    <row r="3558" spans="13:13">
      <c r="M3558" s="690"/>
    </row>
    <row r="3559" spans="13:13">
      <c r="M3559" s="690"/>
    </row>
    <row r="3560" spans="13:13">
      <c r="M3560" s="690"/>
    </row>
    <row r="3561" spans="13:13">
      <c r="M3561" s="690"/>
    </row>
    <row r="3562" spans="13:13">
      <c r="M3562" s="690"/>
    </row>
    <row r="3563" spans="13:13">
      <c r="M3563" s="690"/>
    </row>
    <row r="3564" spans="13:13">
      <c r="M3564" s="690"/>
    </row>
    <row r="3565" spans="13:13">
      <c r="M3565" s="690"/>
    </row>
    <row r="3566" spans="13:13">
      <c r="M3566" s="690"/>
    </row>
    <row r="3567" spans="13:13">
      <c r="M3567" s="690"/>
    </row>
    <row r="3568" spans="13:13">
      <c r="M3568" s="690"/>
    </row>
    <row r="3569" spans="13:13">
      <c r="M3569" s="690"/>
    </row>
    <row r="3570" spans="13:13">
      <c r="M3570" s="690"/>
    </row>
    <row r="3571" spans="13:13">
      <c r="M3571" s="690"/>
    </row>
    <row r="3572" spans="13:13">
      <c r="M3572" s="690"/>
    </row>
    <row r="3573" spans="13:13">
      <c r="M3573" s="690"/>
    </row>
    <row r="3574" spans="13:13">
      <c r="M3574" s="690"/>
    </row>
    <row r="3575" spans="13:13">
      <c r="M3575" s="690"/>
    </row>
    <row r="3576" spans="13:13">
      <c r="M3576" s="690"/>
    </row>
    <row r="3577" spans="13:13">
      <c r="M3577" s="690"/>
    </row>
    <row r="3578" spans="13:13">
      <c r="M3578" s="690"/>
    </row>
    <row r="3579" spans="13:13">
      <c r="M3579" s="690"/>
    </row>
    <row r="3580" spans="13:13">
      <c r="M3580" s="690"/>
    </row>
    <row r="3581" spans="13:13">
      <c r="M3581" s="690"/>
    </row>
    <row r="3582" spans="13:13">
      <c r="M3582" s="690"/>
    </row>
    <row r="3583" spans="13:13">
      <c r="M3583" s="690"/>
    </row>
    <row r="3584" spans="13:13">
      <c r="M3584" s="690"/>
    </row>
    <row r="3585" spans="13:13">
      <c r="M3585" s="690"/>
    </row>
    <row r="3586" spans="13:13">
      <c r="M3586" s="690"/>
    </row>
    <row r="3587" spans="13:13">
      <c r="M3587" s="690"/>
    </row>
    <row r="3588" spans="13:13">
      <c r="M3588" s="690"/>
    </row>
    <row r="3589" spans="13:13">
      <c r="M3589" s="690"/>
    </row>
    <row r="3590" spans="13:13">
      <c r="M3590" s="690"/>
    </row>
    <row r="3591" spans="13:13">
      <c r="M3591" s="690"/>
    </row>
    <row r="3592" spans="13:13">
      <c r="M3592" s="690"/>
    </row>
    <row r="3593" spans="13:13">
      <c r="M3593" s="690"/>
    </row>
    <row r="3594" spans="13:13">
      <c r="M3594" s="690"/>
    </row>
    <row r="3595" spans="13:13">
      <c r="M3595" s="690"/>
    </row>
    <row r="3596" spans="13:13">
      <c r="M3596" s="690"/>
    </row>
    <row r="3597" spans="13:13">
      <c r="M3597" s="690"/>
    </row>
    <row r="3598" spans="13:13">
      <c r="M3598" s="690"/>
    </row>
    <row r="3599" spans="13:13">
      <c r="M3599" s="690"/>
    </row>
    <row r="3600" spans="13:13">
      <c r="M3600" s="690"/>
    </row>
    <row r="3601" spans="13:13">
      <c r="M3601" s="690"/>
    </row>
    <row r="3602" spans="13:13">
      <c r="M3602" s="690"/>
    </row>
    <row r="3603" spans="13:13">
      <c r="M3603" s="690"/>
    </row>
    <row r="3604" spans="13:13">
      <c r="M3604" s="690"/>
    </row>
    <row r="3605" spans="13:13">
      <c r="M3605" s="690"/>
    </row>
    <row r="3606" spans="13:13">
      <c r="M3606" s="690"/>
    </row>
    <row r="3607" spans="13:13">
      <c r="M3607" s="690"/>
    </row>
    <row r="3608" spans="13:13">
      <c r="M3608" s="690"/>
    </row>
    <row r="3609" spans="13:13">
      <c r="M3609" s="690"/>
    </row>
    <row r="3610" spans="13:13">
      <c r="M3610" s="690"/>
    </row>
    <row r="3611" spans="13:13">
      <c r="M3611" s="690"/>
    </row>
    <row r="3612" spans="13:13">
      <c r="M3612" s="690"/>
    </row>
    <row r="3613" spans="13:13">
      <c r="M3613" s="690"/>
    </row>
    <row r="3614" spans="13:13">
      <c r="M3614" s="690"/>
    </row>
    <row r="3615" spans="13:13">
      <c r="M3615" s="690"/>
    </row>
    <row r="3616" spans="13:13">
      <c r="M3616" s="690"/>
    </row>
    <row r="3617" spans="13:13">
      <c r="M3617" s="690"/>
    </row>
    <row r="3618" spans="13:13">
      <c r="M3618" s="690"/>
    </row>
    <row r="3619" spans="13:13">
      <c r="M3619" s="690"/>
    </row>
    <row r="3620" spans="13:13">
      <c r="M3620" s="690"/>
    </row>
    <row r="3621" spans="13:13">
      <c r="M3621" s="690"/>
    </row>
    <row r="3622" spans="13:13">
      <c r="M3622" s="690"/>
    </row>
    <row r="3623" spans="13:13">
      <c r="M3623" s="690"/>
    </row>
    <row r="3624" spans="13:13">
      <c r="M3624" s="690"/>
    </row>
    <row r="3625" spans="13:13">
      <c r="M3625" s="690"/>
    </row>
    <row r="3626" spans="13:13">
      <c r="M3626" s="690"/>
    </row>
    <row r="3627" spans="13:13">
      <c r="M3627" s="690"/>
    </row>
    <row r="3628" spans="13:13">
      <c r="M3628" s="690"/>
    </row>
    <row r="3629" spans="13:13">
      <c r="M3629" s="690"/>
    </row>
    <row r="3630" spans="13:13">
      <c r="M3630" s="690"/>
    </row>
    <row r="3631" spans="13:13">
      <c r="M3631" s="690"/>
    </row>
    <row r="3632" spans="13:13">
      <c r="M3632" s="690"/>
    </row>
    <row r="3633" spans="13:13">
      <c r="M3633" s="690"/>
    </row>
    <row r="3634" spans="13:13">
      <c r="M3634" s="690"/>
    </row>
    <row r="3635" spans="13:13">
      <c r="M3635" s="690"/>
    </row>
    <row r="3636" spans="13:13">
      <c r="M3636" s="690"/>
    </row>
    <row r="3637" spans="13:13">
      <c r="M3637" s="690"/>
    </row>
    <row r="3638" spans="13:13">
      <c r="M3638" s="690"/>
    </row>
    <row r="3639" spans="13:13">
      <c r="M3639" s="690"/>
    </row>
    <row r="3640" spans="13:13">
      <c r="M3640" s="690"/>
    </row>
    <row r="3641" spans="13:13">
      <c r="M3641" s="690"/>
    </row>
    <row r="3642" spans="13:13">
      <c r="M3642" s="690"/>
    </row>
    <row r="3643" spans="13:13">
      <c r="M3643" s="690"/>
    </row>
    <row r="3644" spans="13:13">
      <c r="M3644" s="690"/>
    </row>
    <row r="3645" spans="13:13">
      <c r="M3645" s="690"/>
    </row>
    <row r="3646" spans="13:13">
      <c r="M3646" s="690"/>
    </row>
    <row r="3647" spans="13:13">
      <c r="M3647" s="690"/>
    </row>
    <row r="3648" spans="13:13">
      <c r="M3648" s="690"/>
    </row>
    <row r="3649" spans="13:13">
      <c r="M3649" s="690"/>
    </row>
    <row r="3650" spans="13:13">
      <c r="M3650" s="690"/>
    </row>
    <row r="3651" spans="13:13">
      <c r="M3651" s="690"/>
    </row>
    <row r="3652" spans="13:13">
      <c r="M3652" s="690"/>
    </row>
    <row r="3653" spans="13:13">
      <c r="M3653" s="690"/>
    </row>
    <row r="3654" spans="13:13">
      <c r="M3654" s="690"/>
    </row>
    <row r="3655" spans="13:13">
      <c r="M3655" s="690"/>
    </row>
    <row r="3656" spans="13:13">
      <c r="M3656" s="690"/>
    </row>
    <row r="3657" spans="13:13">
      <c r="M3657" s="690"/>
    </row>
    <row r="3658" spans="13:13">
      <c r="M3658" s="690"/>
    </row>
    <row r="3659" spans="13:13">
      <c r="M3659" s="690"/>
    </row>
    <row r="3660" spans="13:13">
      <c r="M3660" s="690"/>
    </row>
    <row r="3661" spans="13:13">
      <c r="M3661" s="690"/>
    </row>
    <row r="3662" spans="13:13">
      <c r="M3662" s="690"/>
    </row>
    <row r="3663" spans="13:13">
      <c r="M3663" s="690"/>
    </row>
    <row r="3664" spans="13:13">
      <c r="M3664" s="690"/>
    </row>
    <row r="3665" spans="13:13">
      <c r="M3665" s="690"/>
    </row>
    <row r="3666" spans="13:13">
      <c r="M3666" s="690"/>
    </row>
    <row r="3667" spans="13:13">
      <c r="M3667" s="690"/>
    </row>
    <row r="3668" spans="13:13">
      <c r="M3668" s="690"/>
    </row>
    <row r="3669" spans="13:13">
      <c r="M3669" s="690"/>
    </row>
    <row r="3670" spans="13:13">
      <c r="M3670" s="690"/>
    </row>
    <row r="3671" spans="13:13">
      <c r="M3671" s="690"/>
    </row>
    <row r="3672" spans="13:13">
      <c r="M3672" s="690"/>
    </row>
    <row r="3673" spans="13:13">
      <c r="M3673" s="690"/>
    </row>
    <row r="3674" spans="13:13">
      <c r="M3674" s="690"/>
    </row>
    <row r="3675" spans="13:13">
      <c r="M3675" s="690"/>
    </row>
    <row r="3676" spans="13:13">
      <c r="M3676" s="690"/>
    </row>
    <row r="3677" spans="13:13">
      <c r="M3677" s="690"/>
    </row>
    <row r="3678" spans="13:13">
      <c r="M3678" s="690"/>
    </row>
    <row r="3679" spans="13:13">
      <c r="M3679" s="690"/>
    </row>
    <row r="3680" spans="13:13">
      <c r="M3680" s="690"/>
    </row>
    <row r="3681" spans="13:13">
      <c r="M3681" s="690"/>
    </row>
    <row r="3682" spans="13:13">
      <c r="M3682" s="690"/>
    </row>
    <row r="3683" spans="13:13">
      <c r="M3683" s="690"/>
    </row>
    <row r="3684" spans="13:13">
      <c r="M3684" s="690"/>
    </row>
    <row r="3685" spans="13:13">
      <c r="M3685" s="690"/>
    </row>
    <row r="3686" spans="13:13">
      <c r="M3686" s="690"/>
    </row>
    <row r="3687" spans="13:13">
      <c r="M3687" s="690"/>
    </row>
    <row r="3688" spans="13:13">
      <c r="M3688" s="690"/>
    </row>
    <row r="3689" spans="13:13">
      <c r="M3689" s="690"/>
    </row>
    <row r="3690" spans="13:13">
      <c r="M3690" s="690"/>
    </row>
    <row r="3691" spans="13:13">
      <c r="M3691" s="690"/>
    </row>
    <row r="3692" spans="13:13">
      <c r="M3692" s="690"/>
    </row>
    <row r="3693" spans="13:13">
      <c r="M3693" s="690"/>
    </row>
    <row r="3694" spans="13:13">
      <c r="M3694" s="690"/>
    </row>
    <row r="3695" spans="13:13">
      <c r="M3695" s="690"/>
    </row>
    <row r="3696" spans="13:13">
      <c r="M3696" s="690"/>
    </row>
    <row r="3697" spans="13:13">
      <c r="M3697" s="690"/>
    </row>
    <row r="3698" spans="13:13">
      <c r="M3698" s="690"/>
    </row>
    <row r="3699" spans="13:13">
      <c r="M3699" s="690"/>
    </row>
    <row r="3700" spans="13:13">
      <c r="M3700" s="690"/>
    </row>
    <row r="3701" spans="13:13">
      <c r="M3701" s="690"/>
    </row>
    <row r="3702" spans="13:13">
      <c r="M3702" s="690"/>
    </row>
    <row r="3703" spans="13:13">
      <c r="M3703" s="690"/>
    </row>
    <row r="3704" spans="13:13">
      <c r="M3704" s="690"/>
    </row>
    <row r="3705" spans="13:13">
      <c r="M3705" s="690"/>
    </row>
    <row r="3706" spans="13:13">
      <c r="M3706" s="690"/>
    </row>
    <row r="3707" spans="13:13">
      <c r="M3707" s="690"/>
    </row>
    <row r="3708" spans="13:13">
      <c r="M3708" s="690"/>
    </row>
    <row r="3709" spans="13:13">
      <c r="M3709" s="690"/>
    </row>
    <row r="3710" spans="13:13">
      <c r="M3710" s="690"/>
    </row>
    <row r="3711" spans="13:13">
      <c r="M3711" s="690"/>
    </row>
    <row r="3712" spans="13:13">
      <c r="M3712" s="690"/>
    </row>
    <row r="3713" spans="13:13">
      <c r="M3713" s="690"/>
    </row>
    <row r="3714" spans="13:13">
      <c r="M3714" s="690"/>
    </row>
    <row r="3715" spans="13:13">
      <c r="M3715" s="690"/>
    </row>
    <row r="3716" spans="13:13">
      <c r="M3716" s="690"/>
    </row>
    <row r="3717" spans="13:13">
      <c r="M3717" s="690"/>
    </row>
    <row r="3718" spans="13:13">
      <c r="M3718" s="690"/>
    </row>
    <row r="3719" spans="13:13">
      <c r="M3719" s="690"/>
    </row>
    <row r="3720" spans="13:13">
      <c r="M3720" s="690"/>
    </row>
    <row r="3721" spans="13:13">
      <c r="M3721" s="690"/>
    </row>
    <row r="3722" spans="13:13">
      <c r="M3722" s="690"/>
    </row>
    <row r="3723" spans="13:13">
      <c r="M3723" s="690"/>
    </row>
    <row r="3724" spans="13:13">
      <c r="M3724" s="690"/>
    </row>
    <row r="3725" spans="13:13">
      <c r="M3725" s="690"/>
    </row>
    <row r="3726" spans="13:13">
      <c r="M3726" s="690"/>
    </row>
    <row r="3727" spans="13:13">
      <c r="M3727" s="690"/>
    </row>
    <row r="3728" spans="13:13">
      <c r="M3728" s="690"/>
    </row>
    <row r="3729" spans="13:13">
      <c r="M3729" s="690"/>
    </row>
    <row r="3730" spans="13:13">
      <c r="M3730" s="690"/>
    </row>
    <row r="3731" spans="13:13">
      <c r="M3731" s="690"/>
    </row>
    <row r="3732" spans="13:13">
      <c r="M3732" s="690"/>
    </row>
    <row r="3733" spans="13:13">
      <c r="M3733" s="690"/>
    </row>
    <row r="3734" spans="13:13">
      <c r="M3734" s="690"/>
    </row>
    <row r="3735" spans="13:13">
      <c r="M3735" s="690"/>
    </row>
    <row r="3736" spans="13:13">
      <c r="M3736" s="690"/>
    </row>
    <row r="3737" spans="13:13">
      <c r="M3737" s="690"/>
    </row>
    <row r="3738" spans="13:13">
      <c r="M3738" s="690"/>
    </row>
    <row r="3739" spans="13:13">
      <c r="M3739" s="690"/>
    </row>
    <row r="3740" spans="13:13">
      <c r="M3740" s="690"/>
    </row>
    <row r="3741" spans="13:13">
      <c r="M3741" s="690"/>
    </row>
    <row r="3742" spans="13:13">
      <c r="M3742" s="690"/>
    </row>
    <row r="3743" spans="13:13">
      <c r="M3743" s="690"/>
    </row>
    <row r="3744" spans="13:13">
      <c r="M3744" s="690"/>
    </row>
    <row r="3745" spans="13:13">
      <c r="M3745" s="690"/>
    </row>
    <row r="3746" spans="13:13">
      <c r="M3746" s="690"/>
    </row>
    <row r="3747" spans="13:13">
      <c r="M3747" s="690"/>
    </row>
    <row r="3748" spans="13:13">
      <c r="M3748" s="690"/>
    </row>
    <row r="3749" spans="13:13">
      <c r="M3749" s="690"/>
    </row>
    <row r="3750" spans="13:13">
      <c r="M3750" s="690"/>
    </row>
    <row r="3751" spans="13:13">
      <c r="M3751" s="690"/>
    </row>
    <row r="3752" spans="13:13">
      <c r="M3752" s="690"/>
    </row>
    <row r="3753" spans="13:13">
      <c r="M3753" s="690"/>
    </row>
    <row r="3754" spans="13:13">
      <c r="M3754" s="690"/>
    </row>
    <row r="3755" spans="13:13">
      <c r="M3755" s="690"/>
    </row>
    <row r="3756" spans="13:13">
      <c r="M3756" s="690"/>
    </row>
    <row r="3757" spans="13:13">
      <c r="M3757" s="690"/>
    </row>
    <row r="3758" spans="13:13">
      <c r="M3758" s="690"/>
    </row>
    <row r="3759" spans="13:13">
      <c r="M3759" s="690"/>
    </row>
    <row r="3760" spans="13:13">
      <c r="M3760" s="690"/>
    </row>
    <row r="3761" spans="13:13">
      <c r="M3761" s="690"/>
    </row>
    <row r="3762" spans="13:13">
      <c r="M3762" s="690"/>
    </row>
    <row r="3763" spans="13:13">
      <c r="M3763" s="690"/>
    </row>
    <row r="3764" spans="13:13">
      <c r="M3764" s="690"/>
    </row>
    <row r="3765" spans="13:13">
      <c r="M3765" s="690"/>
    </row>
    <row r="3766" spans="13:13">
      <c r="M3766" s="690"/>
    </row>
    <row r="3767" spans="13:13">
      <c r="M3767" s="690"/>
    </row>
    <row r="3768" spans="13:13">
      <c r="M3768" s="690"/>
    </row>
    <row r="3769" spans="13:13">
      <c r="M3769" s="690"/>
    </row>
    <row r="3770" spans="13:13">
      <c r="M3770" s="690"/>
    </row>
    <row r="3771" spans="13:13">
      <c r="M3771" s="690"/>
    </row>
    <row r="3772" spans="13:13">
      <c r="M3772" s="690"/>
    </row>
    <row r="3773" spans="13:13">
      <c r="M3773" s="690"/>
    </row>
    <row r="3774" spans="13:13">
      <c r="M3774" s="690"/>
    </row>
    <row r="3775" spans="13:13">
      <c r="M3775" s="690"/>
    </row>
    <row r="3776" spans="13:13">
      <c r="M3776" s="690"/>
    </row>
    <row r="3777" spans="13:13">
      <c r="M3777" s="690"/>
    </row>
    <row r="3778" spans="13:13">
      <c r="M3778" s="690"/>
    </row>
    <row r="3779" spans="13:13">
      <c r="M3779" s="690"/>
    </row>
    <row r="3780" spans="13:13">
      <c r="M3780" s="690"/>
    </row>
    <row r="3781" spans="13:13">
      <c r="M3781" s="690"/>
    </row>
    <row r="3782" spans="13:13">
      <c r="M3782" s="690"/>
    </row>
    <row r="3783" spans="13:13">
      <c r="M3783" s="690"/>
    </row>
    <row r="3784" spans="13:13">
      <c r="M3784" s="690"/>
    </row>
    <row r="3785" spans="13:13">
      <c r="M3785" s="690"/>
    </row>
    <row r="3786" spans="13:13">
      <c r="M3786" s="690"/>
    </row>
    <row r="3787" spans="13:13">
      <c r="M3787" s="690"/>
    </row>
    <row r="3788" spans="13:13">
      <c r="M3788" s="690"/>
    </row>
    <row r="3789" spans="13:13">
      <c r="M3789" s="690"/>
    </row>
    <row r="3790" spans="13:13">
      <c r="M3790" s="690"/>
    </row>
    <row r="3791" spans="13:13">
      <c r="M3791" s="690"/>
    </row>
    <row r="3792" spans="13:13">
      <c r="M3792" s="690"/>
    </row>
    <row r="3793" spans="13:13">
      <c r="M3793" s="690"/>
    </row>
    <row r="3794" spans="13:13">
      <c r="M3794" s="690"/>
    </row>
    <row r="3795" spans="13:13">
      <c r="M3795" s="690"/>
    </row>
    <row r="3796" spans="13:13">
      <c r="M3796" s="690"/>
    </row>
    <row r="3797" spans="13:13">
      <c r="M3797" s="690"/>
    </row>
    <row r="3798" spans="13:13">
      <c r="M3798" s="690"/>
    </row>
    <row r="3799" spans="13:13">
      <c r="M3799" s="690"/>
    </row>
    <row r="3800" spans="13:13">
      <c r="M3800" s="690"/>
    </row>
    <row r="3801" spans="13:13">
      <c r="M3801" s="690"/>
    </row>
    <row r="3802" spans="13:13">
      <c r="M3802" s="690"/>
    </row>
    <row r="3803" spans="13:13">
      <c r="M3803" s="690"/>
    </row>
    <row r="3804" spans="13:13">
      <c r="M3804" s="690"/>
    </row>
    <row r="3805" spans="13:13">
      <c r="M3805" s="690"/>
    </row>
    <row r="3806" spans="13:13">
      <c r="M3806" s="690"/>
    </row>
    <row r="3807" spans="13:13">
      <c r="M3807" s="690"/>
    </row>
    <row r="3808" spans="13:13">
      <c r="M3808" s="690"/>
    </row>
    <row r="3809" spans="13:13">
      <c r="M3809" s="690"/>
    </row>
    <row r="3810" spans="13:13">
      <c r="M3810" s="690"/>
    </row>
    <row r="3811" spans="13:13">
      <c r="M3811" s="690"/>
    </row>
    <row r="3812" spans="13:13">
      <c r="M3812" s="690"/>
    </row>
    <row r="3813" spans="13:13">
      <c r="M3813" s="690"/>
    </row>
    <row r="3814" spans="13:13">
      <c r="M3814" s="690"/>
    </row>
    <row r="3815" spans="13:13">
      <c r="M3815" s="690"/>
    </row>
    <row r="3816" spans="13:13">
      <c r="M3816" s="690"/>
    </row>
    <row r="3817" spans="13:13">
      <c r="M3817" s="690"/>
    </row>
    <row r="3818" spans="13:13">
      <c r="M3818" s="690"/>
    </row>
    <row r="3819" spans="13:13">
      <c r="M3819" s="690"/>
    </row>
    <row r="3820" spans="13:13">
      <c r="M3820" s="690"/>
    </row>
    <row r="3821" spans="13:13">
      <c r="M3821" s="690"/>
    </row>
    <row r="3822" spans="13:13">
      <c r="M3822" s="690"/>
    </row>
    <row r="3823" spans="13:13">
      <c r="M3823" s="690"/>
    </row>
    <row r="3824" spans="13:13">
      <c r="M3824" s="690"/>
    </row>
    <row r="3825" spans="13:13">
      <c r="M3825" s="690"/>
    </row>
    <row r="3826" spans="13:13">
      <c r="M3826" s="690"/>
    </row>
    <row r="3827" spans="13:13">
      <c r="M3827" s="690"/>
    </row>
    <row r="3828" spans="13:13">
      <c r="M3828" s="690"/>
    </row>
    <row r="3829" spans="13:13">
      <c r="M3829" s="690"/>
    </row>
    <row r="3830" spans="13:13">
      <c r="M3830" s="690"/>
    </row>
    <row r="3831" spans="13:13">
      <c r="M3831" s="690"/>
    </row>
    <row r="3832" spans="13:13">
      <c r="M3832" s="690"/>
    </row>
    <row r="3833" spans="13:13">
      <c r="M3833" s="690"/>
    </row>
    <row r="3834" spans="13:13">
      <c r="M3834" s="690"/>
    </row>
    <row r="3835" spans="13:13">
      <c r="M3835" s="690"/>
    </row>
    <row r="3836" spans="13:13">
      <c r="M3836" s="690"/>
    </row>
    <row r="3837" spans="13:13">
      <c r="M3837" s="690"/>
    </row>
    <row r="3838" spans="13:13">
      <c r="M3838" s="690"/>
    </row>
    <row r="3839" spans="13:13">
      <c r="M3839" s="690"/>
    </row>
    <row r="3840" spans="13:13">
      <c r="M3840" s="690"/>
    </row>
    <row r="3841" spans="13:13">
      <c r="M3841" s="690"/>
    </row>
    <row r="3842" spans="13:13">
      <c r="M3842" s="690"/>
    </row>
    <row r="3843" spans="13:13">
      <c r="M3843" s="690"/>
    </row>
    <row r="3844" spans="13:13">
      <c r="M3844" s="690"/>
    </row>
    <row r="3845" spans="13:13">
      <c r="M3845" s="690"/>
    </row>
    <row r="3846" spans="13:13">
      <c r="M3846" s="690"/>
    </row>
    <row r="3847" spans="13:13">
      <c r="M3847" s="690"/>
    </row>
    <row r="3848" spans="13:13">
      <c r="M3848" s="690"/>
    </row>
    <row r="3849" spans="13:13">
      <c r="M3849" s="690"/>
    </row>
    <row r="3850" spans="13:13">
      <c r="M3850" s="690"/>
    </row>
    <row r="3851" spans="13:13">
      <c r="M3851" s="690"/>
    </row>
    <row r="3852" spans="13:13">
      <c r="M3852" s="690"/>
    </row>
    <row r="3853" spans="13:13">
      <c r="M3853" s="690"/>
    </row>
    <row r="3854" spans="13:13">
      <c r="M3854" s="690"/>
    </row>
    <row r="3855" spans="13:13">
      <c r="M3855" s="690"/>
    </row>
    <row r="3856" spans="13:13">
      <c r="M3856" s="690"/>
    </row>
    <row r="3857" spans="13:13">
      <c r="M3857" s="690"/>
    </row>
    <row r="3858" spans="13:13">
      <c r="M3858" s="690"/>
    </row>
    <row r="3859" spans="13:13">
      <c r="M3859" s="690"/>
    </row>
    <row r="3860" spans="13:13">
      <c r="M3860" s="690"/>
    </row>
    <row r="3861" spans="13:13">
      <c r="M3861" s="690"/>
    </row>
    <row r="3862" spans="13:13">
      <c r="M3862" s="690"/>
    </row>
    <row r="3863" spans="13:13">
      <c r="M3863" s="690"/>
    </row>
    <row r="3864" spans="13:13">
      <c r="M3864" s="690"/>
    </row>
    <row r="3865" spans="13:13">
      <c r="M3865" s="690"/>
    </row>
    <row r="3866" spans="13:13">
      <c r="M3866" s="690"/>
    </row>
    <row r="3867" spans="13:13">
      <c r="M3867" s="690"/>
    </row>
    <row r="3868" spans="13:13">
      <c r="M3868" s="690"/>
    </row>
    <row r="3869" spans="13:13">
      <c r="M3869" s="690"/>
    </row>
    <row r="3870" spans="13:13">
      <c r="M3870" s="690"/>
    </row>
    <row r="3871" spans="13:13">
      <c r="M3871" s="690"/>
    </row>
    <row r="3872" spans="13:13">
      <c r="M3872" s="690"/>
    </row>
    <row r="3873" spans="13:13">
      <c r="M3873" s="690"/>
    </row>
    <row r="3874" spans="13:13">
      <c r="M3874" s="690"/>
    </row>
    <row r="3875" spans="13:13">
      <c r="M3875" s="690"/>
    </row>
    <row r="3876" spans="13:13">
      <c r="M3876" s="690"/>
    </row>
    <row r="3877" spans="13:13">
      <c r="M3877" s="690"/>
    </row>
    <row r="3878" spans="13:13">
      <c r="M3878" s="690"/>
    </row>
    <row r="3879" spans="13:13">
      <c r="M3879" s="690"/>
    </row>
    <row r="3880" spans="13:13">
      <c r="M3880" s="690"/>
    </row>
    <row r="3881" spans="13:13">
      <c r="M3881" s="690"/>
    </row>
    <row r="3882" spans="13:13">
      <c r="M3882" s="690"/>
    </row>
    <row r="3883" spans="13:13">
      <c r="M3883" s="690"/>
    </row>
    <row r="3884" spans="13:13">
      <c r="M3884" s="690"/>
    </row>
    <row r="3885" spans="13:13">
      <c r="M3885" s="690"/>
    </row>
    <row r="3886" spans="13:13">
      <c r="M3886" s="690"/>
    </row>
    <row r="3887" spans="13:13">
      <c r="M3887" s="690"/>
    </row>
    <row r="3888" spans="13:13">
      <c r="M3888" s="690"/>
    </row>
    <row r="3889" spans="13:13">
      <c r="M3889" s="690"/>
    </row>
    <row r="3890" spans="13:13">
      <c r="M3890" s="690"/>
    </row>
    <row r="3891" spans="13:13">
      <c r="M3891" s="690"/>
    </row>
    <row r="3892" spans="13:13">
      <c r="M3892" s="690"/>
    </row>
    <row r="3893" spans="13:13">
      <c r="M3893" s="690"/>
    </row>
    <row r="3894" spans="13:13">
      <c r="M3894" s="690"/>
    </row>
    <row r="3895" spans="13:13">
      <c r="M3895" s="690"/>
    </row>
    <row r="3896" spans="13:13">
      <c r="M3896" s="690"/>
    </row>
    <row r="3897" spans="13:13">
      <c r="M3897" s="690"/>
    </row>
    <row r="3898" spans="13:13">
      <c r="M3898" s="690"/>
    </row>
    <row r="3899" spans="13:13">
      <c r="M3899" s="690"/>
    </row>
    <row r="3900" spans="13:13">
      <c r="M3900" s="690"/>
    </row>
    <row r="3901" spans="13:13">
      <c r="M3901" s="690"/>
    </row>
    <row r="3902" spans="13:13">
      <c r="M3902" s="690"/>
    </row>
    <row r="3903" spans="13:13">
      <c r="M3903" s="690"/>
    </row>
    <row r="3904" spans="13:13">
      <c r="M3904" s="690"/>
    </row>
    <row r="3905" spans="13:13">
      <c r="M3905" s="690"/>
    </row>
    <row r="3906" spans="13:13">
      <c r="M3906" s="690"/>
    </row>
    <row r="3907" spans="13:13">
      <c r="M3907" s="690"/>
    </row>
    <row r="3908" spans="13:13">
      <c r="M3908" s="690"/>
    </row>
    <row r="3909" spans="13:13">
      <c r="M3909" s="690"/>
    </row>
    <row r="3910" spans="13:13">
      <c r="M3910" s="690"/>
    </row>
    <row r="3911" spans="13:13">
      <c r="M3911" s="690"/>
    </row>
    <row r="3912" spans="13:13">
      <c r="M3912" s="690"/>
    </row>
    <row r="3913" spans="13:13">
      <c r="M3913" s="690"/>
    </row>
    <row r="3914" spans="13:13">
      <c r="M3914" s="690"/>
    </row>
    <row r="3915" spans="13:13">
      <c r="M3915" s="690"/>
    </row>
    <row r="3916" spans="13:13">
      <c r="M3916" s="690"/>
    </row>
    <row r="3917" spans="13:13">
      <c r="M3917" s="690"/>
    </row>
    <row r="3918" spans="13:13">
      <c r="M3918" s="690"/>
    </row>
    <row r="3919" spans="13:13">
      <c r="M3919" s="690"/>
    </row>
    <row r="3920" spans="13:13">
      <c r="M3920" s="690"/>
    </row>
    <row r="3921" spans="13:13">
      <c r="M3921" s="690"/>
    </row>
    <row r="3922" spans="13:13">
      <c r="M3922" s="690"/>
    </row>
    <row r="3923" spans="13:13">
      <c r="M3923" s="690"/>
    </row>
    <row r="3924" spans="13:13">
      <c r="M3924" s="690"/>
    </row>
    <row r="3925" spans="13:13">
      <c r="M3925" s="690"/>
    </row>
    <row r="3926" spans="13:13">
      <c r="M3926" s="690"/>
    </row>
    <row r="3927" spans="13:13">
      <c r="M3927" s="690"/>
    </row>
    <row r="3928" spans="13:13">
      <c r="M3928" s="690"/>
    </row>
    <row r="3929" spans="13:13">
      <c r="M3929" s="690"/>
    </row>
    <row r="3930" spans="13:13">
      <c r="M3930" s="690"/>
    </row>
    <row r="3931" spans="13:13">
      <c r="M3931" s="690"/>
    </row>
    <row r="3932" spans="13:13">
      <c r="M3932" s="690"/>
    </row>
    <row r="3933" spans="13:13">
      <c r="M3933" s="690"/>
    </row>
    <row r="3934" spans="13:13">
      <c r="M3934" s="690"/>
    </row>
    <row r="3935" spans="13:13">
      <c r="M3935" s="690"/>
    </row>
    <row r="3936" spans="13:13">
      <c r="M3936" s="690"/>
    </row>
    <row r="3937" spans="13:13">
      <c r="M3937" s="690"/>
    </row>
    <row r="3938" spans="13:13">
      <c r="M3938" s="690"/>
    </row>
    <row r="3939" spans="13:13">
      <c r="M3939" s="690"/>
    </row>
    <row r="3940" spans="13:13">
      <c r="M3940" s="690"/>
    </row>
    <row r="3941" spans="13:13">
      <c r="M3941" s="690"/>
    </row>
    <row r="3942" spans="13:13">
      <c r="M3942" s="690"/>
    </row>
    <row r="3943" spans="13:13">
      <c r="M3943" s="690"/>
    </row>
    <row r="3944" spans="13:13">
      <c r="M3944" s="690"/>
    </row>
    <row r="3945" spans="13:13">
      <c r="M3945" s="690"/>
    </row>
    <row r="3946" spans="13:13">
      <c r="M3946" s="690"/>
    </row>
    <row r="3947" spans="13:13">
      <c r="M3947" s="690"/>
    </row>
    <row r="3948" spans="13:13">
      <c r="M3948" s="690"/>
    </row>
    <row r="3949" spans="13:13">
      <c r="M3949" s="690"/>
    </row>
    <row r="3950" spans="13:13">
      <c r="M3950" s="690"/>
    </row>
    <row r="3951" spans="13:13">
      <c r="M3951" s="690"/>
    </row>
    <row r="3952" spans="13:13">
      <c r="M3952" s="690"/>
    </row>
    <row r="3953" spans="13:13">
      <c r="M3953" s="690"/>
    </row>
    <row r="3954" spans="13:13">
      <c r="M3954" s="690"/>
    </row>
    <row r="3955" spans="13:13">
      <c r="M3955" s="690"/>
    </row>
    <row r="3956" spans="13:13">
      <c r="M3956" s="690"/>
    </row>
    <row r="3957" spans="13:13">
      <c r="M3957" s="690"/>
    </row>
    <row r="3958" spans="13:13">
      <c r="M3958" s="690"/>
    </row>
    <row r="3959" spans="13:13">
      <c r="M3959" s="690"/>
    </row>
    <row r="3960" spans="13:13">
      <c r="M3960" s="690"/>
    </row>
    <row r="3961" spans="13:13">
      <c r="M3961" s="690"/>
    </row>
    <row r="3962" spans="13:13">
      <c r="M3962" s="690"/>
    </row>
    <row r="3963" spans="13:13">
      <c r="M3963" s="690"/>
    </row>
    <row r="3964" spans="13:13">
      <c r="M3964" s="690"/>
    </row>
    <row r="3965" spans="13:13">
      <c r="M3965" s="690"/>
    </row>
    <row r="3966" spans="13:13">
      <c r="M3966" s="690"/>
    </row>
    <row r="3967" spans="13:13">
      <c r="M3967" s="690"/>
    </row>
    <row r="3968" spans="13:13">
      <c r="M3968" s="690"/>
    </row>
    <row r="3969" spans="13:13">
      <c r="M3969" s="690"/>
    </row>
    <row r="3970" spans="13:13">
      <c r="M3970" s="690"/>
    </row>
    <row r="3971" spans="13:13">
      <c r="M3971" s="690"/>
    </row>
    <row r="3972" spans="13:13">
      <c r="M3972" s="690"/>
    </row>
    <row r="3973" spans="13:13">
      <c r="M3973" s="690"/>
    </row>
    <row r="3974" spans="13:13">
      <c r="M3974" s="690"/>
    </row>
    <row r="3975" spans="13:13">
      <c r="M3975" s="690"/>
    </row>
    <row r="3976" spans="13:13">
      <c r="M3976" s="690"/>
    </row>
    <row r="3977" spans="13:13">
      <c r="M3977" s="690"/>
    </row>
    <row r="3978" spans="13:13">
      <c r="M3978" s="690"/>
    </row>
    <row r="3979" spans="13:13">
      <c r="M3979" s="690"/>
    </row>
    <row r="3980" spans="13:13">
      <c r="M3980" s="690"/>
    </row>
    <row r="3981" spans="13:13">
      <c r="M3981" s="690"/>
    </row>
    <row r="3982" spans="13:13">
      <c r="M3982" s="690"/>
    </row>
    <row r="3983" spans="13:13">
      <c r="M3983" s="690"/>
    </row>
    <row r="3984" spans="13:13">
      <c r="M3984" s="690"/>
    </row>
    <row r="3985" spans="13:13">
      <c r="M3985" s="690"/>
    </row>
    <row r="3986" spans="13:13">
      <c r="M3986" s="690"/>
    </row>
    <row r="3987" spans="13:13">
      <c r="M3987" s="690"/>
    </row>
    <row r="3988" spans="13:13">
      <c r="M3988" s="690"/>
    </row>
    <row r="3989" spans="13:13">
      <c r="M3989" s="690"/>
    </row>
    <row r="3990" spans="13:13">
      <c r="M3990" s="690"/>
    </row>
    <row r="3991" spans="13:13">
      <c r="M3991" s="690"/>
    </row>
    <row r="3992" spans="13:13">
      <c r="M3992" s="690"/>
    </row>
    <row r="3993" spans="13:13">
      <c r="M3993" s="690"/>
    </row>
    <row r="3994" spans="13:13">
      <c r="M3994" s="690"/>
    </row>
    <row r="3995" spans="13:13">
      <c r="M3995" s="690"/>
    </row>
    <row r="3996" spans="13:13">
      <c r="M3996" s="690"/>
    </row>
    <row r="3997" spans="13:13">
      <c r="M3997" s="690"/>
    </row>
    <row r="3998" spans="13:13">
      <c r="M3998" s="690"/>
    </row>
    <row r="3999" spans="13:13">
      <c r="M3999" s="690"/>
    </row>
    <row r="4000" spans="13:13">
      <c r="M4000" s="690"/>
    </row>
    <row r="4001" spans="13:13">
      <c r="M4001" s="690"/>
    </row>
    <row r="4002" spans="13:13">
      <c r="M4002" s="690"/>
    </row>
    <row r="4003" spans="13:13">
      <c r="M4003" s="690"/>
    </row>
    <row r="4004" spans="13:13">
      <c r="M4004" s="690"/>
    </row>
    <row r="4005" spans="13:13">
      <c r="M4005" s="690"/>
    </row>
    <row r="4006" spans="13:13">
      <c r="M4006" s="690"/>
    </row>
    <row r="4007" spans="13:13">
      <c r="M4007" s="690"/>
    </row>
    <row r="4008" spans="13:13">
      <c r="M4008" s="690"/>
    </row>
    <row r="4009" spans="13:13">
      <c r="M4009" s="690"/>
    </row>
    <row r="4010" spans="13:13">
      <c r="M4010" s="690"/>
    </row>
    <row r="4011" spans="13:13">
      <c r="M4011" s="690"/>
    </row>
    <row r="4012" spans="13:13">
      <c r="M4012" s="690"/>
    </row>
    <row r="4013" spans="13:13">
      <c r="M4013" s="690"/>
    </row>
    <row r="4014" spans="13:13">
      <c r="M4014" s="690"/>
    </row>
    <row r="4015" spans="13:13">
      <c r="M4015" s="690"/>
    </row>
    <row r="4016" spans="13:13">
      <c r="M4016" s="690"/>
    </row>
    <row r="4017" spans="13:13">
      <c r="M4017" s="690"/>
    </row>
    <row r="4018" spans="13:13">
      <c r="M4018" s="690"/>
    </row>
    <row r="4019" spans="13:13">
      <c r="M4019" s="690"/>
    </row>
    <row r="4020" spans="13:13">
      <c r="M4020" s="690"/>
    </row>
    <row r="4021" spans="13:13">
      <c r="M4021" s="690"/>
    </row>
    <row r="4022" spans="13:13">
      <c r="M4022" s="690"/>
    </row>
    <row r="4023" spans="13:13">
      <c r="M4023" s="690"/>
    </row>
    <row r="4024" spans="13:13">
      <c r="M4024" s="690"/>
    </row>
    <row r="4025" spans="13:13">
      <c r="M4025" s="690"/>
    </row>
    <row r="4026" spans="13:13">
      <c r="M4026" s="690"/>
    </row>
    <row r="4027" spans="13:13">
      <c r="M4027" s="690"/>
    </row>
    <row r="4028" spans="13:13">
      <c r="M4028" s="690"/>
    </row>
    <row r="4029" spans="13:13">
      <c r="M4029" s="690"/>
    </row>
    <row r="4030" spans="13:13">
      <c r="M4030" s="690"/>
    </row>
    <row r="4031" spans="13:13">
      <c r="M4031" s="690"/>
    </row>
    <row r="4032" spans="13:13">
      <c r="M4032" s="690"/>
    </row>
    <row r="4033" spans="13:13">
      <c r="M4033" s="690"/>
    </row>
    <row r="4034" spans="13:13">
      <c r="M4034" s="690"/>
    </row>
    <row r="4035" spans="13:13">
      <c r="M4035" s="690"/>
    </row>
    <row r="4036" spans="13:13">
      <c r="M4036" s="690"/>
    </row>
    <row r="4037" spans="13:13">
      <c r="M4037" s="690"/>
    </row>
    <row r="4038" spans="13:13">
      <c r="M4038" s="690"/>
    </row>
    <row r="4039" spans="13:13">
      <c r="M4039" s="690"/>
    </row>
    <row r="4040" spans="13:13">
      <c r="M4040" s="690"/>
    </row>
    <row r="4041" spans="13:13">
      <c r="M4041" s="690"/>
    </row>
    <row r="4042" spans="13:13">
      <c r="M4042" s="690"/>
    </row>
    <row r="4043" spans="13:13">
      <c r="M4043" s="690"/>
    </row>
    <row r="4044" spans="13:13">
      <c r="M4044" s="690"/>
    </row>
    <row r="4045" spans="13:13">
      <c r="M4045" s="690"/>
    </row>
    <row r="4046" spans="13:13">
      <c r="M4046" s="690"/>
    </row>
    <row r="4047" spans="13:13">
      <c r="M4047" s="690"/>
    </row>
    <row r="4048" spans="13:13">
      <c r="M4048" s="690"/>
    </row>
    <row r="4049" spans="13:13">
      <c r="M4049" s="690"/>
    </row>
    <row r="4050" spans="13:13">
      <c r="M4050" s="690"/>
    </row>
    <row r="4051" spans="13:13">
      <c r="M4051" s="690"/>
    </row>
    <row r="4052" spans="13:13">
      <c r="M4052" s="690"/>
    </row>
    <row r="4053" spans="13:13">
      <c r="M4053" s="690"/>
    </row>
    <row r="4054" spans="13:13">
      <c r="M4054" s="690"/>
    </row>
    <row r="4055" spans="13:13">
      <c r="M4055" s="690"/>
    </row>
    <row r="4056" spans="13:13">
      <c r="M4056" s="690"/>
    </row>
    <row r="4057" spans="13:13">
      <c r="M4057" s="690"/>
    </row>
    <row r="4058" spans="13:13">
      <c r="M4058" s="690"/>
    </row>
    <row r="4059" spans="13:13">
      <c r="M4059" s="690"/>
    </row>
    <row r="4060" spans="13:13">
      <c r="M4060" s="690"/>
    </row>
    <row r="4061" spans="13:13">
      <c r="M4061" s="690"/>
    </row>
    <row r="4062" spans="13:13">
      <c r="M4062" s="690"/>
    </row>
    <row r="4063" spans="13:13">
      <c r="M4063" s="690"/>
    </row>
    <row r="4064" spans="13:13">
      <c r="M4064" s="690"/>
    </row>
    <row r="4065" spans="13:13">
      <c r="M4065" s="690"/>
    </row>
    <row r="4066" spans="13:13">
      <c r="M4066" s="690"/>
    </row>
    <row r="4067" spans="13:13">
      <c r="M4067" s="690"/>
    </row>
    <row r="4068" spans="13:13">
      <c r="M4068" s="690"/>
    </row>
    <row r="4069" spans="13:13">
      <c r="M4069" s="690"/>
    </row>
    <row r="4070" spans="13:13">
      <c r="M4070" s="690"/>
    </row>
    <row r="4071" spans="13:13">
      <c r="M4071" s="690"/>
    </row>
    <row r="4072" spans="13:13">
      <c r="M4072" s="690"/>
    </row>
    <row r="4073" spans="13:13">
      <c r="M4073" s="690"/>
    </row>
    <row r="4074" spans="13:13">
      <c r="M4074" s="690"/>
    </row>
    <row r="4075" spans="13:13">
      <c r="M4075" s="690"/>
    </row>
    <row r="4076" spans="13:13">
      <c r="M4076" s="690"/>
    </row>
    <row r="4077" spans="13:13">
      <c r="M4077" s="690"/>
    </row>
    <row r="4078" spans="13:13">
      <c r="M4078" s="690"/>
    </row>
    <row r="4079" spans="13:13">
      <c r="M4079" s="690"/>
    </row>
    <row r="4080" spans="13:13">
      <c r="M4080" s="690"/>
    </row>
    <row r="4081" spans="13:13">
      <c r="M4081" s="690"/>
    </row>
    <row r="4082" spans="13:13">
      <c r="M4082" s="690"/>
    </row>
    <row r="4083" spans="13:13">
      <c r="M4083" s="690"/>
    </row>
    <row r="4084" spans="13:13">
      <c r="M4084" s="690"/>
    </row>
    <row r="4085" spans="13:13">
      <c r="M4085" s="690"/>
    </row>
    <row r="4086" spans="13:13">
      <c r="M4086" s="690"/>
    </row>
    <row r="4087" spans="13:13">
      <c r="M4087" s="690"/>
    </row>
    <row r="4088" spans="13:13">
      <c r="M4088" s="690"/>
    </row>
    <row r="4089" spans="13:13">
      <c r="M4089" s="690"/>
    </row>
    <row r="4090" spans="13:13">
      <c r="M4090" s="690"/>
    </row>
    <row r="4091" spans="13:13">
      <c r="M4091" s="690"/>
    </row>
    <row r="4092" spans="13:13">
      <c r="M4092" s="690"/>
    </row>
    <row r="4093" spans="13:13">
      <c r="M4093" s="690"/>
    </row>
    <row r="4094" spans="13:13">
      <c r="M4094" s="690"/>
    </row>
    <row r="4095" spans="13:13">
      <c r="M4095" s="690"/>
    </row>
    <row r="4096" spans="13:13">
      <c r="M4096" s="690"/>
    </row>
    <row r="4097" spans="13:13">
      <c r="M4097" s="690"/>
    </row>
    <row r="4098" spans="13:13">
      <c r="M4098" s="690"/>
    </row>
    <row r="4099" spans="13:13">
      <c r="M4099" s="690"/>
    </row>
    <row r="4100" spans="13:13">
      <c r="M4100" s="690"/>
    </row>
    <row r="4101" spans="13:13">
      <c r="M4101" s="690"/>
    </row>
    <row r="4102" spans="13:13">
      <c r="M4102" s="690"/>
    </row>
    <row r="4103" spans="13:13">
      <c r="M4103" s="690"/>
    </row>
    <row r="4104" spans="13:13">
      <c r="M4104" s="690"/>
    </row>
    <row r="4105" spans="13:13">
      <c r="M4105" s="690"/>
    </row>
    <row r="4106" spans="13:13">
      <c r="M4106" s="690"/>
    </row>
    <row r="4107" spans="13:13">
      <c r="M4107" s="690"/>
    </row>
    <row r="4108" spans="13:13">
      <c r="M4108" s="690"/>
    </row>
    <row r="4109" spans="13:13">
      <c r="M4109" s="690"/>
    </row>
    <row r="4110" spans="13:13">
      <c r="M4110" s="690"/>
    </row>
    <row r="4111" spans="13:13">
      <c r="M4111" s="690"/>
    </row>
    <row r="4112" spans="13:13">
      <c r="M4112" s="690"/>
    </row>
    <row r="4113" spans="13:13">
      <c r="M4113" s="690"/>
    </row>
    <row r="4114" spans="13:13">
      <c r="M4114" s="690"/>
    </row>
    <row r="4115" spans="13:13">
      <c r="M4115" s="690"/>
    </row>
    <row r="4116" spans="13:13">
      <c r="M4116" s="690"/>
    </row>
    <row r="4117" spans="13:13">
      <c r="M4117" s="690"/>
    </row>
    <row r="4118" spans="13:13">
      <c r="M4118" s="690"/>
    </row>
    <row r="4119" spans="13:13">
      <c r="M4119" s="690"/>
    </row>
    <row r="4120" spans="13:13">
      <c r="M4120" s="690"/>
    </row>
    <row r="4121" spans="13:13">
      <c r="M4121" s="690"/>
    </row>
    <row r="4122" spans="13:13">
      <c r="M4122" s="690"/>
    </row>
    <row r="4123" spans="13:13">
      <c r="M4123" s="690"/>
    </row>
    <row r="4124" spans="13:13">
      <c r="M4124" s="690"/>
    </row>
    <row r="4125" spans="13:13">
      <c r="M4125" s="690"/>
    </row>
    <row r="4126" spans="13:13">
      <c r="M4126" s="690"/>
    </row>
    <row r="4127" spans="13:13">
      <c r="M4127" s="690"/>
    </row>
    <row r="4128" spans="13:13">
      <c r="M4128" s="690"/>
    </row>
    <row r="4129" spans="13:13">
      <c r="M4129" s="690"/>
    </row>
    <row r="4130" spans="13:13">
      <c r="M4130" s="690"/>
    </row>
    <row r="4131" spans="13:13">
      <c r="M4131" s="690"/>
    </row>
    <row r="4132" spans="13:13">
      <c r="M4132" s="690"/>
    </row>
    <row r="4133" spans="13:13">
      <c r="M4133" s="690"/>
    </row>
    <row r="4134" spans="13:13">
      <c r="M4134" s="690"/>
    </row>
    <row r="4135" spans="13:13">
      <c r="M4135" s="690"/>
    </row>
    <row r="4136" spans="13:13">
      <c r="M4136" s="690"/>
    </row>
    <row r="4137" spans="13:13">
      <c r="M4137" s="690"/>
    </row>
    <row r="4138" spans="13:13">
      <c r="M4138" s="690"/>
    </row>
    <row r="4139" spans="13:13">
      <c r="M4139" s="690"/>
    </row>
    <row r="4140" spans="13:13">
      <c r="M4140" s="690"/>
    </row>
    <row r="4141" spans="13:13">
      <c r="M4141" s="690"/>
    </row>
    <row r="4142" spans="13:13">
      <c r="M4142" s="690"/>
    </row>
    <row r="4143" spans="13:13">
      <c r="M4143" s="690"/>
    </row>
    <row r="4144" spans="13:13">
      <c r="M4144" s="690"/>
    </row>
    <row r="4145" spans="13:13">
      <c r="M4145" s="690"/>
    </row>
    <row r="4146" spans="13:13">
      <c r="M4146" s="690"/>
    </row>
    <row r="4147" spans="13:13">
      <c r="M4147" s="690"/>
    </row>
    <row r="4148" spans="13:13">
      <c r="M4148" s="690"/>
    </row>
    <row r="4149" spans="13:13">
      <c r="M4149" s="690"/>
    </row>
    <row r="4150" spans="13:13">
      <c r="M4150" s="690"/>
    </row>
    <row r="4151" spans="13:13">
      <c r="M4151" s="690"/>
    </row>
    <row r="4152" spans="13:13">
      <c r="M4152" s="690"/>
    </row>
    <row r="4153" spans="13:13">
      <c r="M4153" s="690"/>
    </row>
    <row r="4154" spans="13:13">
      <c r="M4154" s="690"/>
    </row>
    <row r="4155" spans="13:13">
      <c r="M4155" s="690"/>
    </row>
    <row r="4156" spans="13:13">
      <c r="M4156" s="690"/>
    </row>
    <row r="4157" spans="13:13">
      <c r="M4157" s="690"/>
    </row>
    <row r="4158" spans="13:13">
      <c r="M4158" s="690"/>
    </row>
    <row r="4159" spans="13:13">
      <c r="M4159" s="690"/>
    </row>
    <row r="4160" spans="13:13">
      <c r="M4160" s="690"/>
    </row>
    <row r="4161" spans="13:13">
      <c r="M4161" s="690"/>
    </row>
    <row r="4162" spans="13:13">
      <c r="M4162" s="690"/>
    </row>
    <row r="4163" spans="13:13">
      <c r="M4163" s="690"/>
    </row>
    <row r="4164" spans="13:13">
      <c r="M4164" s="690"/>
    </row>
    <row r="4165" spans="13:13">
      <c r="M4165" s="690"/>
    </row>
    <row r="4166" spans="13:13">
      <c r="M4166" s="690"/>
    </row>
    <row r="4167" spans="13:13">
      <c r="M4167" s="690"/>
    </row>
    <row r="4168" spans="13:13">
      <c r="M4168" s="690"/>
    </row>
    <row r="4169" spans="13:13">
      <c r="M4169" s="690"/>
    </row>
    <row r="4170" spans="13:13">
      <c r="M4170" s="690"/>
    </row>
    <row r="4171" spans="13:13">
      <c r="M4171" s="690"/>
    </row>
    <row r="4172" spans="13:13">
      <c r="M4172" s="690"/>
    </row>
    <row r="4173" spans="13:13">
      <c r="M4173" s="690"/>
    </row>
    <row r="4174" spans="13:13">
      <c r="M4174" s="690"/>
    </row>
    <row r="4175" spans="13:13">
      <c r="M4175" s="690"/>
    </row>
    <row r="4176" spans="13:13">
      <c r="M4176" s="690"/>
    </row>
    <row r="4177" spans="13:13">
      <c r="M4177" s="690"/>
    </row>
    <row r="4178" spans="13:13">
      <c r="M4178" s="690"/>
    </row>
    <row r="4179" spans="13:13">
      <c r="M4179" s="690"/>
    </row>
    <row r="4180" spans="13:13">
      <c r="M4180" s="690"/>
    </row>
    <row r="4181" spans="13:13">
      <c r="M4181" s="690"/>
    </row>
    <row r="4182" spans="13:13">
      <c r="M4182" s="690"/>
    </row>
    <row r="4183" spans="13:13">
      <c r="M4183" s="690"/>
    </row>
    <row r="4184" spans="13:13">
      <c r="M4184" s="690"/>
    </row>
    <row r="4185" spans="13:13">
      <c r="M4185" s="690"/>
    </row>
    <row r="4186" spans="13:13">
      <c r="M4186" s="690"/>
    </row>
    <row r="4187" spans="13:13">
      <c r="M4187" s="690"/>
    </row>
    <row r="4188" spans="13:13">
      <c r="M4188" s="690"/>
    </row>
    <row r="4189" spans="13:13">
      <c r="M4189" s="690"/>
    </row>
    <row r="4190" spans="13:13">
      <c r="M4190" s="690"/>
    </row>
    <row r="4191" spans="13:13">
      <c r="M4191" s="690"/>
    </row>
    <row r="4192" spans="13:13">
      <c r="M4192" s="690"/>
    </row>
    <row r="4193" spans="13:13">
      <c r="M4193" s="690"/>
    </row>
    <row r="4194" spans="13:13">
      <c r="M4194" s="690"/>
    </row>
    <row r="4195" spans="13:13">
      <c r="M4195" s="690"/>
    </row>
    <row r="4196" spans="13:13">
      <c r="M4196" s="690"/>
    </row>
    <row r="4197" spans="13:13">
      <c r="M4197" s="690"/>
    </row>
    <row r="4198" spans="13:13">
      <c r="M4198" s="690"/>
    </row>
    <row r="4199" spans="13:13">
      <c r="M4199" s="690"/>
    </row>
    <row r="4200" spans="13:13">
      <c r="M4200" s="690"/>
    </row>
    <row r="4201" spans="13:13">
      <c r="M4201" s="690"/>
    </row>
    <row r="4202" spans="13:13">
      <c r="M4202" s="690"/>
    </row>
    <row r="4203" spans="13:13">
      <c r="M4203" s="690"/>
    </row>
    <row r="4204" spans="13:13">
      <c r="M4204" s="690"/>
    </row>
    <row r="4205" spans="13:13">
      <c r="M4205" s="690"/>
    </row>
    <row r="4206" spans="13:13">
      <c r="M4206" s="690"/>
    </row>
    <row r="4207" spans="13:13">
      <c r="M4207" s="690"/>
    </row>
    <row r="4208" spans="13:13">
      <c r="M4208" s="690"/>
    </row>
    <row r="4209" spans="13:13">
      <c r="M4209" s="690"/>
    </row>
    <row r="4210" spans="13:13">
      <c r="M4210" s="690"/>
    </row>
    <row r="4211" spans="13:13">
      <c r="M4211" s="690"/>
    </row>
    <row r="4212" spans="13:13">
      <c r="M4212" s="690"/>
    </row>
    <row r="4213" spans="13:13">
      <c r="M4213" s="690"/>
    </row>
    <row r="4214" spans="13:13">
      <c r="M4214" s="690"/>
    </row>
    <row r="4215" spans="13:13">
      <c r="M4215" s="690"/>
    </row>
    <row r="4216" spans="13:13">
      <c r="M4216" s="690"/>
    </row>
    <row r="4217" spans="13:13">
      <c r="M4217" s="690"/>
    </row>
    <row r="4218" spans="13:13">
      <c r="M4218" s="690"/>
    </row>
    <row r="4219" spans="13:13">
      <c r="M4219" s="690"/>
    </row>
    <row r="4220" spans="13:13">
      <c r="M4220" s="690"/>
    </row>
    <row r="4221" spans="13:13">
      <c r="M4221" s="690"/>
    </row>
    <row r="4222" spans="13:13">
      <c r="M4222" s="690"/>
    </row>
    <row r="4223" spans="13:13">
      <c r="M4223" s="690"/>
    </row>
    <row r="4224" spans="13:13">
      <c r="M4224" s="690"/>
    </row>
    <row r="4225" spans="13:13">
      <c r="M4225" s="690"/>
    </row>
    <row r="4226" spans="13:13">
      <c r="M4226" s="690"/>
    </row>
    <row r="4227" spans="13:13">
      <c r="M4227" s="690"/>
    </row>
    <row r="4228" spans="13:13">
      <c r="M4228" s="690"/>
    </row>
    <row r="4229" spans="13:13">
      <c r="M4229" s="690"/>
    </row>
    <row r="4230" spans="13:13">
      <c r="M4230" s="690"/>
    </row>
    <row r="4231" spans="13:13">
      <c r="M4231" s="690"/>
    </row>
    <row r="4232" spans="13:13">
      <c r="M4232" s="690"/>
    </row>
    <row r="4233" spans="13:13">
      <c r="M4233" s="690"/>
    </row>
    <row r="4234" spans="13:13">
      <c r="M4234" s="690"/>
    </row>
    <row r="4235" spans="13:13">
      <c r="M4235" s="690"/>
    </row>
    <row r="4236" spans="13:13">
      <c r="M4236" s="690"/>
    </row>
    <row r="4237" spans="13:13">
      <c r="M4237" s="690"/>
    </row>
    <row r="4238" spans="13:13">
      <c r="M4238" s="690"/>
    </row>
    <row r="4239" spans="13:13">
      <c r="M4239" s="690"/>
    </row>
    <row r="4240" spans="13:13">
      <c r="M4240" s="690"/>
    </row>
    <row r="4241" spans="13:13">
      <c r="M4241" s="690"/>
    </row>
    <row r="4242" spans="13:13">
      <c r="M4242" s="690"/>
    </row>
    <row r="4243" spans="13:13">
      <c r="M4243" s="690"/>
    </row>
    <row r="4244" spans="13:13">
      <c r="M4244" s="690"/>
    </row>
    <row r="4245" spans="13:13">
      <c r="M4245" s="690"/>
    </row>
    <row r="4246" spans="13:13">
      <c r="M4246" s="690"/>
    </row>
    <row r="4247" spans="13:13">
      <c r="M4247" s="690"/>
    </row>
    <row r="4248" spans="13:13">
      <c r="M4248" s="690"/>
    </row>
    <row r="4249" spans="13:13">
      <c r="M4249" s="690"/>
    </row>
    <row r="4250" spans="13:13">
      <c r="M4250" s="690"/>
    </row>
    <row r="4251" spans="13:13">
      <c r="M4251" s="690"/>
    </row>
    <row r="4252" spans="13:13">
      <c r="M4252" s="690"/>
    </row>
    <row r="4253" spans="13:13">
      <c r="M4253" s="690"/>
    </row>
    <row r="4254" spans="13:13">
      <c r="M4254" s="690"/>
    </row>
    <row r="4255" spans="13:13">
      <c r="M4255" s="690"/>
    </row>
    <row r="4256" spans="13:13">
      <c r="M4256" s="690"/>
    </row>
    <row r="4257" spans="13:13">
      <c r="M4257" s="690"/>
    </row>
    <row r="4258" spans="13:13">
      <c r="M4258" s="690"/>
    </row>
    <row r="4259" spans="13:13">
      <c r="M4259" s="690"/>
    </row>
    <row r="4260" spans="13:13">
      <c r="M4260" s="690"/>
    </row>
    <row r="4261" spans="13:13">
      <c r="M4261" s="690"/>
    </row>
    <row r="4262" spans="13:13">
      <c r="M4262" s="690"/>
    </row>
    <row r="4263" spans="13:13">
      <c r="M4263" s="690"/>
    </row>
    <row r="4264" spans="13:13">
      <c r="M4264" s="690"/>
    </row>
    <row r="4265" spans="13:13">
      <c r="M4265" s="690"/>
    </row>
    <row r="4266" spans="13:13">
      <c r="M4266" s="690"/>
    </row>
    <row r="4267" spans="13:13">
      <c r="M4267" s="690"/>
    </row>
    <row r="4268" spans="13:13">
      <c r="M4268" s="690"/>
    </row>
    <row r="4269" spans="13:13">
      <c r="M4269" s="690"/>
    </row>
    <row r="4270" spans="13:13">
      <c r="M4270" s="690"/>
    </row>
    <row r="4271" spans="13:13">
      <c r="M4271" s="690"/>
    </row>
    <row r="4272" spans="13:13">
      <c r="M4272" s="690"/>
    </row>
    <row r="4273" spans="13:13">
      <c r="M4273" s="690"/>
    </row>
    <row r="4274" spans="13:13">
      <c r="M4274" s="690"/>
    </row>
    <row r="4275" spans="13:13">
      <c r="M4275" s="690"/>
    </row>
    <row r="4276" spans="13:13">
      <c r="M4276" s="690"/>
    </row>
    <row r="4277" spans="13:13">
      <c r="M4277" s="690"/>
    </row>
    <row r="4278" spans="13:13">
      <c r="M4278" s="690"/>
    </row>
    <row r="4279" spans="13:13">
      <c r="M4279" s="690"/>
    </row>
    <row r="4280" spans="13:13">
      <c r="M4280" s="690"/>
    </row>
    <row r="4281" spans="13:13">
      <c r="M4281" s="690"/>
    </row>
    <row r="4282" spans="13:13">
      <c r="M4282" s="690"/>
    </row>
    <row r="4283" spans="13:13">
      <c r="M4283" s="690"/>
    </row>
    <row r="4284" spans="13:13">
      <c r="M4284" s="690"/>
    </row>
    <row r="4285" spans="13:13">
      <c r="M4285" s="690"/>
    </row>
    <row r="4286" spans="13:13">
      <c r="M4286" s="690"/>
    </row>
    <row r="4287" spans="13:13">
      <c r="M4287" s="690"/>
    </row>
    <row r="4288" spans="13:13">
      <c r="M4288" s="690"/>
    </row>
    <row r="4289" spans="13:13">
      <c r="M4289" s="690"/>
    </row>
    <row r="4290" spans="13:13">
      <c r="M4290" s="690"/>
    </row>
    <row r="4291" spans="13:13">
      <c r="M4291" s="690"/>
    </row>
    <row r="4292" spans="13:13">
      <c r="M4292" s="690"/>
    </row>
    <row r="4293" spans="13:13">
      <c r="M4293" s="690"/>
    </row>
    <row r="4294" spans="13:13">
      <c r="M4294" s="690"/>
    </row>
    <row r="4295" spans="13:13">
      <c r="M4295" s="690"/>
    </row>
    <row r="4296" spans="13:13">
      <c r="M4296" s="690"/>
    </row>
    <row r="4297" spans="13:13">
      <c r="M4297" s="690"/>
    </row>
    <row r="4298" spans="13:13">
      <c r="M4298" s="690"/>
    </row>
    <row r="4299" spans="13:13">
      <c r="M4299" s="690"/>
    </row>
    <row r="4300" spans="13:13">
      <c r="M4300" s="690"/>
    </row>
    <row r="4301" spans="13:13">
      <c r="M4301" s="690"/>
    </row>
    <row r="4302" spans="13:13">
      <c r="M4302" s="690"/>
    </row>
    <row r="4303" spans="13:13">
      <c r="M4303" s="690"/>
    </row>
    <row r="4304" spans="13:13">
      <c r="M4304" s="690"/>
    </row>
    <row r="4305" spans="13:13">
      <c r="M4305" s="690"/>
    </row>
    <row r="4306" spans="13:13">
      <c r="M4306" s="690"/>
    </row>
    <row r="4307" spans="13:13">
      <c r="M4307" s="690"/>
    </row>
    <row r="4308" spans="13:13">
      <c r="M4308" s="690"/>
    </row>
    <row r="4309" spans="13:13">
      <c r="M4309" s="690"/>
    </row>
    <row r="4310" spans="13:13">
      <c r="M4310" s="690"/>
    </row>
    <row r="4311" spans="13:13">
      <c r="M4311" s="690"/>
    </row>
    <row r="4312" spans="13:13">
      <c r="M4312" s="690"/>
    </row>
    <row r="4313" spans="13:13">
      <c r="M4313" s="690"/>
    </row>
    <row r="4314" spans="13:13">
      <c r="M4314" s="690"/>
    </row>
    <row r="4315" spans="13:13">
      <c r="M4315" s="690"/>
    </row>
    <row r="4316" spans="13:13">
      <c r="M4316" s="690"/>
    </row>
    <row r="4317" spans="13:13">
      <c r="M4317" s="690"/>
    </row>
    <row r="4318" spans="13:13">
      <c r="M4318" s="690"/>
    </row>
    <row r="4319" spans="13:13">
      <c r="M4319" s="690"/>
    </row>
    <row r="4320" spans="13:13">
      <c r="M4320" s="690"/>
    </row>
    <row r="4321" spans="13:13">
      <c r="M4321" s="690"/>
    </row>
    <row r="4322" spans="13:13">
      <c r="M4322" s="690"/>
    </row>
    <row r="4323" spans="13:13">
      <c r="M4323" s="690"/>
    </row>
    <row r="4324" spans="13:13">
      <c r="M4324" s="690"/>
    </row>
    <row r="4325" spans="13:13">
      <c r="M4325" s="690"/>
    </row>
    <row r="4326" spans="13:13">
      <c r="M4326" s="690"/>
    </row>
    <row r="4327" spans="13:13">
      <c r="M4327" s="690"/>
    </row>
    <row r="4328" spans="13:13">
      <c r="M4328" s="690"/>
    </row>
    <row r="4329" spans="13:13">
      <c r="M4329" s="690"/>
    </row>
    <row r="4330" spans="13:13">
      <c r="M4330" s="690"/>
    </row>
    <row r="4331" spans="13:13">
      <c r="M4331" s="690"/>
    </row>
    <row r="4332" spans="13:13">
      <c r="M4332" s="690"/>
    </row>
    <row r="4333" spans="13:13">
      <c r="M4333" s="690"/>
    </row>
    <row r="4334" spans="13:13">
      <c r="M4334" s="690"/>
    </row>
    <row r="4335" spans="13:13">
      <c r="M4335" s="690"/>
    </row>
    <row r="4336" spans="13:13">
      <c r="M4336" s="690"/>
    </row>
    <row r="4337" spans="13:13">
      <c r="M4337" s="690"/>
    </row>
    <row r="4338" spans="13:13">
      <c r="M4338" s="690"/>
    </row>
    <row r="4339" spans="13:13">
      <c r="M4339" s="690"/>
    </row>
    <row r="4340" spans="13:13">
      <c r="M4340" s="690"/>
    </row>
    <row r="4341" spans="13:13">
      <c r="M4341" s="690"/>
    </row>
    <row r="4342" spans="13:13">
      <c r="M4342" s="690"/>
    </row>
    <row r="4343" spans="13:13">
      <c r="M4343" s="690"/>
    </row>
    <row r="4344" spans="13:13">
      <c r="M4344" s="690"/>
    </row>
    <row r="4345" spans="13:13">
      <c r="M4345" s="690"/>
    </row>
    <row r="4346" spans="13:13">
      <c r="M4346" s="690"/>
    </row>
    <row r="4347" spans="13:13">
      <c r="M4347" s="690"/>
    </row>
    <row r="4348" spans="13:13">
      <c r="M4348" s="690"/>
    </row>
    <row r="4349" spans="13:13">
      <c r="M4349" s="690"/>
    </row>
    <row r="4350" spans="13:13">
      <c r="M4350" s="690"/>
    </row>
    <row r="4351" spans="13:13">
      <c r="M4351" s="690"/>
    </row>
    <row r="4352" spans="13:13">
      <c r="M4352" s="690"/>
    </row>
    <row r="4353" spans="13:13">
      <c r="M4353" s="690"/>
    </row>
    <row r="4354" spans="13:13">
      <c r="M4354" s="690"/>
    </row>
    <row r="4355" spans="13:13">
      <c r="M4355" s="690"/>
    </row>
    <row r="4356" spans="13:13">
      <c r="M4356" s="690"/>
    </row>
    <row r="4357" spans="13:13">
      <c r="M4357" s="690"/>
    </row>
    <row r="4358" spans="13:13">
      <c r="M4358" s="690"/>
    </row>
    <row r="4359" spans="13:13">
      <c r="M4359" s="690"/>
    </row>
    <row r="4360" spans="13:13">
      <c r="M4360" s="690"/>
    </row>
    <row r="4361" spans="13:13">
      <c r="M4361" s="690"/>
    </row>
    <row r="4362" spans="13:13">
      <c r="M4362" s="690"/>
    </row>
    <row r="4363" spans="13:13">
      <c r="M4363" s="690"/>
    </row>
    <row r="4364" spans="13:13">
      <c r="M4364" s="690"/>
    </row>
    <row r="4365" spans="13:13">
      <c r="M4365" s="690"/>
    </row>
    <row r="4366" spans="13:13">
      <c r="M4366" s="690"/>
    </row>
    <row r="4367" spans="13:13">
      <c r="M4367" s="690"/>
    </row>
    <row r="4368" spans="13:13">
      <c r="M4368" s="690"/>
    </row>
    <row r="4369" spans="13:13">
      <c r="M4369" s="690"/>
    </row>
    <row r="4370" spans="13:13">
      <c r="M4370" s="690"/>
    </row>
    <row r="4371" spans="13:13">
      <c r="M4371" s="690"/>
    </row>
    <row r="4372" spans="13:13">
      <c r="M4372" s="690"/>
    </row>
    <row r="4373" spans="13:13">
      <c r="M4373" s="690"/>
    </row>
    <row r="4374" spans="13:13">
      <c r="M4374" s="690"/>
    </row>
    <row r="4375" spans="13:13">
      <c r="M4375" s="690"/>
    </row>
    <row r="4376" spans="13:13">
      <c r="M4376" s="690"/>
    </row>
    <row r="4377" spans="13:13">
      <c r="M4377" s="690"/>
    </row>
    <row r="4378" spans="13:13">
      <c r="M4378" s="690"/>
    </row>
    <row r="4379" spans="13:13">
      <c r="M4379" s="690"/>
    </row>
    <row r="4380" spans="13:13">
      <c r="M4380" s="690"/>
    </row>
    <row r="4381" spans="13:13">
      <c r="M4381" s="690"/>
    </row>
    <row r="4382" spans="13:13">
      <c r="M4382" s="690"/>
    </row>
    <row r="4383" spans="13:13">
      <c r="M4383" s="690"/>
    </row>
    <row r="4384" spans="13:13">
      <c r="M4384" s="690"/>
    </row>
    <row r="4385" spans="13:13">
      <c r="M4385" s="690"/>
    </row>
    <row r="4386" spans="13:13">
      <c r="M4386" s="690"/>
    </row>
    <row r="4387" spans="13:13">
      <c r="M4387" s="690"/>
    </row>
    <row r="4388" spans="13:13">
      <c r="M4388" s="690"/>
    </row>
    <row r="4389" spans="13:13">
      <c r="M4389" s="690"/>
    </row>
    <row r="4390" spans="13:13">
      <c r="M4390" s="690"/>
    </row>
    <row r="4391" spans="13:13">
      <c r="M4391" s="690"/>
    </row>
    <row r="4392" spans="13:13">
      <c r="M4392" s="690"/>
    </row>
    <row r="4393" spans="13:13">
      <c r="M4393" s="690"/>
    </row>
    <row r="4394" spans="13:13">
      <c r="M4394" s="690"/>
    </row>
    <row r="4395" spans="13:13">
      <c r="M4395" s="690"/>
    </row>
    <row r="4396" spans="13:13">
      <c r="M4396" s="690"/>
    </row>
    <row r="4397" spans="13:13">
      <c r="M4397" s="690"/>
    </row>
    <row r="4398" spans="13:13">
      <c r="M4398" s="690"/>
    </row>
    <row r="4399" spans="13:13">
      <c r="M4399" s="690"/>
    </row>
    <row r="4400" spans="13:13">
      <c r="M4400" s="690"/>
    </row>
    <row r="4401" spans="13:13">
      <c r="M4401" s="690"/>
    </row>
    <row r="4402" spans="13:13">
      <c r="M4402" s="690"/>
    </row>
    <row r="4403" spans="13:13">
      <c r="M4403" s="690"/>
    </row>
    <row r="4404" spans="13:13">
      <c r="M4404" s="690"/>
    </row>
    <row r="4405" spans="13:13">
      <c r="M4405" s="690"/>
    </row>
    <row r="4406" spans="13:13">
      <c r="M4406" s="690"/>
    </row>
    <row r="4407" spans="13:13">
      <c r="M4407" s="690"/>
    </row>
    <row r="4408" spans="13:13">
      <c r="M4408" s="690"/>
    </row>
    <row r="4409" spans="13:13">
      <c r="M4409" s="690"/>
    </row>
    <row r="4410" spans="13:13">
      <c r="M4410" s="690"/>
    </row>
    <row r="4411" spans="13:13">
      <c r="M4411" s="690"/>
    </row>
    <row r="4412" spans="13:13">
      <c r="M4412" s="690"/>
    </row>
    <row r="4413" spans="13:13">
      <c r="M4413" s="690"/>
    </row>
    <row r="4414" spans="13:13">
      <c r="M4414" s="690"/>
    </row>
    <row r="4415" spans="13:13">
      <c r="M4415" s="690"/>
    </row>
    <row r="4416" spans="13:13">
      <c r="M4416" s="690"/>
    </row>
    <row r="4417" spans="13:13">
      <c r="M4417" s="690"/>
    </row>
    <row r="4418" spans="13:13">
      <c r="M4418" s="690"/>
    </row>
    <row r="4419" spans="13:13">
      <c r="M4419" s="690"/>
    </row>
    <row r="4420" spans="13:13">
      <c r="M4420" s="690"/>
    </row>
    <row r="4421" spans="13:13">
      <c r="M4421" s="690"/>
    </row>
    <row r="4422" spans="13:13">
      <c r="M4422" s="690"/>
    </row>
    <row r="4423" spans="13:13">
      <c r="M4423" s="690"/>
    </row>
    <row r="4424" spans="13:13">
      <c r="M4424" s="690"/>
    </row>
    <row r="4425" spans="13:13">
      <c r="M4425" s="690"/>
    </row>
    <row r="4426" spans="13:13">
      <c r="M4426" s="690"/>
    </row>
    <row r="4427" spans="13:13">
      <c r="M4427" s="690"/>
    </row>
    <row r="4428" spans="13:13">
      <c r="M4428" s="690"/>
    </row>
    <row r="4429" spans="13:13">
      <c r="M4429" s="690"/>
    </row>
    <row r="4430" spans="13:13">
      <c r="M4430" s="690"/>
    </row>
    <row r="4431" spans="13:13">
      <c r="M4431" s="690"/>
    </row>
    <row r="4432" spans="13:13">
      <c r="M4432" s="690"/>
    </row>
    <row r="4433" spans="13:13">
      <c r="M4433" s="690"/>
    </row>
    <row r="4434" spans="13:13">
      <c r="M4434" s="690"/>
    </row>
    <row r="4435" spans="13:13">
      <c r="M4435" s="690"/>
    </row>
    <row r="4436" spans="13:13">
      <c r="M4436" s="690"/>
    </row>
    <row r="4437" spans="13:13">
      <c r="M4437" s="690"/>
    </row>
    <row r="4438" spans="13:13">
      <c r="M4438" s="690"/>
    </row>
    <row r="4439" spans="13:13">
      <c r="M4439" s="690"/>
    </row>
    <row r="4440" spans="13:13">
      <c r="M4440" s="690"/>
    </row>
    <row r="4441" spans="13:13">
      <c r="M4441" s="690"/>
    </row>
    <row r="4442" spans="13:13">
      <c r="M4442" s="690"/>
    </row>
    <row r="4443" spans="13:13">
      <c r="M4443" s="690"/>
    </row>
    <row r="4444" spans="13:13">
      <c r="M4444" s="690"/>
    </row>
    <row r="4445" spans="13:13">
      <c r="M4445" s="690"/>
    </row>
    <row r="4446" spans="13:13">
      <c r="M4446" s="690"/>
    </row>
    <row r="4447" spans="13:13">
      <c r="M4447" s="690"/>
    </row>
    <row r="4448" spans="13:13">
      <c r="M4448" s="690"/>
    </row>
    <row r="4449" spans="13:13">
      <c r="M4449" s="690"/>
    </row>
    <row r="4450" spans="13:13">
      <c r="M4450" s="690"/>
    </row>
    <row r="4451" spans="13:13">
      <c r="M4451" s="690"/>
    </row>
    <row r="4452" spans="13:13">
      <c r="M4452" s="690"/>
    </row>
    <row r="4453" spans="13:13">
      <c r="M4453" s="690"/>
    </row>
    <row r="4454" spans="13:13">
      <c r="M4454" s="690"/>
    </row>
    <row r="4455" spans="13:13">
      <c r="M4455" s="690"/>
    </row>
    <row r="4456" spans="13:13">
      <c r="M4456" s="690"/>
    </row>
    <row r="4457" spans="13:13">
      <c r="M4457" s="690"/>
    </row>
    <row r="4458" spans="13:13">
      <c r="M4458" s="690"/>
    </row>
    <row r="4459" spans="13:13">
      <c r="M4459" s="690"/>
    </row>
    <row r="4460" spans="13:13">
      <c r="M4460" s="690"/>
    </row>
    <row r="4461" spans="13:13">
      <c r="M4461" s="690"/>
    </row>
    <row r="4462" spans="13:13">
      <c r="M4462" s="690"/>
    </row>
    <row r="4463" spans="13:13">
      <c r="M4463" s="690"/>
    </row>
    <row r="4464" spans="13:13">
      <c r="M4464" s="690"/>
    </row>
    <row r="4465" spans="13:13">
      <c r="M4465" s="690"/>
    </row>
    <row r="4466" spans="13:13">
      <c r="M4466" s="690"/>
    </row>
    <row r="4467" spans="13:13">
      <c r="M4467" s="690"/>
    </row>
    <row r="4468" spans="13:13">
      <c r="M4468" s="690"/>
    </row>
    <row r="4469" spans="13:13">
      <c r="M4469" s="690"/>
    </row>
    <row r="4470" spans="13:13">
      <c r="M4470" s="690"/>
    </row>
    <row r="4471" spans="13:13">
      <c r="M4471" s="690"/>
    </row>
    <row r="4472" spans="13:13">
      <c r="M4472" s="690"/>
    </row>
    <row r="4473" spans="13:13">
      <c r="M4473" s="690"/>
    </row>
    <row r="4474" spans="13:13">
      <c r="M4474" s="690"/>
    </row>
    <row r="4475" spans="13:13">
      <c r="M4475" s="690"/>
    </row>
    <row r="4476" spans="13:13">
      <c r="M4476" s="690"/>
    </row>
    <row r="4477" spans="13:13">
      <c r="M4477" s="690"/>
    </row>
    <row r="4478" spans="13:13">
      <c r="M4478" s="690"/>
    </row>
    <row r="4479" spans="13:13">
      <c r="M4479" s="690"/>
    </row>
    <row r="4480" spans="13:13">
      <c r="M4480" s="690"/>
    </row>
    <row r="4481" spans="13:13">
      <c r="M4481" s="690"/>
    </row>
    <row r="4482" spans="13:13">
      <c r="M4482" s="690"/>
    </row>
    <row r="4483" spans="13:13">
      <c r="M4483" s="690"/>
    </row>
    <row r="4484" spans="13:13">
      <c r="M4484" s="690"/>
    </row>
    <row r="4485" spans="13:13">
      <c r="M4485" s="690"/>
    </row>
    <row r="4486" spans="13:13">
      <c r="M4486" s="690"/>
    </row>
    <row r="4487" spans="13:13">
      <c r="M4487" s="690"/>
    </row>
    <row r="4488" spans="13:13">
      <c r="M4488" s="690"/>
    </row>
    <row r="4489" spans="13:13">
      <c r="M4489" s="690"/>
    </row>
    <row r="4490" spans="13:13">
      <c r="M4490" s="690"/>
    </row>
    <row r="4491" spans="13:13">
      <c r="M4491" s="690"/>
    </row>
    <row r="4492" spans="13:13">
      <c r="M4492" s="690"/>
    </row>
    <row r="4493" spans="13:13">
      <c r="M4493" s="690"/>
    </row>
    <row r="4494" spans="13:13">
      <c r="M4494" s="690"/>
    </row>
    <row r="4495" spans="13:13">
      <c r="M4495" s="690"/>
    </row>
    <row r="4496" spans="13:13">
      <c r="M4496" s="690"/>
    </row>
    <row r="4497" spans="13:13">
      <c r="M4497" s="690"/>
    </row>
    <row r="4498" spans="13:13">
      <c r="M4498" s="690"/>
    </row>
    <row r="4499" spans="13:13">
      <c r="M4499" s="690"/>
    </row>
    <row r="4500" spans="13:13">
      <c r="M4500" s="690"/>
    </row>
    <row r="4501" spans="13:13">
      <c r="M4501" s="690"/>
    </row>
    <row r="4502" spans="13:13">
      <c r="M4502" s="690"/>
    </row>
    <row r="4503" spans="13:13">
      <c r="M4503" s="690"/>
    </row>
    <row r="4504" spans="13:13">
      <c r="M4504" s="690"/>
    </row>
    <row r="4505" spans="13:13">
      <c r="M4505" s="690"/>
    </row>
    <row r="4506" spans="13:13">
      <c r="M4506" s="690"/>
    </row>
    <row r="4507" spans="13:13">
      <c r="M4507" s="690"/>
    </row>
    <row r="4508" spans="13:13">
      <c r="M4508" s="690"/>
    </row>
    <row r="4509" spans="13:13">
      <c r="M4509" s="690"/>
    </row>
    <row r="4510" spans="13:13">
      <c r="M4510" s="690"/>
    </row>
    <row r="4511" spans="13:13">
      <c r="M4511" s="690"/>
    </row>
    <row r="4512" spans="13:13">
      <c r="M4512" s="690"/>
    </row>
    <row r="4513" spans="13:13">
      <c r="M4513" s="690"/>
    </row>
    <row r="4514" spans="13:13">
      <c r="M4514" s="690"/>
    </row>
    <row r="4515" spans="13:13">
      <c r="M4515" s="690"/>
    </row>
    <row r="4516" spans="13:13">
      <c r="M4516" s="690"/>
    </row>
    <row r="4517" spans="13:13">
      <c r="M4517" s="690"/>
    </row>
    <row r="4518" spans="13:13">
      <c r="M4518" s="690"/>
    </row>
    <row r="4519" spans="13:13">
      <c r="M4519" s="690"/>
    </row>
    <row r="4520" spans="13:13">
      <c r="M4520" s="690"/>
    </row>
    <row r="4521" spans="13:13">
      <c r="M4521" s="690"/>
    </row>
    <row r="4522" spans="13:13">
      <c r="M4522" s="690"/>
    </row>
    <row r="4523" spans="13:13">
      <c r="M4523" s="690"/>
    </row>
    <row r="4524" spans="13:13">
      <c r="M4524" s="690"/>
    </row>
    <row r="4525" spans="13:13">
      <c r="M4525" s="690"/>
    </row>
    <row r="4526" spans="13:13">
      <c r="M4526" s="690"/>
    </row>
    <row r="4527" spans="13:13">
      <c r="M4527" s="690"/>
    </row>
    <row r="4528" spans="13:13">
      <c r="M4528" s="690"/>
    </row>
    <row r="4529" spans="13:13">
      <c r="M4529" s="690"/>
    </row>
    <row r="4530" spans="13:13">
      <c r="M4530" s="690"/>
    </row>
    <row r="4531" spans="13:13">
      <c r="M4531" s="690"/>
    </row>
    <row r="4532" spans="13:13">
      <c r="M4532" s="690"/>
    </row>
    <row r="4533" spans="13:13">
      <c r="M4533" s="690"/>
    </row>
    <row r="4534" spans="13:13">
      <c r="M4534" s="690"/>
    </row>
    <row r="4535" spans="13:13">
      <c r="M4535" s="690"/>
    </row>
    <row r="4536" spans="13:13">
      <c r="M4536" s="690"/>
    </row>
    <row r="4537" spans="13:13">
      <c r="M4537" s="690"/>
    </row>
    <row r="4538" spans="13:13">
      <c r="M4538" s="690"/>
    </row>
    <row r="4539" spans="13:13">
      <c r="M4539" s="690"/>
    </row>
    <row r="4540" spans="13:13">
      <c r="M4540" s="690"/>
    </row>
    <row r="4541" spans="13:13">
      <c r="M4541" s="690"/>
    </row>
    <row r="4542" spans="13:13">
      <c r="M4542" s="690"/>
    </row>
    <row r="4543" spans="13:13">
      <c r="M4543" s="690"/>
    </row>
    <row r="4544" spans="13:13">
      <c r="M4544" s="690"/>
    </row>
    <row r="4545" spans="13:13">
      <c r="M4545" s="690"/>
    </row>
    <row r="4546" spans="13:13">
      <c r="M4546" s="690"/>
    </row>
    <row r="4547" spans="13:13">
      <c r="M4547" s="690"/>
    </row>
    <row r="4548" spans="13:13">
      <c r="M4548" s="690"/>
    </row>
    <row r="4549" spans="13:13">
      <c r="M4549" s="690"/>
    </row>
    <row r="4550" spans="13:13">
      <c r="M4550" s="690"/>
    </row>
    <row r="4551" spans="13:13">
      <c r="M4551" s="690"/>
    </row>
    <row r="4552" spans="13:13">
      <c r="M4552" s="690"/>
    </row>
    <row r="4553" spans="13:13">
      <c r="M4553" s="690"/>
    </row>
    <row r="4554" spans="13:13">
      <c r="M4554" s="690"/>
    </row>
    <row r="4555" spans="13:13">
      <c r="M4555" s="690"/>
    </row>
    <row r="4556" spans="13:13">
      <c r="M4556" s="690"/>
    </row>
    <row r="4557" spans="13:13">
      <c r="M4557" s="690"/>
    </row>
    <row r="4558" spans="13:13">
      <c r="M4558" s="690"/>
    </row>
    <row r="4559" spans="13:13">
      <c r="M4559" s="690"/>
    </row>
    <row r="4560" spans="13:13">
      <c r="M4560" s="690"/>
    </row>
    <row r="4561" spans="13:13">
      <c r="M4561" s="690"/>
    </row>
    <row r="4562" spans="13:13">
      <c r="M4562" s="690"/>
    </row>
    <row r="4563" spans="13:13">
      <c r="M4563" s="690"/>
    </row>
    <row r="4564" spans="13:13">
      <c r="M4564" s="690"/>
    </row>
    <row r="4565" spans="13:13">
      <c r="M4565" s="690"/>
    </row>
    <row r="4566" spans="13:13">
      <c r="M4566" s="690"/>
    </row>
    <row r="4567" spans="13:13">
      <c r="M4567" s="690"/>
    </row>
    <row r="4568" spans="13:13">
      <c r="M4568" s="690"/>
    </row>
    <row r="4569" spans="13:13">
      <c r="M4569" s="690"/>
    </row>
    <row r="4570" spans="13:13">
      <c r="M4570" s="690"/>
    </row>
    <row r="4571" spans="13:13">
      <c r="M4571" s="690"/>
    </row>
    <row r="4572" spans="13:13">
      <c r="M4572" s="690"/>
    </row>
    <row r="4573" spans="13:13">
      <c r="M4573" s="690"/>
    </row>
    <row r="4574" spans="13:13">
      <c r="M4574" s="690"/>
    </row>
    <row r="4575" spans="13:13">
      <c r="M4575" s="690"/>
    </row>
    <row r="4576" spans="13:13">
      <c r="M4576" s="690"/>
    </row>
    <row r="4577" spans="13:13">
      <c r="M4577" s="690"/>
    </row>
    <row r="4578" spans="13:13">
      <c r="M4578" s="690"/>
    </row>
    <row r="4579" spans="13:13">
      <c r="M4579" s="690"/>
    </row>
    <row r="4580" spans="13:13">
      <c r="M4580" s="690"/>
    </row>
    <row r="4581" spans="13:13">
      <c r="M4581" s="690"/>
    </row>
    <row r="4582" spans="13:13">
      <c r="M4582" s="690"/>
    </row>
    <row r="4583" spans="13:13">
      <c r="M4583" s="690"/>
    </row>
    <row r="4584" spans="13:13">
      <c r="M4584" s="690"/>
    </row>
    <row r="4585" spans="13:13">
      <c r="M4585" s="690"/>
    </row>
    <row r="4586" spans="13:13">
      <c r="M4586" s="690"/>
    </row>
    <row r="4587" spans="13:13">
      <c r="M4587" s="690"/>
    </row>
    <row r="4588" spans="13:13">
      <c r="M4588" s="690"/>
    </row>
    <row r="4589" spans="13:13">
      <c r="M4589" s="690"/>
    </row>
    <row r="4590" spans="13:13">
      <c r="M4590" s="690"/>
    </row>
    <row r="4591" spans="13:13">
      <c r="M4591" s="690"/>
    </row>
    <row r="4592" spans="13:13">
      <c r="M4592" s="690"/>
    </row>
    <row r="4593" spans="13:13">
      <c r="M4593" s="690"/>
    </row>
    <row r="4594" spans="13:13">
      <c r="M4594" s="690"/>
    </row>
    <row r="4595" spans="13:13">
      <c r="M4595" s="690"/>
    </row>
    <row r="4596" spans="13:13">
      <c r="M4596" s="690"/>
    </row>
    <row r="4597" spans="13:13">
      <c r="M4597" s="690"/>
    </row>
    <row r="4598" spans="13:13">
      <c r="M4598" s="690"/>
    </row>
    <row r="4599" spans="13:13">
      <c r="M4599" s="690"/>
    </row>
    <row r="4600" spans="13:13">
      <c r="M4600" s="690"/>
    </row>
    <row r="4601" spans="13:13">
      <c r="M4601" s="690"/>
    </row>
    <row r="4602" spans="13:13">
      <c r="M4602" s="690"/>
    </row>
    <row r="4603" spans="13:13">
      <c r="M4603" s="690"/>
    </row>
    <row r="4604" spans="13:13">
      <c r="M4604" s="690"/>
    </row>
    <row r="4605" spans="13:13">
      <c r="M4605" s="690"/>
    </row>
    <row r="4606" spans="13:13">
      <c r="M4606" s="690"/>
    </row>
    <row r="4607" spans="13:13">
      <c r="M4607" s="690"/>
    </row>
    <row r="4608" spans="13:13">
      <c r="M4608" s="690"/>
    </row>
    <row r="4609" spans="13:13">
      <c r="M4609" s="690"/>
    </row>
    <row r="4610" spans="13:13">
      <c r="M4610" s="690"/>
    </row>
    <row r="4611" spans="13:13">
      <c r="M4611" s="690"/>
    </row>
    <row r="4612" spans="13:13">
      <c r="M4612" s="690"/>
    </row>
    <row r="4613" spans="13:13">
      <c r="M4613" s="690"/>
    </row>
    <row r="4614" spans="13:13">
      <c r="M4614" s="690"/>
    </row>
    <row r="4615" spans="13:13">
      <c r="M4615" s="690"/>
    </row>
    <row r="4616" spans="13:13">
      <c r="M4616" s="690"/>
    </row>
    <row r="4617" spans="13:13">
      <c r="M4617" s="690"/>
    </row>
    <row r="4618" spans="13:13">
      <c r="M4618" s="690"/>
    </row>
    <row r="4619" spans="13:13">
      <c r="M4619" s="690"/>
    </row>
    <row r="4620" spans="13:13">
      <c r="M4620" s="690"/>
    </row>
    <row r="4621" spans="13:13">
      <c r="M4621" s="690"/>
    </row>
    <row r="4622" spans="13:13">
      <c r="M4622" s="690"/>
    </row>
    <row r="4623" spans="13:13">
      <c r="M4623" s="690"/>
    </row>
    <row r="4624" spans="13:13">
      <c r="M4624" s="690"/>
    </row>
    <row r="4625" spans="13:13">
      <c r="M4625" s="690"/>
    </row>
    <row r="4626" spans="13:13">
      <c r="M4626" s="690"/>
    </row>
    <row r="4627" spans="13:13">
      <c r="M4627" s="690"/>
    </row>
    <row r="4628" spans="13:13">
      <c r="M4628" s="690"/>
    </row>
    <row r="4629" spans="13:13">
      <c r="M4629" s="690"/>
    </row>
    <row r="4630" spans="13:13">
      <c r="M4630" s="690"/>
    </row>
    <row r="4631" spans="13:13">
      <c r="M4631" s="690"/>
    </row>
    <row r="4632" spans="13:13">
      <c r="M4632" s="690"/>
    </row>
    <row r="4633" spans="13:13">
      <c r="M4633" s="690"/>
    </row>
    <row r="4634" spans="13:13">
      <c r="M4634" s="690"/>
    </row>
    <row r="4635" spans="13:13">
      <c r="M4635" s="690"/>
    </row>
    <row r="4636" spans="13:13">
      <c r="M4636" s="690"/>
    </row>
    <row r="4637" spans="13:13">
      <c r="M4637" s="690"/>
    </row>
    <row r="4638" spans="13:13">
      <c r="M4638" s="690"/>
    </row>
    <row r="4639" spans="13:13">
      <c r="M4639" s="690"/>
    </row>
    <row r="4640" spans="13:13">
      <c r="M4640" s="690"/>
    </row>
    <row r="4641" spans="13:13">
      <c r="M4641" s="690"/>
    </row>
    <row r="4642" spans="13:13">
      <c r="M4642" s="690"/>
    </row>
    <row r="4643" spans="13:13">
      <c r="M4643" s="690"/>
    </row>
    <row r="4644" spans="13:13">
      <c r="M4644" s="690"/>
    </row>
    <row r="4645" spans="13:13">
      <c r="M4645" s="690"/>
    </row>
    <row r="4646" spans="13:13">
      <c r="M4646" s="690"/>
    </row>
    <row r="4647" spans="13:13">
      <c r="M4647" s="690"/>
    </row>
    <row r="4648" spans="13:13">
      <c r="M4648" s="690"/>
    </row>
    <row r="4649" spans="13:13">
      <c r="M4649" s="690"/>
    </row>
    <row r="4650" spans="13:13">
      <c r="M4650" s="690"/>
    </row>
    <row r="4651" spans="13:13">
      <c r="M4651" s="690"/>
    </row>
    <row r="4652" spans="13:13">
      <c r="M4652" s="690"/>
    </row>
    <row r="4653" spans="13:13">
      <c r="M4653" s="690"/>
    </row>
    <row r="4654" spans="13:13">
      <c r="M4654" s="690"/>
    </row>
    <row r="4655" spans="13:13">
      <c r="M4655" s="690"/>
    </row>
    <row r="4656" spans="13:13">
      <c r="M4656" s="690"/>
    </row>
    <row r="4657" spans="13:13">
      <c r="M4657" s="690"/>
    </row>
    <row r="4658" spans="13:13">
      <c r="M4658" s="690"/>
    </row>
    <row r="4659" spans="13:13">
      <c r="M4659" s="690"/>
    </row>
    <row r="4660" spans="13:13">
      <c r="M4660" s="690"/>
    </row>
    <row r="4661" spans="13:13">
      <c r="M4661" s="690"/>
    </row>
    <row r="4662" spans="13:13">
      <c r="M4662" s="690"/>
    </row>
    <row r="4663" spans="13:13">
      <c r="M4663" s="690"/>
    </row>
    <row r="4664" spans="13:13">
      <c r="M4664" s="690"/>
    </row>
    <row r="4665" spans="13:13">
      <c r="M4665" s="690"/>
    </row>
    <row r="4666" spans="13:13">
      <c r="M4666" s="690"/>
    </row>
    <row r="4667" spans="13:13">
      <c r="M4667" s="690"/>
    </row>
    <row r="4668" spans="13:13">
      <c r="M4668" s="690"/>
    </row>
    <row r="4669" spans="13:13">
      <c r="M4669" s="690"/>
    </row>
    <row r="4670" spans="13:13">
      <c r="M4670" s="690"/>
    </row>
    <row r="4671" spans="13:13">
      <c r="M4671" s="690"/>
    </row>
    <row r="4672" spans="13:13">
      <c r="M4672" s="690"/>
    </row>
    <row r="4673" spans="13:13">
      <c r="M4673" s="690"/>
    </row>
    <row r="4674" spans="13:13">
      <c r="M4674" s="690"/>
    </row>
    <row r="4675" spans="13:13">
      <c r="M4675" s="690"/>
    </row>
    <row r="4676" spans="13:13">
      <c r="M4676" s="690"/>
    </row>
    <row r="4677" spans="13:13">
      <c r="M4677" s="690"/>
    </row>
    <row r="4678" spans="13:13">
      <c r="M4678" s="690"/>
    </row>
    <row r="4679" spans="13:13">
      <c r="M4679" s="690"/>
    </row>
    <row r="4680" spans="13:13">
      <c r="M4680" s="690"/>
    </row>
    <row r="4681" spans="13:13">
      <c r="M4681" s="690"/>
    </row>
    <row r="4682" spans="13:13">
      <c r="M4682" s="690"/>
    </row>
    <row r="4683" spans="13:13">
      <c r="M4683" s="690"/>
    </row>
    <row r="4684" spans="13:13">
      <c r="M4684" s="690"/>
    </row>
    <row r="4685" spans="13:13">
      <c r="M4685" s="690"/>
    </row>
    <row r="4686" spans="13:13">
      <c r="M4686" s="690"/>
    </row>
    <row r="4687" spans="13:13">
      <c r="M4687" s="690"/>
    </row>
    <row r="4688" spans="13:13">
      <c r="M4688" s="690"/>
    </row>
    <row r="4689" spans="13:13">
      <c r="M4689" s="690"/>
    </row>
    <row r="4690" spans="13:13">
      <c r="M4690" s="690"/>
    </row>
    <row r="4691" spans="13:13">
      <c r="M4691" s="690"/>
    </row>
    <row r="4692" spans="13:13">
      <c r="M4692" s="690"/>
    </row>
    <row r="4693" spans="13:13">
      <c r="M4693" s="690"/>
    </row>
    <row r="4694" spans="13:13">
      <c r="M4694" s="690"/>
    </row>
    <row r="4695" spans="13:13">
      <c r="M4695" s="690"/>
    </row>
    <row r="4696" spans="13:13">
      <c r="M4696" s="690"/>
    </row>
    <row r="4697" spans="13:13">
      <c r="M4697" s="690"/>
    </row>
    <row r="4698" spans="13:13">
      <c r="M4698" s="690"/>
    </row>
    <row r="4699" spans="13:13">
      <c r="M4699" s="690"/>
    </row>
    <row r="4700" spans="13:13">
      <c r="M4700" s="690"/>
    </row>
    <row r="4701" spans="13:13">
      <c r="M4701" s="690"/>
    </row>
    <row r="4702" spans="13:13">
      <c r="M4702" s="690"/>
    </row>
    <row r="4703" spans="13:13">
      <c r="M4703" s="690"/>
    </row>
    <row r="4704" spans="13:13">
      <c r="M4704" s="690"/>
    </row>
    <row r="4705" spans="13:13">
      <c r="M4705" s="690"/>
    </row>
    <row r="4706" spans="13:13">
      <c r="M4706" s="690"/>
    </row>
    <row r="4707" spans="13:13">
      <c r="M4707" s="690"/>
    </row>
    <row r="4708" spans="13:13">
      <c r="M4708" s="690"/>
    </row>
    <row r="4709" spans="13:13">
      <c r="M4709" s="690"/>
    </row>
    <row r="4710" spans="13:13">
      <c r="M4710" s="690"/>
    </row>
    <row r="4711" spans="13:13">
      <c r="M4711" s="690"/>
    </row>
    <row r="4712" spans="13:13">
      <c r="M4712" s="690"/>
    </row>
    <row r="4713" spans="13:13">
      <c r="M4713" s="690"/>
    </row>
    <row r="4714" spans="13:13">
      <c r="M4714" s="690"/>
    </row>
    <row r="4715" spans="13:13">
      <c r="M4715" s="690"/>
    </row>
    <row r="4716" spans="13:13">
      <c r="M4716" s="690"/>
    </row>
    <row r="4717" spans="13:13">
      <c r="M4717" s="690"/>
    </row>
    <row r="4718" spans="13:13">
      <c r="M4718" s="690"/>
    </row>
    <row r="4719" spans="13:13">
      <c r="M4719" s="690"/>
    </row>
    <row r="4720" spans="13:13">
      <c r="M4720" s="690"/>
    </row>
    <row r="4721" spans="13:13">
      <c r="M4721" s="690"/>
    </row>
    <row r="4722" spans="13:13">
      <c r="M4722" s="690"/>
    </row>
    <row r="4723" spans="13:13">
      <c r="M4723" s="690"/>
    </row>
    <row r="4724" spans="13:13">
      <c r="M4724" s="690"/>
    </row>
    <row r="4725" spans="13:13">
      <c r="M4725" s="690"/>
    </row>
    <row r="4726" spans="13:13">
      <c r="M4726" s="690"/>
    </row>
    <row r="4727" spans="13:13">
      <c r="M4727" s="690"/>
    </row>
    <row r="4728" spans="13:13">
      <c r="M4728" s="690"/>
    </row>
    <row r="4729" spans="13:13">
      <c r="M4729" s="690"/>
    </row>
    <row r="4730" spans="13:13">
      <c r="M4730" s="690"/>
    </row>
    <row r="4731" spans="13:13">
      <c r="M4731" s="690"/>
    </row>
    <row r="4732" spans="13:13">
      <c r="M4732" s="690"/>
    </row>
    <row r="4733" spans="13:13">
      <c r="M4733" s="690"/>
    </row>
    <row r="4734" spans="13:13">
      <c r="M4734" s="690"/>
    </row>
    <row r="4735" spans="13:13">
      <c r="M4735" s="690"/>
    </row>
    <row r="4736" spans="13:13">
      <c r="M4736" s="690"/>
    </row>
    <row r="4737" spans="13:13">
      <c r="M4737" s="690"/>
    </row>
    <row r="4738" spans="13:13">
      <c r="M4738" s="690"/>
    </row>
    <row r="4739" spans="13:13">
      <c r="M4739" s="690"/>
    </row>
    <row r="4740" spans="13:13">
      <c r="M4740" s="690"/>
    </row>
    <row r="4741" spans="13:13">
      <c r="M4741" s="690"/>
    </row>
    <row r="4742" spans="13:13">
      <c r="M4742" s="690"/>
    </row>
    <row r="4743" spans="13:13">
      <c r="M4743" s="690"/>
    </row>
    <row r="4744" spans="13:13">
      <c r="M4744" s="690"/>
    </row>
    <row r="4745" spans="13:13">
      <c r="M4745" s="690"/>
    </row>
    <row r="4746" spans="13:13">
      <c r="M4746" s="690"/>
    </row>
    <row r="4747" spans="13:13">
      <c r="M4747" s="690"/>
    </row>
    <row r="4748" spans="13:13">
      <c r="M4748" s="690"/>
    </row>
    <row r="4749" spans="13:13">
      <c r="M4749" s="690"/>
    </row>
    <row r="4750" spans="13:13">
      <c r="M4750" s="690"/>
    </row>
    <row r="4751" spans="13:13">
      <c r="M4751" s="690"/>
    </row>
    <row r="4752" spans="13:13">
      <c r="M4752" s="690"/>
    </row>
    <row r="4753" spans="13:13">
      <c r="M4753" s="690"/>
    </row>
    <row r="4754" spans="13:13">
      <c r="M4754" s="690"/>
    </row>
    <row r="4755" spans="13:13">
      <c r="M4755" s="690"/>
    </row>
    <row r="4756" spans="13:13">
      <c r="M4756" s="690"/>
    </row>
    <row r="4757" spans="13:13">
      <c r="M4757" s="690"/>
    </row>
    <row r="4758" spans="13:13">
      <c r="M4758" s="690"/>
    </row>
    <row r="4759" spans="13:13">
      <c r="M4759" s="690"/>
    </row>
    <row r="4760" spans="13:13">
      <c r="M4760" s="690"/>
    </row>
    <row r="4761" spans="13:13">
      <c r="M4761" s="690"/>
    </row>
    <row r="4762" spans="13:13">
      <c r="M4762" s="690"/>
    </row>
    <row r="4763" spans="13:13">
      <c r="M4763" s="690"/>
    </row>
    <row r="4764" spans="13:13">
      <c r="M4764" s="690"/>
    </row>
    <row r="4765" spans="13:13">
      <c r="M4765" s="690"/>
    </row>
    <row r="4766" spans="13:13">
      <c r="M4766" s="690"/>
    </row>
    <row r="4767" spans="13:13">
      <c r="M4767" s="690"/>
    </row>
    <row r="4768" spans="13:13">
      <c r="M4768" s="690"/>
    </row>
    <row r="4769" spans="13:13">
      <c r="M4769" s="690"/>
    </row>
    <row r="4770" spans="13:13">
      <c r="M4770" s="690"/>
    </row>
    <row r="4771" spans="13:13">
      <c r="M4771" s="690"/>
    </row>
    <row r="4772" spans="13:13">
      <c r="M4772" s="690"/>
    </row>
    <row r="4773" spans="13:13">
      <c r="M4773" s="690"/>
    </row>
    <row r="4774" spans="13:13">
      <c r="M4774" s="690"/>
    </row>
    <row r="4775" spans="13:13">
      <c r="M4775" s="690"/>
    </row>
    <row r="4776" spans="13:13">
      <c r="M4776" s="690"/>
    </row>
    <row r="4777" spans="13:13">
      <c r="M4777" s="690"/>
    </row>
    <row r="4778" spans="13:13">
      <c r="M4778" s="690"/>
    </row>
    <row r="4779" spans="13:13">
      <c r="M4779" s="690"/>
    </row>
    <row r="4780" spans="13:13">
      <c r="M4780" s="690"/>
    </row>
    <row r="4781" spans="13:13">
      <c r="M4781" s="690"/>
    </row>
    <row r="4782" spans="13:13">
      <c r="M4782" s="690"/>
    </row>
    <row r="4783" spans="13:13">
      <c r="M4783" s="690"/>
    </row>
    <row r="4784" spans="13:13">
      <c r="M4784" s="690"/>
    </row>
    <row r="4785" spans="13:13">
      <c r="M4785" s="690"/>
    </row>
    <row r="4786" spans="13:13">
      <c r="M4786" s="690"/>
    </row>
    <row r="4787" spans="13:13">
      <c r="M4787" s="690"/>
    </row>
    <row r="4788" spans="13:13">
      <c r="M4788" s="690"/>
    </row>
    <row r="4789" spans="13:13">
      <c r="M4789" s="690"/>
    </row>
    <row r="4790" spans="13:13">
      <c r="M4790" s="690"/>
    </row>
    <row r="4791" spans="13:13">
      <c r="M4791" s="690"/>
    </row>
    <row r="4792" spans="13:13">
      <c r="M4792" s="690"/>
    </row>
    <row r="4793" spans="13:13">
      <c r="M4793" s="690"/>
    </row>
    <row r="4794" spans="13:13">
      <c r="M4794" s="690"/>
    </row>
    <row r="4795" spans="13:13">
      <c r="M4795" s="690"/>
    </row>
    <row r="4796" spans="13:13">
      <c r="M4796" s="690"/>
    </row>
    <row r="4797" spans="13:13">
      <c r="M4797" s="690"/>
    </row>
    <row r="4798" spans="13:13">
      <c r="M4798" s="690"/>
    </row>
    <row r="4799" spans="13:13">
      <c r="M4799" s="690"/>
    </row>
    <row r="4800" spans="13:13">
      <c r="M4800" s="690"/>
    </row>
    <row r="4801" spans="13:13">
      <c r="M4801" s="690"/>
    </row>
    <row r="4802" spans="13:13">
      <c r="M4802" s="690"/>
    </row>
    <row r="4803" spans="13:13">
      <c r="M4803" s="690"/>
    </row>
    <row r="4804" spans="13:13">
      <c r="M4804" s="690"/>
    </row>
    <row r="4805" spans="13:13">
      <c r="M4805" s="690"/>
    </row>
    <row r="4806" spans="13:13">
      <c r="M4806" s="690"/>
    </row>
    <row r="4807" spans="13:13">
      <c r="M4807" s="690"/>
    </row>
    <row r="4808" spans="13:13">
      <c r="M4808" s="690"/>
    </row>
    <row r="4809" spans="13:13">
      <c r="M4809" s="690"/>
    </row>
    <row r="4810" spans="13:13">
      <c r="M4810" s="690"/>
    </row>
    <row r="4811" spans="13:13">
      <c r="M4811" s="690"/>
    </row>
    <row r="4812" spans="13:13">
      <c r="M4812" s="690"/>
    </row>
    <row r="4813" spans="13:13">
      <c r="M4813" s="690"/>
    </row>
    <row r="4814" spans="13:13">
      <c r="M4814" s="690"/>
    </row>
    <row r="4815" spans="13:13">
      <c r="M4815" s="690"/>
    </row>
    <row r="4816" spans="13:13">
      <c r="M4816" s="690"/>
    </row>
    <row r="4817" spans="13:13">
      <c r="M4817" s="690"/>
    </row>
    <row r="4818" spans="13:13">
      <c r="M4818" s="690"/>
    </row>
    <row r="4819" spans="13:13">
      <c r="M4819" s="690"/>
    </row>
    <row r="4820" spans="13:13">
      <c r="M4820" s="690"/>
    </row>
    <row r="4821" spans="13:13">
      <c r="M4821" s="690"/>
    </row>
    <row r="4822" spans="13:13">
      <c r="M4822" s="690"/>
    </row>
    <row r="4823" spans="13:13">
      <c r="M4823" s="690"/>
    </row>
    <row r="4824" spans="13:13">
      <c r="M4824" s="690"/>
    </row>
    <row r="4825" spans="13:13">
      <c r="M4825" s="690"/>
    </row>
    <row r="4826" spans="13:13">
      <c r="M4826" s="690"/>
    </row>
    <row r="4827" spans="13:13">
      <c r="M4827" s="690"/>
    </row>
    <row r="4828" spans="13:13">
      <c r="M4828" s="690"/>
    </row>
    <row r="4829" spans="13:13">
      <c r="M4829" s="690"/>
    </row>
    <row r="4830" spans="13:13">
      <c r="M4830" s="690"/>
    </row>
    <row r="4831" spans="13:13">
      <c r="M4831" s="690"/>
    </row>
    <row r="4832" spans="13:13">
      <c r="M4832" s="690"/>
    </row>
    <row r="4833" spans="13:13">
      <c r="M4833" s="690"/>
    </row>
    <row r="4834" spans="13:13">
      <c r="M4834" s="690"/>
    </row>
    <row r="4835" spans="13:13">
      <c r="M4835" s="690"/>
    </row>
    <row r="4836" spans="13:13">
      <c r="M4836" s="690"/>
    </row>
    <row r="4837" spans="13:13">
      <c r="M4837" s="690"/>
    </row>
    <row r="4838" spans="13:13">
      <c r="M4838" s="690"/>
    </row>
    <row r="4839" spans="13:13">
      <c r="M4839" s="690"/>
    </row>
    <row r="4840" spans="13:13">
      <c r="M4840" s="690"/>
    </row>
    <row r="4841" spans="13:13">
      <c r="M4841" s="690"/>
    </row>
    <row r="4842" spans="13:13">
      <c r="M4842" s="690"/>
    </row>
    <row r="4843" spans="13:13">
      <c r="M4843" s="690"/>
    </row>
    <row r="4844" spans="13:13">
      <c r="M4844" s="690"/>
    </row>
    <row r="4845" spans="13:13">
      <c r="M4845" s="690"/>
    </row>
    <row r="4846" spans="13:13">
      <c r="M4846" s="690"/>
    </row>
    <row r="4847" spans="13:13">
      <c r="M4847" s="690"/>
    </row>
    <row r="4848" spans="13:13">
      <c r="M4848" s="690"/>
    </row>
    <row r="4849" spans="13:13">
      <c r="M4849" s="690"/>
    </row>
    <row r="4850" spans="13:13">
      <c r="M4850" s="690"/>
    </row>
    <row r="4851" spans="13:13">
      <c r="M4851" s="690"/>
    </row>
    <row r="4852" spans="13:13">
      <c r="M4852" s="690"/>
    </row>
    <row r="4853" spans="13:13">
      <c r="M4853" s="690"/>
    </row>
    <row r="4854" spans="13:13">
      <c r="M4854" s="690"/>
    </row>
    <row r="4855" spans="13:13">
      <c r="M4855" s="690"/>
    </row>
    <row r="4856" spans="13:13">
      <c r="M4856" s="690"/>
    </row>
    <row r="4857" spans="13:13">
      <c r="M4857" s="690"/>
    </row>
    <row r="4858" spans="13:13">
      <c r="M4858" s="690"/>
    </row>
    <row r="4859" spans="13:13">
      <c r="M4859" s="690"/>
    </row>
    <row r="4860" spans="13:13">
      <c r="M4860" s="690"/>
    </row>
    <row r="4861" spans="13:13">
      <c r="M4861" s="690"/>
    </row>
    <row r="4862" spans="13:13">
      <c r="M4862" s="690"/>
    </row>
    <row r="4863" spans="13:13">
      <c r="M4863" s="690"/>
    </row>
    <row r="4864" spans="13:13">
      <c r="M4864" s="690"/>
    </row>
    <row r="4865" spans="13:13">
      <c r="M4865" s="690"/>
    </row>
    <row r="4866" spans="13:13">
      <c r="M4866" s="690"/>
    </row>
    <row r="4867" spans="13:13">
      <c r="M4867" s="690"/>
    </row>
    <row r="4868" spans="13:13">
      <c r="M4868" s="690"/>
    </row>
    <row r="4869" spans="13:13">
      <c r="M4869" s="690"/>
    </row>
    <row r="4870" spans="13:13">
      <c r="M4870" s="690"/>
    </row>
    <row r="4871" spans="13:13">
      <c r="M4871" s="690"/>
    </row>
    <row r="4872" spans="13:13">
      <c r="M4872" s="690"/>
    </row>
    <row r="4873" spans="13:13">
      <c r="M4873" s="690"/>
    </row>
    <row r="4874" spans="13:13">
      <c r="M4874" s="690"/>
    </row>
    <row r="4875" spans="13:13">
      <c r="M4875" s="690"/>
    </row>
    <row r="4876" spans="13:13">
      <c r="M4876" s="690"/>
    </row>
    <row r="4877" spans="13:13">
      <c r="M4877" s="690"/>
    </row>
    <row r="4878" spans="13:13">
      <c r="M4878" s="690"/>
    </row>
    <row r="4879" spans="13:13">
      <c r="M4879" s="690"/>
    </row>
    <row r="4880" spans="13:13">
      <c r="M4880" s="690"/>
    </row>
    <row r="4881" spans="13:13">
      <c r="M4881" s="690"/>
    </row>
    <row r="4882" spans="13:13">
      <c r="M4882" s="690"/>
    </row>
    <row r="4883" spans="13:13">
      <c r="M4883" s="690"/>
    </row>
    <row r="4884" spans="13:13">
      <c r="M4884" s="690"/>
    </row>
    <row r="4885" spans="13:13">
      <c r="M4885" s="690"/>
    </row>
    <row r="4886" spans="13:13">
      <c r="M4886" s="690"/>
    </row>
    <row r="4887" spans="13:13">
      <c r="M4887" s="690"/>
    </row>
    <row r="4888" spans="13:13">
      <c r="M4888" s="690"/>
    </row>
    <row r="4889" spans="13:13">
      <c r="M4889" s="690"/>
    </row>
    <row r="4890" spans="13:13">
      <c r="M4890" s="690"/>
    </row>
    <row r="4891" spans="13:13">
      <c r="M4891" s="690"/>
    </row>
    <row r="4892" spans="13:13">
      <c r="M4892" s="690"/>
    </row>
    <row r="4893" spans="13:13">
      <c r="M4893" s="690"/>
    </row>
    <row r="4894" spans="13:13">
      <c r="M4894" s="690"/>
    </row>
    <row r="4895" spans="13:13">
      <c r="M4895" s="690"/>
    </row>
    <row r="4896" spans="13:13">
      <c r="M4896" s="690"/>
    </row>
    <row r="4897" spans="13:13">
      <c r="M4897" s="690"/>
    </row>
    <row r="4898" spans="13:13">
      <c r="M4898" s="690"/>
    </row>
    <row r="4899" spans="13:13">
      <c r="M4899" s="690"/>
    </row>
    <row r="4900" spans="13:13">
      <c r="M4900" s="690"/>
    </row>
    <row r="4901" spans="13:13">
      <c r="M4901" s="690"/>
    </row>
    <row r="4902" spans="13:13">
      <c r="M4902" s="690"/>
    </row>
    <row r="4903" spans="13:13">
      <c r="M4903" s="690"/>
    </row>
    <row r="4904" spans="13:13">
      <c r="M4904" s="690"/>
    </row>
    <row r="4905" spans="13:13">
      <c r="M4905" s="690"/>
    </row>
    <row r="4906" spans="13:13">
      <c r="M4906" s="690"/>
    </row>
    <row r="4907" spans="13:13">
      <c r="M4907" s="690"/>
    </row>
    <row r="4908" spans="13:13">
      <c r="M4908" s="690"/>
    </row>
    <row r="4909" spans="13:13">
      <c r="M4909" s="690"/>
    </row>
    <row r="4910" spans="13:13">
      <c r="M4910" s="690"/>
    </row>
    <row r="4911" spans="13:13">
      <c r="M4911" s="690"/>
    </row>
    <row r="4912" spans="13:13">
      <c r="M4912" s="690"/>
    </row>
    <row r="4913" spans="13:13">
      <c r="M4913" s="690"/>
    </row>
    <row r="4914" spans="13:13">
      <c r="M4914" s="690"/>
    </row>
    <row r="4915" spans="13:13">
      <c r="M4915" s="690"/>
    </row>
    <row r="4916" spans="13:13">
      <c r="M4916" s="690"/>
    </row>
    <row r="4917" spans="13:13">
      <c r="M4917" s="690"/>
    </row>
    <row r="4918" spans="13:13">
      <c r="M4918" s="690"/>
    </row>
    <row r="4919" spans="13:13">
      <c r="M4919" s="690"/>
    </row>
    <row r="4920" spans="13:13">
      <c r="M4920" s="690"/>
    </row>
    <row r="4921" spans="13:13">
      <c r="M4921" s="690"/>
    </row>
    <row r="4922" spans="13:13">
      <c r="M4922" s="690"/>
    </row>
    <row r="4923" spans="13:13">
      <c r="M4923" s="690"/>
    </row>
    <row r="4924" spans="13:13">
      <c r="M4924" s="690"/>
    </row>
    <row r="4925" spans="13:13">
      <c r="M4925" s="690"/>
    </row>
    <row r="4926" spans="13:13">
      <c r="M4926" s="690"/>
    </row>
    <row r="4927" spans="13:13">
      <c r="M4927" s="690"/>
    </row>
    <row r="4928" spans="13:13">
      <c r="M4928" s="690"/>
    </row>
    <row r="4929" spans="13:13">
      <c r="M4929" s="690"/>
    </row>
    <row r="4930" spans="13:13">
      <c r="M4930" s="690"/>
    </row>
    <row r="4931" spans="13:13">
      <c r="M4931" s="690"/>
    </row>
    <row r="4932" spans="13:13">
      <c r="M4932" s="690"/>
    </row>
    <row r="4933" spans="13:13">
      <c r="M4933" s="690"/>
    </row>
    <row r="4934" spans="13:13">
      <c r="M4934" s="690"/>
    </row>
    <row r="4935" spans="13:13">
      <c r="M4935" s="690"/>
    </row>
    <row r="4936" spans="13:13">
      <c r="M4936" s="690"/>
    </row>
    <row r="4937" spans="13:13">
      <c r="M4937" s="690"/>
    </row>
    <row r="4938" spans="13:13">
      <c r="M4938" s="690"/>
    </row>
    <row r="4939" spans="13:13">
      <c r="M4939" s="690"/>
    </row>
    <row r="4940" spans="13:13">
      <c r="M4940" s="690"/>
    </row>
    <row r="4941" spans="13:13">
      <c r="M4941" s="690"/>
    </row>
    <row r="4942" spans="13:13">
      <c r="M4942" s="690"/>
    </row>
    <row r="4943" spans="13:13">
      <c r="M4943" s="690"/>
    </row>
    <row r="4944" spans="13:13">
      <c r="M4944" s="690"/>
    </row>
    <row r="4945" spans="13:13">
      <c r="M4945" s="690"/>
    </row>
    <row r="4946" spans="13:13">
      <c r="M4946" s="690"/>
    </row>
    <row r="4947" spans="13:13">
      <c r="M4947" s="690"/>
    </row>
    <row r="4948" spans="13:13">
      <c r="M4948" s="690"/>
    </row>
    <row r="4949" spans="13:13">
      <c r="M4949" s="690"/>
    </row>
    <row r="4950" spans="13:13">
      <c r="M4950" s="690"/>
    </row>
    <row r="4951" spans="13:13">
      <c r="M4951" s="690"/>
    </row>
    <row r="4952" spans="13:13">
      <c r="M4952" s="690"/>
    </row>
    <row r="4953" spans="13:13">
      <c r="M4953" s="690"/>
    </row>
    <row r="4954" spans="13:13">
      <c r="M4954" s="690"/>
    </row>
    <row r="4955" spans="13:13">
      <c r="M4955" s="690"/>
    </row>
    <row r="4956" spans="13:13">
      <c r="M4956" s="690"/>
    </row>
    <row r="4957" spans="13:13">
      <c r="M4957" s="690"/>
    </row>
    <row r="4958" spans="13:13">
      <c r="M4958" s="690"/>
    </row>
    <row r="4959" spans="13:13">
      <c r="M4959" s="690"/>
    </row>
    <row r="4960" spans="13:13">
      <c r="M4960" s="690"/>
    </row>
    <row r="4961" spans="13:13">
      <c r="M4961" s="690"/>
    </row>
    <row r="4962" spans="13:13">
      <c r="M4962" s="690"/>
    </row>
    <row r="4963" spans="13:13">
      <c r="M4963" s="690"/>
    </row>
    <row r="4964" spans="13:13">
      <c r="M4964" s="690"/>
    </row>
    <row r="4965" spans="13:13">
      <c r="M4965" s="690"/>
    </row>
    <row r="4966" spans="13:13">
      <c r="M4966" s="690"/>
    </row>
    <row r="4967" spans="13:13">
      <c r="M4967" s="690"/>
    </row>
    <row r="4968" spans="13:13">
      <c r="M4968" s="690"/>
    </row>
    <row r="4969" spans="13:13">
      <c r="M4969" s="690"/>
    </row>
    <row r="4970" spans="13:13">
      <c r="M4970" s="690"/>
    </row>
    <row r="4971" spans="13:13">
      <c r="M4971" s="690"/>
    </row>
    <row r="4972" spans="13:13">
      <c r="M4972" s="690"/>
    </row>
    <row r="4973" spans="13:13">
      <c r="M4973" s="690"/>
    </row>
    <row r="4974" spans="13:13">
      <c r="M4974" s="690"/>
    </row>
    <row r="4975" spans="13:13">
      <c r="M4975" s="690"/>
    </row>
    <row r="4976" spans="13:13">
      <c r="M4976" s="690"/>
    </row>
    <row r="4977" spans="13:13">
      <c r="M4977" s="690"/>
    </row>
    <row r="4978" spans="13:13">
      <c r="M4978" s="690"/>
    </row>
    <row r="4979" spans="13:13">
      <c r="M4979" s="690"/>
    </row>
    <row r="4980" spans="13:13">
      <c r="M4980" s="690"/>
    </row>
    <row r="4981" spans="13:13">
      <c r="M4981" s="690"/>
    </row>
    <row r="4982" spans="13:13">
      <c r="M4982" s="690"/>
    </row>
    <row r="4983" spans="13:13">
      <c r="M4983" s="690"/>
    </row>
    <row r="4984" spans="13:13">
      <c r="M4984" s="690"/>
    </row>
    <row r="4985" spans="13:13">
      <c r="M4985" s="690"/>
    </row>
    <row r="4986" spans="13:13">
      <c r="M4986" s="690"/>
    </row>
    <row r="4987" spans="13:13">
      <c r="M4987" s="690"/>
    </row>
    <row r="4988" spans="13:13">
      <c r="M4988" s="690"/>
    </row>
    <row r="4989" spans="13:13">
      <c r="M4989" s="690"/>
    </row>
    <row r="4990" spans="13:13">
      <c r="M4990" s="690"/>
    </row>
    <row r="4991" spans="13:13">
      <c r="M4991" s="690"/>
    </row>
    <row r="4992" spans="13:13">
      <c r="M4992" s="690"/>
    </row>
    <row r="4993" spans="13:13">
      <c r="M4993" s="690"/>
    </row>
    <row r="4994" spans="13:13">
      <c r="M4994" s="690"/>
    </row>
    <row r="4995" spans="13:13">
      <c r="M4995" s="690"/>
    </row>
    <row r="4996" spans="13:13">
      <c r="M4996" s="690"/>
    </row>
    <row r="4997" spans="13:13">
      <c r="M4997" s="690"/>
    </row>
    <row r="4998" spans="13:13">
      <c r="M4998" s="690"/>
    </row>
    <row r="4999" spans="13:13">
      <c r="M4999" s="690"/>
    </row>
    <row r="5000" spans="13:13">
      <c r="M5000" s="690"/>
    </row>
    <row r="5001" spans="13:13">
      <c r="M5001" s="690"/>
    </row>
    <row r="5002" spans="13:13">
      <c r="M5002" s="690"/>
    </row>
    <row r="5003" spans="13:13">
      <c r="M5003" s="690"/>
    </row>
    <row r="5004" spans="13:13">
      <c r="M5004" s="690"/>
    </row>
    <row r="5005" spans="13:13">
      <c r="M5005" s="690"/>
    </row>
    <row r="5006" spans="13:13">
      <c r="M5006" s="690"/>
    </row>
    <row r="5007" spans="13:13">
      <c r="M5007" s="690"/>
    </row>
    <row r="5008" spans="13:13">
      <c r="M5008" s="690"/>
    </row>
    <row r="5009" spans="13:13">
      <c r="M5009" s="690"/>
    </row>
    <row r="5010" spans="13:13">
      <c r="M5010" s="690"/>
    </row>
    <row r="5011" spans="13:13">
      <c r="M5011" s="690"/>
    </row>
    <row r="5012" spans="13:13">
      <c r="M5012" s="690"/>
    </row>
    <row r="5013" spans="13:13">
      <c r="M5013" s="690"/>
    </row>
    <row r="5014" spans="13:13">
      <c r="M5014" s="690"/>
    </row>
    <row r="5015" spans="13:13">
      <c r="M5015" s="690"/>
    </row>
    <row r="5016" spans="13:13">
      <c r="M5016" s="690"/>
    </row>
    <row r="5017" spans="13:13">
      <c r="M5017" s="690"/>
    </row>
    <row r="5018" spans="13:13">
      <c r="M5018" s="690"/>
    </row>
    <row r="5019" spans="13:13">
      <c r="M5019" s="690"/>
    </row>
    <row r="5020" spans="13:13">
      <c r="M5020" s="690"/>
    </row>
    <row r="5021" spans="13:13">
      <c r="M5021" s="690"/>
    </row>
    <row r="5022" spans="13:13">
      <c r="M5022" s="690"/>
    </row>
    <row r="5023" spans="13:13">
      <c r="M5023" s="690"/>
    </row>
    <row r="5024" spans="13:13">
      <c r="M5024" s="690"/>
    </row>
    <row r="5025" spans="13:13">
      <c r="M5025" s="690"/>
    </row>
    <row r="5026" spans="13:13">
      <c r="M5026" s="690"/>
    </row>
    <row r="5027" spans="13:13">
      <c r="M5027" s="690"/>
    </row>
    <row r="5028" spans="13:13">
      <c r="M5028" s="690"/>
    </row>
    <row r="5029" spans="13:13">
      <c r="M5029" s="690"/>
    </row>
    <row r="5030" spans="13:13">
      <c r="M5030" s="690"/>
    </row>
    <row r="5031" spans="13:13">
      <c r="M5031" s="690"/>
    </row>
    <row r="5032" spans="13:13">
      <c r="M5032" s="690"/>
    </row>
    <row r="5033" spans="13:13">
      <c r="M5033" s="690"/>
    </row>
    <row r="5034" spans="13:13">
      <c r="M5034" s="690"/>
    </row>
    <row r="5035" spans="13:13">
      <c r="M5035" s="690"/>
    </row>
    <row r="5036" spans="13:13">
      <c r="M5036" s="690"/>
    </row>
    <row r="5037" spans="13:13">
      <c r="M5037" s="690"/>
    </row>
    <row r="5038" spans="13:13">
      <c r="M5038" s="690"/>
    </row>
    <row r="5039" spans="13:13">
      <c r="M5039" s="690"/>
    </row>
    <row r="5040" spans="13:13">
      <c r="M5040" s="690"/>
    </row>
    <row r="5041" spans="13:13">
      <c r="M5041" s="690"/>
    </row>
    <row r="5042" spans="13:13">
      <c r="M5042" s="690"/>
    </row>
    <row r="5043" spans="13:13">
      <c r="M5043" s="690"/>
    </row>
    <row r="5044" spans="13:13">
      <c r="M5044" s="690"/>
    </row>
    <row r="5045" spans="13:13">
      <c r="M5045" s="690"/>
    </row>
    <row r="5046" spans="13:13">
      <c r="M5046" s="690"/>
    </row>
    <row r="5047" spans="13:13">
      <c r="M5047" s="690"/>
    </row>
    <row r="5048" spans="13:13">
      <c r="M5048" s="690"/>
    </row>
    <row r="5049" spans="13:13">
      <c r="M5049" s="690"/>
    </row>
    <row r="5050" spans="13:13">
      <c r="M5050" s="690"/>
    </row>
    <row r="5051" spans="13:13">
      <c r="M5051" s="690"/>
    </row>
    <row r="5052" spans="13:13">
      <c r="M5052" s="690"/>
    </row>
    <row r="5053" spans="13:13">
      <c r="M5053" s="690"/>
    </row>
    <row r="5054" spans="13:13">
      <c r="M5054" s="690"/>
    </row>
    <row r="5055" spans="13:13">
      <c r="M5055" s="690"/>
    </row>
    <row r="5056" spans="13:13">
      <c r="M5056" s="690"/>
    </row>
    <row r="5057" spans="13:13">
      <c r="M5057" s="690"/>
    </row>
    <row r="5058" spans="13:13">
      <c r="M5058" s="690"/>
    </row>
    <row r="5059" spans="13:13">
      <c r="M5059" s="690"/>
    </row>
    <row r="5060" spans="13:13">
      <c r="M5060" s="690"/>
    </row>
    <row r="5061" spans="13:13">
      <c r="M5061" s="690"/>
    </row>
    <row r="5062" spans="13:13">
      <c r="M5062" s="690"/>
    </row>
    <row r="5063" spans="13:13">
      <c r="M5063" s="690"/>
    </row>
    <row r="5064" spans="13:13">
      <c r="M5064" s="690"/>
    </row>
    <row r="5065" spans="13:13">
      <c r="M5065" s="690"/>
    </row>
    <row r="5066" spans="13:13">
      <c r="M5066" s="690"/>
    </row>
    <row r="5067" spans="13:13">
      <c r="M5067" s="690"/>
    </row>
    <row r="5068" spans="13:13">
      <c r="M5068" s="690"/>
    </row>
    <row r="5069" spans="13:13">
      <c r="M5069" s="690"/>
    </row>
    <row r="5070" spans="13:13">
      <c r="M5070" s="690"/>
    </row>
    <row r="5071" spans="13:13">
      <c r="M5071" s="690"/>
    </row>
    <row r="5072" spans="13:13">
      <c r="M5072" s="690"/>
    </row>
    <row r="5073" spans="13:13">
      <c r="M5073" s="690"/>
    </row>
    <row r="5074" spans="13:13">
      <c r="M5074" s="690"/>
    </row>
    <row r="5075" spans="13:13">
      <c r="M5075" s="690"/>
    </row>
    <row r="5076" spans="13:13">
      <c r="M5076" s="690"/>
    </row>
    <row r="5077" spans="13:13">
      <c r="M5077" s="690"/>
    </row>
    <row r="5078" spans="13:13">
      <c r="M5078" s="690"/>
    </row>
    <row r="5079" spans="13:13">
      <c r="M5079" s="690"/>
    </row>
    <row r="5080" spans="13:13">
      <c r="M5080" s="690"/>
    </row>
    <row r="5081" spans="13:13">
      <c r="M5081" s="690"/>
    </row>
    <row r="5082" spans="13:13">
      <c r="M5082" s="690"/>
    </row>
    <row r="5083" spans="13:13">
      <c r="M5083" s="690"/>
    </row>
    <row r="5084" spans="13:13">
      <c r="M5084" s="690"/>
    </row>
    <row r="5085" spans="13:13">
      <c r="M5085" s="690"/>
    </row>
    <row r="5086" spans="13:13">
      <c r="M5086" s="690"/>
    </row>
    <row r="5087" spans="13:13">
      <c r="M5087" s="690"/>
    </row>
    <row r="5088" spans="13:13">
      <c r="M5088" s="690"/>
    </row>
    <row r="5089" spans="13:13">
      <c r="M5089" s="690"/>
    </row>
    <row r="5090" spans="13:13">
      <c r="M5090" s="690"/>
    </row>
    <row r="5091" spans="13:13">
      <c r="M5091" s="690"/>
    </row>
    <row r="5092" spans="13:13">
      <c r="M5092" s="690"/>
    </row>
    <row r="5093" spans="13:13">
      <c r="M5093" s="690"/>
    </row>
    <row r="5094" spans="13:13">
      <c r="M5094" s="690"/>
    </row>
    <row r="5095" spans="13:13">
      <c r="M5095" s="690"/>
    </row>
    <row r="5096" spans="13:13">
      <c r="M5096" s="690"/>
    </row>
    <row r="5097" spans="13:13">
      <c r="M5097" s="690"/>
    </row>
    <row r="5098" spans="13:13">
      <c r="M5098" s="690"/>
    </row>
    <row r="5099" spans="13:13">
      <c r="M5099" s="690"/>
    </row>
    <row r="5100" spans="13:13">
      <c r="M5100" s="690"/>
    </row>
    <row r="5101" spans="13:13">
      <c r="M5101" s="690"/>
    </row>
    <row r="5102" spans="13:13">
      <c r="M5102" s="690"/>
    </row>
    <row r="5103" spans="13:13">
      <c r="M5103" s="690"/>
    </row>
    <row r="5104" spans="13:13">
      <c r="M5104" s="690"/>
    </row>
    <row r="5105" spans="13:13">
      <c r="M5105" s="690"/>
    </row>
    <row r="5106" spans="13:13">
      <c r="M5106" s="690"/>
    </row>
    <row r="5107" spans="13:13">
      <c r="M5107" s="690"/>
    </row>
    <row r="5108" spans="13:13">
      <c r="M5108" s="690"/>
    </row>
    <row r="5109" spans="13:13">
      <c r="M5109" s="690"/>
    </row>
    <row r="5110" spans="13:13">
      <c r="M5110" s="690"/>
    </row>
    <row r="5111" spans="13:13">
      <c r="M5111" s="690"/>
    </row>
    <row r="5112" spans="13:13">
      <c r="M5112" s="690"/>
    </row>
    <row r="5113" spans="13:13">
      <c r="M5113" s="690"/>
    </row>
    <row r="5114" spans="13:13">
      <c r="M5114" s="690"/>
    </row>
    <row r="5115" spans="13:13">
      <c r="M5115" s="690"/>
    </row>
    <row r="5116" spans="13:13">
      <c r="M5116" s="690"/>
    </row>
    <row r="5117" spans="13:13">
      <c r="M5117" s="690"/>
    </row>
    <row r="5118" spans="13:13">
      <c r="M5118" s="690"/>
    </row>
    <row r="5119" spans="13:13">
      <c r="M5119" s="690"/>
    </row>
    <row r="5120" spans="13:13">
      <c r="M5120" s="690"/>
    </row>
    <row r="5121" spans="13:13">
      <c r="M5121" s="690"/>
    </row>
    <row r="5122" spans="13:13">
      <c r="M5122" s="690"/>
    </row>
    <row r="5123" spans="13:13">
      <c r="M5123" s="690"/>
    </row>
    <row r="5124" spans="13:13">
      <c r="M5124" s="690"/>
    </row>
    <row r="5125" spans="13:13">
      <c r="M5125" s="690"/>
    </row>
    <row r="5126" spans="13:13">
      <c r="M5126" s="690"/>
    </row>
    <row r="5127" spans="13:13">
      <c r="M5127" s="690"/>
    </row>
    <row r="5128" spans="13:13">
      <c r="M5128" s="690"/>
    </row>
    <row r="5129" spans="13:13">
      <c r="M5129" s="690"/>
    </row>
    <row r="5130" spans="13:13">
      <c r="M5130" s="690"/>
    </row>
    <row r="5131" spans="13:13">
      <c r="M5131" s="690"/>
    </row>
    <row r="5132" spans="13:13">
      <c r="M5132" s="690"/>
    </row>
    <row r="5133" spans="13:13">
      <c r="M5133" s="690"/>
    </row>
    <row r="5134" spans="13:13">
      <c r="M5134" s="690"/>
    </row>
    <row r="5135" spans="13:13">
      <c r="M5135" s="690"/>
    </row>
    <row r="5136" spans="13:13">
      <c r="M5136" s="690"/>
    </row>
    <row r="5137" spans="13:13">
      <c r="M5137" s="690"/>
    </row>
    <row r="5138" spans="13:13">
      <c r="M5138" s="690"/>
    </row>
    <row r="5139" spans="13:13">
      <c r="M5139" s="690"/>
    </row>
    <row r="5140" spans="13:13">
      <c r="M5140" s="690"/>
    </row>
    <row r="5141" spans="13:13">
      <c r="M5141" s="690"/>
    </row>
    <row r="5142" spans="13:13">
      <c r="M5142" s="690"/>
    </row>
    <row r="5143" spans="13:13">
      <c r="M5143" s="690"/>
    </row>
    <row r="5144" spans="13:13">
      <c r="M5144" s="690"/>
    </row>
    <row r="5145" spans="13:13">
      <c r="M5145" s="690"/>
    </row>
    <row r="5146" spans="13:13">
      <c r="M5146" s="690"/>
    </row>
    <row r="5147" spans="13:13">
      <c r="M5147" s="690"/>
    </row>
    <row r="5148" spans="13:13">
      <c r="M5148" s="690"/>
    </row>
    <row r="5149" spans="13:13">
      <c r="M5149" s="690"/>
    </row>
    <row r="5150" spans="13:13">
      <c r="M5150" s="690"/>
    </row>
    <row r="5151" spans="13:13">
      <c r="M5151" s="690"/>
    </row>
    <row r="5152" spans="13:13">
      <c r="M5152" s="690"/>
    </row>
    <row r="5153" spans="13:13">
      <c r="M5153" s="690"/>
    </row>
    <row r="5154" spans="13:13">
      <c r="M5154" s="690"/>
    </row>
    <row r="5155" spans="13:13">
      <c r="M5155" s="690"/>
    </row>
    <row r="5156" spans="13:13">
      <c r="M5156" s="690"/>
    </row>
    <row r="5157" spans="13:13">
      <c r="M5157" s="690"/>
    </row>
    <row r="5158" spans="13:13">
      <c r="M5158" s="690"/>
    </row>
    <row r="5159" spans="13:13">
      <c r="M5159" s="690"/>
    </row>
    <row r="5160" spans="13:13">
      <c r="M5160" s="690"/>
    </row>
    <row r="5161" spans="13:13">
      <c r="M5161" s="690"/>
    </row>
    <row r="5162" spans="13:13">
      <c r="M5162" s="690"/>
    </row>
    <row r="5163" spans="13:13">
      <c r="M5163" s="690"/>
    </row>
    <row r="5164" spans="13:13">
      <c r="M5164" s="690"/>
    </row>
    <row r="5165" spans="13:13">
      <c r="M5165" s="690"/>
    </row>
    <row r="5166" spans="13:13">
      <c r="M5166" s="690"/>
    </row>
    <row r="5167" spans="13:13">
      <c r="M5167" s="690"/>
    </row>
    <row r="5168" spans="13:13">
      <c r="M5168" s="690"/>
    </row>
    <row r="5169" spans="13:13">
      <c r="M5169" s="690"/>
    </row>
    <row r="5170" spans="13:13">
      <c r="M5170" s="690"/>
    </row>
    <row r="5171" spans="13:13">
      <c r="M5171" s="690"/>
    </row>
    <row r="5172" spans="13:13">
      <c r="M5172" s="690"/>
    </row>
    <row r="5173" spans="13:13">
      <c r="M5173" s="690"/>
    </row>
    <row r="5174" spans="13:13">
      <c r="M5174" s="690"/>
    </row>
    <row r="5175" spans="13:13">
      <c r="M5175" s="690"/>
    </row>
    <row r="5176" spans="13:13">
      <c r="M5176" s="690"/>
    </row>
    <row r="5177" spans="13:13">
      <c r="M5177" s="690"/>
    </row>
    <row r="5178" spans="13:13">
      <c r="M5178" s="690"/>
    </row>
    <row r="5179" spans="13:13">
      <c r="M5179" s="690"/>
    </row>
    <row r="5180" spans="13:13">
      <c r="M5180" s="690"/>
    </row>
    <row r="5181" spans="13:13">
      <c r="M5181" s="690"/>
    </row>
    <row r="5182" spans="13:13">
      <c r="M5182" s="690"/>
    </row>
    <row r="5183" spans="13:13">
      <c r="M5183" s="690"/>
    </row>
    <row r="5184" spans="13:13">
      <c r="M5184" s="690"/>
    </row>
    <row r="5185" spans="13:13">
      <c r="M5185" s="690"/>
    </row>
    <row r="5186" spans="13:13">
      <c r="M5186" s="690"/>
    </row>
    <row r="5187" spans="13:13">
      <c r="M5187" s="690"/>
    </row>
    <row r="5188" spans="13:13">
      <c r="M5188" s="690"/>
    </row>
    <row r="5189" spans="13:13">
      <c r="M5189" s="690"/>
    </row>
    <row r="5190" spans="13:13">
      <c r="M5190" s="690"/>
    </row>
    <row r="5191" spans="13:13">
      <c r="M5191" s="690"/>
    </row>
    <row r="5192" spans="13:13">
      <c r="M5192" s="690"/>
    </row>
    <row r="5193" spans="13:13">
      <c r="M5193" s="690"/>
    </row>
    <row r="5194" spans="13:13">
      <c r="M5194" s="690"/>
    </row>
    <row r="5195" spans="13:13">
      <c r="M5195" s="690"/>
    </row>
    <row r="5196" spans="13:13">
      <c r="M5196" s="690"/>
    </row>
    <row r="5197" spans="13:13">
      <c r="M5197" s="690"/>
    </row>
    <row r="5198" spans="13:13">
      <c r="M5198" s="690"/>
    </row>
    <row r="5199" spans="13:13">
      <c r="M5199" s="690"/>
    </row>
    <row r="5200" spans="13:13">
      <c r="M5200" s="690"/>
    </row>
    <row r="5201" spans="13:13">
      <c r="M5201" s="690"/>
    </row>
    <row r="5202" spans="13:13">
      <c r="M5202" s="690"/>
    </row>
    <row r="5203" spans="13:13">
      <c r="M5203" s="690"/>
    </row>
    <row r="5204" spans="13:13">
      <c r="M5204" s="690"/>
    </row>
    <row r="5205" spans="13:13">
      <c r="M5205" s="690"/>
    </row>
    <row r="5206" spans="13:13">
      <c r="M5206" s="690"/>
    </row>
    <row r="5207" spans="13:13">
      <c r="M5207" s="690"/>
    </row>
    <row r="5208" spans="13:13">
      <c r="M5208" s="690"/>
    </row>
    <row r="5209" spans="13:13">
      <c r="M5209" s="690"/>
    </row>
    <row r="5210" spans="13:13">
      <c r="M5210" s="690"/>
    </row>
    <row r="5211" spans="13:13">
      <c r="M5211" s="690"/>
    </row>
    <row r="5212" spans="13:13">
      <c r="M5212" s="690"/>
    </row>
    <row r="5213" spans="13:13">
      <c r="M5213" s="690"/>
    </row>
    <row r="5214" spans="13:13">
      <c r="M5214" s="690"/>
    </row>
    <row r="5215" spans="13:13">
      <c r="M5215" s="690"/>
    </row>
    <row r="5216" spans="13:13">
      <c r="M5216" s="690"/>
    </row>
    <row r="5217" spans="13:13">
      <c r="M5217" s="690"/>
    </row>
    <row r="5218" spans="13:13">
      <c r="M5218" s="690"/>
    </row>
    <row r="5219" spans="13:13">
      <c r="M5219" s="690"/>
    </row>
    <row r="5220" spans="13:13">
      <c r="M5220" s="690"/>
    </row>
    <row r="5221" spans="13:13">
      <c r="M5221" s="690"/>
    </row>
    <row r="5222" spans="13:13">
      <c r="M5222" s="690"/>
    </row>
    <row r="5223" spans="13:13">
      <c r="M5223" s="690"/>
    </row>
    <row r="5224" spans="13:13">
      <c r="M5224" s="690"/>
    </row>
    <row r="5225" spans="13:13">
      <c r="M5225" s="690"/>
    </row>
    <row r="5226" spans="13:13">
      <c r="M5226" s="690"/>
    </row>
    <row r="5227" spans="13:13">
      <c r="M5227" s="690"/>
    </row>
    <row r="5228" spans="13:13">
      <c r="M5228" s="690"/>
    </row>
    <row r="5229" spans="13:13">
      <c r="M5229" s="690"/>
    </row>
    <row r="5230" spans="13:13">
      <c r="M5230" s="690"/>
    </row>
    <row r="5231" spans="13:13">
      <c r="M5231" s="690"/>
    </row>
    <row r="5232" spans="13:13">
      <c r="M5232" s="690"/>
    </row>
    <row r="5233" spans="13:13">
      <c r="M5233" s="690"/>
    </row>
    <row r="5234" spans="13:13">
      <c r="M5234" s="690"/>
    </row>
    <row r="5235" spans="13:13">
      <c r="M5235" s="690"/>
    </row>
    <row r="5236" spans="13:13">
      <c r="M5236" s="690"/>
    </row>
    <row r="5237" spans="13:13">
      <c r="M5237" s="690"/>
    </row>
    <row r="5238" spans="13:13">
      <c r="M5238" s="690"/>
    </row>
    <row r="5239" spans="13:13">
      <c r="M5239" s="690"/>
    </row>
    <row r="5240" spans="13:13">
      <c r="M5240" s="690"/>
    </row>
    <row r="5241" spans="13:13">
      <c r="M5241" s="690"/>
    </row>
    <row r="5242" spans="13:13">
      <c r="M5242" s="690"/>
    </row>
    <row r="5243" spans="13:13">
      <c r="M5243" s="690"/>
    </row>
    <row r="5244" spans="13:13">
      <c r="M5244" s="690"/>
    </row>
    <row r="5245" spans="13:13">
      <c r="M5245" s="690"/>
    </row>
    <row r="5246" spans="13:13">
      <c r="M5246" s="690"/>
    </row>
    <row r="5247" spans="13:13">
      <c r="M5247" s="690"/>
    </row>
    <row r="5248" spans="13:13">
      <c r="M5248" s="690"/>
    </row>
    <row r="5249" spans="13:13">
      <c r="M5249" s="690"/>
    </row>
    <row r="5250" spans="13:13">
      <c r="M5250" s="690"/>
    </row>
    <row r="5251" spans="13:13">
      <c r="M5251" s="690"/>
    </row>
    <row r="5252" spans="13:13">
      <c r="M5252" s="690"/>
    </row>
    <row r="5253" spans="13:13">
      <c r="M5253" s="690"/>
    </row>
    <row r="5254" spans="13:13">
      <c r="M5254" s="690"/>
    </row>
    <row r="5255" spans="13:13">
      <c r="M5255" s="690"/>
    </row>
    <row r="5256" spans="13:13">
      <c r="M5256" s="690"/>
    </row>
    <row r="5257" spans="13:13">
      <c r="M5257" s="690"/>
    </row>
    <row r="5258" spans="13:13">
      <c r="M5258" s="690"/>
    </row>
    <row r="5259" spans="13:13">
      <c r="M5259" s="690"/>
    </row>
    <row r="5260" spans="13:13">
      <c r="M5260" s="690"/>
    </row>
    <row r="5261" spans="13:13">
      <c r="M5261" s="690"/>
    </row>
    <row r="5262" spans="13:13">
      <c r="M5262" s="690"/>
    </row>
    <row r="5263" spans="13:13">
      <c r="M5263" s="690"/>
    </row>
    <row r="5264" spans="13:13">
      <c r="M5264" s="690"/>
    </row>
    <row r="5265" spans="13:13">
      <c r="M5265" s="690"/>
    </row>
    <row r="5266" spans="13:13">
      <c r="M5266" s="690"/>
    </row>
    <row r="5267" spans="13:13">
      <c r="M5267" s="690"/>
    </row>
    <row r="5268" spans="13:13">
      <c r="M5268" s="690"/>
    </row>
    <row r="5269" spans="13:13">
      <c r="M5269" s="690"/>
    </row>
    <row r="5270" spans="13:13">
      <c r="M5270" s="690"/>
    </row>
    <row r="5271" spans="13:13">
      <c r="M5271" s="690"/>
    </row>
    <row r="5272" spans="13:13">
      <c r="M5272" s="690"/>
    </row>
    <row r="5273" spans="13:13">
      <c r="M5273" s="690"/>
    </row>
    <row r="5274" spans="13:13">
      <c r="M5274" s="690"/>
    </row>
    <row r="5275" spans="13:13">
      <c r="M5275" s="690"/>
    </row>
    <row r="5276" spans="13:13">
      <c r="M5276" s="690"/>
    </row>
    <row r="5277" spans="13:13">
      <c r="M5277" s="690"/>
    </row>
    <row r="5278" spans="13:13">
      <c r="M5278" s="690"/>
    </row>
    <row r="5279" spans="13:13">
      <c r="M5279" s="690"/>
    </row>
    <row r="5280" spans="13:13">
      <c r="M5280" s="690"/>
    </row>
    <row r="5281" spans="13:13">
      <c r="M5281" s="690"/>
    </row>
    <row r="5282" spans="13:13">
      <c r="M5282" s="690"/>
    </row>
    <row r="5283" spans="13:13">
      <c r="M5283" s="690"/>
    </row>
    <row r="5284" spans="13:13">
      <c r="M5284" s="690"/>
    </row>
    <row r="5285" spans="13:13">
      <c r="M5285" s="690"/>
    </row>
    <row r="5286" spans="13:13">
      <c r="M5286" s="690"/>
    </row>
    <row r="5287" spans="13:13">
      <c r="M5287" s="690"/>
    </row>
    <row r="5288" spans="13:13">
      <c r="M5288" s="690"/>
    </row>
    <row r="5289" spans="13:13">
      <c r="M5289" s="690"/>
    </row>
    <row r="5290" spans="13:13">
      <c r="M5290" s="690"/>
    </row>
    <row r="5291" spans="13:13">
      <c r="M5291" s="690"/>
    </row>
    <row r="5292" spans="13:13">
      <c r="M5292" s="690"/>
    </row>
    <row r="5293" spans="13:13">
      <c r="M5293" s="690"/>
    </row>
    <row r="5294" spans="13:13">
      <c r="M5294" s="690"/>
    </row>
    <row r="5295" spans="13:13">
      <c r="M5295" s="690"/>
    </row>
    <row r="5296" spans="13:13">
      <c r="M5296" s="690"/>
    </row>
    <row r="5297" spans="13:13">
      <c r="M5297" s="690"/>
    </row>
    <row r="5298" spans="13:13">
      <c r="M5298" s="690"/>
    </row>
    <row r="5299" spans="13:13">
      <c r="M5299" s="690"/>
    </row>
    <row r="5300" spans="13:13">
      <c r="M5300" s="690"/>
    </row>
    <row r="5301" spans="13:13">
      <c r="M5301" s="690"/>
    </row>
    <row r="5302" spans="13:13">
      <c r="M5302" s="690"/>
    </row>
    <row r="5303" spans="13:13">
      <c r="M5303" s="690"/>
    </row>
    <row r="5304" spans="13:13">
      <c r="M5304" s="690"/>
    </row>
    <row r="5305" spans="13:13">
      <c r="M5305" s="690"/>
    </row>
    <row r="5306" spans="13:13">
      <c r="M5306" s="690"/>
    </row>
    <row r="5307" spans="13:13">
      <c r="M5307" s="690"/>
    </row>
    <row r="5308" spans="13:13">
      <c r="M5308" s="690"/>
    </row>
    <row r="5309" spans="13:13">
      <c r="M5309" s="690"/>
    </row>
    <row r="5310" spans="13:13">
      <c r="M5310" s="690"/>
    </row>
    <row r="5311" spans="13:13">
      <c r="M5311" s="690"/>
    </row>
    <row r="5312" spans="13:13">
      <c r="M5312" s="690"/>
    </row>
    <row r="5313" spans="13:13">
      <c r="M5313" s="690"/>
    </row>
    <row r="5314" spans="13:13">
      <c r="M5314" s="690"/>
    </row>
    <row r="5315" spans="13:13">
      <c r="M5315" s="690"/>
    </row>
    <row r="5316" spans="13:13">
      <c r="M5316" s="690"/>
    </row>
    <row r="5317" spans="13:13">
      <c r="M5317" s="690"/>
    </row>
    <row r="5318" spans="13:13">
      <c r="M5318" s="690"/>
    </row>
    <row r="5319" spans="13:13">
      <c r="M5319" s="690"/>
    </row>
    <row r="5320" spans="13:13">
      <c r="M5320" s="690"/>
    </row>
    <row r="5321" spans="13:13">
      <c r="M5321" s="690"/>
    </row>
    <row r="5322" spans="13:13">
      <c r="M5322" s="690"/>
    </row>
    <row r="5323" spans="13:13">
      <c r="M5323" s="690"/>
    </row>
    <row r="5324" spans="13:13">
      <c r="M5324" s="690"/>
    </row>
    <row r="5325" spans="13:13">
      <c r="M5325" s="690"/>
    </row>
    <row r="5326" spans="13:13">
      <c r="M5326" s="690"/>
    </row>
    <row r="5327" spans="13:13">
      <c r="M5327" s="690"/>
    </row>
    <row r="5328" spans="13:13">
      <c r="M5328" s="690"/>
    </row>
    <row r="5329" spans="13:13">
      <c r="M5329" s="690"/>
    </row>
    <row r="5330" spans="13:13">
      <c r="M5330" s="690"/>
    </row>
    <row r="5331" spans="13:13">
      <c r="M5331" s="690"/>
    </row>
    <row r="5332" spans="13:13">
      <c r="M5332" s="690"/>
    </row>
    <row r="5333" spans="13:13">
      <c r="M5333" s="690"/>
    </row>
    <row r="5334" spans="13:13">
      <c r="M5334" s="690"/>
    </row>
    <row r="5335" spans="13:13">
      <c r="M5335" s="690"/>
    </row>
    <row r="5336" spans="13:13">
      <c r="M5336" s="690"/>
    </row>
    <row r="5337" spans="13:13">
      <c r="M5337" s="690"/>
    </row>
    <row r="5338" spans="13:13">
      <c r="M5338" s="690"/>
    </row>
    <row r="5339" spans="13:13">
      <c r="M5339" s="690"/>
    </row>
    <row r="5340" spans="13:13">
      <c r="M5340" s="690"/>
    </row>
    <row r="5341" spans="13:13">
      <c r="M5341" s="690"/>
    </row>
    <row r="5342" spans="13:13">
      <c r="M5342" s="690"/>
    </row>
    <row r="5343" spans="13:13">
      <c r="M5343" s="690"/>
    </row>
    <row r="5344" spans="13:13">
      <c r="M5344" s="690"/>
    </row>
    <row r="5345" spans="13:13">
      <c r="M5345" s="690"/>
    </row>
    <row r="5346" spans="13:13">
      <c r="M5346" s="690"/>
    </row>
    <row r="5347" spans="13:13">
      <c r="M5347" s="690"/>
    </row>
    <row r="5348" spans="13:13">
      <c r="M5348" s="690"/>
    </row>
    <row r="5349" spans="13:13">
      <c r="M5349" s="690"/>
    </row>
    <row r="5350" spans="13:13">
      <c r="M5350" s="690"/>
    </row>
    <row r="5351" spans="13:13">
      <c r="M5351" s="690"/>
    </row>
    <row r="5352" spans="13:13">
      <c r="M5352" s="690"/>
    </row>
    <row r="5353" spans="13:13">
      <c r="M5353" s="690"/>
    </row>
    <row r="5354" spans="13:13">
      <c r="M5354" s="690"/>
    </row>
    <row r="5355" spans="13:13">
      <c r="M5355" s="690"/>
    </row>
    <row r="5356" spans="13:13">
      <c r="M5356" s="690"/>
    </row>
    <row r="5357" spans="13:13">
      <c r="M5357" s="690"/>
    </row>
    <row r="5358" spans="13:13">
      <c r="M5358" s="690"/>
    </row>
    <row r="5359" spans="13:13">
      <c r="M5359" s="690"/>
    </row>
    <row r="5360" spans="13:13">
      <c r="M5360" s="690"/>
    </row>
    <row r="5361" spans="13:13">
      <c r="M5361" s="690"/>
    </row>
    <row r="5362" spans="13:13">
      <c r="M5362" s="690"/>
    </row>
    <row r="5363" spans="13:13">
      <c r="M5363" s="690"/>
    </row>
    <row r="5364" spans="13:13">
      <c r="M5364" s="690"/>
    </row>
    <row r="5365" spans="13:13">
      <c r="M5365" s="690"/>
    </row>
    <row r="5366" spans="13:13">
      <c r="M5366" s="690"/>
    </row>
    <row r="5367" spans="13:13">
      <c r="M5367" s="690"/>
    </row>
    <row r="5368" spans="13:13">
      <c r="M5368" s="690"/>
    </row>
    <row r="5369" spans="13:13">
      <c r="M5369" s="690"/>
    </row>
    <row r="5370" spans="13:13">
      <c r="M5370" s="690"/>
    </row>
    <row r="5371" spans="13:13">
      <c r="M5371" s="690"/>
    </row>
    <row r="5372" spans="13:13">
      <c r="M5372" s="690"/>
    </row>
    <row r="5373" spans="13:13">
      <c r="M5373" s="690"/>
    </row>
    <row r="5374" spans="13:13">
      <c r="M5374" s="690"/>
    </row>
    <row r="5375" spans="13:13">
      <c r="M5375" s="690"/>
    </row>
    <row r="5376" spans="13:13">
      <c r="M5376" s="690"/>
    </row>
    <row r="5377" spans="13:13">
      <c r="M5377" s="690"/>
    </row>
    <row r="5378" spans="13:13">
      <c r="M5378" s="690"/>
    </row>
    <row r="5379" spans="13:13">
      <c r="M5379" s="690"/>
    </row>
    <row r="5380" spans="13:13">
      <c r="M5380" s="690"/>
    </row>
    <row r="5381" spans="13:13">
      <c r="M5381" s="690"/>
    </row>
    <row r="5382" spans="13:13">
      <c r="M5382" s="690"/>
    </row>
    <row r="5383" spans="13:13">
      <c r="M5383" s="690"/>
    </row>
    <row r="5384" spans="13:13">
      <c r="M5384" s="690"/>
    </row>
    <row r="5385" spans="13:13">
      <c r="M5385" s="690"/>
    </row>
    <row r="5386" spans="13:13">
      <c r="M5386" s="690"/>
    </row>
    <row r="5387" spans="13:13">
      <c r="M5387" s="690"/>
    </row>
    <row r="5388" spans="13:13">
      <c r="M5388" s="690"/>
    </row>
    <row r="5389" spans="13:13">
      <c r="M5389" s="690"/>
    </row>
    <row r="5390" spans="13:13">
      <c r="M5390" s="690"/>
    </row>
    <row r="5391" spans="13:13">
      <c r="M5391" s="690"/>
    </row>
    <row r="5392" spans="13:13">
      <c r="M5392" s="690"/>
    </row>
    <row r="5393" spans="13:13">
      <c r="M5393" s="690"/>
    </row>
    <row r="5394" spans="13:13">
      <c r="M5394" s="690"/>
    </row>
    <row r="5395" spans="13:13">
      <c r="M5395" s="690"/>
    </row>
    <row r="5396" spans="13:13">
      <c r="M5396" s="690"/>
    </row>
    <row r="5397" spans="13:13">
      <c r="M5397" s="690"/>
    </row>
    <row r="5398" spans="13:13">
      <c r="M5398" s="690"/>
    </row>
    <row r="5399" spans="13:13">
      <c r="M5399" s="690"/>
    </row>
    <row r="5400" spans="13:13">
      <c r="M5400" s="690"/>
    </row>
    <row r="5401" spans="13:13">
      <c r="M5401" s="690"/>
    </row>
    <row r="5402" spans="13:13">
      <c r="M5402" s="690"/>
    </row>
    <row r="5403" spans="13:13">
      <c r="M5403" s="690"/>
    </row>
    <row r="5404" spans="13:13">
      <c r="M5404" s="690"/>
    </row>
    <row r="5405" spans="13:13">
      <c r="M5405" s="690"/>
    </row>
    <row r="5406" spans="13:13">
      <c r="M5406" s="690"/>
    </row>
    <row r="5407" spans="13:13">
      <c r="M5407" s="690"/>
    </row>
    <row r="5408" spans="13:13">
      <c r="M5408" s="690"/>
    </row>
    <row r="5409" spans="13:13">
      <c r="M5409" s="690"/>
    </row>
    <row r="5410" spans="13:13">
      <c r="M5410" s="690"/>
    </row>
    <row r="5411" spans="13:13">
      <c r="M5411" s="690"/>
    </row>
    <row r="5412" spans="13:13">
      <c r="M5412" s="690"/>
    </row>
    <row r="5413" spans="13:13">
      <c r="M5413" s="690"/>
    </row>
    <row r="5414" spans="13:13">
      <c r="M5414" s="690"/>
    </row>
    <row r="5415" spans="13:13">
      <c r="M5415" s="690"/>
    </row>
    <row r="5416" spans="13:13">
      <c r="M5416" s="690"/>
    </row>
    <row r="5417" spans="13:13">
      <c r="M5417" s="690"/>
    </row>
    <row r="5418" spans="13:13">
      <c r="M5418" s="690"/>
    </row>
    <row r="5419" spans="13:13">
      <c r="M5419" s="690"/>
    </row>
    <row r="5420" spans="13:13">
      <c r="M5420" s="690"/>
    </row>
    <row r="5421" spans="13:13">
      <c r="M5421" s="690"/>
    </row>
    <row r="5422" spans="13:13">
      <c r="M5422" s="690"/>
    </row>
    <row r="5423" spans="13:13">
      <c r="M5423" s="690"/>
    </row>
    <row r="5424" spans="13:13">
      <c r="M5424" s="690"/>
    </row>
    <row r="5425" spans="13:13">
      <c r="M5425" s="690"/>
    </row>
    <row r="5426" spans="13:13">
      <c r="M5426" s="690"/>
    </row>
    <row r="5427" spans="13:13">
      <c r="M5427" s="690"/>
    </row>
    <row r="5428" spans="13:13">
      <c r="M5428" s="690"/>
    </row>
    <row r="5429" spans="13:13">
      <c r="M5429" s="690"/>
    </row>
    <row r="5430" spans="13:13">
      <c r="M5430" s="690"/>
    </row>
    <row r="5431" spans="13:13">
      <c r="M5431" s="690"/>
    </row>
    <row r="5432" spans="13:13">
      <c r="M5432" s="690"/>
    </row>
    <row r="5433" spans="13:13">
      <c r="M5433" s="690"/>
    </row>
    <row r="5434" spans="13:13">
      <c r="M5434" s="690"/>
    </row>
    <row r="5435" spans="13:13">
      <c r="M5435" s="690"/>
    </row>
    <row r="5436" spans="13:13">
      <c r="M5436" s="690"/>
    </row>
    <row r="5437" spans="13:13">
      <c r="M5437" s="690"/>
    </row>
    <row r="5438" spans="13:13">
      <c r="M5438" s="690"/>
    </row>
    <row r="5439" spans="13:13">
      <c r="M5439" s="690"/>
    </row>
    <row r="5440" spans="13:13">
      <c r="M5440" s="690"/>
    </row>
    <row r="5441" spans="13:13">
      <c r="M5441" s="690"/>
    </row>
    <row r="5442" spans="13:13">
      <c r="M5442" s="690"/>
    </row>
    <row r="5443" spans="13:13">
      <c r="M5443" s="690"/>
    </row>
    <row r="5444" spans="13:13">
      <c r="M5444" s="690"/>
    </row>
    <row r="5445" spans="13:13">
      <c r="M5445" s="690"/>
    </row>
    <row r="5446" spans="13:13">
      <c r="M5446" s="690"/>
    </row>
    <row r="5447" spans="13:13">
      <c r="M5447" s="690"/>
    </row>
    <row r="5448" spans="13:13">
      <c r="M5448" s="690"/>
    </row>
    <row r="5449" spans="13:13">
      <c r="M5449" s="690"/>
    </row>
    <row r="5450" spans="13:13">
      <c r="M5450" s="690"/>
    </row>
    <row r="5451" spans="13:13">
      <c r="M5451" s="690"/>
    </row>
    <row r="5452" spans="13:13">
      <c r="M5452" s="690"/>
    </row>
    <row r="5453" spans="13:13">
      <c r="M5453" s="690"/>
    </row>
    <row r="5454" spans="13:13">
      <c r="M5454" s="690"/>
    </row>
    <row r="5455" spans="13:13">
      <c r="M5455" s="690"/>
    </row>
    <row r="5456" spans="13:13">
      <c r="M5456" s="690"/>
    </row>
    <row r="5457" spans="13:13">
      <c r="M5457" s="690"/>
    </row>
    <row r="5458" spans="13:13">
      <c r="M5458" s="690"/>
    </row>
    <row r="5459" spans="13:13">
      <c r="M5459" s="690"/>
    </row>
    <row r="5460" spans="13:13">
      <c r="M5460" s="690"/>
    </row>
    <row r="5461" spans="13:13">
      <c r="M5461" s="690"/>
    </row>
    <row r="5462" spans="13:13">
      <c r="M5462" s="690"/>
    </row>
    <row r="5463" spans="13:13">
      <c r="M5463" s="690"/>
    </row>
    <row r="5464" spans="13:13">
      <c r="M5464" s="690"/>
    </row>
    <row r="5465" spans="13:13">
      <c r="M5465" s="690"/>
    </row>
    <row r="5466" spans="13:13">
      <c r="M5466" s="690"/>
    </row>
    <row r="5467" spans="13:13">
      <c r="M5467" s="690"/>
    </row>
    <row r="5468" spans="13:13">
      <c r="M5468" s="690"/>
    </row>
    <row r="5469" spans="13:13">
      <c r="M5469" s="690"/>
    </row>
    <row r="5470" spans="13:13">
      <c r="M5470" s="690"/>
    </row>
    <row r="5471" spans="13:13">
      <c r="M5471" s="690"/>
    </row>
    <row r="5472" spans="13:13">
      <c r="M5472" s="690"/>
    </row>
    <row r="5473" spans="13:13">
      <c r="M5473" s="690"/>
    </row>
    <row r="5474" spans="13:13">
      <c r="M5474" s="690"/>
    </row>
    <row r="5475" spans="13:13">
      <c r="M5475" s="690"/>
    </row>
    <row r="5476" spans="13:13">
      <c r="M5476" s="690"/>
    </row>
    <row r="5477" spans="13:13">
      <c r="M5477" s="690"/>
    </row>
    <row r="5478" spans="13:13">
      <c r="M5478" s="690"/>
    </row>
    <row r="5479" spans="13:13">
      <c r="M5479" s="690"/>
    </row>
    <row r="5480" spans="13:13">
      <c r="M5480" s="690"/>
    </row>
    <row r="5481" spans="13:13">
      <c r="M5481" s="690"/>
    </row>
    <row r="5482" spans="13:13">
      <c r="M5482" s="690"/>
    </row>
    <row r="5483" spans="13:13">
      <c r="M5483" s="690"/>
    </row>
    <row r="5484" spans="13:13">
      <c r="M5484" s="690"/>
    </row>
    <row r="5485" spans="13:13">
      <c r="M5485" s="690"/>
    </row>
    <row r="5486" spans="13:13">
      <c r="M5486" s="690"/>
    </row>
    <row r="5487" spans="13:13">
      <c r="M5487" s="690"/>
    </row>
    <row r="5488" spans="13:13">
      <c r="M5488" s="690"/>
    </row>
    <row r="5489" spans="13:13">
      <c r="M5489" s="690"/>
    </row>
    <row r="5490" spans="13:13">
      <c r="M5490" s="690"/>
    </row>
    <row r="5491" spans="13:13">
      <c r="M5491" s="690"/>
    </row>
    <row r="5492" spans="13:13">
      <c r="M5492" s="690"/>
    </row>
    <row r="5493" spans="13:13">
      <c r="M5493" s="690"/>
    </row>
    <row r="5494" spans="13:13">
      <c r="M5494" s="690"/>
    </row>
    <row r="5495" spans="13:13">
      <c r="M5495" s="690"/>
    </row>
    <row r="5496" spans="13:13">
      <c r="M5496" s="690"/>
    </row>
    <row r="5497" spans="13:13">
      <c r="M5497" s="690"/>
    </row>
    <row r="5498" spans="13:13">
      <c r="M5498" s="690"/>
    </row>
    <row r="5499" spans="13:13">
      <c r="M5499" s="690"/>
    </row>
    <row r="5500" spans="13:13">
      <c r="M5500" s="690"/>
    </row>
    <row r="5501" spans="13:13">
      <c r="M5501" s="690"/>
    </row>
    <row r="5502" spans="13:13">
      <c r="M5502" s="690"/>
    </row>
    <row r="5503" spans="13:13">
      <c r="M5503" s="690"/>
    </row>
    <row r="5504" spans="13:13">
      <c r="M5504" s="690"/>
    </row>
    <row r="5505" spans="13:13">
      <c r="M5505" s="690"/>
    </row>
    <row r="5506" spans="13:13">
      <c r="M5506" s="690"/>
    </row>
    <row r="5507" spans="13:13">
      <c r="M5507" s="690"/>
    </row>
    <row r="5508" spans="13:13">
      <c r="M5508" s="690"/>
    </row>
    <row r="5509" spans="13:13">
      <c r="M5509" s="690"/>
    </row>
    <row r="5510" spans="13:13">
      <c r="M5510" s="690"/>
    </row>
    <row r="5511" spans="13:13">
      <c r="M5511" s="690"/>
    </row>
    <row r="5512" spans="13:13">
      <c r="M5512" s="690"/>
    </row>
    <row r="5513" spans="13:13">
      <c r="M5513" s="690"/>
    </row>
    <row r="5514" spans="13:13">
      <c r="M5514" s="690"/>
    </row>
    <row r="5515" spans="13:13">
      <c r="M5515" s="690"/>
    </row>
    <row r="5516" spans="13:13">
      <c r="M5516" s="690"/>
    </row>
    <row r="5517" spans="13:13">
      <c r="M5517" s="690"/>
    </row>
    <row r="5518" spans="13:13">
      <c r="M5518" s="690"/>
    </row>
    <row r="5519" spans="13:13">
      <c r="M5519" s="690"/>
    </row>
    <row r="5520" spans="13:13">
      <c r="M5520" s="690"/>
    </row>
    <row r="5521" spans="13:13">
      <c r="M5521" s="690"/>
    </row>
    <row r="5522" spans="13:13">
      <c r="M5522" s="690"/>
    </row>
    <row r="5523" spans="13:13">
      <c r="M5523" s="690"/>
    </row>
    <row r="5524" spans="13:13">
      <c r="M5524" s="690"/>
    </row>
    <row r="5525" spans="13:13">
      <c r="M5525" s="690"/>
    </row>
    <row r="5526" spans="13:13">
      <c r="M5526" s="690"/>
    </row>
    <row r="5527" spans="13:13">
      <c r="M5527" s="690"/>
    </row>
    <row r="5528" spans="13:13">
      <c r="M5528" s="690"/>
    </row>
    <row r="5529" spans="13:13">
      <c r="M5529" s="690"/>
    </row>
    <row r="5530" spans="13:13">
      <c r="M5530" s="690"/>
    </row>
    <row r="5531" spans="13:13">
      <c r="M5531" s="690"/>
    </row>
    <row r="5532" spans="13:13">
      <c r="M5532" s="690"/>
    </row>
    <row r="5533" spans="13:13">
      <c r="M5533" s="690"/>
    </row>
    <row r="5534" spans="13:13">
      <c r="M5534" s="690"/>
    </row>
    <row r="5535" spans="13:13">
      <c r="M5535" s="690"/>
    </row>
    <row r="5536" spans="13:13">
      <c r="M5536" s="690"/>
    </row>
    <row r="5537" spans="13:13">
      <c r="M5537" s="690"/>
    </row>
    <row r="5538" spans="13:13">
      <c r="M5538" s="690"/>
    </row>
    <row r="5539" spans="13:13">
      <c r="M5539" s="690"/>
    </row>
    <row r="5540" spans="13:13">
      <c r="M5540" s="690"/>
    </row>
    <row r="5541" spans="13:13">
      <c r="M5541" s="690"/>
    </row>
    <row r="5542" spans="13:13">
      <c r="M5542" s="690"/>
    </row>
    <row r="5543" spans="13:13">
      <c r="M5543" s="690"/>
    </row>
    <row r="5544" spans="13:13">
      <c r="M5544" s="690"/>
    </row>
    <row r="5545" spans="13:13">
      <c r="M5545" s="690"/>
    </row>
    <row r="5546" spans="13:13">
      <c r="M5546" s="690"/>
    </row>
    <row r="5547" spans="13:13">
      <c r="M5547" s="690"/>
    </row>
    <row r="5548" spans="13:13">
      <c r="M5548" s="690"/>
    </row>
    <row r="5549" spans="13:13">
      <c r="M5549" s="690"/>
    </row>
    <row r="5550" spans="13:13">
      <c r="M5550" s="690"/>
    </row>
    <row r="5551" spans="13:13">
      <c r="M5551" s="690"/>
    </row>
    <row r="5552" spans="13:13">
      <c r="M5552" s="690"/>
    </row>
    <row r="5553" spans="13:13">
      <c r="M5553" s="690"/>
    </row>
    <row r="5554" spans="13:13">
      <c r="M5554" s="690"/>
    </row>
    <row r="5555" spans="13:13">
      <c r="M5555" s="690"/>
    </row>
    <row r="5556" spans="13:13">
      <c r="M5556" s="690"/>
    </row>
    <row r="5557" spans="13:13">
      <c r="M5557" s="690"/>
    </row>
    <row r="5558" spans="13:13">
      <c r="M5558" s="690"/>
    </row>
    <row r="5559" spans="13:13">
      <c r="M5559" s="690"/>
    </row>
    <row r="5560" spans="13:13">
      <c r="M5560" s="690"/>
    </row>
    <row r="5561" spans="13:13">
      <c r="M5561" s="690"/>
    </row>
    <row r="5562" spans="13:13">
      <c r="M5562" s="690"/>
    </row>
    <row r="5563" spans="13:13">
      <c r="M5563" s="690"/>
    </row>
    <row r="5564" spans="13:13">
      <c r="M5564" s="690"/>
    </row>
    <row r="5565" spans="13:13">
      <c r="M5565" s="690"/>
    </row>
    <row r="5566" spans="13:13">
      <c r="M5566" s="690"/>
    </row>
    <row r="5567" spans="13:13">
      <c r="M5567" s="690"/>
    </row>
    <row r="5568" spans="13:13">
      <c r="M5568" s="690"/>
    </row>
    <row r="5569" spans="13:13">
      <c r="M5569" s="690"/>
    </row>
    <row r="5570" spans="13:13">
      <c r="M5570" s="690"/>
    </row>
    <row r="5571" spans="13:13">
      <c r="M5571" s="690"/>
    </row>
    <row r="5572" spans="13:13">
      <c r="M5572" s="690"/>
    </row>
    <row r="5573" spans="13:13">
      <c r="M5573" s="690"/>
    </row>
    <row r="5574" spans="13:13">
      <c r="M5574" s="690"/>
    </row>
    <row r="5575" spans="13:13">
      <c r="M5575" s="690"/>
    </row>
    <row r="5576" spans="13:13">
      <c r="M5576" s="690"/>
    </row>
    <row r="5577" spans="13:13">
      <c r="M5577" s="690"/>
    </row>
    <row r="5578" spans="13:13">
      <c r="M5578" s="690"/>
    </row>
    <row r="5579" spans="13:13">
      <c r="M5579" s="690"/>
    </row>
    <row r="5580" spans="13:13">
      <c r="M5580" s="690"/>
    </row>
    <row r="5581" spans="13:13">
      <c r="M5581" s="690"/>
    </row>
    <row r="5582" spans="13:13">
      <c r="M5582" s="690"/>
    </row>
    <row r="5583" spans="13:13">
      <c r="M5583" s="690"/>
    </row>
    <row r="5584" spans="13:13">
      <c r="M5584" s="690"/>
    </row>
    <row r="5585" spans="13:13">
      <c r="M5585" s="690"/>
    </row>
    <row r="5586" spans="13:13">
      <c r="M5586" s="690"/>
    </row>
    <row r="5587" spans="13:13">
      <c r="M5587" s="690"/>
    </row>
    <row r="5588" spans="13:13">
      <c r="M5588" s="690"/>
    </row>
    <row r="5589" spans="13:13">
      <c r="M5589" s="690"/>
    </row>
    <row r="5590" spans="13:13">
      <c r="M5590" s="690"/>
    </row>
    <row r="5591" spans="13:13">
      <c r="M5591" s="690"/>
    </row>
    <row r="5592" spans="13:13">
      <c r="M5592" s="690"/>
    </row>
    <row r="5593" spans="13:13">
      <c r="M5593" s="690"/>
    </row>
    <row r="5594" spans="13:13">
      <c r="M5594" s="690"/>
    </row>
    <row r="5595" spans="13:13">
      <c r="M5595" s="690"/>
    </row>
    <row r="5596" spans="13:13">
      <c r="M5596" s="690"/>
    </row>
    <row r="5597" spans="13:13">
      <c r="M5597" s="690"/>
    </row>
    <row r="5598" spans="13:13">
      <c r="M5598" s="690"/>
    </row>
    <row r="5599" spans="13:13">
      <c r="M5599" s="690"/>
    </row>
    <row r="5600" spans="13:13">
      <c r="M5600" s="690"/>
    </row>
    <row r="5601" spans="13:13">
      <c r="M5601" s="690"/>
    </row>
    <row r="5602" spans="13:13">
      <c r="M5602" s="690"/>
    </row>
    <row r="5603" spans="13:13">
      <c r="M5603" s="690"/>
    </row>
    <row r="5604" spans="13:13">
      <c r="M5604" s="690"/>
    </row>
    <row r="5605" spans="13:13">
      <c r="M5605" s="690"/>
    </row>
    <row r="5606" spans="13:13">
      <c r="M5606" s="690"/>
    </row>
    <row r="5607" spans="13:13">
      <c r="M5607" s="690"/>
    </row>
    <row r="5608" spans="13:13">
      <c r="M5608" s="690"/>
    </row>
    <row r="5609" spans="13:13">
      <c r="M5609" s="690"/>
    </row>
    <row r="5610" spans="13:13">
      <c r="M5610" s="690"/>
    </row>
    <row r="5611" spans="13:13">
      <c r="M5611" s="690"/>
    </row>
    <row r="5612" spans="13:13">
      <c r="M5612" s="690"/>
    </row>
    <row r="5613" spans="13:13">
      <c r="M5613" s="690"/>
    </row>
    <row r="5614" spans="13:13">
      <c r="M5614" s="690"/>
    </row>
    <row r="5615" spans="13:13">
      <c r="M5615" s="690"/>
    </row>
    <row r="5616" spans="13:13">
      <c r="M5616" s="690"/>
    </row>
    <row r="5617" spans="13:13">
      <c r="M5617" s="690"/>
    </row>
    <row r="5618" spans="13:13">
      <c r="M5618" s="690"/>
    </row>
    <row r="5619" spans="13:13">
      <c r="M5619" s="690"/>
    </row>
    <row r="5620" spans="13:13">
      <c r="M5620" s="690"/>
    </row>
    <row r="5621" spans="13:13">
      <c r="M5621" s="690"/>
    </row>
    <row r="5622" spans="13:13">
      <c r="M5622" s="690"/>
    </row>
    <row r="5623" spans="13:13">
      <c r="M5623" s="690"/>
    </row>
    <row r="5624" spans="13:13">
      <c r="M5624" s="690"/>
    </row>
    <row r="5625" spans="13:13">
      <c r="M5625" s="690"/>
    </row>
    <row r="5626" spans="13:13">
      <c r="M5626" s="690"/>
    </row>
    <row r="5627" spans="13:13">
      <c r="M5627" s="690"/>
    </row>
    <row r="5628" spans="13:13">
      <c r="M5628" s="690"/>
    </row>
    <row r="5629" spans="13:13">
      <c r="M5629" s="690"/>
    </row>
    <row r="5630" spans="13:13">
      <c r="M5630" s="690"/>
    </row>
    <row r="5631" spans="13:13">
      <c r="M5631" s="690"/>
    </row>
    <row r="5632" spans="13:13">
      <c r="M5632" s="690"/>
    </row>
    <row r="5633" spans="13:13">
      <c r="M5633" s="690"/>
    </row>
    <row r="5634" spans="13:13">
      <c r="M5634" s="690"/>
    </row>
    <row r="5635" spans="13:13">
      <c r="M5635" s="690"/>
    </row>
    <row r="5636" spans="13:13">
      <c r="M5636" s="690"/>
    </row>
    <row r="5637" spans="13:13">
      <c r="M5637" s="690"/>
    </row>
    <row r="5638" spans="13:13">
      <c r="M5638" s="690"/>
    </row>
    <row r="5639" spans="13:13">
      <c r="M5639" s="690"/>
    </row>
    <row r="5640" spans="13:13">
      <c r="M5640" s="690"/>
    </row>
    <row r="5641" spans="13:13">
      <c r="M5641" s="690"/>
    </row>
    <row r="5642" spans="13:13">
      <c r="M5642" s="690"/>
    </row>
    <row r="5643" spans="13:13">
      <c r="M5643" s="690"/>
    </row>
    <row r="5644" spans="13:13">
      <c r="M5644" s="690"/>
    </row>
    <row r="5645" spans="13:13">
      <c r="M5645" s="690"/>
    </row>
    <row r="5646" spans="13:13">
      <c r="M5646" s="690"/>
    </row>
    <row r="5647" spans="13:13">
      <c r="M5647" s="690"/>
    </row>
    <row r="5648" spans="13:13">
      <c r="M5648" s="690"/>
    </row>
    <row r="5649" spans="13:13">
      <c r="M5649" s="690"/>
    </row>
    <row r="5650" spans="13:13">
      <c r="M5650" s="690"/>
    </row>
    <row r="5651" spans="13:13">
      <c r="M5651" s="690"/>
    </row>
    <row r="5652" spans="13:13">
      <c r="M5652" s="690"/>
    </row>
    <row r="5653" spans="13:13">
      <c r="M5653" s="690"/>
    </row>
    <row r="5654" spans="13:13">
      <c r="M5654" s="690"/>
    </row>
    <row r="5655" spans="13:13">
      <c r="M5655" s="690"/>
    </row>
    <row r="5656" spans="13:13">
      <c r="M5656" s="690"/>
    </row>
    <row r="5657" spans="13:13">
      <c r="M5657" s="690"/>
    </row>
    <row r="5658" spans="13:13">
      <c r="M5658" s="690"/>
    </row>
    <row r="5659" spans="13:13">
      <c r="M5659" s="690"/>
    </row>
    <row r="5660" spans="13:13">
      <c r="M5660" s="690"/>
    </row>
    <row r="5661" spans="13:13">
      <c r="M5661" s="690"/>
    </row>
    <row r="5662" spans="13:13">
      <c r="M5662" s="690"/>
    </row>
    <row r="5663" spans="13:13">
      <c r="M5663" s="690"/>
    </row>
    <row r="5664" spans="13:13">
      <c r="M5664" s="690"/>
    </row>
    <row r="5665" spans="13:13">
      <c r="M5665" s="690"/>
    </row>
    <row r="5666" spans="13:13">
      <c r="M5666" s="690"/>
    </row>
    <row r="5667" spans="13:13">
      <c r="M5667" s="690"/>
    </row>
    <row r="5668" spans="13:13">
      <c r="M5668" s="690"/>
    </row>
    <row r="5669" spans="13:13">
      <c r="M5669" s="690"/>
    </row>
    <row r="5670" spans="13:13">
      <c r="M5670" s="690"/>
    </row>
    <row r="5671" spans="13:13">
      <c r="M5671" s="690"/>
    </row>
    <row r="5672" spans="13:13">
      <c r="M5672" s="690"/>
    </row>
    <row r="5673" spans="13:13">
      <c r="M5673" s="690"/>
    </row>
    <row r="5674" spans="13:13">
      <c r="M5674" s="690"/>
    </row>
    <row r="5675" spans="13:13">
      <c r="M5675" s="690"/>
    </row>
    <row r="5676" spans="13:13">
      <c r="M5676" s="690"/>
    </row>
    <row r="5677" spans="13:13">
      <c r="M5677" s="690"/>
    </row>
    <row r="5678" spans="13:13">
      <c r="M5678" s="690"/>
    </row>
    <row r="5679" spans="13:13">
      <c r="M5679" s="690"/>
    </row>
    <row r="5680" spans="13:13">
      <c r="M5680" s="690"/>
    </row>
    <row r="5681" spans="13:13">
      <c r="M5681" s="690"/>
    </row>
    <row r="5682" spans="13:13">
      <c r="M5682" s="690"/>
    </row>
    <row r="5683" spans="13:13">
      <c r="M5683" s="690"/>
    </row>
    <row r="5684" spans="13:13">
      <c r="M5684" s="690"/>
    </row>
    <row r="5685" spans="13:13">
      <c r="M5685" s="690"/>
    </row>
    <row r="5686" spans="13:13">
      <c r="M5686" s="690"/>
    </row>
    <row r="5687" spans="13:13">
      <c r="M5687" s="690"/>
    </row>
    <row r="5688" spans="13:13">
      <c r="M5688" s="690"/>
    </row>
    <row r="5689" spans="13:13">
      <c r="M5689" s="690"/>
    </row>
    <row r="5690" spans="13:13">
      <c r="M5690" s="690"/>
    </row>
    <row r="5691" spans="13:13">
      <c r="M5691" s="690"/>
    </row>
    <row r="5692" spans="13:13">
      <c r="M5692" s="690"/>
    </row>
    <row r="5693" spans="13:13">
      <c r="M5693" s="690"/>
    </row>
    <row r="5694" spans="13:13">
      <c r="M5694" s="690"/>
    </row>
    <row r="5695" spans="13:13">
      <c r="M5695" s="690"/>
    </row>
    <row r="5696" spans="13:13">
      <c r="M5696" s="690"/>
    </row>
    <row r="5697" spans="13:13">
      <c r="M5697" s="690"/>
    </row>
    <row r="5698" spans="13:13">
      <c r="M5698" s="690"/>
    </row>
    <row r="5699" spans="13:13">
      <c r="M5699" s="690"/>
    </row>
    <row r="5700" spans="13:13">
      <c r="M5700" s="690"/>
    </row>
    <row r="5701" spans="13:13">
      <c r="M5701" s="690"/>
    </row>
    <row r="5702" spans="13:13">
      <c r="M5702" s="690"/>
    </row>
    <row r="5703" spans="13:13">
      <c r="M5703" s="690"/>
    </row>
    <row r="5704" spans="13:13">
      <c r="M5704" s="690"/>
    </row>
    <row r="5705" spans="13:13">
      <c r="M5705" s="690"/>
    </row>
    <row r="5706" spans="13:13">
      <c r="M5706" s="690"/>
    </row>
    <row r="5707" spans="13:13">
      <c r="M5707" s="690"/>
    </row>
    <row r="5708" spans="13:13">
      <c r="M5708" s="690"/>
    </row>
    <row r="5709" spans="13:13">
      <c r="M5709" s="690"/>
    </row>
    <row r="5710" spans="13:13">
      <c r="M5710" s="690"/>
    </row>
    <row r="5711" spans="13:13">
      <c r="M5711" s="690"/>
    </row>
    <row r="5712" spans="13:13">
      <c r="M5712" s="690"/>
    </row>
    <row r="5713" spans="13:13">
      <c r="M5713" s="690"/>
    </row>
    <row r="5714" spans="13:13">
      <c r="M5714" s="690"/>
    </row>
    <row r="5715" spans="13:13">
      <c r="M5715" s="690"/>
    </row>
    <row r="5716" spans="13:13">
      <c r="M5716" s="690"/>
    </row>
    <row r="5717" spans="13:13">
      <c r="M5717" s="690"/>
    </row>
    <row r="5718" spans="13:13">
      <c r="M5718" s="690"/>
    </row>
    <row r="5719" spans="13:13">
      <c r="M5719" s="690"/>
    </row>
    <row r="5720" spans="13:13">
      <c r="M5720" s="690"/>
    </row>
    <row r="5721" spans="13:13">
      <c r="M5721" s="690"/>
    </row>
    <row r="5722" spans="13:13">
      <c r="M5722" s="690"/>
    </row>
    <row r="5723" spans="13:13">
      <c r="M5723" s="690"/>
    </row>
    <row r="5724" spans="13:13">
      <c r="M5724" s="690"/>
    </row>
    <row r="5725" spans="13:13">
      <c r="M5725" s="690"/>
    </row>
    <row r="5726" spans="13:13">
      <c r="M5726" s="690"/>
    </row>
    <row r="5727" spans="13:13">
      <c r="M5727" s="690"/>
    </row>
    <row r="5728" spans="13:13">
      <c r="M5728" s="690"/>
    </row>
    <row r="5729" spans="13:13">
      <c r="M5729" s="690"/>
    </row>
    <row r="5730" spans="13:13">
      <c r="M5730" s="690"/>
    </row>
    <row r="5731" spans="13:13">
      <c r="M5731" s="690"/>
    </row>
    <row r="5732" spans="13:13">
      <c r="M5732" s="690"/>
    </row>
    <row r="5733" spans="13:13">
      <c r="M5733" s="690"/>
    </row>
    <row r="5734" spans="13:13">
      <c r="M5734" s="690"/>
    </row>
    <row r="5735" spans="13:13">
      <c r="M5735" s="690"/>
    </row>
    <row r="5736" spans="13:13">
      <c r="M5736" s="690"/>
    </row>
    <row r="5737" spans="13:13">
      <c r="M5737" s="690"/>
    </row>
    <row r="5738" spans="13:13">
      <c r="M5738" s="690"/>
    </row>
    <row r="5739" spans="13:13">
      <c r="M5739" s="690"/>
    </row>
    <row r="5740" spans="13:13">
      <c r="M5740" s="690"/>
    </row>
    <row r="5741" spans="13:13">
      <c r="M5741" s="690"/>
    </row>
    <row r="5742" spans="13:13">
      <c r="M5742" s="690"/>
    </row>
    <row r="5743" spans="13:13">
      <c r="M5743" s="690"/>
    </row>
    <row r="5744" spans="13:13">
      <c r="M5744" s="690"/>
    </row>
    <row r="5745" spans="13:13">
      <c r="M5745" s="690"/>
    </row>
    <row r="5746" spans="13:13">
      <c r="M5746" s="690"/>
    </row>
    <row r="5747" spans="13:13">
      <c r="M5747" s="690"/>
    </row>
    <row r="5748" spans="13:13">
      <c r="M5748" s="690"/>
    </row>
    <row r="5749" spans="13:13">
      <c r="M5749" s="690"/>
    </row>
    <row r="5750" spans="13:13">
      <c r="M5750" s="690"/>
    </row>
    <row r="5751" spans="13:13">
      <c r="M5751" s="690"/>
    </row>
    <row r="5752" spans="13:13">
      <c r="M5752" s="690"/>
    </row>
    <row r="5753" spans="13:13">
      <c r="M5753" s="690"/>
    </row>
    <row r="5754" spans="13:13">
      <c r="M5754" s="690"/>
    </row>
    <row r="5755" spans="13:13">
      <c r="M5755" s="690"/>
    </row>
    <row r="5756" spans="13:13">
      <c r="M5756" s="690"/>
    </row>
    <row r="5757" spans="13:13">
      <c r="M5757" s="690"/>
    </row>
    <row r="5758" spans="13:13">
      <c r="M5758" s="690"/>
    </row>
    <row r="5759" spans="13:13">
      <c r="M5759" s="690"/>
    </row>
    <row r="5760" spans="13:13">
      <c r="M5760" s="690"/>
    </row>
    <row r="5761" spans="13:13">
      <c r="M5761" s="690"/>
    </row>
    <row r="5762" spans="13:13">
      <c r="M5762" s="690"/>
    </row>
    <row r="5763" spans="13:13">
      <c r="M5763" s="690"/>
    </row>
    <row r="5764" spans="13:13">
      <c r="M5764" s="690"/>
    </row>
    <row r="5765" spans="13:13">
      <c r="M5765" s="690"/>
    </row>
    <row r="5766" spans="13:13">
      <c r="M5766" s="690"/>
    </row>
    <row r="5767" spans="13:13">
      <c r="M5767" s="690"/>
    </row>
    <row r="5768" spans="13:13">
      <c r="M5768" s="690"/>
    </row>
    <row r="5769" spans="13:13">
      <c r="M5769" s="690"/>
    </row>
    <row r="5770" spans="13:13">
      <c r="M5770" s="690"/>
    </row>
    <row r="5771" spans="13:13">
      <c r="M5771" s="690"/>
    </row>
    <row r="5772" spans="13:13">
      <c r="M5772" s="690"/>
    </row>
    <row r="5773" spans="13:13">
      <c r="M5773" s="690"/>
    </row>
    <row r="5774" spans="13:13">
      <c r="M5774" s="690"/>
    </row>
    <row r="5775" spans="13:13">
      <c r="M5775" s="690"/>
    </row>
    <row r="5776" spans="13:13">
      <c r="M5776" s="690"/>
    </row>
    <row r="5777" spans="13:13">
      <c r="M5777" s="690"/>
    </row>
    <row r="5778" spans="13:13">
      <c r="M5778" s="690"/>
    </row>
    <row r="5779" spans="13:13">
      <c r="M5779" s="690"/>
    </row>
    <row r="5780" spans="13:13">
      <c r="M5780" s="690"/>
    </row>
    <row r="5781" spans="13:13">
      <c r="M5781" s="690"/>
    </row>
    <row r="5782" spans="13:13">
      <c r="M5782" s="690"/>
    </row>
    <row r="5783" spans="13:13">
      <c r="M5783" s="690"/>
    </row>
    <row r="5784" spans="13:13">
      <c r="M5784" s="690"/>
    </row>
    <row r="5785" spans="13:13">
      <c r="M5785" s="690"/>
    </row>
    <row r="5786" spans="13:13">
      <c r="M5786" s="690"/>
    </row>
    <row r="5787" spans="13:13">
      <c r="M5787" s="690"/>
    </row>
    <row r="5788" spans="13:13">
      <c r="M5788" s="690"/>
    </row>
    <row r="5789" spans="13:13">
      <c r="M5789" s="690"/>
    </row>
    <row r="5790" spans="13:13">
      <c r="M5790" s="690"/>
    </row>
    <row r="5791" spans="13:13">
      <c r="M5791" s="690"/>
    </row>
    <row r="5792" spans="13:13">
      <c r="M5792" s="690"/>
    </row>
    <row r="5793" spans="13:13">
      <c r="M5793" s="690"/>
    </row>
    <row r="5794" spans="13:13">
      <c r="M5794" s="690"/>
    </row>
    <row r="5795" spans="13:13">
      <c r="M5795" s="690"/>
    </row>
    <row r="5796" spans="13:13">
      <c r="M5796" s="690"/>
    </row>
    <row r="5797" spans="13:13">
      <c r="M5797" s="690"/>
    </row>
    <row r="5798" spans="13:13">
      <c r="M5798" s="690"/>
    </row>
    <row r="5799" spans="13:13">
      <c r="M5799" s="690"/>
    </row>
    <row r="5800" spans="13:13">
      <c r="M5800" s="690"/>
    </row>
    <row r="5801" spans="13:13">
      <c r="M5801" s="690"/>
    </row>
    <row r="5802" spans="13:13">
      <c r="M5802" s="690"/>
    </row>
    <row r="5803" spans="13:13">
      <c r="M5803" s="690"/>
    </row>
    <row r="5804" spans="13:13">
      <c r="M5804" s="690"/>
    </row>
    <row r="5805" spans="13:13">
      <c r="M5805" s="690"/>
    </row>
    <row r="5806" spans="13:13">
      <c r="M5806" s="690"/>
    </row>
    <row r="5807" spans="13:13">
      <c r="M5807" s="690"/>
    </row>
    <row r="5808" spans="13:13">
      <c r="M5808" s="690"/>
    </row>
    <row r="5809" spans="13:13">
      <c r="M5809" s="690"/>
    </row>
    <row r="5810" spans="13:13">
      <c r="M5810" s="690"/>
    </row>
    <row r="5811" spans="13:13">
      <c r="M5811" s="690"/>
    </row>
    <row r="5812" spans="13:13">
      <c r="M5812" s="690"/>
    </row>
    <row r="5813" spans="13:13">
      <c r="M5813" s="690"/>
    </row>
    <row r="5814" spans="13:13">
      <c r="M5814" s="690"/>
    </row>
    <row r="5815" spans="13:13">
      <c r="M5815" s="690"/>
    </row>
    <row r="5816" spans="13:13">
      <c r="M5816" s="690"/>
    </row>
    <row r="5817" spans="13:13">
      <c r="M5817" s="690"/>
    </row>
    <row r="5818" spans="13:13">
      <c r="M5818" s="690"/>
    </row>
    <row r="5819" spans="13:13">
      <c r="M5819" s="690"/>
    </row>
    <row r="5820" spans="13:13">
      <c r="M5820" s="690"/>
    </row>
    <row r="5821" spans="13:13">
      <c r="M5821" s="690"/>
    </row>
    <row r="5822" spans="13:13">
      <c r="M5822" s="690"/>
    </row>
    <row r="5823" spans="13:13">
      <c r="M5823" s="690"/>
    </row>
    <row r="5824" spans="13:13">
      <c r="M5824" s="690"/>
    </row>
    <row r="5825" spans="13:13">
      <c r="M5825" s="690"/>
    </row>
    <row r="5826" spans="13:13">
      <c r="M5826" s="690"/>
    </row>
    <row r="5827" spans="13:13">
      <c r="M5827" s="690"/>
    </row>
    <row r="5828" spans="13:13">
      <c r="M5828" s="690"/>
    </row>
    <row r="5829" spans="13:13">
      <c r="M5829" s="690"/>
    </row>
    <row r="5830" spans="13:13">
      <c r="M5830" s="690"/>
    </row>
    <row r="5831" spans="13:13">
      <c r="M5831" s="690"/>
    </row>
    <row r="5832" spans="13:13">
      <c r="M5832" s="690"/>
    </row>
    <row r="5833" spans="13:13">
      <c r="M5833" s="690"/>
    </row>
    <row r="5834" spans="13:13">
      <c r="M5834" s="690"/>
    </row>
    <row r="5835" spans="13:13">
      <c r="M5835" s="690"/>
    </row>
    <row r="5836" spans="13:13">
      <c r="M5836" s="690"/>
    </row>
    <row r="5837" spans="13:13">
      <c r="M5837" s="690"/>
    </row>
    <row r="5838" spans="13:13">
      <c r="M5838" s="690"/>
    </row>
    <row r="5839" spans="13:13">
      <c r="M5839" s="690"/>
    </row>
    <row r="5840" spans="13:13">
      <c r="M5840" s="690"/>
    </row>
    <row r="5841" spans="13:13">
      <c r="M5841" s="690"/>
    </row>
    <row r="5842" spans="13:13">
      <c r="M5842" s="690"/>
    </row>
    <row r="5843" spans="13:13">
      <c r="M5843" s="690"/>
    </row>
    <row r="5844" spans="13:13">
      <c r="M5844" s="690"/>
    </row>
    <row r="5845" spans="13:13">
      <c r="M5845" s="690"/>
    </row>
    <row r="5846" spans="13:13">
      <c r="M5846" s="690"/>
    </row>
    <row r="5847" spans="13:13">
      <c r="M5847" s="690"/>
    </row>
    <row r="5848" spans="13:13">
      <c r="M5848" s="690"/>
    </row>
    <row r="5849" spans="13:13">
      <c r="M5849" s="690"/>
    </row>
    <row r="5850" spans="13:13">
      <c r="M5850" s="690"/>
    </row>
    <row r="5851" spans="13:13">
      <c r="M5851" s="690"/>
    </row>
    <row r="5852" spans="13:13">
      <c r="M5852" s="690"/>
    </row>
    <row r="5853" spans="13:13">
      <c r="M5853" s="690"/>
    </row>
    <row r="5854" spans="13:13">
      <c r="M5854" s="690"/>
    </row>
    <row r="5855" spans="13:13">
      <c r="M5855" s="690"/>
    </row>
    <row r="5856" spans="13:13">
      <c r="M5856" s="690"/>
    </row>
    <row r="5857" spans="13:13">
      <c r="M5857" s="690"/>
    </row>
    <row r="5858" spans="13:13">
      <c r="M5858" s="690"/>
    </row>
    <row r="5859" spans="13:13">
      <c r="M5859" s="690"/>
    </row>
    <row r="5860" spans="13:13">
      <c r="M5860" s="690"/>
    </row>
    <row r="5861" spans="13:13">
      <c r="M5861" s="690"/>
    </row>
    <row r="5862" spans="13:13">
      <c r="M5862" s="690"/>
    </row>
    <row r="5863" spans="13:13">
      <c r="M5863" s="690"/>
    </row>
    <row r="5864" spans="13:13">
      <c r="M5864" s="690"/>
    </row>
    <row r="5865" spans="13:13">
      <c r="M5865" s="690"/>
    </row>
    <row r="5866" spans="13:13">
      <c r="M5866" s="690"/>
    </row>
    <row r="5867" spans="13:13">
      <c r="M5867" s="690"/>
    </row>
    <row r="5868" spans="13:13">
      <c r="M5868" s="690"/>
    </row>
    <row r="5869" spans="13:13">
      <c r="M5869" s="690"/>
    </row>
    <row r="5870" spans="13:13">
      <c r="M5870" s="690"/>
    </row>
    <row r="5871" spans="13:13">
      <c r="M5871" s="690"/>
    </row>
    <row r="5872" spans="13:13">
      <c r="M5872" s="690"/>
    </row>
    <row r="5873" spans="13:13">
      <c r="M5873" s="690"/>
    </row>
    <row r="5874" spans="13:13">
      <c r="M5874" s="690"/>
    </row>
    <row r="5875" spans="13:13">
      <c r="M5875" s="690"/>
    </row>
    <row r="5876" spans="13:13">
      <c r="M5876" s="690"/>
    </row>
    <row r="5877" spans="13:13">
      <c r="M5877" s="690"/>
    </row>
    <row r="5878" spans="13:13">
      <c r="M5878" s="690"/>
    </row>
    <row r="5879" spans="13:13">
      <c r="M5879" s="690"/>
    </row>
    <row r="5880" spans="13:13">
      <c r="M5880" s="690"/>
    </row>
    <row r="5881" spans="13:13">
      <c r="M5881" s="690"/>
    </row>
    <row r="5882" spans="13:13">
      <c r="M5882" s="690"/>
    </row>
    <row r="5883" spans="13:13">
      <c r="M5883" s="690"/>
    </row>
    <row r="5884" spans="13:13">
      <c r="M5884" s="690"/>
    </row>
    <row r="5885" spans="13:13">
      <c r="M5885" s="690"/>
    </row>
    <row r="5886" spans="13:13">
      <c r="M5886" s="690"/>
    </row>
    <row r="5887" spans="13:13">
      <c r="M5887" s="690"/>
    </row>
    <row r="5888" spans="13:13">
      <c r="M5888" s="690"/>
    </row>
    <row r="5889" spans="13:13">
      <c r="M5889" s="690"/>
    </row>
    <row r="5890" spans="13:13">
      <c r="M5890" s="690"/>
    </row>
    <row r="5891" spans="13:13">
      <c r="M5891" s="690"/>
    </row>
    <row r="5892" spans="13:13">
      <c r="M5892" s="690"/>
    </row>
    <row r="5893" spans="13:13">
      <c r="M5893" s="690"/>
    </row>
    <row r="5894" spans="13:13">
      <c r="M5894" s="690"/>
    </row>
    <row r="5895" spans="13:13">
      <c r="M5895" s="690"/>
    </row>
    <row r="5896" spans="13:13">
      <c r="M5896" s="690"/>
    </row>
    <row r="5897" spans="13:13">
      <c r="M5897" s="690"/>
    </row>
    <row r="5898" spans="13:13">
      <c r="M5898" s="690"/>
    </row>
    <row r="5899" spans="13:13">
      <c r="M5899" s="690"/>
    </row>
    <row r="5900" spans="13:13">
      <c r="M5900" s="690"/>
    </row>
    <row r="5901" spans="13:13">
      <c r="M5901" s="690"/>
    </row>
    <row r="5902" spans="13:13">
      <c r="M5902" s="690"/>
    </row>
    <row r="5903" spans="13:13">
      <c r="M5903" s="690"/>
    </row>
    <row r="5904" spans="13:13">
      <c r="M5904" s="690"/>
    </row>
    <row r="5905" spans="13:13">
      <c r="M5905" s="690"/>
    </row>
    <row r="5906" spans="13:13">
      <c r="M5906" s="690"/>
    </row>
    <row r="5907" spans="13:13">
      <c r="M5907" s="690"/>
    </row>
    <row r="5908" spans="13:13">
      <c r="M5908" s="690"/>
    </row>
    <row r="5909" spans="13:13">
      <c r="M5909" s="690"/>
    </row>
    <row r="5910" spans="13:13">
      <c r="M5910" s="690"/>
    </row>
    <row r="5911" spans="13:13">
      <c r="M5911" s="690"/>
    </row>
    <row r="5912" spans="13:13">
      <c r="M5912" s="690"/>
    </row>
    <row r="5913" spans="13:13">
      <c r="M5913" s="690"/>
    </row>
    <row r="5914" spans="13:13">
      <c r="M5914" s="690"/>
    </row>
    <row r="5915" spans="13:13">
      <c r="M5915" s="690"/>
    </row>
    <row r="5916" spans="13:13">
      <c r="M5916" s="690"/>
    </row>
    <row r="5917" spans="13:13">
      <c r="M5917" s="690"/>
    </row>
    <row r="5918" spans="13:13">
      <c r="M5918" s="690"/>
    </row>
    <row r="5919" spans="13:13">
      <c r="M5919" s="690"/>
    </row>
    <row r="5920" spans="13:13">
      <c r="M5920" s="690"/>
    </row>
    <row r="5921" spans="13:13">
      <c r="M5921" s="690"/>
    </row>
    <row r="5922" spans="13:13">
      <c r="M5922" s="690"/>
    </row>
    <row r="5923" spans="13:13">
      <c r="M5923" s="690"/>
    </row>
    <row r="5924" spans="13:13">
      <c r="M5924" s="690"/>
    </row>
    <row r="5925" spans="13:13">
      <c r="M5925" s="690"/>
    </row>
    <row r="5926" spans="13:13">
      <c r="M5926" s="690"/>
    </row>
    <row r="5927" spans="13:13">
      <c r="M5927" s="690"/>
    </row>
    <row r="5928" spans="13:13">
      <c r="M5928" s="690"/>
    </row>
    <row r="5929" spans="13:13">
      <c r="M5929" s="690"/>
    </row>
    <row r="5930" spans="13:13">
      <c r="M5930" s="690"/>
    </row>
    <row r="5931" spans="13:13">
      <c r="M5931" s="690"/>
    </row>
    <row r="5932" spans="13:13">
      <c r="M5932" s="690"/>
    </row>
    <row r="5933" spans="13:13">
      <c r="M5933" s="690"/>
    </row>
    <row r="5934" spans="13:13">
      <c r="M5934" s="690"/>
    </row>
    <row r="5935" spans="13:13">
      <c r="M5935" s="690"/>
    </row>
    <row r="5936" spans="13:13">
      <c r="M5936" s="690"/>
    </row>
    <row r="5937" spans="13:13">
      <c r="M5937" s="690"/>
    </row>
    <row r="5938" spans="13:13">
      <c r="M5938" s="690"/>
    </row>
    <row r="5939" spans="13:13">
      <c r="M5939" s="690"/>
    </row>
    <row r="5940" spans="13:13">
      <c r="M5940" s="690"/>
    </row>
    <row r="5941" spans="13:13">
      <c r="M5941" s="690"/>
    </row>
    <row r="5942" spans="13:13">
      <c r="M5942" s="690"/>
    </row>
    <row r="5943" spans="13:13">
      <c r="M5943" s="690"/>
    </row>
    <row r="5944" spans="13:13">
      <c r="M5944" s="690"/>
    </row>
    <row r="5945" spans="13:13">
      <c r="M5945" s="690"/>
    </row>
    <row r="5946" spans="13:13">
      <c r="M5946" s="690"/>
    </row>
    <row r="5947" spans="13:13">
      <c r="M5947" s="690"/>
    </row>
    <row r="5948" spans="13:13">
      <c r="M5948" s="690"/>
    </row>
    <row r="5949" spans="13:13">
      <c r="M5949" s="690"/>
    </row>
    <row r="5950" spans="13:13">
      <c r="M5950" s="690"/>
    </row>
    <row r="5951" spans="13:13">
      <c r="M5951" s="690"/>
    </row>
    <row r="5952" spans="13:13">
      <c r="M5952" s="690"/>
    </row>
    <row r="5953" spans="13:13">
      <c r="M5953" s="690"/>
    </row>
    <row r="5954" spans="13:13">
      <c r="M5954" s="690"/>
    </row>
    <row r="5955" spans="13:13">
      <c r="M5955" s="690"/>
    </row>
    <row r="5956" spans="13:13">
      <c r="M5956" s="690"/>
    </row>
    <row r="5957" spans="13:13">
      <c r="M5957" s="690"/>
    </row>
    <row r="5958" spans="13:13">
      <c r="M5958" s="690"/>
    </row>
    <row r="5959" spans="13:13">
      <c r="M5959" s="690"/>
    </row>
    <row r="5960" spans="13:13">
      <c r="M5960" s="690"/>
    </row>
    <row r="5961" spans="13:13">
      <c r="M5961" s="690"/>
    </row>
    <row r="5962" spans="13:13">
      <c r="M5962" s="690"/>
    </row>
    <row r="5963" spans="13:13">
      <c r="M5963" s="690"/>
    </row>
    <row r="5964" spans="13:13">
      <c r="M5964" s="690"/>
    </row>
    <row r="5965" spans="13:13">
      <c r="M5965" s="690"/>
    </row>
    <row r="5966" spans="13:13">
      <c r="M5966" s="690"/>
    </row>
    <row r="5967" spans="13:13">
      <c r="M5967" s="690"/>
    </row>
    <row r="5968" spans="13:13">
      <c r="M5968" s="690"/>
    </row>
    <row r="5969" spans="13:13">
      <c r="M5969" s="690"/>
    </row>
    <row r="5970" spans="13:13">
      <c r="M5970" s="690"/>
    </row>
    <row r="5971" spans="13:13">
      <c r="M5971" s="690"/>
    </row>
    <row r="5972" spans="13:13">
      <c r="M5972" s="690"/>
    </row>
    <row r="5973" spans="13:13">
      <c r="M5973" s="690"/>
    </row>
    <row r="5974" spans="13:13">
      <c r="M5974" s="690"/>
    </row>
    <row r="5975" spans="13:13">
      <c r="M5975" s="690"/>
    </row>
    <row r="5976" spans="13:13">
      <c r="M5976" s="690"/>
    </row>
    <row r="5977" spans="13:13">
      <c r="M5977" s="690"/>
    </row>
    <row r="5978" spans="13:13">
      <c r="M5978" s="690"/>
    </row>
    <row r="5979" spans="13:13">
      <c r="M5979" s="690"/>
    </row>
    <row r="5980" spans="13:13">
      <c r="M5980" s="690"/>
    </row>
    <row r="5981" spans="13:13">
      <c r="M5981" s="690"/>
    </row>
    <row r="5982" spans="13:13">
      <c r="M5982" s="690"/>
    </row>
    <row r="5983" spans="13:13">
      <c r="M5983" s="690"/>
    </row>
    <row r="5984" spans="13:13">
      <c r="M5984" s="690"/>
    </row>
    <row r="5985" spans="13:13">
      <c r="M5985" s="690"/>
    </row>
    <row r="5986" spans="13:13">
      <c r="M5986" s="690"/>
    </row>
    <row r="5987" spans="13:13">
      <c r="M5987" s="690"/>
    </row>
    <row r="5988" spans="13:13">
      <c r="M5988" s="690"/>
    </row>
    <row r="5989" spans="13:13">
      <c r="M5989" s="690"/>
    </row>
    <row r="5990" spans="13:13">
      <c r="M5990" s="690"/>
    </row>
    <row r="5991" spans="13:13">
      <c r="M5991" s="690"/>
    </row>
    <row r="5992" spans="13:13">
      <c r="M5992" s="690"/>
    </row>
    <row r="5993" spans="13:13">
      <c r="M5993" s="690"/>
    </row>
    <row r="5994" spans="13:13">
      <c r="M5994" s="690"/>
    </row>
    <row r="5995" spans="13:13">
      <c r="M5995" s="690"/>
    </row>
    <row r="5996" spans="13:13">
      <c r="M5996" s="690"/>
    </row>
    <row r="5997" spans="13:13">
      <c r="M5997" s="690"/>
    </row>
    <row r="5998" spans="13:13">
      <c r="M5998" s="690"/>
    </row>
    <row r="5999" spans="13:13">
      <c r="M5999" s="690"/>
    </row>
    <row r="6000" spans="13:13">
      <c r="M6000" s="690"/>
    </row>
    <row r="6001" spans="13:13">
      <c r="M6001" s="690"/>
    </row>
    <row r="6002" spans="13:13">
      <c r="M6002" s="690"/>
    </row>
    <row r="6003" spans="13:13">
      <c r="M6003" s="690"/>
    </row>
    <row r="6004" spans="13:13">
      <c r="M6004" s="690"/>
    </row>
    <row r="6005" spans="13:13">
      <c r="M6005" s="690"/>
    </row>
    <row r="6006" spans="13:13">
      <c r="M6006" s="690"/>
    </row>
    <row r="6007" spans="13:13">
      <c r="M6007" s="690"/>
    </row>
    <row r="6008" spans="13:13">
      <c r="M6008" s="690"/>
    </row>
    <row r="6009" spans="13:13">
      <c r="M6009" s="690"/>
    </row>
    <row r="6010" spans="13:13">
      <c r="M6010" s="690"/>
    </row>
    <row r="6011" spans="13:13">
      <c r="M6011" s="690"/>
    </row>
    <row r="6012" spans="13:13">
      <c r="M6012" s="690"/>
    </row>
    <row r="6013" spans="13:13">
      <c r="M6013" s="690"/>
    </row>
    <row r="6014" spans="13:13">
      <c r="M6014" s="690"/>
    </row>
    <row r="6015" spans="13:13">
      <c r="M6015" s="690"/>
    </row>
    <row r="6016" spans="13:13">
      <c r="M6016" s="690"/>
    </row>
    <row r="6017" spans="13:13">
      <c r="M6017" s="690"/>
    </row>
    <row r="6018" spans="13:13">
      <c r="M6018" s="690"/>
    </row>
    <row r="6019" spans="13:13">
      <c r="M6019" s="690"/>
    </row>
    <row r="6020" spans="13:13">
      <c r="M6020" s="690"/>
    </row>
    <row r="6021" spans="13:13">
      <c r="M6021" s="690"/>
    </row>
    <row r="6022" spans="13:13">
      <c r="M6022" s="690"/>
    </row>
    <row r="6023" spans="13:13">
      <c r="M6023" s="690"/>
    </row>
    <row r="6024" spans="13:13">
      <c r="M6024" s="690"/>
    </row>
    <row r="6025" spans="13:13">
      <c r="M6025" s="690"/>
    </row>
    <row r="6026" spans="13:13">
      <c r="M6026" s="690"/>
    </row>
    <row r="6027" spans="13:13">
      <c r="M6027" s="690"/>
    </row>
    <row r="6028" spans="13:13">
      <c r="M6028" s="690"/>
    </row>
    <row r="6029" spans="13:13">
      <c r="M6029" s="690"/>
    </row>
    <row r="6030" spans="13:13">
      <c r="M6030" s="690"/>
    </row>
    <row r="6031" spans="13:13">
      <c r="M6031" s="690"/>
    </row>
    <row r="6032" spans="13:13">
      <c r="M6032" s="690"/>
    </row>
    <row r="6033" spans="13:13">
      <c r="M6033" s="690"/>
    </row>
    <row r="6034" spans="13:13">
      <c r="M6034" s="690"/>
    </row>
    <row r="6035" spans="13:13">
      <c r="M6035" s="690"/>
    </row>
    <row r="6036" spans="13:13">
      <c r="M6036" s="690"/>
    </row>
    <row r="6037" spans="13:13">
      <c r="M6037" s="690"/>
    </row>
    <row r="6038" spans="13:13">
      <c r="M6038" s="690"/>
    </row>
    <row r="6039" spans="13:13">
      <c r="M6039" s="690"/>
    </row>
    <row r="6040" spans="13:13">
      <c r="M6040" s="690"/>
    </row>
    <row r="6041" spans="13:13">
      <c r="M6041" s="690"/>
    </row>
    <row r="6042" spans="13:13">
      <c r="M6042" s="690"/>
    </row>
    <row r="6043" spans="13:13">
      <c r="M6043" s="690"/>
    </row>
    <row r="6044" spans="13:13">
      <c r="M6044" s="690"/>
    </row>
    <row r="6045" spans="13:13">
      <c r="M6045" s="690"/>
    </row>
    <row r="6046" spans="13:13">
      <c r="M6046" s="690"/>
    </row>
    <row r="6047" spans="13:13">
      <c r="M6047" s="690"/>
    </row>
    <row r="6048" spans="13:13">
      <c r="M6048" s="690"/>
    </row>
    <row r="6049" spans="13:13">
      <c r="M6049" s="690"/>
    </row>
    <row r="6050" spans="13:13">
      <c r="M6050" s="690"/>
    </row>
    <row r="6051" spans="13:13">
      <c r="M6051" s="690"/>
    </row>
    <row r="6052" spans="13:13">
      <c r="M6052" s="690"/>
    </row>
    <row r="6053" spans="13:13">
      <c r="M6053" s="690"/>
    </row>
    <row r="6054" spans="13:13">
      <c r="M6054" s="690"/>
    </row>
    <row r="6055" spans="13:13">
      <c r="M6055" s="690"/>
    </row>
    <row r="6056" spans="13:13">
      <c r="M6056" s="690"/>
    </row>
    <row r="6057" spans="13:13">
      <c r="M6057" s="690"/>
    </row>
    <row r="6058" spans="13:13">
      <c r="M6058" s="690"/>
    </row>
    <row r="6059" spans="13:13">
      <c r="M6059" s="690"/>
    </row>
    <row r="6060" spans="13:13">
      <c r="M6060" s="690"/>
    </row>
    <row r="6061" spans="13:13">
      <c r="M6061" s="690"/>
    </row>
    <row r="6062" spans="13:13">
      <c r="M6062" s="690"/>
    </row>
    <row r="6063" spans="13:13">
      <c r="M6063" s="690"/>
    </row>
    <row r="6064" spans="13:13">
      <c r="M6064" s="690"/>
    </row>
    <row r="6065" spans="13:13">
      <c r="M6065" s="690"/>
    </row>
    <row r="6066" spans="13:13">
      <c r="M6066" s="690"/>
    </row>
    <row r="6067" spans="13:13">
      <c r="M6067" s="690"/>
    </row>
    <row r="6068" spans="13:13">
      <c r="M6068" s="690"/>
    </row>
    <row r="6069" spans="13:13">
      <c r="M6069" s="690"/>
    </row>
    <row r="6070" spans="13:13">
      <c r="M6070" s="690"/>
    </row>
    <row r="6071" spans="13:13">
      <c r="M6071" s="690"/>
    </row>
    <row r="6072" spans="13:13">
      <c r="M6072" s="690"/>
    </row>
    <row r="6073" spans="13:13">
      <c r="M6073" s="690"/>
    </row>
    <row r="6074" spans="13:13">
      <c r="M6074" s="690"/>
    </row>
    <row r="6075" spans="13:13">
      <c r="M6075" s="690"/>
    </row>
    <row r="6076" spans="13:13">
      <c r="M6076" s="690"/>
    </row>
    <row r="6077" spans="13:13">
      <c r="M6077" s="690"/>
    </row>
    <row r="6078" spans="13:13">
      <c r="M6078" s="690"/>
    </row>
    <row r="6079" spans="13:13">
      <c r="M6079" s="690"/>
    </row>
    <row r="6080" spans="13:13">
      <c r="M6080" s="690"/>
    </row>
    <row r="6081" spans="13:13">
      <c r="M6081" s="690"/>
    </row>
    <row r="6082" spans="13:13">
      <c r="M6082" s="690"/>
    </row>
    <row r="6083" spans="13:13">
      <c r="M6083" s="690"/>
    </row>
    <row r="6084" spans="13:13">
      <c r="M6084" s="690"/>
    </row>
    <row r="6085" spans="13:13">
      <c r="M6085" s="690"/>
    </row>
    <row r="6086" spans="13:13">
      <c r="M6086" s="690"/>
    </row>
    <row r="6087" spans="13:13">
      <c r="M6087" s="690"/>
    </row>
    <row r="6088" spans="13:13">
      <c r="M6088" s="690"/>
    </row>
    <row r="6089" spans="13:13">
      <c r="M6089" s="690"/>
    </row>
    <row r="6090" spans="13:13">
      <c r="M6090" s="690"/>
    </row>
    <row r="6091" spans="13:13">
      <c r="M6091" s="690"/>
    </row>
    <row r="6092" spans="13:13">
      <c r="M6092" s="690"/>
    </row>
    <row r="6093" spans="13:13">
      <c r="M6093" s="690"/>
    </row>
    <row r="6094" spans="13:13">
      <c r="M6094" s="690"/>
    </row>
    <row r="6095" spans="13:13">
      <c r="M6095" s="690"/>
    </row>
    <row r="6096" spans="13:13">
      <c r="M6096" s="690"/>
    </row>
    <row r="6097" spans="13:13">
      <c r="M6097" s="690"/>
    </row>
    <row r="6098" spans="13:13">
      <c r="M6098" s="690"/>
    </row>
    <row r="6099" spans="13:13">
      <c r="M6099" s="690"/>
    </row>
    <row r="6100" spans="13:13">
      <c r="M6100" s="690"/>
    </row>
    <row r="6101" spans="13:13">
      <c r="M6101" s="690"/>
    </row>
    <row r="6102" spans="13:13">
      <c r="M6102" s="690"/>
    </row>
    <row r="6103" spans="13:13">
      <c r="M6103" s="690"/>
    </row>
    <row r="6104" spans="13:13">
      <c r="M6104" s="690"/>
    </row>
    <row r="6105" spans="13:13">
      <c r="M6105" s="690"/>
    </row>
    <row r="6106" spans="13:13">
      <c r="M6106" s="690"/>
    </row>
    <row r="6107" spans="13:13">
      <c r="M6107" s="690"/>
    </row>
    <row r="6108" spans="13:13">
      <c r="M6108" s="690"/>
    </row>
    <row r="6109" spans="13:13">
      <c r="M6109" s="690"/>
    </row>
    <row r="6110" spans="13:13">
      <c r="M6110" s="690"/>
    </row>
    <row r="6111" spans="13:13">
      <c r="M6111" s="690"/>
    </row>
    <row r="6112" spans="13:13">
      <c r="M6112" s="690"/>
    </row>
    <row r="6113" spans="13:13">
      <c r="M6113" s="690"/>
    </row>
    <row r="6114" spans="13:13">
      <c r="M6114" s="690"/>
    </row>
    <row r="6115" spans="13:13">
      <c r="M6115" s="690"/>
    </row>
    <row r="6116" spans="13:13">
      <c r="M6116" s="690"/>
    </row>
    <row r="6117" spans="13:13">
      <c r="M6117" s="690"/>
    </row>
    <row r="6118" spans="13:13">
      <c r="M6118" s="690"/>
    </row>
    <row r="6119" spans="13:13">
      <c r="M6119" s="690"/>
    </row>
    <row r="6120" spans="13:13">
      <c r="M6120" s="690"/>
    </row>
    <row r="6121" spans="13:13">
      <c r="M6121" s="690"/>
    </row>
    <row r="6122" spans="13:13">
      <c r="M6122" s="690"/>
    </row>
    <row r="6123" spans="13:13">
      <c r="M6123" s="690"/>
    </row>
    <row r="6124" spans="13:13">
      <c r="M6124" s="690"/>
    </row>
    <row r="6125" spans="13:13">
      <c r="M6125" s="690"/>
    </row>
    <row r="6126" spans="13:13">
      <c r="M6126" s="690"/>
    </row>
    <row r="6127" spans="13:13">
      <c r="M6127" s="690"/>
    </row>
    <row r="6128" spans="13:13">
      <c r="M6128" s="690"/>
    </row>
    <row r="6129" spans="13:13">
      <c r="M6129" s="690"/>
    </row>
    <row r="6130" spans="13:13">
      <c r="M6130" s="690"/>
    </row>
    <row r="6131" spans="13:13">
      <c r="M6131" s="690"/>
    </row>
    <row r="6132" spans="13:13">
      <c r="M6132" s="690"/>
    </row>
    <row r="6133" spans="13:13">
      <c r="M6133" s="690"/>
    </row>
    <row r="6134" spans="13:13">
      <c r="M6134" s="690"/>
    </row>
    <row r="6135" spans="13:13">
      <c r="M6135" s="690"/>
    </row>
    <row r="6136" spans="13:13">
      <c r="M6136" s="690"/>
    </row>
    <row r="6137" spans="13:13">
      <c r="M6137" s="690"/>
    </row>
    <row r="6138" spans="13:13">
      <c r="M6138" s="690"/>
    </row>
    <row r="6139" spans="13:13">
      <c r="M6139" s="690"/>
    </row>
    <row r="6140" spans="13:13">
      <c r="M6140" s="690"/>
    </row>
    <row r="6141" spans="13:13">
      <c r="M6141" s="690"/>
    </row>
    <row r="6142" spans="13:13">
      <c r="M6142" s="690"/>
    </row>
    <row r="6143" spans="13:13">
      <c r="M6143" s="690"/>
    </row>
    <row r="6144" spans="13:13">
      <c r="M6144" s="690"/>
    </row>
    <row r="6145" spans="13:13">
      <c r="M6145" s="690"/>
    </row>
    <row r="6146" spans="13:13">
      <c r="M6146" s="690"/>
    </row>
    <row r="6147" spans="13:13">
      <c r="M6147" s="690"/>
    </row>
    <row r="6148" spans="13:13">
      <c r="M6148" s="690"/>
    </row>
    <row r="6149" spans="13:13">
      <c r="M6149" s="690"/>
    </row>
    <row r="6150" spans="13:13">
      <c r="M6150" s="690"/>
    </row>
    <row r="6151" spans="13:13">
      <c r="M6151" s="690"/>
    </row>
    <row r="6152" spans="13:13">
      <c r="M6152" s="690"/>
    </row>
    <row r="6153" spans="13:13">
      <c r="M6153" s="690"/>
    </row>
    <row r="6154" spans="13:13">
      <c r="M6154" s="690"/>
    </row>
    <row r="6155" spans="13:13">
      <c r="M6155" s="690"/>
    </row>
    <row r="6156" spans="13:13">
      <c r="M6156" s="690"/>
    </row>
    <row r="6157" spans="13:13">
      <c r="M6157" s="690"/>
    </row>
    <row r="6158" spans="13:13">
      <c r="M6158" s="690"/>
    </row>
    <row r="6159" spans="13:13">
      <c r="M6159" s="690"/>
    </row>
    <row r="6160" spans="13:13">
      <c r="M6160" s="690"/>
    </row>
    <row r="6161" spans="13:13">
      <c r="M6161" s="690"/>
    </row>
    <row r="6162" spans="13:13">
      <c r="M6162" s="690"/>
    </row>
    <row r="6163" spans="13:13">
      <c r="M6163" s="690"/>
    </row>
    <row r="6164" spans="13:13">
      <c r="M6164" s="690"/>
    </row>
    <row r="6165" spans="13:13">
      <c r="M6165" s="690"/>
    </row>
    <row r="6166" spans="13:13">
      <c r="M6166" s="690"/>
    </row>
    <row r="6167" spans="13:13">
      <c r="M6167" s="690"/>
    </row>
    <row r="6168" spans="13:13">
      <c r="M6168" s="690"/>
    </row>
    <row r="6169" spans="13:13">
      <c r="M6169" s="690"/>
    </row>
    <row r="6170" spans="13:13">
      <c r="M6170" s="690"/>
    </row>
    <row r="6171" spans="13:13">
      <c r="M6171" s="690"/>
    </row>
    <row r="6172" spans="13:13">
      <c r="M6172" s="690"/>
    </row>
    <row r="6173" spans="13:13">
      <c r="M6173" s="690"/>
    </row>
    <row r="6174" spans="13:13">
      <c r="M6174" s="690"/>
    </row>
    <row r="6175" spans="13:13">
      <c r="M6175" s="690"/>
    </row>
    <row r="6176" spans="13:13">
      <c r="M6176" s="690"/>
    </row>
    <row r="6177" spans="13:13">
      <c r="M6177" s="690"/>
    </row>
    <row r="6178" spans="13:13">
      <c r="M6178" s="690"/>
    </row>
    <row r="6179" spans="13:13">
      <c r="M6179" s="690"/>
    </row>
    <row r="6180" spans="13:13">
      <c r="M6180" s="690"/>
    </row>
    <row r="6181" spans="13:13">
      <c r="M6181" s="690"/>
    </row>
    <row r="6182" spans="13:13">
      <c r="M6182" s="690"/>
    </row>
    <row r="6183" spans="13:13">
      <c r="M6183" s="690"/>
    </row>
    <row r="6184" spans="13:13">
      <c r="M6184" s="690"/>
    </row>
    <row r="6185" spans="13:13">
      <c r="M6185" s="690"/>
    </row>
    <row r="6186" spans="13:13">
      <c r="M6186" s="690"/>
    </row>
    <row r="6187" spans="13:13">
      <c r="M6187" s="690"/>
    </row>
    <row r="6188" spans="13:13">
      <c r="M6188" s="690"/>
    </row>
    <row r="6189" spans="13:13">
      <c r="M6189" s="690"/>
    </row>
    <row r="6190" spans="13:13">
      <c r="M6190" s="690"/>
    </row>
    <row r="6191" spans="13:13">
      <c r="M6191" s="690"/>
    </row>
    <row r="6192" spans="13:13">
      <c r="M6192" s="690"/>
    </row>
    <row r="6193" spans="13:13">
      <c r="M6193" s="690"/>
    </row>
    <row r="6194" spans="13:13">
      <c r="M6194" s="690"/>
    </row>
    <row r="6195" spans="13:13">
      <c r="M6195" s="690"/>
    </row>
    <row r="6196" spans="13:13">
      <c r="M6196" s="690"/>
    </row>
    <row r="6197" spans="13:13">
      <c r="M6197" s="690"/>
    </row>
    <row r="6198" spans="13:13">
      <c r="M6198" s="690"/>
    </row>
    <row r="6199" spans="13:13">
      <c r="M6199" s="690"/>
    </row>
    <row r="6200" spans="13:13">
      <c r="M6200" s="690"/>
    </row>
    <row r="6201" spans="13:13">
      <c r="M6201" s="690"/>
    </row>
    <row r="6202" spans="13:13">
      <c r="M6202" s="690"/>
    </row>
    <row r="6203" spans="13:13">
      <c r="M6203" s="690"/>
    </row>
    <row r="6204" spans="13:13">
      <c r="M6204" s="690"/>
    </row>
    <row r="6205" spans="13:13">
      <c r="M6205" s="690"/>
    </row>
    <row r="6206" spans="13:13">
      <c r="M6206" s="690"/>
    </row>
    <row r="6207" spans="13:13">
      <c r="M6207" s="690"/>
    </row>
    <row r="6208" spans="13:13">
      <c r="M6208" s="690"/>
    </row>
    <row r="6209" spans="13:13">
      <c r="M6209" s="690"/>
    </row>
    <row r="6210" spans="13:13">
      <c r="M6210" s="690"/>
    </row>
    <row r="6211" spans="13:13">
      <c r="M6211" s="690"/>
    </row>
    <row r="6212" spans="13:13">
      <c r="M6212" s="690"/>
    </row>
    <row r="6213" spans="13:13">
      <c r="M6213" s="690"/>
    </row>
    <row r="6214" spans="13:13">
      <c r="M6214" s="690"/>
    </row>
    <row r="6215" spans="13:13">
      <c r="M6215" s="690"/>
    </row>
    <row r="6216" spans="13:13">
      <c r="M6216" s="690"/>
    </row>
    <row r="6217" spans="13:13">
      <c r="M6217" s="690"/>
    </row>
    <row r="6218" spans="13:13">
      <c r="M6218" s="690"/>
    </row>
    <row r="6219" spans="13:13">
      <c r="M6219" s="690"/>
    </row>
    <row r="6220" spans="13:13">
      <c r="M6220" s="690"/>
    </row>
    <row r="6221" spans="13:13">
      <c r="M6221" s="690"/>
    </row>
    <row r="6222" spans="13:13">
      <c r="M6222" s="690"/>
    </row>
    <row r="6223" spans="13:13">
      <c r="M6223" s="690"/>
    </row>
    <row r="6224" spans="13:13">
      <c r="M6224" s="690"/>
    </row>
    <row r="6225" spans="13:13">
      <c r="M6225" s="690"/>
    </row>
    <row r="6226" spans="13:13">
      <c r="M6226" s="690"/>
    </row>
    <row r="6227" spans="13:13">
      <c r="M6227" s="690"/>
    </row>
    <row r="6228" spans="13:13">
      <c r="M6228" s="690"/>
    </row>
    <row r="6229" spans="13:13">
      <c r="M6229" s="690"/>
    </row>
    <row r="6230" spans="13:13">
      <c r="M6230" s="690"/>
    </row>
    <row r="6231" spans="13:13">
      <c r="M6231" s="690"/>
    </row>
    <row r="6232" spans="13:13">
      <c r="M6232" s="690"/>
    </row>
    <row r="6233" spans="13:13">
      <c r="M6233" s="690"/>
    </row>
    <row r="6234" spans="13:13">
      <c r="M6234" s="690"/>
    </row>
    <row r="6235" spans="13:13">
      <c r="M6235" s="690"/>
    </row>
    <row r="6236" spans="13:13">
      <c r="M6236" s="690"/>
    </row>
    <row r="6237" spans="13:13">
      <c r="M6237" s="690"/>
    </row>
    <row r="6238" spans="13:13">
      <c r="M6238" s="690"/>
    </row>
    <row r="6239" spans="13:13">
      <c r="M6239" s="690"/>
    </row>
    <row r="6240" spans="13:13">
      <c r="M6240" s="690"/>
    </row>
    <row r="6241" spans="13:13">
      <c r="M6241" s="690"/>
    </row>
    <row r="6242" spans="13:13">
      <c r="M6242" s="690"/>
    </row>
    <row r="6243" spans="13:13">
      <c r="M6243" s="690"/>
    </row>
    <row r="6244" spans="13:13">
      <c r="M6244" s="690"/>
    </row>
    <row r="6245" spans="13:13">
      <c r="M6245" s="690"/>
    </row>
    <row r="6246" spans="13:13">
      <c r="M6246" s="690"/>
    </row>
    <row r="6247" spans="13:13">
      <c r="M6247" s="690"/>
    </row>
    <row r="6248" spans="13:13">
      <c r="M6248" s="690"/>
    </row>
    <row r="6249" spans="13:13">
      <c r="M6249" s="690"/>
    </row>
    <row r="6250" spans="13:13">
      <c r="M6250" s="690"/>
    </row>
    <row r="6251" spans="13:13">
      <c r="M6251" s="690"/>
    </row>
    <row r="6252" spans="13:13">
      <c r="M6252" s="690"/>
    </row>
    <row r="6253" spans="13:13">
      <c r="M6253" s="690"/>
    </row>
    <row r="6254" spans="13:13">
      <c r="M6254" s="690"/>
    </row>
    <row r="6255" spans="13:13">
      <c r="M6255" s="690"/>
    </row>
    <row r="6256" spans="13:13">
      <c r="M6256" s="690"/>
    </row>
    <row r="6257" spans="13:13">
      <c r="M6257" s="690"/>
    </row>
    <row r="6258" spans="13:13">
      <c r="M6258" s="690"/>
    </row>
    <row r="6259" spans="13:13">
      <c r="M6259" s="690"/>
    </row>
    <row r="6260" spans="13:13">
      <c r="M6260" s="690"/>
    </row>
    <row r="6261" spans="13:13">
      <c r="M6261" s="690"/>
    </row>
    <row r="6262" spans="13:13">
      <c r="M6262" s="690"/>
    </row>
    <row r="6263" spans="13:13">
      <c r="M6263" s="690"/>
    </row>
    <row r="6264" spans="13:13">
      <c r="M6264" s="690"/>
    </row>
    <row r="6265" spans="13:13">
      <c r="M6265" s="690"/>
    </row>
    <row r="6266" spans="13:13">
      <c r="M6266" s="690"/>
    </row>
    <row r="6267" spans="13:13">
      <c r="M6267" s="690"/>
    </row>
    <row r="6268" spans="13:13">
      <c r="M6268" s="690"/>
    </row>
    <row r="6269" spans="13:13">
      <c r="M6269" s="690"/>
    </row>
    <row r="6270" spans="13:13">
      <c r="M6270" s="690"/>
    </row>
    <row r="6271" spans="13:13">
      <c r="M6271" s="690"/>
    </row>
    <row r="6272" spans="13:13">
      <c r="M6272" s="690"/>
    </row>
    <row r="6273" spans="13:13">
      <c r="M6273" s="690"/>
    </row>
    <row r="6274" spans="13:13">
      <c r="M6274" s="690"/>
    </row>
    <row r="6275" spans="13:13">
      <c r="M6275" s="690"/>
    </row>
    <row r="6276" spans="13:13">
      <c r="M6276" s="690"/>
    </row>
    <row r="6277" spans="13:13">
      <c r="M6277" s="690"/>
    </row>
    <row r="6278" spans="13:13">
      <c r="M6278" s="690"/>
    </row>
    <row r="6279" spans="13:13">
      <c r="M6279" s="690"/>
    </row>
    <row r="6280" spans="13:13">
      <c r="M6280" s="690"/>
    </row>
    <row r="6281" spans="13:13">
      <c r="M6281" s="690"/>
    </row>
    <row r="6282" spans="13:13">
      <c r="M6282" s="690"/>
    </row>
    <row r="6283" spans="13:13">
      <c r="M6283" s="690"/>
    </row>
    <row r="6284" spans="13:13">
      <c r="M6284" s="690"/>
    </row>
    <row r="6285" spans="13:13">
      <c r="M6285" s="690"/>
    </row>
    <row r="6286" spans="13:13">
      <c r="M6286" s="690"/>
    </row>
    <row r="6287" spans="13:13">
      <c r="M6287" s="690"/>
    </row>
    <row r="6288" spans="13:13">
      <c r="M6288" s="690"/>
    </row>
    <row r="6289" spans="13:13">
      <c r="M6289" s="690"/>
    </row>
    <row r="6290" spans="13:13">
      <c r="M6290" s="690"/>
    </row>
    <row r="6291" spans="13:13">
      <c r="M6291" s="690"/>
    </row>
    <row r="6292" spans="13:13">
      <c r="M6292" s="690"/>
    </row>
    <row r="6293" spans="13:13">
      <c r="M6293" s="690"/>
    </row>
    <row r="6294" spans="13:13">
      <c r="M6294" s="690"/>
    </row>
    <row r="6295" spans="13:13">
      <c r="M6295" s="690"/>
    </row>
    <row r="6296" spans="13:13">
      <c r="M6296" s="690"/>
    </row>
    <row r="6297" spans="13:13">
      <c r="M6297" s="690"/>
    </row>
    <row r="6298" spans="13:13">
      <c r="M6298" s="690"/>
    </row>
    <row r="6299" spans="13:13">
      <c r="M6299" s="690"/>
    </row>
    <row r="6300" spans="13:13">
      <c r="M6300" s="690"/>
    </row>
    <row r="6301" spans="13:13">
      <c r="M6301" s="690"/>
    </row>
    <row r="6302" spans="13:13">
      <c r="M6302" s="690"/>
    </row>
    <row r="6303" spans="13:13">
      <c r="M6303" s="690"/>
    </row>
    <row r="6304" spans="13:13">
      <c r="M6304" s="690"/>
    </row>
    <row r="6305" spans="13:13">
      <c r="M6305" s="690"/>
    </row>
    <row r="6306" spans="13:13">
      <c r="M6306" s="690"/>
    </row>
    <row r="6307" spans="13:13">
      <c r="M6307" s="690"/>
    </row>
    <row r="6308" spans="13:13">
      <c r="M6308" s="690"/>
    </row>
    <row r="6309" spans="13:13">
      <c r="M6309" s="690"/>
    </row>
    <row r="6310" spans="13:13">
      <c r="M6310" s="690"/>
    </row>
    <row r="6311" spans="13:13">
      <c r="M6311" s="690"/>
    </row>
    <row r="6312" spans="13:13">
      <c r="M6312" s="690"/>
    </row>
    <row r="6313" spans="13:13">
      <c r="M6313" s="690"/>
    </row>
    <row r="6314" spans="13:13">
      <c r="M6314" s="690"/>
    </row>
    <row r="6315" spans="13:13">
      <c r="M6315" s="690"/>
    </row>
    <row r="6316" spans="13:13">
      <c r="M6316" s="690"/>
    </row>
    <row r="6317" spans="13:13">
      <c r="M6317" s="690"/>
    </row>
    <row r="6318" spans="13:13">
      <c r="M6318" s="690"/>
    </row>
    <row r="6319" spans="13:13">
      <c r="M6319" s="690"/>
    </row>
    <row r="6320" spans="13:13">
      <c r="M6320" s="690"/>
    </row>
    <row r="6321" spans="13:13">
      <c r="M6321" s="690"/>
    </row>
    <row r="6322" spans="13:13">
      <c r="M6322" s="690"/>
    </row>
    <row r="6323" spans="13:13">
      <c r="M6323" s="690"/>
    </row>
    <row r="6324" spans="13:13">
      <c r="M6324" s="690"/>
    </row>
    <row r="6325" spans="13:13">
      <c r="M6325" s="690"/>
    </row>
    <row r="6326" spans="13:13">
      <c r="M6326" s="690"/>
    </row>
    <row r="6327" spans="13:13">
      <c r="M6327" s="690"/>
    </row>
    <row r="6328" spans="13:13">
      <c r="M6328" s="690"/>
    </row>
    <row r="6329" spans="13:13">
      <c r="M6329" s="690"/>
    </row>
    <row r="6330" spans="13:13">
      <c r="M6330" s="690"/>
    </row>
    <row r="6331" spans="13:13">
      <c r="M6331" s="690"/>
    </row>
    <row r="6332" spans="13:13">
      <c r="M6332" s="690"/>
    </row>
    <row r="6333" spans="13:13">
      <c r="M6333" s="690"/>
    </row>
    <row r="6334" spans="13:13">
      <c r="M6334" s="690"/>
    </row>
    <row r="6335" spans="13:13">
      <c r="M6335" s="690"/>
    </row>
    <row r="6336" spans="13:13">
      <c r="M6336" s="690"/>
    </row>
    <row r="6337" spans="13:13">
      <c r="M6337" s="690"/>
    </row>
    <row r="6338" spans="13:13">
      <c r="M6338" s="690"/>
    </row>
    <row r="6339" spans="13:13">
      <c r="M6339" s="690"/>
    </row>
    <row r="6340" spans="13:13">
      <c r="M6340" s="690"/>
    </row>
    <row r="6341" spans="13:13">
      <c r="M6341" s="690"/>
    </row>
    <row r="6342" spans="13:13">
      <c r="M6342" s="690"/>
    </row>
    <row r="6343" spans="13:13">
      <c r="M6343" s="690"/>
    </row>
    <row r="6344" spans="13:13">
      <c r="M6344" s="690"/>
    </row>
    <row r="6345" spans="13:13">
      <c r="M6345" s="690"/>
    </row>
    <row r="6346" spans="13:13">
      <c r="M6346" s="690"/>
    </row>
    <row r="6347" spans="13:13">
      <c r="M6347" s="690"/>
    </row>
    <row r="6348" spans="13:13">
      <c r="M6348" s="690"/>
    </row>
    <row r="6349" spans="13:13">
      <c r="M6349" s="690"/>
    </row>
    <row r="6350" spans="13:13">
      <c r="M6350" s="690"/>
    </row>
    <row r="6351" spans="13:13">
      <c r="M6351" s="690"/>
    </row>
    <row r="6352" spans="13:13">
      <c r="M6352" s="690"/>
    </row>
    <row r="6353" spans="13:13">
      <c r="M6353" s="690"/>
    </row>
    <row r="6354" spans="13:13">
      <c r="M6354" s="690"/>
    </row>
    <row r="6355" spans="13:13">
      <c r="M6355" s="690"/>
    </row>
    <row r="6356" spans="13:13">
      <c r="M6356" s="690"/>
    </row>
    <row r="6357" spans="13:13">
      <c r="M6357" s="690"/>
    </row>
    <row r="6358" spans="13:13">
      <c r="M6358" s="690"/>
    </row>
    <row r="6359" spans="13:13">
      <c r="M6359" s="690"/>
    </row>
    <row r="6360" spans="13:13">
      <c r="M6360" s="690"/>
    </row>
    <row r="6361" spans="13:13">
      <c r="M6361" s="690"/>
    </row>
    <row r="6362" spans="13:13">
      <c r="M6362" s="690"/>
    </row>
    <row r="6363" spans="13:13">
      <c r="M6363" s="690"/>
    </row>
    <row r="6364" spans="13:13">
      <c r="M6364" s="690"/>
    </row>
    <row r="6365" spans="13:13">
      <c r="M6365" s="690"/>
    </row>
    <row r="6366" spans="13:13">
      <c r="M6366" s="690"/>
    </row>
    <row r="6367" spans="13:13">
      <c r="M6367" s="690"/>
    </row>
    <row r="6368" spans="13:13">
      <c r="M6368" s="690"/>
    </row>
    <row r="6369" spans="13:13">
      <c r="M6369" s="690"/>
    </row>
    <row r="6370" spans="13:13">
      <c r="M6370" s="690"/>
    </row>
    <row r="6371" spans="13:13">
      <c r="M6371" s="690"/>
    </row>
    <row r="6372" spans="13:13">
      <c r="M6372" s="690"/>
    </row>
    <row r="6373" spans="13:13">
      <c r="M6373" s="690"/>
    </row>
    <row r="6374" spans="13:13">
      <c r="M6374" s="690"/>
    </row>
    <row r="6375" spans="13:13">
      <c r="M6375" s="690"/>
    </row>
    <row r="6376" spans="13:13">
      <c r="M6376" s="690"/>
    </row>
    <row r="6377" spans="13:13">
      <c r="M6377" s="690"/>
    </row>
    <row r="6378" spans="13:13">
      <c r="M6378" s="690"/>
    </row>
    <row r="6379" spans="13:13">
      <c r="M6379" s="690"/>
    </row>
    <row r="6380" spans="13:13">
      <c r="M6380" s="690"/>
    </row>
    <row r="6381" spans="13:13">
      <c r="M6381" s="690"/>
    </row>
    <row r="6382" spans="13:13">
      <c r="M6382" s="690"/>
    </row>
    <row r="6383" spans="13:13">
      <c r="M6383" s="690"/>
    </row>
    <row r="6384" spans="13:13">
      <c r="M6384" s="690"/>
    </row>
    <row r="6385" spans="13:13">
      <c r="M6385" s="690"/>
    </row>
    <row r="6386" spans="13:13">
      <c r="M6386" s="690"/>
    </row>
    <row r="6387" spans="13:13">
      <c r="M6387" s="690"/>
    </row>
    <row r="6388" spans="13:13">
      <c r="M6388" s="690"/>
    </row>
    <row r="6389" spans="13:13">
      <c r="M6389" s="690"/>
    </row>
    <row r="6390" spans="13:13">
      <c r="M6390" s="690"/>
    </row>
    <row r="6391" spans="13:13">
      <c r="M6391" s="690"/>
    </row>
    <row r="6392" spans="13:13">
      <c r="M6392" s="690"/>
    </row>
    <row r="6393" spans="13:13">
      <c r="M6393" s="690"/>
    </row>
    <row r="6394" spans="13:13">
      <c r="M6394" s="690"/>
    </row>
    <row r="6395" spans="13:13">
      <c r="M6395" s="690"/>
    </row>
    <row r="6396" spans="13:13">
      <c r="M6396" s="690"/>
    </row>
    <row r="6397" spans="13:13">
      <c r="M6397" s="690"/>
    </row>
    <row r="6398" spans="13:13">
      <c r="M6398" s="690"/>
    </row>
    <row r="6399" spans="13:13">
      <c r="M6399" s="690"/>
    </row>
    <row r="6400" spans="13:13">
      <c r="M6400" s="690"/>
    </row>
    <row r="6401" spans="13:13">
      <c r="M6401" s="690"/>
    </row>
    <row r="6402" spans="13:13">
      <c r="M6402" s="690"/>
    </row>
    <row r="6403" spans="13:13">
      <c r="M6403" s="690"/>
    </row>
    <row r="6404" spans="13:13">
      <c r="M6404" s="690"/>
    </row>
    <row r="6405" spans="13:13">
      <c r="M6405" s="690"/>
    </row>
    <row r="6406" spans="13:13">
      <c r="M6406" s="690"/>
    </row>
    <row r="6407" spans="13:13">
      <c r="M6407" s="690"/>
    </row>
    <row r="6408" spans="13:13">
      <c r="M6408" s="690"/>
    </row>
    <row r="6409" spans="13:13">
      <c r="M6409" s="690"/>
    </row>
    <row r="6410" spans="13:13">
      <c r="M6410" s="690"/>
    </row>
    <row r="6411" spans="13:13">
      <c r="M6411" s="690"/>
    </row>
    <row r="6412" spans="13:13">
      <c r="M6412" s="690"/>
    </row>
    <row r="6413" spans="13:13">
      <c r="M6413" s="690"/>
    </row>
    <row r="6414" spans="13:13">
      <c r="M6414" s="690"/>
    </row>
    <row r="6415" spans="13:13">
      <c r="M6415" s="690"/>
    </row>
    <row r="6416" spans="13:13">
      <c r="M6416" s="690"/>
    </row>
    <row r="6417" spans="13:13">
      <c r="M6417" s="690"/>
    </row>
    <row r="6418" spans="13:13">
      <c r="M6418" s="690"/>
    </row>
    <row r="6419" spans="13:13">
      <c r="M6419" s="690"/>
    </row>
    <row r="6420" spans="13:13">
      <c r="M6420" s="690"/>
    </row>
    <row r="6421" spans="13:13">
      <c r="M6421" s="690"/>
    </row>
    <row r="6422" spans="13:13">
      <c r="M6422" s="690"/>
    </row>
    <row r="6423" spans="13:13">
      <c r="M6423" s="690"/>
    </row>
    <row r="6424" spans="13:13">
      <c r="M6424" s="690"/>
    </row>
    <row r="6425" spans="13:13">
      <c r="M6425" s="690"/>
    </row>
    <row r="6426" spans="13:13">
      <c r="M6426" s="690"/>
    </row>
    <row r="6427" spans="13:13">
      <c r="M6427" s="690"/>
    </row>
    <row r="6428" spans="13:13">
      <c r="M6428" s="690"/>
    </row>
    <row r="6429" spans="13:13">
      <c r="M6429" s="690"/>
    </row>
    <row r="6430" spans="13:13">
      <c r="M6430" s="690"/>
    </row>
    <row r="6431" spans="13:13">
      <c r="M6431" s="690"/>
    </row>
    <row r="6432" spans="13:13">
      <c r="M6432" s="690"/>
    </row>
    <row r="6433" spans="13:13">
      <c r="M6433" s="690"/>
    </row>
    <row r="6434" spans="13:13">
      <c r="M6434" s="690"/>
    </row>
    <row r="6435" spans="13:13">
      <c r="M6435" s="690"/>
    </row>
    <row r="6436" spans="13:13">
      <c r="M6436" s="690"/>
    </row>
    <row r="6437" spans="13:13">
      <c r="M6437" s="690"/>
    </row>
    <row r="6438" spans="13:13">
      <c r="M6438" s="690"/>
    </row>
    <row r="6439" spans="13:13">
      <c r="M6439" s="690"/>
    </row>
    <row r="6440" spans="13:13">
      <c r="M6440" s="690"/>
    </row>
    <row r="6441" spans="13:13">
      <c r="M6441" s="690"/>
    </row>
    <row r="6442" spans="13:13">
      <c r="M6442" s="690"/>
    </row>
    <row r="6443" spans="13:13">
      <c r="M6443" s="690"/>
    </row>
    <row r="6444" spans="13:13">
      <c r="M6444" s="690"/>
    </row>
    <row r="6445" spans="13:13">
      <c r="M6445" s="690"/>
    </row>
    <row r="6446" spans="13:13">
      <c r="M6446" s="690"/>
    </row>
    <row r="6447" spans="13:13">
      <c r="M6447" s="690"/>
    </row>
    <row r="6448" spans="13:13">
      <c r="M6448" s="690"/>
    </row>
    <row r="6449" spans="13:13">
      <c r="M6449" s="690"/>
    </row>
    <row r="6450" spans="13:13">
      <c r="M6450" s="690"/>
    </row>
    <row r="6451" spans="13:13">
      <c r="M6451" s="690"/>
    </row>
    <row r="6452" spans="13:13">
      <c r="M6452" s="690"/>
    </row>
    <row r="6453" spans="13:13">
      <c r="M6453" s="690"/>
    </row>
    <row r="6454" spans="13:13">
      <c r="M6454" s="690"/>
    </row>
    <row r="6455" spans="13:13">
      <c r="M6455" s="690"/>
    </row>
    <row r="6456" spans="13:13">
      <c r="M6456" s="690"/>
    </row>
    <row r="6457" spans="13:13">
      <c r="M6457" s="690"/>
    </row>
    <row r="6458" spans="13:13">
      <c r="M6458" s="690"/>
    </row>
    <row r="6459" spans="13:13">
      <c r="M6459" s="690"/>
    </row>
    <row r="6460" spans="13:13">
      <c r="M6460" s="690"/>
    </row>
    <row r="6461" spans="13:13">
      <c r="M6461" s="690"/>
    </row>
    <row r="6462" spans="13:13">
      <c r="M6462" s="690"/>
    </row>
    <row r="6463" spans="13:13">
      <c r="M6463" s="690"/>
    </row>
    <row r="6464" spans="13:13">
      <c r="M6464" s="690"/>
    </row>
    <row r="6465" spans="13:13">
      <c r="M6465" s="690"/>
    </row>
    <row r="6466" spans="13:13">
      <c r="M6466" s="690"/>
    </row>
    <row r="6467" spans="13:13">
      <c r="M6467" s="690"/>
    </row>
    <row r="6468" spans="13:13">
      <c r="M6468" s="690"/>
    </row>
    <row r="6469" spans="13:13">
      <c r="M6469" s="690"/>
    </row>
    <row r="6470" spans="13:13">
      <c r="M6470" s="690"/>
    </row>
    <row r="6471" spans="13:13">
      <c r="M6471" s="690"/>
    </row>
    <row r="6472" spans="13:13">
      <c r="M6472" s="690"/>
    </row>
    <row r="6473" spans="13:13">
      <c r="M6473" s="690"/>
    </row>
    <row r="6474" spans="13:13">
      <c r="M6474" s="690"/>
    </row>
    <row r="6475" spans="13:13">
      <c r="M6475" s="690"/>
    </row>
    <row r="6476" spans="13:13">
      <c r="M6476" s="690"/>
    </row>
    <row r="6477" spans="13:13">
      <c r="M6477" s="690"/>
    </row>
    <row r="6478" spans="13:13">
      <c r="M6478" s="690"/>
    </row>
    <row r="6479" spans="13:13">
      <c r="M6479" s="690"/>
    </row>
    <row r="6480" spans="13:13">
      <c r="M6480" s="690"/>
    </row>
    <row r="6481" spans="13:13">
      <c r="M6481" s="690"/>
    </row>
    <row r="6482" spans="13:13">
      <c r="M6482" s="690"/>
    </row>
    <row r="6483" spans="13:13">
      <c r="M6483" s="690"/>
    </row>
    <row r="6484" spans="13:13">
      <c r="M6484" s="690"/>
    </row>
    <row r="6485" spans="13:13">
      <c r="M6485" s="690"/>
    </row>
    <row r="6486" spans="13:13">
      <c r="M6486" s="690"/>
    </row>
    <row r="6487" spans="13:13">
      <c r="M6487" s="690"/>
    </row>
    <row r="6488" spans="13:13">
      <c r="M6488" s="690"/>
    </row>
    <row r="6489" spans="13:13">
      <c r="M6489" s="690"/>
    </row>
    <row r="6490" spans="13:13">
      <c r="M6490" s="690"/>
    </row>
    <row r="6491" spans="13:13">
      <c r="M6491" s="690"/>
    </row>
    <row r="6492" spans="13:13">
      <c r="M6492" s="690"/>
    </row>
    <row r="6493" spans="13:13">
      <c r="M6493" s="690"/>
    </row>
    <row r="6494" spans="13:13">
      <c r="M6494" s="690"/>
    </row>
    <row r="6495" spans="13:13">
      <c r="M6495" s="690"/>
    </row>
    <row r="6496" spans="13:13">
      <c r="M6496" s="690"/>
    </row>
    <row r="6497" spans="13:13">
      <c r="M6497" s="690"/>
    </row>
    <row r="6498" spans="13:13">
      <c r="M6498" s="690"/>
    </row>
    <row r="6499" spans="13:13">
      <c r="M6499" s="690"/>
    </row>
    <row r="6500" spans="13:13">
      <c r="M6500" s="690"/>
    </row>
    <row r="6501" spans="13:13">
      <c r="M6501" s="690"/>
    </row>
    <row r="6502" spans="13:13">
      <c r="M6502" s="690"/>
    </row>
    <row r="6503" spans="13:13">
      <c r="M6503" s="690"/>
    </row>
    <row r="6504" spans="13:13">
      <c r="M6504" s="690"/>
    </row>
    <row r="6505" spans="13:13">
      <c r="M6505" s="690"/>
    </row>
    <row r="6506" spans="13:13">
      <c r="M6506" s="690"/>
    </row>
    <row r="6507" spans="13:13">
      <c r="M6507" s="690"/>
    </row>
    <row r="6508" spans="13:13">
      <c r="M6508" s="690"/>
    </row>
    <row r="6509" spans="13:13">
      <c r="M6509" s="690"/>
    </row>
    <row r="6510" spans="13:13">
      <c r="M6510" s="690"/>
    </row>
    <row r="6511" spans="13:13">
      <c r="M6511" s="690"/>
    </row>
    <row r="6512" spans="13:13">
      <c r="M6512" s="690"/>
    </row>
    <row r="6513" spans="13:13">
      <c r="M6513" s="690"/>
    </row>
    <row r="6514" spans="13:13">
      <c r="M6514" s="690"/>
    </row>
    <row r="6515" spans="13:13">
      <c r="M6515" s="690"/>
    </row>
    <row r="6516" spans="13:13">
      <c r="M6516" s="690"/>
    </row>
    <row r="6517" spans="13:13">
      <c r="M6517" s="690"/>
    </row>
    <row r="6518" spans="13:13">
      <c r="M6518" s="690"/>
    </row>
    <row r="6519" spans="13:13">
      <c r="M6519" s="690"/>
    </row>
    <row r="6520" spans="13:13">
      <c r="M6520" s="690"/>
    </row>
    <row r="6521" spans="13:13">
      <c r="M6521" s="690"/>
    </row>
    <row r="6522" spans="13:13">
      <c r="M6522" s="690"/>
    </row>
    <row r="6523" spans="13:13">
      <c r="M6523" s="690"/>
    </row>
    <row r="6524" spans="13:13">
      <c r="M6524" s="690"/>
    </row>
    <row r="6525" spans="13:13">
      <c r="M6525" s="690"/>
    </row>
    <row r="6526" spans="13:13">
      <c r="M6526" s="690"/>
    </row>
    <row r="6527" spans="13:13">
      <c r="M6527" s="690"/>
    </row>
    <row r="6528" spans="13:13">
      <c r="M6528" s="690"/>
    </row>
    <row r="6529" spans="13:13">
      <c r="M6529" s="690"/>
    </row>
    <row r="6530" spans="13:13">
      <c r="M6530" s="690"/>
    </row>
    <row r="6531" spans="13:13">
      <c r="M6531" s="690"/>
    </row>
    <row r="6532" spans="13:13">
      <c r="M6532" s="690"/>
    </row>
    <row r="6533" spans="13:13">
      <c r="M6533" s="690"/>
    </row>
    <row r="6534" spans="13:13">
      <c r="M6534" s="690"/>
    </row>
    <row r="6535" spans="13:13">
      <c r="M6535" s="690"/>
    </row>
    <row r="6536" spans="13:13">
      <c r="M6536" s="690"/>
    </row>
    <row r="6537" spans="13:13">
      <c r="M6537" s="690"/>
    </row>
    <row r="6538" spans="13:13">
      <c r="M6538" s="690"/>
    </row>
    <row r="6539" spans="13:13">
      <c r="M6539" s="690"/>
    </row>
    <row r="6540" spans="13:13">
      <c r="M6540" s="690"/>
    </row>
    <row r="6541" spans="13:13">
      <c r="M6541" s="690"/>
    </row>
    <row r="6542" spans="13:13">
      <c r="M6542" s="690"/>
    </row>
    <row r="6543" spans="13:13">
      <c r="M6543" s="690"/>
    </row>
    <row r="6544" spans="13:13">
      <c r="M6544" s="690"/>
    </row>
    <row r="6545" spans="13:13">
      <c r="M6545" s="690"/>
    </row>
    <row r="6546" spans="13:13">
      <c r="M6546" s="690"/>
    </row>
    <row r="6547" spans="13:13">
      <c r="M6547" s="690"/>
    </row>
    <row r="6548" spans="13:13">
      <c r="M6548" s="690"/>
    </row>
    <row r="6549" spans="13:13">
      <c r="M6549" s="690"/>
    </row>
    <row r="6550" spans="13:13">
      <c r="M6550" s="690"/>
    </row>
    <row r="6551" spans="13:13">
      <c r="M6551" s="690"/>
    </row>
    <row r="6552" spans="13:13">
      <c r="M6552" s="690"/>
    </row>
    <row r="6553" spans="13:13">
      <c r="M6553" s="690"/>
    </row>
    <row r="6554" spans="13:13">
      <c r="M6554" s="690"/>
    </row>
    <row r="6555" spans="13:13">
      <c r="M6555" s="690"/>
    </row>
    <row r="6556" spans="13:13">
      <c r="M6556" s="690"/>
    </row>
    <row r="6557" spans="13:13">
      <c r="M6557" s="690"/>
    </row>
    <row r="6558" spans="13:13">
      <c r="M6558" s="690"/>
    </row>
    <row r="6559" spans="13:13">
      <c r="M6559" s="690"/>
    </row>
    <row r="6560" spans="13:13">
      <c r="M6560" s="690"/>
    </row>
    <row r="6561" spans="13:13">
      <c r="M6561" s="690"/>
    </row>
    <row r="6562" spans="13:13">
      <c r="M6562" s="690"/>
    </row>
    <row r="6563" spans="13:13">
      <c r="M6563" s="690"/>
    </row>
    <row r="6564" spans="13:13">
      <c r="M6564" s="690"/>
    </row>
    <row r="6565" spans="13:13">
      <c r="M6565" s="690"/>
    </row>
    <row r="6566" spans="13:13">
      <c r="M6566" s="690"/>
    </row>
    <row r="6567" spans="13:13">
      <c r="M6567" s="690"/>
    </row>
    <row r="6568" spans="13:13">
      <c r="M6568" s="690"/>
    </row>
    <row r="6569" spans="13:13">
      <c r="M6569" s="690"/>
    </row>
    <row r="6570" spans="13:13">
      <c r="M6570" s="690"/>
    </row>
    <row r="6571" spans="13:13">
      <c r="M6571" s="690"/>
    </row>
    <row r="6572" spans="13:13">
      <c r="M6572" s="690"/>
    </row>
    <row r="6573" spans="13:13">
      <c r="M6573" s="690"/>
    </row>
    <row r="6574" spans="13:13">
      <c r="M6574" s="690"/>
    </row>
    <row r="6575" spans="13:13">
      <c r="M6575" s="690"/>
    </row>
    <row r="6576" spans="13:13">
      <c r="M6576" s="690"/>
    </row>
    <row r="6577" spans="13:13">
      <c r="M6577" s="690"/>
    </row>
    <row r="6578" spans="13:13">
      <c r="M6578" s="690"/>
    </row>
    <row r="6579" spans="13:13">
      <c r="M6579" s="690"/>
    </row>
    <row r="6580" spans="13:13">
      <c r="M6580" s="690"/>
    </row>
    <row r="6581" spans="13:13">
      <c r="M6581" s="690"/>
    </row>
    <row r="6582" spans="13:13">
      <c r="M6582" s="690"/>
    </row>
    <row r="6583" spans="13:13">
      <c r="M6583" s="690"/>
    </row>
    <row r="6584" spans="13:13">
      <c r="M6584" s="690"/>
    </row>
    <row r="6585" spans="13:13">
      <c r="M6585" s="690"/>
    </row>
    <row r="6586" spans="13:13">
      <c r="M6586" s="690"/>
    </row>
    <row r="6587" spans="13:13">
      <c r="M6587" s="690"/>
    </row>
    <row r="6588" spans="13:13">
      <c r="M6588" s="690"/>
    </row>
    <row r="6589" spans="13:13">
      <c r="M6589" s="690"/>
    </row>
    <row r="6590" spans="13:13">
      <c r="M6590" s="690"/>
    </row>
    <row r="6591" spans="13:13">
      <c r="M6591" s="690"/>
    </row>
    <row r="6592" spans="13:13">
      <c r="M6592" s="690"/>
    </row>
    <row r="6593" spans="13:13">
      <c r="M6593" s="690"/>
    </row>
    <row r="6594" spans="13:13">
      <c r="M6594" s="690"/>
    </row>
    <row r="6595" spans="13:13">
      <c r="M6595" s="690"/>
    </row>
    <row r="6596" spans="13:13">
      <c r="M6596" s="690"/>
    </row>
    <row r="6597" spans="13:13">
      <c r="M6597" s="690"/>
    </row>
    <row r="6598" spans="13:13">
      <c r="M6598" s="690"/>
    </row>
    <row r="6599" spans="13:13">
      <c r="M6599" s="690"/>
    </row>
    <row r="6600" spans="13:13">
      <c r="M6600" s="690"/>
    </row>
    <row r="6601" spans="13:13">
      <c r="M6601" s="690"/>
    </row>
    <row r="6602" spans="13:13">
      <c r="M6602" s="690"/>
    </row>
    <row r="6603" spans="13:13">
      <c r="M6603" s="690"/>
    </row>
    <row r="6604" spans="13:13">
      <c r="M6604" s="690"/>
    </row>
    <row r="6605" spans="13:13">
      <c r="M6605" s="690"/>
    </row>
    <row r="6606" spans="13:13">
      <c r="M6606" s="690"/>
    </row>
    <row r="6607" spans="13:13">
      <c r="M6607" s="690"/>
    </row>
    <row r="6608" spans="13:13">
      <c r="M6608" s="690"/>
    </row>
    <row r="6609" spans="13:13">
      <c r="M6609" s="690"/>
    </row>
    <row r="6610" spans="13:13">
      <c r="M6610" s="690"/>
    </row>
    <row r="6611" spans="13:13">
      <c r="M6611" s="690"/>
    </row>
    <row r="6612" spans="13:13">
      <c r="M6612" s="690"/>
    </row>
    <row r="6613" spans="13:13">
      <c r="M6613" s="690"/>
    </row>
    <row r="6614" spans="13:13">
      <c r="M6614" s="690"/>
    </row>
    <row r="6615" spans="13:13">
      <c r="M6615" s="690"/>
    </row>
    <row r="6616" spans="13:13">
      <c r="M6616" s="690"/>
    </row>
    <row r="6617" spans="13:13">
      <c r="M6617" s="690"/>
    </row>
    <row r="6618" spans="13:13">
      <c r="M6618" s="690"/>
    </row>
    <row r="6619" spans="13:13">
      <c r="M6619" s="690"/>
    </row>
    <row r="6620" spans="13:13">
      <c r="M6620" s="690"/>
    </row>
    <row r="6621" spans="13:13">
      <c r="M6621" s="690"/>
    </row>
    <row r="6622" spans="13:13">
      <c r="M6622" s="690"/>
    </row>
    <row r="6623" spans="13:13">
      <c r="M6623" s="690"/>
    </row>
    <row r="6624" spans="13:13">
      <c r="M6624" s="690"/>
    </row>
    <row r="6625" spans="13:13">
      <c r="M6625" s="690"/>
    </row>
    <row r="6626" spans="13:13">
      <c r="M6626" s="690"/>
    </row>
    <row r="6627" spans="13:13">
      <c r="M6627" s="690"/>
    </row>
    <row r="6628" spans="13:13">
      <c r="M6628" s="690"/>
    </row>
    <row r="6629" spans="13:13">
      <c r="M6629" s="690"/>
    </row>
    <row r="6630" spans="13:13">
      <c r="M6630" s="690"/>
    </row>
    <row r="6631" spans="13:13">
      <c r="M6631" s="690"/>
    </row>
    <row r="6632" spans="13:13">
      <c r="M6632" s="690"/>
    </row>
    <row r="6633" spans="13:13">
      <c r="M6633" s="690"/>
    </row>
    <row r="6634" spans="13:13">
      <c r="M6634" s="690"/>
    </row>
    <row r="6635" spans="13:13">
      <c r="M6635" s="690"/>
    </row>
    <row r="6636" spans="13:13">
      <c r="M6636" s="690"/>
    </row>
    <row r="6637" spans="13:13">
      <c r="M6637" s="690"/>
    </row>
    <row r="6638" spans="13:13">
      <c r="M6638" s="690"/>
    </row>
    <row r="6639" spans="13:13">
      <c r="M6639" s="690"/>
    </row>
    <row r="6640" spans="13:13">
      <c r="M6640" s="690"/>
    </row>
    <row r="6641" spans="13:13">
      <c r="M6641" s="690"/>
    </row>
    <row r="6642" spans="13:13">
      <c r="M6642" s="690"/>
    </row>
    <row r="6643" spans="13:13">
      <c r="M6643" s="690"/>
    </row>
    <row r="6644" spans="13:13">
      <c r="M6644" s="690"/>
    </row>
    <row r="6645" spans="13:13">
      <c r="M6645" s="690"/>
    </row>
    <row r="6646" spans="13:13">
      <c r="M6646" s="690"/>
    </row>
    <row r="6647" spans="13:13">
      <c r="M6647" s="690"/>
    </row>
    <row r="6648" spans="13:13">
      <c r="M6648" s="690"/>
    </row>
    <row r="6649" spans="13:13">
      <c r="M6649" s="690"/>
    </row>
    <row r="6650" spans="13:13">
      <c r="M6650" s="690"/>
    </row>
    <row r="6651" spans="13:13">
      <c r="M6651" s="690"/>
    </row>
    <row r="6652" spans="13:13">
      <c r="M6652" s="690"/>
    </row>
    <row r="6653" spans="13:13">
      <c r="M6653" s="690"/>
    </row>
    <row r="6654" spans="13:13">
      <c r="M6654" s="690"/>
    </row>
    <row r="6655" spans="13:13">
      <c r="M6655" s="690"/>
    </row>
    <row r="6656" spans="13:13">
      <c r="M6656" s="690"/>
    </row>
    <row r="6657" spans="13:13">
      <c r="M6657" s="690"/>
    </row>
    <row r="6658" spans="13:13">
      <c r="M6658" s="690"/>
    </row>
    <row r="6659" spans="13:13">
      <c r="M6659" s="690"/>
    </row>
    <row r="6660" spans="13:13">
      <c r="M6660" s="690"/>
    </row>
    <row r="6661" spans="13:13">
      <c r="M6661" s="690"/>
    </row>
    <row r="6662" spans="13:13">
      <c r="M6662" s="690"/>
    </row>
    <row r="6663" spans="13:13">
      <c r="M6663" s="690"/>
    </row>
    <row r="6664" spans="13:13">
      <c r="M6664" s="690"/>
    </row>
    <row r="6665" spans="13:13">
      <c r="M6665" s="690"/>
    </row>
    <row r="6666" spans="13:13">
      <c r="M6666" s="690"/>
    </row>
    <row r="6667" spans="13:13">
      <c r="M6667" s="690"/>
    </row>
    <row r="6668" spans="13:13">
      <c r="M6668" s="690"/>
    </row>
    <row r="6669" spans="13:13">
      <c r="M6669" s="690"/>
    </row>
    <row r="6670" spans="13:13">
      <c r="M6670" s="690"/>
    </row>
    <row r="6671" spans="13:13">
      <c r="M6671" s="690"/>
    </row>
    <row r="6672" spans="13:13">
      <c r="M6672" s="690"/>
    </row>
    <row r="6673" spans="13:13">
      <c r="M6673" s="690"/>
    </row>
    <row r="6674" spans="13:13">
      <c r="M6674" s="690"/>
    </row>
    <row r="6675" spans="13:13">
      <c r="M6675" s="690"/>
    </row>
    <row r="6676" spans="13:13">
      <c r="M6676" s="690"/>
    </row>
    <row r="6677" spans="13:13">
      <c r="M6677" s="690"/>
    </row>
    <row r="6678" spans="13:13">
      <c r="M6678" s="690"/>
    </row>
    <row r="6679" spans="13:13">
      <c r="M6679" s="690"/>
    </row>
    <row r="6680" spans="13:13">
      <c r="M6680" s="690"/>
    </row>
    <row r="6681" spans="13:13">
      <c r="M6681" s="690"/>
    </row>
    <row r="6682" spans="13:13">
      <c r="M6682" s="690"/>
    </row>
    <row r="6683" spans="13:13">
      <c r="M6683" s="690"/>
    </row>
    <row r="6684" spans="13:13">
      <c r="M6684" s="690"/>
    </row>
    <row r="6685" spans="13:13">
      <c r="M6685" s="690"/>
    </row>
    <row r="6686" spans="13:13">
      <c r="M6686" s="690"/>
    </row>
    <row r="6687" spans="13:13">
      <c r="M6687" s="690"/>
    </row>
    <row r="6688" spans="13:13">
      <c r="M6688" s="690"/>
    </row>
    <row r="6689" spans="13:13">
      <c r="M6689" s="690"/>
    </row>
    <row r="6690" spans="13:13">
      <c r="M6690" s="690"/>
    </row>
    <row r="6691" spans="13:13">
      <c r="M6691" s="690"/>
    </row>
    <row r="6692" spans="13:13">
      <c r="M6692" s="690"/>
    </row>
    <row r="6693" spans="13:13">
      <c r="M6693" s="690"/>
    </row>
    <row r="6694" spans="13:13">
      <c r="M6694" s="690"/>
    </row>
    <row r="6695" spans="13:13">
      <c r="M6695" s="690"/>
    </row>
    <row r="6696" spans="13:13">
      <c r="M6696" s="690"/>
    </row>
    <row r="6697" spans="13:13">
      <c r="M6697" s="690"/>
    </row>
    <row r="6698" spans="13:13">
      <c r="M6698" s="690"/>
    </row>
    <row r="6699" spans="13:13">
      <c r="M6699" s="690"/>
    </row>
    <row r="6700" spans="13:13">
      <c r="M6700" s="690"/>
    </row>
    <row r="6701" spans="13:13">
      <c r="M6701" s="690"/>
    </row>
    <row r="6702" spans="13:13">
      <c r="M6702" s="690"/>
    </row>
    <row r="6703" spans="13:13">
      <c r="M6703" s="690"/>
    </row>
    <row r="6704" spans="13:13">
      <c r="M6704" s="690"/>
    </row>
    <row r="6705" spans="13:13">
      <c r="M6705" s="690"/>
    </row>
    <row r="6706" spans="13:13">
      <c r="M6706" s="690"/>
    </row>
    <row r="6707" spans="13:13">
      <c r="M6707" s="690"/>
    </row>
    <row r="6708" spans="13:13">
      <c r="M6708" s="690"/>
    </row>
    <row r="6709" spans="13:13">
      <c r="M6709" s="690"/>
    </row>
    <row r="6710" spans="13:13">
      <c r="M6710" s="690"/>
    </row>
    <row r="6711" spans="13:13">
      <c r="M6711" s="690"/>
    </row>
    <row r="6712" spans="13:13">
      <c r="M6712" s="690"/>
    </row>
    <row r="6713" spans="13:13">
      <c r="M6713" s="690"/>
    </row>
    <row r="6714" spans="13:13">
      <c r="M6714" s="690"/>
    </row>
    <row r="6715" spans="13:13">
      <c r="M6715" s="690"/>
    </row>
    <row r="6716" spans="13:13">
      <c r="M6716" s="690"/>
    </row>
    <row r="6717" spans="13:13">
      <c r="M6717" s="690"/>
    </row>
    <row r="6718" spans="13:13">
      <c r="M6718" s="690"/>
    </row>
    <row r="6719" spans="13:13">
      <c r="M6719" s="690"/>
    </row>
    <row r="6720" spans="13:13">
      <c r="M6720" s="690"/>
    </row>
    <row r="6721" spans="13:13">
      <c r="M6721" s="690"/>
    </row>
    <row r="6722" spans="13:13">
      <c r="M6722" s="690"/>
    </row>
    <row r="6723" spans="13:13">
      <c r="M6723" s="690"/>
    </row>
    <row r="6724" spans="13:13">
      <c r="M6724" s="690"/>
    </row>
    <row r="6725" spans="13:13">
      <c r="M6725" s="690"/>
    </row>
    <row r="6726" spans="13:13">
      <c r="M6726" s="690"/>
    </row>
    <row r="6727" spans="13:13">
      <c r="M6727" s="690"/>
    </row>
    <row r="6728" spans="13:13">
      <c r="M6728" s="690"/>
    </row>
    <row r="6729" spans="13:13">
      <c r="M6729" s="690"/>
    </row>
    <row r="6730" spans="13:13">
      <c r="M6730" s="690"/>
    </row>
    <row r="6731" spans="13:13">
      <c r="M6731" s="690"/>
    </row>
    <row r="6732" spans="13:13">
      <c r="M6732" s="690"/>
    </row>
    <row r="6733" spans="13:13">
      <c r="M6733" s="690"/>
    </row>
    <row r="6734" spans="13:13">
      <c r="M6734" s="690"/>
    </row>
    <row r="6735" spans="13:13">
      <c r="M6735" s="690"/>
    </row>
    <row r="6736" spans="13:13">
      <c r="M6736" s="690"/>
    </row>
    <row r="6737" spans="13:13">
      <c r="M6737" s="690"/>
    </row>
    <row r="6738" spans="13:13">
      <c r="M6738" s="690"/>
    </row>
    <row r="6739" spans="13:13">
      <c r="M6739" s="690"/>
    </row>
    <row r="6740" spans="13:13">
      <c r="M6740" s="690"/>
    </row>
    <row r="6741" spans="13:13">
      <c r="M6741" s="690"/>
    </row>
    <row r="6742" spans="13:13">
      <c r="M6742" s="690"/>
    </row>
    <row r="6743" spans="13:13">
      <c r="M6743" s="690"/>
    </row>
    <row r="6744" spans="13:13">
      <c r="M6744" s="690"/>
    </row>
    <row r="6745" spans="13:13">
      <c r="M6745" s="690"/>
    </row>
    <row r="6746" spans="13:13">
      <c r="M6746" s="690"/>
    </row>
    <row r="6747" spans="13:13">
      <c r="M6747" s="690"/>
    </row>
    <row r="6748" spans="13:13">
      <c r="M6748" s="690"/>
    </row>
    <row r="6749" spans="13:13">
      <c r="M6749" s="690"/>
    </row>
    <row r="6750" spans="13:13">
      <c r="M6750" s="690"/>
    </row>
    <row r="6751" spans="13:13">
      <c r="M6751" s="690"/>
    </row>
    <row r="6752" spans="13:13">
      <c r="M6752" s="690"/>
    </row>
    <row r="6753" spans="13:13">
      <c r="M6753" s="690"/>
    </row>
    <row r="6754" spans="13:13">
      <c r="M6754" s="690"/>
    </row>
    <row r="6755" spans="13:13">
      <c r="M6755" s="690"/>
    </row>
    <row r="6756" spans="13:13">
      <c r="M6756" s="690"/>
    </row>
    <row r="6757" spans="13:13">
      <c r="M6757" s="690"/>
    </row>
    <row r="6758" spans="13:13">
      <c r="M6758" s="690"/>
    </row>
    <row r="6759" spans="13:13">
      <c r="M6759" s="690"/>
    </row>
    <row r="6760" spans="13:13">
      <c r="M6760" s="690"/>
    </row>
    <row r="6761" spans="13:13">
      <c r="M6761" s="690"/>
    </row>
    <row r="6762" spans="13:13">
      <c r="M6762" s="690"/>
    </row>
    <row r="6763" spans="13:13">
      <c r="M6763" s="690"/>
    </row>
    <row r="6764" spans="13:13">
      <c r="M6764" s="690"/>
    </row>
    <row r="6765" spans="13:13">
      <c r="M6765" s="690"/>
    </row>
    <row r="6766" spans="13:13">
      <c r="M6766" s="690"/>
    </row>
    <row r="6767" spans="13:13">
      <c r="M6767" s="690"/>
    </row>
    <row r="6768" spans="13:13">
      <c r="M6768" s="690"/>
    </row>
    <row r="6769" spans="13:13">
      <c r="M6769" s="690"/>
    </row>
    <row r="6770" spans="13:13">
      <c r="M6770" s="690"/>
    </row>
    <row r="6771" spans="13:13">
      <c r="M6771" s="690"/>
    </row>
    <row r="6772" spans="13:13">
      <c r="M6772" s="690"/>
    </row>
    <row r="6773" spans="13:13">
      <c r="M6773" s="690"/>
    </row>
    <row r="6774" spans="13:13">
      <c r="M6774" s="690"/>
    </row>
    <row r="6775" spans="13:13">
      <c r="M6775" s="690"/>
    </row>
    <row r="6776" spans="13:13">
      <c r="M6776" s="690"/>
    </row>
    <row r="6777" spans="13:13">
      <c r="M6777" s="690"/>
    </row>
    <row r="6778" spans="13:13">
      <c r="M6778" s="690"/>
    </row>
    <row r="6779" spans="13:13">
      <c r="M6779" s="690"/>
    </row>
    <row r="6780" spans="13:13">
      <c r="M6780" s="690"/>
    </row>
    <row r="6781" spans="13:13">
      <c r="M6781" s="690"/>
    </row>
    <row r="6782" spans="13:13">
      <c r="M6782" s="690"/>
    </row>
    <row r="6783" spans="13:13">
      <c r="M6783" s="690"/>
    </row>
    <row r="6784" spans="13:13">
      <c r="M6784" s="690"/>
    </row>
    <row r="6785" spans="13:13">
      <c r="M6785" s="690"/>
    </row>
    <row r="6786" spans="13:13">
      <c r="M6786" s="690"/>
    </row>
    <row r="6787" spans="13:13">
      <c r="M6787" s="690"/>
    </row>
    <row r="6788" spans="13:13">
      <c r="M6788" s="690"/>
    </row>
    <row r="6789" spans="13:13">
      <c r="M6789" s="690"/>
    </row>
    <row r="6790" spans="13:13">
      <c r="M6790" s="690"/>
    </row>
    <row r="6791" spans="13:13">
      <c r="M6791" s="690"/>
    </row>
    <row r="6792" spans="13:13">
      <c r="M6792" s="690"/>
    </row>
    <row r="6793" spans="13:13">
      <c r="M6793" s="690"/>
    </row>
    <row r="6794" spans="13:13">
      <c r="M6794" s="690"/>
    </row>
    <row r="6795" spans="13:13">
      <c r="M6795" s="690"/>
    </row>
    <row r="6796" spans="13:13">
      <c r="M6796" s="690"/>
    </row>
    <row r="6797" spans="13:13">
      <c r="M6797" s="690"/>
    </row>
    <row r="6798" spans="13:13">
      <c r="M6798" s="690"/>
    </row>
    <row r="6799" spans="13:13">
      <c r="M6799" s="690"/>
    </row>
    <row r="6800" spans="13:13">
      <c r="M6800" s="690"/>
    </row>
    <row r="6801" spans="13:13">
      <c r="M6801" s="690"/>
    </row>
    <row r="6802" spans="13:13">
      <c r="M6802" s="690"/>
    </row>
    <row r="6803" spans="13:13">
      <c r="M6803" s="690"/>
    </row>
    <row r="6804" spans="13:13">
      <c r="M6804" s="690"/>
    </row>
    <row r="6805" spans="13:13">
      <c r="M6805" s="690"/>
    </row>
    <row r="6806" spans="13:13">
      <c r="M6806" s="690"/>
    </row>
    <row r="6807" spans="13:13">
      <c r="M6807" s="690"/>
    </row>
    <row r="6808" spans="13:13">
      <c r="M6808" s="690"/>
    </row>
    <row r="6809" spans="13:13">
      <c r="M6809" s="690"/>
    </row>
    <row r="6810" spans="13:13">
      <c r="M6810" s="690"/>
    </row>
    <row r="6811" spans="13:13">
      <c r="M6811" s="690"/>
    </row>
    <row r="6812" spans="13:13">
      <c r="M6812" s="690"/>
    </row>
    <row r="6813" spans="13:13">
      <c r="M6813" s="690"/>
    </row>
    <row r="6814" spans="13:13">
      <c r="M6814" s="690"/>
    </row>
    <row r="6815" spans="13:13">
      <c r="M6815" s="690"/>
    </row>
    <row r="6816" spans="13:13">
      <c r="M6816" s="690"/>
    </row>
    <row r="6817" spans="13:13">
      <c r="M6817" s="690"/>
    </row>
    <row r="6818" spans="13:13">
      <c r="M6818" s="690"/>
    </row>
    <row r="6819" spans="13:13">
      <c r="M6819" s="690"/>
    </row>
    <row r="6820" spans="13:13">
      <c r="M6820" s="690"/>
    </row>
    <row r="6821" spans="13:13">
      <c r="M6821" s="690"/>
    </row>
    <row r="6822" spans="13:13">
      <c r="M6822" s="690"/>
    </row>
    <row r="6823" spans="13:13">
      <c r="M6823" s="690"/>
    </row>
    <row r="6824" spans="13:13">
      <c r="M6824" s="690"/>
    </row>
    <row r="6825" spans="13:13">
      <c r="M6825" s="690"/>
    </row>
    <row r="6826" spans="13:13">
      <c r="M6826" s="690"/>
    </row>
    <row r="6827" spans="13:13">
      <c r="M6827" s="690"/>
    </row>
    <row r="6828" spans="13:13">
      <c r="M6828" s="690"/>
    </row>
    <row r="6829" spans="13:13">
      <c r="M6829" s="690"/>
    </row>
    <row r="6830" spans="13:13">
      <c r="M6830" s="690"/>
    </row>
    <row r="6831" spans="13:13">
      <c r="M6831" s="690"/>
    </row>
    <row r="6832" spans="13:13">
      <c r="M6832" s="690"/>
    </row>
    <row r="6833" spans="13:13">
      <c r="M6833" s="690"/>
    </row>
    <row r="6834" spans="13:13">
      <c r="M6834" s="690"/>
    </row>
    <row r="6835" spans="13:13">
      <c r="M6835" s="690"/>
    </row>
    <row r="6836" spans="13:13">
      <c r="M6836" s="690"/>
    </row>
    <row r="6837" spans="13:13">
      <c r="M6837" s="690"/>
    </row>
    <row r="6838" spans="13:13">
      <c r="M6838" s="690"/>
    </row>
    <row r="6839" spans="13:13">
      <c r="M6839" s="690"/>
    </row>
    <row r="6840" spans="13:13">
      <c r="M6840" s="690"/>
    </row>
    <row r="6841" spans="13:13">
      <c r="M6841" s="690"/>
    </row>
    <row r="6842" spans="13:13">
      <c r="M6842" s="690"/>
    </row>
    <row r="6843" spans="13:13">
      <c r="M6843" s="690"/>
    </row>
    <row r="6844" spans="13:13">
      <c r="M6844" s="690"/>
    </row>
    <row r="6845" spans="13:13">
      <c r="M6845" s="690"/>
    </row>
    <row r="6846" spans="13:13">
      <c r="M6846" s="690"/>
    </row>
    <row r="6847" spans="13:13">
      <c r="M6847" s="690"/>
    </row>
    <row r="6848" spans="13:13">
      <c r="M6848" s="690"/>
    </row>
    <row r="6849" spans="13:13">
      <c r="M6849" s="690"/>
    </row>
    <row r="6850" spans="13:13">
      <c r="M6850" s="690"/>
    </row>
    <row r="6851" spans="13:13">
      <c r="M6851" s="690"/>
    </row>
    <row r="6852" spans="13:13">
      <c r="M6852" s="690"/>
    </row>
    <row r="6853" spans="13:13">
      <c r="M6853" s="690"/>
    </row>
    <row r="6854" spans="13:13">
      <c r="M6854" s="690"/>
    </row>
    <row r="6855" spans="13:13">
      <c r="M6855" s="690"/>
    </row>
    <row r="6856" spans="13:13">
      <c r="M6856" s="690"/>
    </row>
    <row r="6857" spans="13:13">
      <c r="M6857" s="690"/>
    </row>
    <row r="6858" spans="13:13">
      <c r="M6858" s="690"/>
    </row>
    <row r="6859" spans="13:13">
      <c r="M6859" s="690"/>
    </row>
    <row r="6860" spans="13:13">
      <c r="M6860" s="690"/>
    </row>
    <row r="6861" spans="13:13">
      <c r="M6861" s="690"/>
    </row>
    <row r="6862" spans="13:13">
      <c r="M6862" s="690"/>
    </row>
    <row r="6863" spans="13:13">
      <c r="M6863" s="690"/>
    </row>
    <row r="6864" spans="13:13">
      <c r="M6864" s="690"/>
    </row>
    <row r="6865" spans="13:13">
      <c r="M6865" s="690"/>
    </row>
    <row r="6866" spans="13:13">
      <c r="M6866" s="690"/>
    </row>
    <row r="6867" spans="13:13">
      <c r="M6867" s="690"/>
    </row>
    <row r="6868" spans="13:13">
      <c r="M6868" s="690"/>
    </row>
    <row r="6869" spans="13:13">
      <c r="M6869" s="690"/>
    </row>
    <row r="6870" spans="13:13">
      <c r="M6870" s="690"/>
    </row>
    <row r="6871" spans="13:13">
      <c r="M6871" s="690"/>
    </row>
    <row r="6872" spans="13:13">
      <c r="M6872" s="690"/>
    </row>
    <row r="6873" spans="13:13">
      <c r="M6873" s="690"/>
    </row>
    <row r="6874" spans="13:13">
      <c r="M6874" s="690"/>
    </row>
    <row r="6875" spans="13:13">
      <c r="M6875" s="690"/>
    </row>
    <row r="6876" spans="13:13">
      <c r="M6876" s="690"/>
    </row>
    <row r="6877" spans="13:13">
      <c r="M6877" s="690"/>
    </row>
    <row r="6878" spans="13:13">
      <c r="M6878" s="690"/>
    </row>
    <row r="6879" spans="13:13">
      <c r="M6879" s="690"/>
    </row>
    <row r="6880" spans="13:13">
      <c r="M6880" s="690"/>
    </row>
    <row r="6881" spans="13:13">
      <c r="M6881" s="690"/>
    </row>
    <row r="6882" spans="13:13">
      <c r="M6882" s="690"/>
    </row>
    <row r="6883" spans="13:13">
      <c r="M6883" s="690"/>
    </row>
    <row r="6884" spans="13:13">
      <c r="M6884" s="690"/>
    </row>
    <row r="6885" spans="13:13">
      <c r="M6885" s="690"/>
    </row>
    <row r="6886" spans="13:13">
      <c r="M6886" s="690"/>
    </row>
    <row r="6887" spans="13:13">
      <c r="M6887" s="690"/>
    </row>
    <row r="6888" spans="13:13">
      <c r="M6888" s="690"/>
    </row>
    <row r="6889" spans="13:13">
      <c r="M6889" s="690"/>
    </row>
    <row r="6890" spans="13:13">
      <c r="M6890" s="690"/>
    </row>
    <row r="6891" spans="13:13">
      <c r="M6891" s="690"/>
    </row>
    <row r="6892" spans="13:13">
      <c r="M6892" s="690"/>
    </row>
    <row r="6893" spans="13:13">
      <c r="M6893" s="690"/>
    </row>
    <row r="6894" spans="13:13">
      <c r="M6894" s="690"/>
    </row>
    <row r="6895" spans="13:13">
      <c r="M6895" s="690"/>
    </row>
    <row r="6896" spans="13:13">
      <c r="M6896" s="690"/>
    </row>
    <row r="6897" spans="13:13">
      <c r="M6897" s="690"/>
    </row>
    <row r="6898" spans="13:13">
      <c r="M6898" s="690"/>
    </row>
    <row r="6899" spans="13:13">
      <c r="M6899" s="690"/>
    </row>
    <row r="6900" spans="13:13">
      <c r="M6900" s="690"/>
    </row>
    <row r="6901" spans="13:13">
      <c r="M6901" s="690"/>
    </row>
    <row r="6902" spans="13:13">
      <c r="M6902" s="690"/>
    </row>
    <row r="6903" spans="13:13">
      <c r="M6903" s="690"/>
    </row>
    <row r="6904" spans="13:13">
      <c r="M6904" s="690"/>
    </row>
    <row r="6905" spans="13:13">
      <c r="M6905" s="690"/>
    </row>
    <row r="6906" spans="13:13">
      <c r="M6906" s="690"/>
    </row>
    <row r="6907" spans="13:13">
      <c r="M6907" s="690"/>
    </row>
    <row r="6908" spans="13:13">
      <c r="M6908" s="690"/>
    </row>
    <row r="6909" spans="13:13">
      <c r="M6909" s="690"/>
    </row>
    <row r="6910" spans="13:13">
      <c r="M6910" s="690"/>
    </row>
    <row r="6911" spans="13:13">
      <c r="M6911" s="690"/>
    </row>
    <row r="6912" spans="13:13">
      <c r="M6912" s="690"/>
    </row>
    <row r="6913" spans="13:13">
      <c r="M6913" s="690"/>
    </row>
    <row r="6914" spans="13:13">
      <c r="M6914" s="690"/>
    </row>
    <row r="6915" spans="13:13">
      <c r="M6915" s="690"/>
    </row>
    <row r="6916" spans="13:13">
      <c r="M6916" s="690"/>
    </row>
    <row r="6917" spans="13:13">
      <c r="M6917" s="690"/>
    </row>
    <row r="6918" spans="13:13">
      <c r="M6918" s="690"/>
    </row>
    <row r="6919" spans="13:13">
      <c r="M6919" s="690"/>
    </row>
    <row r="6920" spans="13:13">
      <c r="M6920" s="690"/>
    </row>
    <row r="6921" spans="13:13">
      <c r="M6921" s="690"/>
    </row>
    <row r="6922" spans="13:13">
      <c r="M6922" s="690"/>
    </row>
    <row r="6923" spans="13:13">
      <c r="M6923" s="690"/>
    </row>
    <row r="6924" spans="13:13">
      <c r="M6924" s="690"/>
    </row>
    <row r="6925" spans="13:13">
      <c r="M6925" s="690"/>
    </row>
    <row r="6926" spans="13:13">
      <c r="M6926" s="690"/>
    </row>
    <row r="6927" spans="13:13">
      <c r="M6927" s="690"/>
    </row>
    <row r="6928" spans="13:13">
      <c r="M6928" s="690"/>
    </row>
    <row r="6929" spans="13:13">
      <c r="M6929" s="690"/>
    </row>
    <row r="6930" spans="13:13">
      <c r="M6930" s="690"/>
    </row>
    <row r="6931" spans="13:13">
      <c r="M6931" s="690"/>
    </row>
    <row r="6932" spans="13:13">
      <c r="M6932" s="690"/>
    </row>
    <row r="6933" spans="13:13">
      <c r="M6933" s="690"/>
    </row>
    <row r="6934" spans="13:13">
      <c r="M6934" s="690"/>
    </row>
    <row r="6935" spans="13:13">
      <c r="M6935" s="690"/>
    </row>
    <row r="6936" spans="13:13">
      <c r="M6936" s="690"/>
    </row>
    <row r="6937" spans="13:13">
      <c r="M6937" s="690"/>
    </row>
    <row r="6938" spans="13:13">
      <c r="M6938" s="690"/>
    </row>
    <row r="6939" spans="13:13">
      <c r="M6939" s="690"/>
    </row>
    <row r="6940" spans="13:13">
      <c r="M6940" s="690"/>
    </row>
    <row r="6941" spans="13:13">
      <c r="M6941" s="690"/>
    </row>
    <row r="6942" spans="13:13">
      <c r="M6942" s="690"/>
    </row>
    <row r="6943" spans="13:13">
      <c r="M6943" s="690"/>
    </row>
    <row r="6944" spans="13:13">
      <c r="M6944" s="690"/>
    </row>
    <row r="6945" spans="13:13">
      <c r="M6945" s="690"/>
    </row>
    <row r="6946" spans="13:13">
      <c r="M6946" s="690"/>
    </row>
    <row r="6947" spans="13:13">
      <c r="M6947" s="690"/>
    </row>
    <row r="6948" spans="13:13">
      <c r="M6948" s="690"/>
    </row>
    <row r="6949" spans="13:13">
      <c r="M6949" s="690"/>
    </row>
    <row r="6950" spans="13:13">
      <c r="M6950" s="690"/>
    </row>
    <row r="6951" spans="13:13">
      <c r="M6951" s="690"/>
    </row>
    <row r="6952" spans="13:13">
      <c r="M6952" s="690"/>
    </row>
    <row r="6953" spans="13:13">
      <c r="M6953" s="690"/>
    </row>
    <row r="6954" spans="13:13">
      <c r="M6954" s="690"/>
    </row>
    <row r="6955" spans="13:13">
      <c r="M6955" s="690"/>
    </row>
    <row r="6956" spans="13:13">
      <c r="M6956" s="690"/>
    </row>
    <row r="6957" spans="13:13">
      <c r="M6957" s="690"/>
    </row>
    <row r="6958" spans="13:13">
      <c r="M6958" s="690"/>
    </row>
    <row r="6959" spans="13:13">
      <c r="M6959" s="690"/>
    </row>
    <row r="6960" spans="13:13">
      <c r="M6960" s="690"/>
    </row>
    <row r="6961" spans="13:13">
      <c r="M6961" s="690"/>
    </row>
    <row r="6962" spans="13:13">
      <c r="M6962" s="690"/>
    </row>
    <row r="6963" spans="13:13">
      <c r="M6963" s="690"/>
    </row>
    <row r="6964" spans="13:13">
      <c r="M6964" s="690"/>
    </row>
    <row r="6965" spans="13:13">
      <c r="M6965" s="690"/>
    </row>
    <row r="6966" spans="13:13">
      <c r="M6966" s="690"/>
    </row>
    <row r="6967" spans="13:13">
      <c r="M6967" s="690"/>
    </row>
    <row r="6968" spans="13:13">
      <c r="M6968" s="690"/>
    </row>
    <row r="6969" spans="13:13">
      <c r="M6969" s="690"/>
    </row>
    <row r="6970" spans="13:13">
      <c r="M6970" s="690"/>
    </row>
    <row r="6971" spans="13:13">
      <c r="M6971" s="690"/>
    </row>
    <row r="6972" spans="13:13">
      <c r="M6972" s="690"/>
    </row>
    <row r="6973" spans="13:13">
      <c r="M6973" s="690"/>
    </row>
    <row r="6974" spans="13:13">
      <c r="M6974" s="690"/>
    </row>
    <row r="6975" spans="13:13">
      <c r="M6975" s="690"/>
    </row>
    <row r="6976" spans="13:13">
      <c r="M6976" s="690"/>
    </row>
    <row r="6977" spans="13:13">
      <c r="M6977" s="690"/>
    </row>
    <row r="6978" spans="13:13">
      <c r="M6978" s="690"/>
    </row>
    <row r="6979" spans="13:13">
      <c r="M6979" s="690"/>
    </row>
    <row r="6980" spans="13:13">
      <c r="M6980" s="690"/>
    </row>
    <row r="6981" spans="13:13">
      <c r="M6981" s="690"/>
    </row>
    <row r="6982" spans="13:13">
      <c r="M6982" s="690"/>
    </row>
    <row r="6983" spans="13:13">
      <c r="M6983" s="690"/>
    </row>
    <row r="6984" spans="13:13">
      <c r="M6984" s="690"/>
    </row>
    <row r="6985" spans="13:13">
      <c r="M6985" s="690"/>
    </row>
    <row r="6986" spans="13:13">
      <c r="M6986" s="690"/>
    </row>
    <row r="6987" spans="13:13">
      <c r="M6987" s="690"/>
    </row>
    <row r="6988" spans="13:13">
      <c r="M6988" s="690"/>
    </row>
    <row r="6989" spans="13:13">
      <c r="M6989" s="690"/>
    </row>
    <row r="6990" spans="13:13">
      <c r="M6990" s="690"/>
    </row>
    <row r="6991" spans="13:13">
      <c r="M6991" s="690"/>
    </row>
    <row r="6992" spans="13:13">
      <c r="M6992" s="690"/>
    </row>
    <row r="6993" spans="13:13">
      <c r="M6993" s="690"/>
    </row>
    <row r="6994" spans="13:13">
      <c r="M6994" s="690"/>
    </row>
    <row r="6995" spans="13:13">
      <c r="M6995" s="690"/>
    </row>
    <row r="6996" spans="13:13">
      <c r="M6996" s="690"/>
    </row>
    <row r="6997" spans="13:13">
      <c r="M6997" s="690"/>
    </row>
    <row r="6998" spans="13:13">
      <c r="M6998" s="690"/>
    </row>
    <row r="6999" spans="13:13">
      <c r="M6999" s="690"/>
    </row>
    <row r="7000" spans="13:13">
      <c r="M7000" s="690"/>
    </row>
    <row r="7001" spans="13:13">
      <c r="M7001" s="690"/>
    </row>
    <row r="7002" spans="13:13">
      <c r="M7002" s="690"/>
    </row>
    <row r="7003" spans="13:13">
      <c r="M7003" s="690"/>
    </row>
    <row r="7004" spans="13:13">
      <c r="M7004" s="690"/>
    </row>
    <row r="7005" spans="13:13">
      <c r="M7005" s="690"/>
    </row>
    <row r="7006" spans="13:13">
      <c r="M7006" s="690"/>
    </row>
    <row r="7007" spans="13:13">
      <c r="M7007" s="690"/>
    </row>
    <row r="7008" spans="13:13">
      <c r="M7008" s="690"/>
    </row>
    <row r="7009" spans="13:13">
      <c r="M7009" s="690"/>
    </row>
    <row r="7010" spans="13:13">
      <c r="M7010" s="690"/>
    </row>
    <row r="7011" spans="13:13">
      <c r="M7011" s="690"/>
    </row>
    <row r="7012" spans="13:13">
      <c r="M7012" s="690"/>
    </row>
    <row r="7013" spans="13:13">
      <c r="M7013" s="690"/>
    </row>
    <row r="7014" spans="13:13">
      <c r="M7014" s="690"/>
    </row>
    <row r="7015" spans="13:13">
      <c r="M7015" s="690"/>
    </row>
    <row r="7016" spans="13:13">
      <c r="M7016" s="690"/>
    </row>
    <row r="7017" spans="13:13">
      <c r="M7017" s="690"/>
    </row>
    <row r="7018" spans="13:13">
      <c r="M7018" s="690"/>
    </row>
    <row r="7019" spans="13:13">
      <c r="M7019" s="690"/>
    </row>
    <row r="7020" spans="13:13">
      <c r="M7020" s="690"/>
    </row>
    <row r="7021" spans="13:13">
      <c r="M7021" s="690"/>
    </row>
    <row r="7022" spans="13:13">
      <c r="M7022" s="690"/>
    </row>
    <row r="7023" spans="13:13">
      <c r="M7023" s="690"/>
    </row>
    <row r="7024" spans="13:13">
      <c r="M7024" s="690"/>
    </row>
    <row r="7025" spans="13:13">
      <c r="M7025" s="690"/>
    </row>
    <row r="7026" spans="13:13">
      <c r="M7026" s="690"/>
    </row>
    <row r="7027" spans="13:13">
      <c r="M7027" s="690"/>
    </row>
    <row r="7028" spans="13:13">
      <c r="M7028" s="690"/>
    </row>
    <row r="7029" spans="13:13">
      <c r="M7029" s="690"/>
    </row>
    <row r="7030" spans="13:13">
      <c r="M7030" s="690"/>
    </row>
    <row r="7031" spans="13:13">
      <c r="M7031" s="690"/>
    </row>
    <row r="7032" spans="13:13">
      <c r="M7032" s="690"/>
    </row>
    <row r="7033" spans="13:13">
      <c r="M7033" s="690"/>
    </row>
    <row r="7034" spans="13:13">
      <c r="M7034" s="690"/>
    </row>
    <row r="7035" spans="13:13">
      <c r="M7035" s="690"/>
    </row>
    <row r="7036" spans="13:13">
      <c r="M7036" s="690"/>
    </row>
    <row r="7037" spans="13:13">
      <c r="M7037" s="690"/>
    </row>
    <row r="7038" spans="13:13">
      <c r="M7038" s="690"/>
    </row>
    <row r="7039" spans="13:13">
      <c r="M7039" s="690"/>
    </row>
    <row r="7040" spans="13:13">
      <c r="M7040" s="690"/>
    </row>
    <row r="7041" spans="13:13">
      <c r="M7041" s="690"/>
    </row>
    <row r="7042" spans="13:13">
      <c r="M7042" s="690"/>
    </row>
    <row r="7043" spans="13:13">
      <c r="M7043" s="690"/>
    </row>
    <row r="7044" spans="13:13">
      <c r="M7044" s="690"/>
    </row>
    <row r="7045" spans="13:13">
      <c r="M7045" s="690"/>
    </row>
    <row r="7046" spans="13:13">
      <c r="M7046" s="690"/>
    </row>
    <row r="7047" spans="13:13">
      <c r="M7047" s="690"/>
    </row>
    <row r="7048" spans="13:13">
      <c r="M7048" s="690"/>
    </row>
    <row r="7049" spans="13:13">
      <c r="M7049" s="690"/>
    </row>
    <row r="7050" spans="13:13">
      <c r="M7050" s="690"/>
    </row>
    <row r="7051" spans="13:13">
      <c r="M7051" s="690"/>
    </row>
    <row r="7052" spans="13:13">
      <c r="M7052" s="690"/>
    </row>
    <row r="7053" spans="13:13">
      <c r="M7053" s="690"/>
    </row>
    <row r="7054" spans="13:13">
      <c r="M7054" s="690"/>
    </row>
    <row r="7055" spans="13:13">
      <c r="M7055" s="690"/>
    </row>
    <row r="7056" spans="13:13">
      <c r="M7056" s="690"/>
    </row>
    <row r="7057" spans="13:13">
      <c r="M7057" s="690"/>
    </row>
    <row r="7058" spans="13:13">
      <c r="M7058" s="690"/>
    </row>
    <row r="7059" spans="13:13">
      <c r="M7059" s="690"/>
    </row>
    <row r="7060" spans="13:13">
      <c r="M7060" s="690"/>
    </row>
    <row r="7061" spans="13:13">
      <c r="M7061" s="690"/>
    </row>
    <row r="7062" spans="13:13">
      <c r="M7062" s="690"/>
    </row>
    <row r="7063" spans="13:13">
      <c r="M7063" s="690"/>
    </row>
    <row r="7064" spans="13:13">
      <c r="M7064" s="690"/>
    </row>
    <row r="7065" spans="13:13">
      <c r="M7065" s="690"/>
    </row>
    <row r="7066" spans="13:13">
      <c r="M7066" s="690"/>
    </row>
    <row r="7067" spans="13:13">
      <c r="M7067" s="690"/>
    </row>
    <row r="7068" spans="13:13">
      <c r="M7068" s="690"/>
    </row>
    <row r="7069" spans="13:13">
      <c r="M7069" s="690"/>
    </row>
    <row r="7070" spans="13:13">
      <c r="M7070" s="690"/>
    </row>
    <row r="7071" spans="13:13">
      <c r="M7071" s="690"/>
    </row>
    <row r="7072" spans="13:13">
      <c r="M7072" s="690"/>
    </row>
    <row r="7073" spans="13:13">
      <c r="M7073" s="690"/>
    </row>
    <row r="7074" spans="13:13">
      <c r="M7074" s="690"/>
    </row>
    <row r="7075" spans="13:13">
      <c r="M7075" s="690"/>
    </row>
    <row r="7076" spans="13:13">
      <c r="M7076" s="690"/>
    </row>
    <row r="7077" spans="13:13">
      <c r="M7077" s="690"/>
    </row>
    <row r="7078" spans="13:13">
      <c r="M7078" s="690"/>
    </row>
    <row r="7079" spans="13:13">
      <c r="M7079" s="690"/>
    </row>
    <row r="7080" spans="13:13">
      <c r="M7080" s="690"/>
    </row>
    <row r="7081" spans="13:13">
      <c r="M7081" s="690"/>
    </row>
    <row r="7082" spans="13:13">
      <c r="M7082" s="690"/>
    </row>
    <row r="7083" spans="13:13">
      <c r="M7083" s="690"/>
    </row>
    <row r="7084" spans="13:13">
      <c r="M7084" s="690"/>
    </row>
    <row r="7085" spans="13:13">
      <c r="M7085" s="690"/>
    </row>
    <row r="7086" spans="13:13">
      <c r="M7086" s="690"/>
    </row>
    <row r="7087" spans="13:13">
      <c r="M7087" s="690"/>
    </row>
    <row r="7088" spans="13:13">
      <c r="M7088" s="690"/>
    </row>
    <row r="7089" spans="13:13">
      <c r="M7089" s="690"/>
    </row>
    <row r="7090" spans="13:13">
      <c r="M7090" s="690"/>
    </row>
    <row r="7091" spans="13:13">
      <c r="M7091" s="690"/>
    </row>
    <row r="7092" spans="13:13">
      <c r="M7092" s="690"/>
    </row>
    <row r="7093" spans="13:13">
      <c r="M7093" s="690"/>
    </row>
    <row r="7094" spans="13:13">
      <c r="M7094" s="690"/>
    </row>
    <row r="7095" spans="13:13">
      <c r="M7095" s="690"/>
    </row>
    <row r="7096" spans="13:13">
      <c r="M7096" s="690"/>
    </row>
    <row r="7097" spans="13:13">
      <c r="M7097" s="690"/>
    </row>
    <row r="7098" spans="13:13">
      <c r="M7098" s="690"/>
    </row>
    <row r="7099" spans="13:13">
      <c r="M7099" s="690"/>
    </row>
    <row r="7100" spans="13:13">
      <c r="M7100" s="690"/>
    </row>
    <row r="7101" spans="13:13">
      <c r="M7101" s="690"/>
    </row>
    <row r="7102" spans="13:13">
      <c r="M7102" s="690"/>
    </row>
    <row r="7103" spans="13:13">
      <c r="M7103" s="690"/>
    </row>
    <row r="7104" spans="13:13">
      <c r="M7104" s="690"/>
    </row>
    <row r="7105" spans="13:13">
      <c r="M7105" s="690"/>
    </row>
    <row r="7106" spans="13:13">
      <c r="M7106" s="690"/>
    </row>
    <row r="7107" spans="13:13">
      <c r="M7107" s="690"/>
    </row>
    <row r="7108" spans="13:13">
      <c r="M7108" s="690"/>
    </row>
    <row r="7109" spans="13:13">
      <c r="M7109" s="690"/>
    </row>
    <row r="7110" spans="13:13">
      <c r="M7110" s="690"/>
    </row>
    <row r="7111" spans="13:13">
      <c r="M7111" s="690"/>
    </row>
    <row r="7112" spans="13:13">
      <c r="M7112" s="690"/>
    </row>
    <row r="7113" spans="13:13">
      <c r="M7113" s="690"/>
    </row>
    <row r="7114" spans="13:13">
      <c r="M7114" s="690"/>
    </row>
    <row r="7115" spans="13:13">
      <c r="M7115" s="690"/>
    </row>
    <row r="7116" spans="13:13">
      <c r="M7116" s="690"/>
    </row>
    <row r="7117" spans="13:13">
      <c r="M7117" s="690"/>
    </row>
    <row r="7118" spans="13:13">
      <c r="M7118" s="690"/>
    </row>
    <row r="7119" spans="13:13">
      <c r="M7119" s="690"/>
    </row>
    <row r="7120" spans="13:13">
      <c r="M7120" s="690"/>
    </row>
    <row r="7121" spans="13:13">
      <c r="M7121" s="690"/>
    </row>
    <row r="7122" spans="13:13">
      <c r="M7122" s="690"/>
    </row>
    <row r="7123" spans="13:13">
      <c r="M7123" s="690"/>
    </row>
    <row r="7124" spans="13:13">
      <c r="M7124" s="690"/>
    </row>
    <row r="7125" spans="13:13">
      <c r="M7125" s="690"/>
    </row>
    <row r="7126" spans="13:13">
      <c r="M7126" s="690"/>
    </row>
    <row r="7127" spans="13:13">
      <c r="M7127" s="690"/>
    </row>
    <row r="7128" spans="13:13">
      <c r="M7128" s="690"/>
    </row>
    <row r="7129" spans="13:13">
      <c r="M7129" s="690"/>
    </row>
    <row r="7130" spans="13:13">
      <c r="M7130" s="690"/>
    </row>
    <row r="7131" spans="13:13">
      <c r="M7131" s="690"/>
    </row>
    <row r="7132" spans="13:13">
      <c r="M7132" s="690"/>
    </row>
    <row r="7133" spans="13:13">
      <c r="M7133" s="690"/>
    </row>
    <row r="7134" spans="13:13">
      <c r="M7134" s="690"/>
    </row>
    <row r="7135" spans="13:13">
      <c r="M7135" s="690"/>
    </row>
    <row r="7136" spans="13:13">
      <c r="M7136" s="690"/>
    </row>
    <row r="7137" spans="13:13">
      <c r="M7137" s="690"/>
    </row>
    <row r="7138" spans="13:13">
      <c r="M7138" s="690"/>
    </row>
    <row r="7139" spans="13:13">
      <c r="M7139" s="690"/>
    </row>
    <row r="7140" spans="13:13">
      <c r="M7140" s="690"/>
    </row>
    <row r="7141" spans="13:13">
      <c r="M7141" s="690"/>
    </row>
    <row r="7142" spans="13:13">
      <c r="M7142" s="690"/>
    </row>
    <row r="7143" spans="13:13">
      <c r="M7143" s="690"/>
    </row>
    <row r="7144" spans="13:13">
      <c r="M7144" s="690"/>
    </row>
    <row r="7145" spans="13:13">
      <c r="M7145" s="690"/>
    </row>
    <row r="7146" spans="13:13">
      <c r="M7146" s="690"/>
    </row>
    <row r="7147" spans="13:13">
      <c r="M7147" s="690"/>
    </row>
    <row r="7148" spans="13:13">
      <c r="M7148" s="690"/>
    </row>
    <row r="7149" spans="13:13">
      <c r="M7149" s="690"/>
    </row>
    <row r="7150" spans="13:13">
      <c r="M7150" s="690"/>
    </row>
    <row r="7151" spans="13:13">
      <c r="M7151" s="690"/>
    </row>
    <row r="7152" spans="13:13">
      <c r="M7152" s="690"/>
    </row>
    <row r="7153" spans="13:13">
      <c r="M7153" s="690"/>
    </row>
    <row r="7154" spans="13:13">
      <c r="M7154" s="690"/>
    </row>
    <row r="7155" spans="13:13">
      <c r="M7155" s="690"/>
    </row>
    <row r="7156" spans="13:13">
      <c r="M7156" s="690"/>
    </row>
    <row r="7157" spans="13:13">
      <c r="M7157" s="690"/>
    </row>
    <row r="7158" spans="13:13">
      <c r="M7158" s="690"/>
    </row>
    <row r="7159" spans="13:13">
      <c r="M7159" s="690"/>
    </row>
    <row r="7160" spans="13:13">
      <c r="M7160" s="690"/>
    </row>
    <row r="7161" spans="13:13">
      <c r="M7161" s="690"/>
    </row>
    <row r="7162" spans="13:13">
      <c r="M7162" s="690"/>
    </row>
    <row r="7163" spans="13:13">
      <c r="M7163" s="690"/>
    </row>
    <row r="7164" spans="13:13">
      <c r="M7164" s="690"/>
    </row>
    <row r="7165" spans="13:13">
      <c r="M7165" s="690"/>
    </row>
    <row r="7166" spans="13:13">
      <c r="M7166" s="690"/>
    </row>
    <row r="7167" spans="13:13">
      <c r="M7167" s="690"/>
    </row>
    <row r="7168" spans="13:13">
      <c r="M7168" s="690"/>
    </row>
    <row r="7169" spans="13:13">
      <c r="M7169" s="690"/>
    </row>
    <row r="7170" spans="13:13">
      <c r="M7170" s="690"/>
    </row>
    <row r="7171" spans="13:13">
      <c r="M7171" s="690"/>
    </row>
    <row r="7172" spans="13:13">
      <c r="M7172" s="690"/>
    </row>
    <row r="7173" spans="13:13">
      <c r="M7173" s="690"/>
    </row>
    <row r="7174" spans="13:13">
      <c r="M7174" s="690"/>
    </row>
    <row r="7175" spans="13:13">
      <c r="M7175" s="690"/>
    </row>
    <row r="7176" spans="13:13">
      <c r="M7176" s="690"/>
    </row>
    <row r="7177" spans="13:13">
      <c r="M7177" s="690"/>
    </row>
    <row r="7178" spans="13:13">
      <c r="M7178" s="690"/>
    </row>
    <row r="7179" spans="13:13">
      <c r="M7179" s="690"/>
    </row>
    <row r="7180" spans="13:13">
      <c r="M7180" s="690"/>
    </row>
    <row r="7181" spans="13:13">
      <c r="M7181" s="690"/>
    </row>
    <row r="7182" spans="13:13">
      <c r="M7182" s="690"/>
    </row>
    <row r="7183" spans="13:13">
      <c r="M7183" s="690"/>
    </row>
    <row r="7184" spans="13:13">
      <c r="M7184" s="690"/>
    </row>
    <row r="7185" spans="13:13">
      <c r="M7185" s="690"/>
    </row>
    <row r="7186" spans="13:13">
      <c r="M7186" s="690"/>
    </row>
    <row r="7187" spans="13:13">
      <c r="M7187" s="690"/>
    </row>
    <row r="7188" spans="13:13">
      <c r="M7188" s="690"/>
    </row>
    <row r="7189" spans="13:13">
      <c r="M7189" s="690"/>
    </row>
    <row r="7190" spans="13:13">
      <c r="M7190" s="690"/>
    </row>
    <row r="7191" spans="13:13">
      <c r="M7191" s="690"/>
    </row>
    <row r="7192" spans="13:13">
      <c r="M7192" s="690"/>
    </row>
    <row r="7193" spans="13:13">
      <c r="M7193" s="690"/>
    </row>
    <row r="7194" spans="13:13">
      <c r="M7194" s="690"/>
    </row>
    <row r="7195" spans="13:13">
      <c r="M7195" s="690"/>
    </row>
    <row r="7196" spans="13:13">
      <c r="M7196" s="690"/>
    </row>
    <row r="7197" spans="13:13">
      <c r="M7197" s="690"/>
    </row>
    <row r="7198" spans="13:13">
      <c r="M7198" s="690"/>
    </row>
    <row r="7199" spans="13:13">
      <c r="M7199" s="690"/>
    </row>
    <row r="7200" spans="13:13">
      <c r="M7200" s="690"/>
    </row>
    <row r="7201" spans="13:13">
      <c r="M7201" s="690"/>
    </row>
    <row r="7202" spans="13:13">
      <c r="M7202" s="690"/>
    </row>
    <row r="7203" spans="13:13">
      <c r="M7203" s="690"/>
    </row>
    <row r="7204" spans="13:13">
      <c r="M7204" s="690"/>
    </row>
    <row r="7205" spans="13:13">
      <c r="M7205" s="690"/>
    </row>
    <row r="7206" spans="13:13">
      <c r="M7206" s="690"/>
    </row>
    <row r="7207" spans="13:13">
      <c r="M7207" s="690"/>
    </row>
    <row r="7208" spans="13:13">
      <c r="M7208" s="690"/>
    </row>
    <row r="7209" spans="13:13">
      <c r="M7209" s="690"/>
    </row>
    <row r="7210" spans="13:13">
      <c r="M7210" s="690"/>
    </row>
    <row r="7211" spans="13:13">
      <c r="M7211" s="690"/>
    </row>
    <row r="7212" spans="13:13">
      <c r="M7212" s="690"/>
    </row>
    <row r="7213" spans="13:13">
      <c r="M7213" s="690"/>
    </row>
    <row r="7214" spans="13:13">
      <c r="M7214" s="690"/>
    </row>
    <row r="7215" spans="13:13">
      <c r="M7215" s="690"/>
    </row>
    <row r="7216" spans="13:13">
      <c r="M7216" s="690"/>
    </row>
    <row r="7217" spans="13:13">
      <c r="M7217" s="690"/>
    </row>
    <row r="7218" spans="13:13">
      <c r="M7218" s="690"/>
    </row>
    <row r="7219" spans="13:13">
      <c r="M7219" s="690"/>
    </row>
    <row r="7220" spans="13:13">
      <c r="M7220" s="690"/>
    </row>
    <row r="7221" spans="13:13">
      <c r="M7221" s="690"/>
    </row>
    <row r="7222" spans="13:13">
      <c r="M7222" s="690"/>
    </row>
    <row r="7223" spans="13:13">
      <c r="M7223" s="690"/>
    </row>
    <row r="7224" spans="13:13">
      <c r="M7224" s="690"/>
    </row>
    <row r="7225" spans="13:13">
      <c r="M7225" s="690"/>
    </row>
    <row r="7226" spans="13:13">
      <c r="M7226" s="690"/>
    </row>
    <row r="7227" spans="13:13">
      <c r="M7227" s="690"/>
    </row>
    <row r="7228" spans="13:13">
      <c r="M7228" s="690"/>
    </row>
    <row r="7229" spans="13:13">
      <c r="M7229" s="690"/>
    </row>
    <row r="7230" spans="13:13">
      <c r="M7230" s="690"/>
    </row>
    <row r="7231" spans="13:13">
      <c r="M7231" s="690"/>
    </row>
    <row r="7232" spans="13:13">
      <c r="M7232" s="690"/>
    </row>
    <row r="7233" spans="13:13">
      <c r="M7233" s="690"/>
    </row>
    <row r="7234" spans="13:13">
      <c r="M7234" s="690"/>
    </row>
    <row r="7235" spans="13:13">
      <c r="M7235" s="690"/>
    </row>
    <row r="7236" spans="13:13">
      <c r="M7236" s="690"/>
    </row>
    <row r="7237" spans="13:13">
      <c r="M7237" s="690"/>
    </row>
    <row r="7238" spans="13:13">
      <c r="M7238" s="690"/>
    </row>
    <row r="7239" spans="13:13">
      <c r="M7239" s="690"/>
    </row>
    <row r="7240" spans="13:13">
      <c r="M7240" s="690"/>
    </row>
    <row r="7241" spans="13:13">
      <c r="M7241" s="690"/>
    </row>
    <row r="7242" spans="13:13">
      <c r="M7242" s="690"/>
    </row>
    <row r="7243" spans="13:13">
      <c r="M7243" s="690"/>
    </row>
    <row r="7244" spans="13:13">
      <c r="M7244" s="690"/>
    </row>
    <row r="7245" spans="13:13">
      <c r="M7245" s="690"/>
    </row>
    <row r="7246" spans="13:13">
      <c r="M7246" s="690"/>
    </row>
    <row r="7247" spans="13:13">
      <c r="M7247" s="690"/>
    </row>
    <row r="7248" spans="13:13">
      <c r="M7248" s="690"/>
    </row>
    <row r="7249" spans="13:13">
      <c r="M7249" s="690"/>
    </row>
    <row r="7250" spans="13:13">
      <c r="M7250" s="690"/>
    </row>
    <row r="7251" spans="13:13">
      <c r="M7251" s="690"/>
    </row>
    <row r="7252" spans="13:13">
      <c r="M7252" s="690"/>
    </row>
    <row r="7253" spans="13:13">
      <c r="M7253" s="690"/>
    </row>
    <row r="7254" spans="13:13">
      <c r="M7254" s="690"/>
    </row>
    <row r="7255" spans="13:13">
      <c r="M7255" s="690"/>
    </row>
    <row r="7256" spans="13:13">
      <c r="M7256" s="690"/>
    </row>
    <row r="7257" spans="13:13">
      <c r="M7257" s="690"/>
    </row>
    <row r="7258" spans="13:13">
      <c r="M7258" s="690"/>
    </row>
    <row r="7259" spans="13:13">
      <c r="M7259" s="690"/>
    </row>
    <row r="7260" spans="13:13">
      <c r="M7260" s="690"/>
    </row>
    <row r="7261" spans="13:13">
      <c r="M7261" s="690"/>
    </row>
    <row r="7262" spans="13:13">
      <c r="M7262" s="690"/>
    </row>
    <row r="7263" spans="13:13">
      <c r="M7263" s="690"/>
    </row>
    <row r="7264" spans="13:13">
      <c r="M7264" s="690"/>
    </row>
    <row r="7265" spans="13:13">
      <c r="M7265" s="690"/>
    </row>
    <row r="7266" spans="13:13">
      <c r="M7266" s="690"/>
    </row>
    <row r="7267" spans="13:13">
      <c r="M7267" s="690"/>
    </row>
    <row r="7268" spans="13:13">
      <c r="M7268" s="690"/>
    </row>
    <row r="7269" spans="13:13">
      <c r="M7269" s="690"/>
    </row>
    <row r="7270" spans="13:13">
      <c r="M7270" s="690"/>
    </row>
    <row r="7271" spans="13:13">
      <c r="M7271" s="690"/>
    </row>
    <row r="7272" spans="13:13">
      <c r="M7272" s="690"/>
    </row>
    <row r="7273" spans="13:13">
      <c r="M7273" s="690"/>
    </row>
    <row r="7274" spans="13:13">
      <c r="M7274" s="690"/>
    </row>
    <row r="7275" spans="13:13">
      <c r="M7275" s="690"/>
    </row>
    <row r="7276" spans="13:13">
      <c r="M7276" s="690"/>
    </row>
    <row r="7277" spans="13:13">
      <c r="M7277" s="690"/>
    </row>
    <row r="7278" spans="13:13">
      <c r="M7278" s="690"/>
    </row>
    <row r="7279" spans="13:13">
      <c r="M7279" s="690"/>
    </row>
    <row r="7280" spans="13:13">
      <c r="M7280" s="690"/>
    </row>
    <row r="7281" spans="13:13">
      <c r="M7281" s="690"/>
    </row>
    <row r="7282" spans="13:13">
      <c r="M7282" s="690"/>
    </row>
    <row r="7283" spans="13:13">
      <c r="M7283" s="690"/>
    </row>
    <row r="7284" spans="13:13">
      <c r="M7284" s="690"/>
    </row>
    <row r="7285" spans="13:13">
      <c r="M7285" s="690"/>
    </row>
    <row r="7286" spans="13:13">
      <c r="M7286" s="690"/>
    </row>
    <row r="7287" spans="13:13">
      <c r="M7287" s="690"/>
    </row>
    <row r="7288" spans="13:13">
      <c r="M7288" s="690"/>
    </row>
    <row r="7289" spans="13:13">
      <c r="M7289" s="690"/>
    </row>
    <row r="7290" spans="13:13">
      <c r="M7290" s="690"/>
    </row>
    <row r="7291" spans="13:13">
      <c r="M7291" s="690"/>
    </row>
    <row r="7292" spans="13:13">
      <c r="M7292" s="690"/>
    </row>
    <row r="7293" spans="13:13">
      <c r="M7293" s="690"/>
    </row>
    <row r="7294" spans="13:13">
      <c r="M7294" s="690"/>
    </row>
    <row r="7295" spans="13:13">
      <c r="M7295" s="690"/>
    </row>
    <row r="7296" spans="13:13">
      <c r="M7296" s="690"/>
    </row>
    <row r="7297" spans="13:13">
      <c r="M7297" s="690"/>
    </row>
    <row r="7298" spans="13:13">
      <c r="M7298" s="690"/>
    </row>
    <row r="7299" spans="13:13">
      <c r="M7299" s="690"/>
    </row>
    <row r="7300" spans="13:13">
      <c r="M7300" s="690"/>
    </row>
    <row r="7301" spans="13:13">
      <c r="M7301" s="690"/>
    </row>
    <row r="7302" spans="13:13">
      <c r="M7302" s="690"/>
    </row>
    <row r="7303" spans="13:13">
      <c r="M7303" s="690"/>
    </row>
    <row r="7304" spans="13:13">
      <c r="M7304" s="690"/>
    </row>
    <row r="7305" spans="13:13">
      <c r="M7305" s="690"/>
    </row>
    <row r="7306" spans="13:13">
      <c r="M7306" s="690"/>
    </row>
    <row r="7307" spans="13:13">
      <c r="M7307" s="690"/>
    </row>
    <row r="7308" spans="13:13">
      <c r="M7308" s="690"/>
    </row>
    <row r="7309" spans="13:13">
      <c r="M7309" s="690"/>
    </row>
    <row r="7310" spans="13:13">
      <c r="M7310" s="690"/>
    </row>
    <row r="7311" spans="13:13">
      <c r="M7311" s="690"/>
    </row>
    <row r="7312" spans="13:13">
      <c r="M7312" s="690"/>
    </row>
    <row r="7313" spans="13:13">
      <c r="M7313" s="690"/>
    </row>
    <row r="7314" spans="13:13">
      <c r="M7314" s="690"/>
    </row>
    <row r="7315" spans="13:13">
      <c r="M7315" s="690"/>
    </row>
    <row r="7316" spans="13:13">
      <c r="M7316" s="690"/>
    </row>
    <row r="7317" spans="13:13">
      <c r="M7317" s="690"/>
    </row>
    <row r="7318" spans="13:13">
      <c r="M7318" s="690"/>
    </row>
    <row r="7319" spans="13:13">
      <c r="M7319" s="690"/>
    </row>
    <row r="7320" spans="13:13">
      <c r="M7320" s="690"/>
    </row>
    <row r="7321" spans="13:13">
      <c r="M7321" s="690"/>
    </row>
    <row r="7322" spans="13:13">
      <c r="M7322" s="690"/>
    </row>
    <row r="7323" spans="13:13">
      <c r="M7323" s="690"/>
    </row>
    <row r="7324" spans="13:13">
      <c r="M7324" s="690"/>
    </row>
    <row r="7325" spans="13:13">
      <c r="M7325" s="690"/>
    </row>
    <row r="7326" spans="13:13">
      <c r="M7326" s="690"/>
    </row>
    <row r="7327" spans="13:13">
      <c r="M7327" s="690"/>
    </row>
    <row r="7328" spans="13:13">
      <c r="M7328" s="690"/>
    </row>
    <row r="7329" spans="13:13">
      <c r="M7329" s="690"/>
    </row>
    <row r="7330" spans="13:13">
      <c r="M7330" s="690"/>
    </row>
    <row r="7331" spans="13:13">
      <c r="M7331" s="690"/>
    </row>
    <row r="7332" spans="13:13">
      <c r="M7332" s="690"/>
    </row>
    <row r="7333" spans="13:13">
      <c r="M7333" s="690"/>
    </row>
    <row r="7334" spans="13:13">
      <c r="M7334" s="690"/>
    </row>
    <row r="7335" spans="13:13">
      <c r="M7335" s="690"/>
    </row>
    <row r="7336" spans="13:13">
      <c r="M7336" s="690"/>
    </row>
    <row r="7337" spans="13:13">
      <c r="M7337" s="690"/>
    </row>
    <row r="7338" spans="13:13">
      <c r="M7338" s="690"/>
    </row>
    <row r="7339" spans="13:13">
      <c r="M7339" s="690"/>
    </row>
    <row r="7340" spans="13:13">
      <c r="M7340" s="690"/>
    </row>
    <row r="7341" spans="13:13">
      <c r="M7341" s="690"/>
    </row>
    <row r="7342" spans="13:13">
      <c r="M7342" s="690"/>
    </row>
    <row r="7343" spans="13:13">
      <c r="M7343" s="690"/>
    </row>
    <row r="7344" spans="13:13">
      <c r="M7344" s="690"/>
    </row>
    <row r="7345" spans="13:13">
      <c r="M7345" s="690"/>
    </row>
    <row r="7346" spans="13:13">
      <c r="M7346" s="690"/>
    </row>
    <row r="7347" spans="13:13">
      <c r="M7347" s="690"/>
    </row>
    <row r="7348" spans="13:13">
      <c r="M7348" s="690"/>
    </row>
    <row r="7349" spans="13:13">
      <c r="M7349" s="690"/>
    </row>
    <row r="7350" spans="13:13">
      <c r="M7350" s="690"/>
    </row>
    <row r="7351" spans="13:13">
      <c r="M7351" s="690"/>
    </row>
    <row r="7352" spans="13:13">
      <c r="M7352" s="690"/>
    </row>
    <row r="7353" spans="13:13">
      <c r="M7353" s="690"/>
    </row>
    <row r="7354" spans="13:13">
      <c r="M7354" s="690"/>
    </row>
    <row r="7355" spans="13:13">
      <c r="M7355" s="690"/>
    </row>
    <row r="7356" spans="13:13">
      <c r="M7356" s="690"/>
    </row>
    <row r="7357" spans="13:13">
      <c r="M7357" s="690"/>
    </row>
    <row r="7358" spans="13:13">
      <c r="M7358" s="690"/>
    </row>
    <row r="7359" spans="13:13">
      <c r="M7359" s="690"/>
    </row>
    <row r="7360" spans="13:13">
      <c r="M7360" s="690"/>
    </row>
    <row r="7361" spans="13:13">
      <c r="M7361" s="690"/>
    </row>
    <row r="7362" spans="13:13">
      <c r="M7362" s="690"/>
    </row>
    <row r="7363" spans="13:13">
      <c r="M7363" s="690"/>
    </row>
    <row r="7364" spans="13:13">
      <c r="M7364" s="690"/>
    </row>
    <row r="7365" spans="13:13">
      <c r="M7365" s="690"/>
    </row>
    <row r="7366" spans="13:13">
      <c r="M7366" s="690"/>
    </row>
    <row r="7367" spans="13:13">
      <c r="M7367" s="690"/>
    </row>
    <row r="7368" spans="13:13">
      <c r="M7368" s="690"/>
    </row>
    <row r="7369" spans="13:13">
      <c r="M7369" s="690"/>
    </row>
    <row r="7370" spans="13:13">
      <c r="M7370" s="690"/>
    </row>
    <row r="7371" spans="13:13">
      <c r="M7371" s="690"/>
    </row>
    <row r="7372" spans="13:13">
      <c r="M7372" s="690"/>
    </row>
    <row r="7373" spans="13:13">
      <c r="M7373" s="690"/>
    </row>
    <row r="7374" spans="13:13">
      <c r="M7374" s="690"/>
    </row>
    <row r="7375" spans="13:13">
      <c r="M7375" s="690"/>
    </row>
    <row r="7376" spans="13:13">
      <c r="M7376" s="690"/>
    </row>
    <row r="7377" spans="13:13">
      <c r="M7377" s="690"/>
    </row>
    <row r="7378" spans="13:13">
      <c r="M7378" s="690"/>
    </row>
    <row r="7379" spans="13:13">
      <c r="M7379" s="690"/>
    </row>
    <row r="7380" spans="13:13">
      <c r="M7380" s="690"/>
    </row>
    <row r="7381" spans="13:13">
      <c r="M7381" s="690"/>
    </row>
    <row r="7382" spans="13:13">
      <c r="M7382" s="690"/>
    </row>
    <row r="7383" spans="13:13">
      <c r="M7383" s="690"/>
    </row>
    <row r="7384" spans="13:13">
      <c r="M7384" s="690"/>
    </row>
    <row r="7385" spans="13:13">
      <c r="M7385" s="690"/>
    </row>
    <row r="7386" spans="13:13">
      <c r="M7386" s="690"/>
    </row>
    <row r="7387" spans="13:13">
      <c r="M7387" s="690"/>
    </row>
    <row r="7388" spans="13:13">
      <c r="M7388" s="690"/>
    </row>
    <row r="7389" spans="13:13">
      <c r="M7389" s="690"/>
    </row>
    <row r="7390" spans="13:13">
      <c r="M7390" s="690"/>
    </row>
    <row r="7391" spans="13:13">
      <c r="M7391" s="690"/>
    </row>
    <row r="7392" spans="13:13">
      <c r="M7392" s="690"/>
    </row>
    <row r="7393" spans="13:13">
      <c r="M7393" s="690"/>
    </row>
    <row r="7394" spans="13:13">
      <c r="M7394" s="690"/>
    </row>
    <row r="7395" spans="13:13">
      <c r="M7395" s="690"/>
    </row>
    <row r="7396" spans="13:13">
      <c r="M7396" s="690"/>
    </row>
    <row r="7397" spans="13:13">
      <c r="M7397" s="690"/>
    </row>
    <row r="7398" spans="13:13">
      <c r="M7398" s="690"/>
    </row>
    <row r="7399" spans="13:13">
      <c r="M7399" s="690"/>
    </row>
    <row r="7400" spans="13:13">
      <c r="M7400" s="690"/>
    </row>
    <row r="7401" spans="13:13">
      <c r="M7401" s="690"/>
    </row>
    <row r="7402" spans="13:13">
      <c r="M7402" s="690"/>
    </row>
    <row r="7403" spans="13:13">
      <c r="M7403" s="690"/>
    </row>
    <row r="7404" spans="13:13">
      <c r="M7404" s="690"/>
    </row>
    <row r="7405" spans="13:13">
      <c r="M7405" s="690"/>
    </row>
    <row r="7406" spans="13:13">
      <c r="M7406" s="690"/>
    </row>
    <row r="7407" spans="13:13">
      <c r="M7407" s="690"/>
    </row>
    <row r="7408" spans="13:13">
      <c r="M7408" s="690"/>
    </row>
    <row r="7409" spans="13:13">
      <c r="M7409" s="690"/>
    </row>
    <row r="7410" spans="13:13">
      <c r="M7410" s="690"/>
    </row>
    <row r="7411" spans="13:13">
      <c r="M7411" s="690"/>
    </row>
    <row r="7412" spans="13:13">
      <c r="M7412" s="690"/>
    </row>
    <row r="7413" spans="13:13">
      <c r="M7413" s="690"/>
    </row>
    <row r="7414" spans="13:13">
      <c r="M7414" s="690"/>
    </row>
    <row r="7415" spans="13:13">
      <c r="M7415" s="690"/>
    </row>
    <row r="7416" spans="13:13">
      <c r="M7416" s="690"/>
    </row>
    <row r="7417" spans="13:13">
      <c r="M7417" s="690"/>
    </row>
    <row r="7418" spans="13:13">
      <c r="M7418" s="690"/>
    </row>
    <row r="7419" spans="13:13">
      <c r="M7419" s="690"/>
    </row>
    <row r="7420" spans="13:13">
      <c r="M7420" s="690"/>
    </row>
    <row r="7421" spans="13:13">
      <c r="M7421" s="690"/>
    </row>
    <row r="7422" spans="13:13">
      <c r="M7422" s="690"/>
    </row>
    <row r="7423" spans="13:13">
      <c r="M7423" s="690"/>
    </row>
    <row r="7424" spans="13:13">
      <c r="M7424" s="690"/>
    </row>
    <row r="7425" spans="13:13">
      <c r="M7425" s="690"/>
    </row>
    <row r="7426" spans="13:13">
      <c r="M7426" s="690"/>
    </row>
    <row r="7427" spans="13:13">
      <c r="M7427" s="690"/>
    </row>
    <row r="7428" spans="13:13">
      <c r="M7428" s="690"/>
    </row>
    <row r="7429" spans="13:13">
      <c r="M7429" s="690"/>
    </row>
    <row r="7430" spans="13:13">
      <c r="M7430" s="690"/>
    </row>
    <row r="7431" spans="13:13">
      <c r="M7431" s="690"/>
    </row>
    <row r="7432" spans="13:13">
      <c r="M7432" s="690"/>
    </row>
    <row r="7433" spans="13:13">
      <c r="M7433" s="690"/>
    </row>
    <row r="7434" spans="13:13">
      <c r="M7434" s="690"/>
    </row>
    <row r="7435" spans="13:13">
      <c r="M7435" s="690"/>
    </row>
    <row r="7436" spans="13:13">
      <c r="M7436" s="690"/>
    </row>
    <row r="7437" spans="13:13">
      <c r="M7437" s="690"/>
    </row>
    <row r="7438" spans="13:13">
      <c r="M7438" s="690"/>
    </row>
    <row r="7439" spans="13:13">
      <c r="M7439" s="690"/>
    </row>
    <row r="7440" spans="13:13">
      <c r="M7440" s="690"/>
    </row>
    <row r="7441" spans="13:13">
      <c r="M7441" s="690"/>
    </row>
    <row r="7442" spans="13:13">
      <c r="M7442" s="690"/>
    </row>
    <row r="7443" spans="13:13">
      <c r="M7443" s="690"/>
    </row>
    <row r="7444" spans="13:13">
      <c r="M7444" s="690"/>
    </row>
    <row r="7445" spans="13:13">
      <c r="M7445" s="690"/>
    </row>
    <row r="7446" spans="13:13">
      <c r="M7446" s="690"/>
    </row>
    <row r="7447" spans="13:13">
      <c r="M7447" s="690"/>
    </row>
    <row r="7448" spans="13:13">
      <c r="M7448" s="690"/>
    </row>
    <row r="7449" spans="13:13">
      <c r="M7449" s="690"/>
    </row>
    <row r="7450" spans="13:13">
      <c r="M7450" s="690"/>
    </row>
    <row r="7451" spans="13:13">
      <c r="M7451" s="690"/>
    </row>
    <row r="7452" spans="13:13">
      <c r="M7452" s="690"/>
    </row>
    <row r="7453" spans="13:13">
      <c r="M7453" s="690"/>
    </row>
    <row r="7454" spans="13:13">
      <c r="M7454" s="690"/>
    </row>
    <row r="7455" spans="13:13">
      <c r="M7455" s="690"/>
    </row>
    <row r="7456" spans="13:13">
      <c r="M7456" s="690"/>
    </row>
    <row r="7457" spans="13:13">
      <c r="M7457" s="690"/>
    </row>
    <row r="7458" spans="13:13">
      <c r="M7458" s="690"/>
    </row>
    <row r="7459" spans="13:13">
      <c r="M7459" s="690"/>
    </row>
    <row r="7460" spans="13:13">
      <c r="M7460" s="690"/>
    </row>
    <row r="7461" spans="13:13">
      <c r="M7461" s="690"/>
    </row>
    <row r="7462" spans="13:13">
      <c r="M7462" s="690"/>
    </row>
    <row r="7463" spans="13:13">
      <c r="M7463" s="690"/>
    </row>
    <row r="7464" spans="13:13">
      <c r="M7464" s="690"/>
    </row>
    <row r="7465" spans="13:13">
      <c r="M7465" s="690"/>
    </row>
    <row r="7466" spans="13:13">
      <c r="M7466" s="690"/>
    </row>
    <row r="7467" spans="13:13">
      <c r="M7467" s="690"/>
    </row>
    <row r="7468" spans="13:13">
      <c r="M7468" s="690"/>
    </row>
    <row r="7469" spans="13:13">
      <c r="M7469" s="690"/>
    </row>
    <row r="7470" spans="13:13">
      <c r="M7470" s="690"/>
    </row>
    <row r="7471" spans="13:13">
      <c r="M7471" s="690"/>
    </row>
    <row r="7472" spans="13:13">
      <c r="M7472" s="690"/>
    </row>
    <row r="7473" spans="13:13">
      <c r="M7473" s="690"/>
    </row>
    <row r="7474" spans="13:13">
      <c r="M7474" s="690"/>
    </row>
    <row r="7475" spans="13:13">
      <c r="M7475" s="690"/>
    </row>
    <row r="7476" spans="13:13">
      <c r="M7476" s="690"/>
    </row>
    <row r="7477" spans="13:13">
      <c r="M7477" s="690"/>
    </row>
    <row r="7478" spans="13:13">
      <c r="M7478" s="690"/>
    </row>
    <row r="7479" spans="13:13">
      <c r="M7479" s="690"/>
    </row>
    <row r="7480" spans="13:13">
      <c r="M7480" s="690"/>
    </row>
    <row r="7481" spans="13:13">
      <c r="M7481" s="690"/>
    </row>
    <row r="7482" spans="13:13">
      <c r="M7482" s="690"/>
    </row>
    <row r="7483" spans="13:13">
      <c r="M7483" s="690"/>
    </row>
    <row r="7484" spans="13:13">
      <c r="M7484" s="690"/>
    </row>
    <row r="7485" spans="13:13">
      <c r="M7485" s="690"/>
    </row>
    <row r="7486" spans="13:13">
      <c r="M7486" s="690"/>
    </row>
    <row r="7487" spans="13:13">
      <c r="M7487" s="690"/>
    </row>
    <row r="7488" spans="13:13">
      <c r="M7488" s="690"/>
    </row>
    <row r="7489" spans="13:13">
      <c r="M7489" s="690"/>
    </row>
    <row r="7490" spans="13:13">
      <c r="M7490" s="690"/>
    </row>
    <row r="7491" spans="13:13">
      <c r="M7491" s="690"/>
    </row>
    <row r="7492" spans="13:13">
      <c r="M7492" s="690"/>
    </row>
    <row r="7493" spans="13:13">
      <c r="M7493" s="690"/>
    </row>
    <row r="7494" spans="13:13">
      <c r="M7494" s="690"/>
    </row>
    <row r="7495" spans="13:13">
      <c r="M7495" s="690"/>
    </row>
    <row r="7496" spans="13:13">
      <c r="M7496" s="690"/>
    </row>
    <row r="7497" spans="13:13">
      <c r="M7497" s="690"/>
    </row>
    <row r="7498" spans="13:13">
      <c r="M7498" s="690"/>
    </row>
    <row r="7499" spans="13:13">
      <c r="M7499" s="690"/>
    </row>
    <row r="7500" spans="13:13">
      <c r="M7500" s="690"/>
    </row>
    <row r="7501" spans="13:13">
      <c r="M7501" s="690"/>
    </row>
    <row r="7502" spans="13:13">
      <c r="M7502" s="690"/>
    </row>
    <row r="7503" spans="13:13">
      <c r="M7503" s="690"/>
    </row>
    <row r="7504" spans="13:13">
      <c r="M7504" s="690"/>
    </row>
    <row r="7505" spans="13:13">
      <c r="M7505" s="690"/>
    </row>
    <row r="7506" spans="13:13">
      <c r="M7506" s="690"/>
    </row>
    <row r="7507" spans="13:13">
      <c r="M7507" s="690"/>
    </row>
    <row r="7508" spans="13:13">
      <c r="M7508" s="690"/>
    </row>
    <row r="7509" spans="13:13">
      <c r="M7509" s="690"/>
    </row>
    <row r="7510" spans="13:13">
      <c r="M7510" s="690"/>
    </row>
    <row r="7511" spans="13:13">
      <c r="M7511" s="690"/>
    </row>
    <row r="7512" spans="13:13">
      <c r="M7512" s="690"/>
    </row>
    <row r="7513" spans="13:13">
      <c r="M7513" s="690"/>
    </row>
    <row r="7514" spans="13:13">
      <c r="M7514" s="690"/>
    </row>
    <row r="7515" spans="13:13">
      <c r="M7515" s="690"/>
    </row>
    <row r="7516" spans="13:13">
      <c r="M7516" s="690"/>
    </row>
    <row r="7517" spans="13:13">
      <c r="M7517" s="690"/>
    </row>
    <row r="7518" spans="13:13">
      <c r="M7518" s="690"/>
    </row>
    <row r="7519" spans="13:13">
      <c r="M7519" s="690"/>
    </row>
    <row r="7520" spans="13:13">
      <c r="M7520" s="690"/>
    </row>
    <row r="7521" spans="13:13">
      <c r="M7521" s="690"/>
    </row>
    <row r="7522" spans="13:13">
      <c r="M7522" s="690"/>
    </row>
    <row r="7523" spans="13:13">
      <c r="M7523" s="690"/>
    </row>
    <row r="7524" spans="13:13">
      <c r="M7524" s="690"/>
    </row>
    <row r="7525" spans="13:13">
      <c r="M7525" s="690"/>
    </row>
    <row r="7526" spans="13:13">
      <c r="M7526" s="690"/>
    </row>
    <row r="7527" spans="13:13">
      <c r="M7527" s="690"/>
    </row>
    <row r="7528" spans="13:13">
      <c r="M7528" s="690"/>
    </row>
    <row r="7529" spans="13:13">
      <c r="M7529" s="690"/>
    </row>
    <row r="7530" spans="13:13">
      <c r="M7530" s="690"/>
    </row>
    <row r="7531" spans="13:13">
      <c r="M7531" s="690"/>
    </row>
    <row r="7532" spans="13:13">
      <c r="M7532" s="690"/>
    </row>
    <row r="7533" spans="13:13">
      <c r="M7533" s="690"/>
    </row>
    <row r="7534" spans="13:13">
      <c r="M7534" s="690"/>
    </row>
    <row r="7535" spans="13:13">
      <c r="M7535" s="690"/>
    </row>
    <row r="7536" spans="13:13">
      <c r="M7536" s="690"/>
    </row>
    <row r="7537" spans="13:13">
      <c r="M7537" s="690"/>
    </row>
    <row r="7538" spans="13:13">
      <c r="M7538" s="690"/>
    </row>
    <row r="7539" spans="13:13">
      <c r="M7539" s="690"/>
    </row>
    <row r="7540" spans="13:13">
      <c r="M7540" s="690"/>
    </row>
    <row r="7541" spans="13:13">
      <c r="M7541" s="690"/>
    </row>
    <row r="7542" spans="13:13">
      <c r="M7542" s="690"/>
    </row>
    <row r="7543" spans="13:13">
      <c r="M7543" s="690"/>
    </row>
    <row r="7544" spans="13:13">
      <c r="M7544" s="690"/>
    </row>
    <row r="7545" spans="13:13">
      <c r="M7545" s="690"/>
    </row>
    <row r="7546" spans="13:13">
      <c r="M7546" s="690"/>
    </row>
    <row r="7547" spans="13:13">
      <c r="M7547" s="690"/>
    </row>
    <row r="7548" spans="13:13">
      <c r="M7548" s="690"/>
    </row>
    <row r="7549" spans="13:13">
      <c r="M7549" s="690"/>
    </row>
    <row r="7550" spans="13:13">
      <c r="M7550" s="690"/>
    </row>
    <row r="7551" spans="13:13">
      <c r="M7551" s="690"/>
    </row>
    <row r="7552" spans="13:13">
      <c r="M7552" s="690"/>
    </row>
    <row r="7553" spans="13:13">
      <c r="M7553" s="690"/>
    </row>
    <row r="7554" spans="13:13">
      <c r="M7554" s="690"/>
    </row>
    <row r="7555" spans="13:13">
      <c r="M7555" s="690"/>
    </row>
    <row r="7556" spans="13:13">
      <c r="M7556" s="690"/>
    </row>
    <row r="7557" spans="13:13">
      <c r="M7557" s="690"/>
    </row>
    <row r="7558" spans="13:13">
      <c r="M7558" s="690"/>
    </row>
    <row r="7559" spans="13:13">
      <c r="M7559" s="690"/>
    </row>
    <row r="7560" spans="13:13">
      <c r="M7560" s="690"/>
    </row>
    <row r="7561" spans="13:13">
      <c r="M7561" s="690"/>
    </row>
    <row r="7562" spans="13:13">
      <c r="M7562" s="690"/>
    </row>
    <row r="7563" spans="13:13">
      <c r="M7563" s="690"/>
    </row>
    <row r="7564" spans="13:13">
      <c r="M7564" s="690"/>
    </row>
    <row r="7565" spans="13:13">
      <c r="M7565" s="690"/>
    </row>
    <row r="7566" spans="13:13">
      <c r="M7566" s="690"/>
    </row>
    <row r="7567" spans="13:13">
      <c r="M7567" s="690"/>
    </row>
    <row r="7568" spans="13:13">
      <c r="M7568" s="690"/>
    </row>
    <row r="7569" spans="13:13">
      <c r="M7569" s="690"/>
    </row>
    <row r="7570" spans="13:13">
      <c r="M7570" s="690"/>
    </row>
    <row r="7571" spans="13:13">
      <c r="M7571" s="690"/>
    </row>
    <row r="7572" spans="13:13">
      <c r="M7572" s="690"/>
    </row>
    <row r="7573" spans="13:13">
      <c r="M7573" s="690"/>
    </row>
    <row r="7574" spans="13:13">
      <c r="M7574" s="690"/>
    </row>
    <row r="7575" spans="13:13">
      <c r="M7575" s="690"/>
    </row>
    <row r="7576" spans="13:13">
      <c r="M7576" s="690"/>
    </row>
    <row r="7577" spans="13:13">
      <c r="M7577" s="690"/>
    </row>
    <row r="7578" spans="13:13">
      <c r="M7578" s="690"/>
    </row>
    <row r="7579" spans="13:13">
      <c r="M7579" s="690"/>
    </row>
    <row r="7580" spans="13:13">
      <c r="M7580" s="690"/>
    </row>
    <row r="7581" spans="13:13">
      <c r="M7581" s="690"/>
    </row>
    <row r="7582" spans="13:13">
      <c r="M7582" s="690"/>
    </row>
    <row r="7583" spans="13:13">
      <c r="M7583" s="690"/>
    </row>
    <row r="7584" spans="13:13">
      <c r="M7584" s="690"/>
    </row>
    <row r="7585" spans="13:13">
      <c r="M7585" s="690"/>
    </row>
    <row r="7586" spans="13:13">
      <c r="M7586" s="690"/>
    </row>
    <row r="7587" spans="13:13">
      <c r="M7587" s="690"/>
    </row>
    <row r="7588" spans="13:13">
      <c r="M7588" s="690"/>
    </row>
    <row r="7589" spans="13:13">
      <c r="M7589" s="690"/>
    </row>
    <row r="7590" spans="13:13">
      <c r="M7590" s="690"/>
    </row>
    <row r="7591" spans="13:13">
      <c r="M7591" s="690"/>
    </row>
    <row r="7592" spans="13:13">
      <c r="M7592" s="690"/>
    </row>
    <row r="7593" spans="13:13">
      <c r="M7593" s="690"/>
    </row>
    <row r="7594" spans="13:13">
      <c r="M7594" s="690"/>
    </row>
    <row r="7595" spans="13:13">
      <c r="M7595" s="690"/>
    </row>
    <row r="7596" spans="13:13">
      <c r="M7596" s="690"/>
    </row>
    <row r="7597" spans="13:13">
      <c r="M7597" s="690"/>
    </row>
    <row r="7598" spans="13:13">
      <c r="M7598" s="690"/>
    </row>
    <row r="7599" spans="13:13">
      <c r="M7599" s="690"/>
    </row>
    <row r="7600" spans="13:13">
      <c r="M7600" s="690"/>
    </row>
    <row r="7601" spans="13:13">
      <c r="M7601" s="690"/>
    </row>
    <row r="7602" spans="13:13">
      <c r="M7602" s="690"/>
    </row>
    <row r="7603" spans="13:13">
      <c r="M7603" s="690"/>
    </row>
    <row r="7604" spans="13:13">
      <c r="M7604" s="690"/>
    </row>
    <row r="7605" spans="13:13">
      <c r="M7605" s="690"/>
    </row>
    <row r="7606" spans="13:13">
      <c r="M7606" s="690"/>
    </row>
    <row r="7607" spans="13:13">
      <c r="M7607" s="690"/>
    </row>
    <row r="7608" spans="13:13">
      <c r="M7608" s="690"/>
    </row>
    <row r="7609" spans="13:13">
      <c r="M7609" s="690"/>
    </row>
    <row r="7610" spans="13:13">
      <c r="M7610" s="690"/>
    </row>
    <row r="7611" spans="13:13">
      <c r="M7611" s="690"/>
    </row>
    <row r="7612" spans="13:13">
      <c r="M7612" s="690"/>
    </row>
    <row r="7613" spans="13:13">
      <c r="M7613" s="690"/>
    </row>
    <row r="7614" spans="13:13">
      <c r="M7614" s="690"/>
    </row>
    <row r="7615" spans="13:13">
      <c r="M7615" s="690"/>
    </row>
    <row r="7616" spans="13:13">
      <c r="M7616" s="690"/>
    </row>
    <row r="7617" spans="13:13">
      <c r="M7617" s="690"/>
    </row>
    <row r="7618" spans="13:13">
      <c r="M7618" s="690"/>
    </row>
    <row r="7619" spans="13:13">
      <c r="M7619" s="690"/>
    </row>
    <row r="7620" spans="13:13">
      <c r="M7620" s="690"/>
    </row>
    <row r="7621" spans="13:13">
      <c r="M7621" s="690"/>
    </row>
    <row r="7622" spans="13:13">
      <c r="M7622" s="690"/>
    </row>
    <row r="7623" spans="13:13">
      <c r="M7623" s="690"/>
    </row>
    <row r="7624" spans="13:13">
      <c r="M7624" s="690"/>
    </row>
    <row r="7625" spans="13:13">
      <c r="M7625" s="690"/>
    </row>
    <row r="7626" spans="13:13">
      <c r="M7626" s="690"/>
    </row>
    <row r="7627" spans="13:13">
      <c r="M7627" s="690"/>
    </row>
    <row r="7628" spans="13:13">
      <c r="M7628" s="690"/>
    </row>
    <row r="7629" spans="13:13">
      <c r="M7629" s="690"/>
    </row>
    <row r="7630" spans="13:13">
      <c r="M7630" s="690"/>
    </row>
    <row r="7631" spans="13:13">
      <c r="M7631" s="690"/>
    </row>
    <row r="7632" spans="13:13">
      <c r="M7632" s="690"/>
    </row>
    <row r="7633" spans="13:13">
      <c r="M7633" s="690"/>
    </row>
    <row r="7634" spans="13:13">
      <c r="M7634" s="690"/>
    </row>
    <row r="7635" spans="13:13">
      <c r="M7635" s="690"/>
    </row>
    <row r="7636" spans="13:13">
      <c r="M7636" s="690"/>
    </row>
    <row r="7637" spans="13:13">
      <c r="M7637" s="690"/>
    </row>
    <row r="7638" spans="13:13">
      <c r="M7638" s="690"/>
    </row>
    <row r="7639" spans="13:13">
      <c r="M7639" s="690"/>
    </row>
    <row r="7640" spans="13:13">
      <c r="M7640" s="690"/>
    </row>
    <row r="7641" spans="13:13">
      <c r="M7641" s="690"/>
    </row>
    <row r="7642" spans="13:13">
      <c r="M7642" s="690"/>
    </row>
    <row r="7643" spans="13:13">
      <c r="M7643" s="690"/>
    </row>
    <row r="7644" spans="13:13">
      <c r="M7644" s="690"/>
    </row>
    <row r="7645" spans="13:13">
      <c r="M7645" s="690"/>
    </row>
    <row r="7646" spans="13:13">
      <c r="M7646" s="690"/>
    </row>
    <row r="7647" spans="13:13">
      <c r="M7647" s="690"/>
    </row>
    <row r="7648" spans="13:13">
      <c r="M7648" s="690"/>
    </row>
    <row r="7649" spans="13:13">
      <c r="M7649" s="690"/>
    </row>
    <row r="7650" spans="13:13">
      <c r="M7650" s="690"/>
    </row>
    <row r="7651" spans="13:13">
      <c r="M7651" s="690"/>
    </row>
    <row r="7652" spans="13:13">
      <c r="M7652" s="690"/>
    </row>
    <row r="7653" spans="13:13">
      <c r="M7653" s="690"/>
    </row>
    <row r="7654" spans="13:13">
      <c r="M7654" s="690"/>
    </row>
    <row r="7655" spans="13:13">
      <c r="M7655" s="690"/>
    </row>
    <row r="7656" spans="13:13">
      <c r="M7656" s="690"/>
    </row>
    <row r="7657" spans="13:13">
      <c r="M7657" s="690"/>
    </row>
    <row r="7658" spans="13:13">
      <c r="M7658" s="690"/>
    </row>
    <row r="7659" spans="13:13">
      <c r="M7659" s="690"/>
    </row>
    <row r="7660" spans="13:13">
      <c r="M7660" s="690"/>
    </row>
    <row r="7661" spans="13:13">
      <c r="M7661" s="690"/>
    </row>
    <row r="7662" spans="13:13">
      <c r="M7662" s="690"/>
    </row>
    <row r="7663" spans="13:13">
      <c r="M7663" s="690"/>
    </row>
    <row r="7664" spans="13:13">
      <c r="M7664" s="690"/>
    </row>
    <row r="7665" spans="13:13">
      <c r="M7665" s="690"/>
    </row>
    <row r="7666" spans="13:13">
      <c r="M7666" s="690"/>
    </row>
    <row r="7667" spans="13:13">
      <c r="M7667" s="690"/>
    </row>
    <row r="7668" spans="13:13">
      <c r="M7668" s="690"/>
    </row>
    <row r="7669" spans="13:13">
      <c r="M7669" s="690"/>
    </row>
    <row r="7670" spans="13:13">
      <c r="M7670" s="690"/>
    </row>
    <row r="7671" spans="13:13">
      <c r="M7671" s="690"/>
    </row>
    <row r="7672" spans="13:13">
      <c r="M7672" s="690"/>
    </row>
    <row r="7673" spans="13:13">
      <c r="M7673" s="690"/>
    </row>
    <row r="7674" spans="13:13">
      <c r="M7674" s="690"/>
    </row>
    <row r="7675" spans="13:13">
      <c r="M7675" s="690"/>
    </row>
    <row r="7676" spans="13:13">
      <c r="M7676" s="690"/>
    </row>
    <row r="7677" spans="13:13">
      <c r="M7677" s="690"/>
    </row>
    <row r="7678" spans="13:13">
      <c r="M7678" s="690"/>
    </row>
    <row r="7679" spans="13:13">
      <c r="M7679" s="690"/>
    </row>
    <row r="7680" spans="13:13">
      <c r="M7680" s="690"/>
    </row>
    <row r="7681" spans="13:13">
      <c r="M7681" s="690"/>
    </row>
    <row r="7682" spans="13:13">
      <c r="M7682" s="690"/>
    </row>
    <row r="7683" spans="13:13">
      <c r="M7683" s="690"/>
    </row>
    <row r="7684" spans="13:13">
      <c r="M7684" s="690"/>
    </row>
    <row r="7685" spans="13:13">
      <c r="M7685" s="690"/>
    </row>
    <row r="7686" spans="13:13">
      <c r="M7686" s="690"/>
    </row>
    <row r="7687" spans="13:13">
      <c r="M7687" s="690"/>
    </row>
    <row r="7688" spans="13:13">
      <c r="M7688" s="690"/>
    </row>
    <row r="7689" spans="13:13">
      <c r="M7689" s="690"/>
    </row>
    <row r="7690" spans="13:13">
      <c r="M7690" s="690"/>
    </row>
    <row r="7691" spans="13:13">
      <c r="M7691" s="690"/>
    </row>
    <row r="7692" spans="13:13">
      <c r="M7692" s="690"/>
    </row>
    <row r="7693" spans="13:13">
      <c r="M7693" s="690"/>
    </row>
    <row r="7694" spans="13:13">
      <c r="M7694" s="690"/>
    </row>
    <row r="7695" spans="13:13">
      <c r="M7695" s="690"/>
    </row>
    <row r="7696" spans="13:13">
      <c r="M7696" s="690"/>
    </row>
    <row r="7697" spans="13:13">
      <c r="M7697" s="690"/>
    </row>
    <row r="7698" spans="13:13">
      <c r="M7698" s="690"/>
    </row>
    <row r="7699" spans="13:13">
      <c r="M7699" s="690"/>
    </row>
    <row r="7700" spans="13:13">
      <c r="M7700" s="690"/>
    </row>
    <row r="7701" spans="13:13">
      <c r="M7701" s="690"/>
    </row>
    <row r="7702" spans="13:13">
      <c r="M7702" s="690"/>
    </row>
    <row r="7703" spans="13:13">
      <c r="M7703" s="690"/>
    </row>
    <row r="7704" spans="13:13">
      <c r="M7704" s="690"/>
    </row>
    <row r="7705" spans="13:13">
      <c r="M7705" s="690"/>
    </row>
    <row r="7706" spans="13:13">
      <c r="M7706" s="690"/>
    </row>
    <row r="7707" spans="13:13">
      <c r="M7707" s="690"/>
    </row>
    <row r="7708" spans="13:13">
      <c r="M7708" s="690"/>
    </row>
    <row r="7709" spans="13:13">
      <c r="M7709" s="690"/>
    </row>
    <row r="7710" spans="13:13">
      <c r="M7710" s="690"/>
    </row>
    <row r="7711" spans="13:13">
      <c r="M7711" s="690"/>
    </row>
    <row r="7712" spans="13:13">
      <c r="M7712" s="690"/>
    </row>
    <row r="7713" spans="13:13">
      <c r="M7713" s="690"/>
    </row>
    <row r="7714" spans="13:13">
      <c r="M7714" s="690"/>
    </row>
    <row r="7715" spans="13:13">
      <c r="M7715" s="690"/>
    </row>
    <row r="7716" spans="13:13">
      <c r="M7716" s="690"/>
    </row>
    <row r="7717" spans="13:13">
      <c r="M7717" s="690"/>
    </row>
    <row r="7718" spans="13:13">
      <c r="M7718" s="690"/>
    </row>
    <row r="7719" spans="13:13">
      <c r="M7719" s="690"/>
    </row>
    <row r="7720" spans="13:13">
      <c r="M7720" s="690"/>
    </row>
    <row r="7721" spans="13:13">
      <c r="M7721" s="690"/>
    </row>
    <row r="7722" spans="13:13">
      <c r="M7722" s="690"/>
    </row>
    <row r="7723" spans="13:13">
      <c r="M7723" s="690"/>
    </row>
    <row r="7724" spans="13:13">
      <c r="M7724" s="690"/>
    </row>
    <row r="7725" spans="13:13">
      <c r="M7725" s="690"/>
    </row>
    <row r="7726" spans="13:13">
      <c r="M7726" s="690"/>
    </row>
    <row r="7727" spans="13:13">
      <c r="M7727" s="690"/>
    </row>
    <row r="7728" spans="13:13">
      <c r="M7728" s="690"/>
    </row>
    <row r="7729" spans="13:13">
      <c r="M7729" s="690"/>
    </row>
    <row r="7730" spans="13:13">
      <c r="M7730" s="690"/>
    </row>
    <row r="7731" spans="13:13">
      <c r="M7731" s="690"/>
    </row>
    <row r="7732" spans="13:13">
      <c r="M7732" s="690"/>
    </row>
    <row r="7733" spans="13:13">
      <c r="M7733" s="690"/>
    </row>
    <row r="7734" spans="13:13">
      <c r="M7734" s="690"/>
    </row>
    <row r="7735" spans="13:13">
      <c r="M7735" s="690"/>
    </row>
    <row r="7736" spans="13:13">
      <c r="M7736" s="690"/>
    </row>
    <row r="7737" spans="13:13">
      <c r="M7737" s="690"/>
    </row>
    <row r="7738" spans="13:13">
      <c r="M7738" s="690"/>
    </row>
    <row r="7739" spans="13:13">
      <c r="M7739" s="690"/>
    </row>
    <row r="7740" spans="13:13">
      <c r="M7740" s="690"/>
    </row>
    <row r="7741" spans="13:13">
      <c r="M7741" s="690"/>
    </row>
    <row r="7742" spans="13:13">
      <c r="M7742" s="690"/>
    </row>
    <row r="7743" spans="13:13">
      <c r="M7743" s="690"/>
    </row>
    <row r="7744" spans="13:13">
      <c r="M7744" s="690"/>
    </row>
    <row r="7745" spans="13:13">
      <c r="M7745" s="690"/>
    </row>
    <row r="7746" spans="13:13">
      <c r="M7746" s="690"/>
    </row>
    <row r="7747" spans="13:13">
      <c r="M7747" s="690"/>
    </row>
    <row r="7748" spans="13:13">
      <c r="M7748" s="690"/>
    </row>
    <row r="7749" spans="13:13">
      <c r="M7749" s="690"/>
    </row>
    <row r="7750" spans="13:13">
      <c r="M7750" s="690"/>
    </row>
    <row r="7751" spans="13:13">
      <c r="M7751" s="690"/>
    </row>
    <row r="7752" spans="13:13">
      <c r="M7752" s="690"/>
    </row>
    <row r="7753" spans="13:13">
      <c r="M7753" s="690"/>
    </row>
    <row r="7754" spans="13:13">
      <c r="M7754" s="690"/>
    </row>
    <row r="7755" spans="13:13">
      <c r="M7755" s="690"/>
    </row>
    <row r="7756" spans="13:13">
      <c r="M7756" s="690"/>
    </row>
    <row r="7757" spans="13:13">
      <c r="M7757" s="690"/>
    </row>
    <row r="7758" spans="13:13">
      <c r="M7758" s="690"/>
    </row>
    <row r="7759" spans="13:13">
      <c r="M7759" s="690"/>
    </row>
    <row r="7760" spans="13:13">
      <c r="M7760" s="690"/>
    </row>
    <row r="7761" spans="13:13">
      <c r="M7761" s="690"/>
    </row>
    <row r="7762" spans="13:13">
      <c r="M7762" s="690"/>
    </row>
    <row r="7763" spans="13:13">
      <c r="M7763" s="690"/>
    </row>
    <row r="7764" spans="13:13">
      <c r="M7764" s="690"/>
    </row>
    <row r="7765" spans="13:13">
      <c r="M7765" s="690"/>
    </row>
    <row r="7766" spans="13:13">
      <c r="M7766" s="690"/>
    </row>
    <row r="7767" spans="13:13">
      <c r="M7767" s="690"/>
    </row>
    <row r="7768" spans="13:13">
      <c r="M7768" s="690"/>
    </row>
    <row r="7769" spans="13:13">
      <c r="M7769" s="690"/>
    </row>
    <row r="7770" spans="13:13">
      <c r="M7770" s="690"/>
    </row>
    <row r="7771" spans="13:13">
      <c r="M7771" s="690"/>
    </row>
    <row r="7772" spans="13:13">
      <c r="M7772" s="690"/>
    </row>
    <row r="7773" spans="13:13">
      <c r="M7773" s="690"/>
    </row>
    <row r="7774" spans="13:13">
      <c r="M7774" s="690"/>
    </row>
    <row r="7775" spans="13:13">
      <c r="M7775" s="690"/>
    </row>
    <row r="7776" spans="13:13">
      <c r="M7776" s="690"/>
    </row>
    <row r="7777" spans="13:13">
      <c r="M7777" s="690"/>
    </row>
    <row r="7778" spans="13:13">
      <c r="M7778" s="690"/>
    </row>
    <row r="7779" spans="13:13">
      <c r="M7779" s="690"/>
    </row>
    <row r="7780" spans="13:13">
      <c r="M7780" s="690"/>
    </row>
    <row r="7781" spans="13:13">
      <c r="M7781" s="690"/>
    </row>
    <row r="7782" spans="13:13">
      <c r="M7782" s="690"/>
    </row>
    <row r="7783" spans="13:13">
      <c r="M7783" s="690"/>
    </row>
    <row r="7784" spans="13:13">
      <c r="M7784" s="690"/>
    </row>
    <row r="7785" spans="13:13">
      <c r="M7785" s="690"/>
    </row>
    <row r="7786" spans="13:13">
      <c r="M7786" s="690"/>
    </row>
    <row r="7787" spans="13:13">
      <c r="M7787" s="690"/>
    </row>
    <row r="7788" spans="13:13">
      <c r="M7788" s="690"/>
    </row>
    <row r="7789" spans="13:13">
      <c r="M7789" s="690"/>
    </row>
    <row r="7790" spans="13:13">
      <c r="M7790" s="690"/>
    </row>
    <row r="7791" spans="13:13">
      <c r="M7791" s="690"/>
    </row>
    <row r="7792" spans="13:13">
      <c r="M7792" s="690"/>
    </row>
    <row r="7793" spans="13:13">
      <c r="M7793" s="690"/>
    </row>
    <row r="7794" spans="13:13">
      <c r="M7794" s="690"/>
    </row>
    <row r="7795" spans="13:13">
      <c r="M7795" s="690"/>
    </row>
    <row r="7796" spans="13:13">
      <c r="M7796" s="690"/>
    </row>
    <row r="7797" spans="13:13">
      <c r="M7797" s="690"/>
    </row>
    <row r="7798" spans="13:13">
      <c r="M7798" s="690"/>
    </row>
    <row r="7799" spans="13:13">
      <c r="M7799" s="690"/>
    </row>
    <row r="7800" spans="13:13">
      <c r="M7800" s="690"/>
    </row>
    <row r="7801" spans="13:13">
      <c r="M7801" s="690"/>
    </row>
    <row r="7802" spans="13:13">
      <c r="M7802" s="690"/>
    </row>
    <row r="7803" spans="13:13">
      <c r="M7803" s="690"/>
    </row>
    <row r="7804" spans="13:13">
      <c r="M7804" s="690"/>
    </row>
    <row r="7805" spans="13:13">
      <c r="M7805" s="690"/>
    </row>
    <row r="7806" spans="13:13">
      <c r="M7806" s="690"/>
    </row>
    <row r="7807" spans="13:13">
      <c r="M7807" s="690"/>
    </row>
    <row r="7808" spans="13:13">
      <c r="M7808" s="690"/>
    </row>
    <row r="7809" spans="13:13">
      <c r="M7809" s="690"/>
    </row>
    <row r="7810" spans="13:13">
      <c r="M7810" s="690"/>
    </row>
    <row r="7811" spans="13:13">
      <c r="M7811" s="690"/>
    </row>
    <row r="7812" spans="13:13">
      <c r="M7812" s="690"/>
    </row>
    <row r="7813" spans="13:13">
      <c r="M7813" s="690"/>
    </row>
    <row r="7814" spans="13:13">
      <c r="M7814" s="690"/>
    </row>
    <row r="7815" spans="13:13">
      <c r="M7815" s="690"/>
    </row>
    <row r="7816" spans="13:13">
      <c r="M7816" s="690"/>
    </row>
    <row r="7817" spans="13:13">
      <c r="M7817" s="690"/>
    </row>
    <row r="7818" spans="13:13">
      <c r="M7818" s="690"/>
    </row>
    <row r="7819" spans="13:13">
      <c r="M7819" s="690"/>
    </row>
    <row r="7820" spans="13:13">
      <c r="M7820" s="690"/>
    </row>
    <row r="7821" spans="13:13">
      <c r="M7821" s="690"/>
    </row>
    <row r="7822" spans="13:13">
      <c r="M7822" s="690"/>
    </row>
    <row r="7823" spans="13:13">
      <c r="M7823" s="690"/>
    </row>
    <row r="7824" spans="13:13">
      <c r="M7824" s="690"/>
    </row>
    <row r="7825" spans="13:13">
      <c r="M7825" s="690"/>
    </row>
    <row r="7826" spans="13:13">
      <c r="M7826" s="690"/>
    </row>
    <row r="7827" spans="13:13">
      <c r="M7827" s="690"/>
    </row>
    <row r="7828" spans="13:13">
      <c r="M7828" s="690"/>
    </row>
    <row r="7829" spans="13:13">
      <c r="M7829" s="690"/>
    </row>
    <row r="7830" spans="13:13">
      <c r="M7830" s="690"/>
    </row>
    <row r="7831" spans="13:13">
      <c r="M7831" s="690"/>
    </row>
    <row r="7832" spans="13:13">
      <c r="M7832" s="690"/>
    </row>
    <row r="7833" spans="13:13">
      <c r="M7833" s="690"/>
    </row>
    <row r="7834" spans="13:13">
      <c r="M7834" s="690"/>
    </row>
    <row r="7835" spans="13:13">
      <c r="M7835" s="690"/>
    </row>
    <row r="7836" spans="13:13">
      <c r="M7836" s="690"/>
    </row>
    <row r="7837" spans="13:13">
      <c r="M7837" s="690"/>
    </row>
    <row r="7838" spans="13:13">
      <c r="M7838" s="690"/>
    </row>
    <row r="7839" spans="13:13">
      <c r="M7839" s="690"/>
    </row>
    <row r="7840" spans="13:13">
      <c r="M7840" s="690"/>
    </row>
    <row r="7841" spans="13:13">
      <c r="M7841" s="690"/>
    </row>
    <row r="7842" spans="13:13">
      <c r="M7842" s="690"/>
    </row>
    <row r="7843" spans="13:13">
      <c r="M7843" s="690"/>
    </row>
    <row r="7844" spans="13:13">
      <c r="M7844" s="690"/>
    </row>
    <row r="7845" spans="13:13">
      <c r="M7845" s="690"/>
    </row>
    <row r="7846" spans="13:13">
      <c r="M7846" s="690"/>
    </row>
    <row r="7847" spans="13:13">
      <c r="M7847" s="690"/>
    </row>
    <row r="7848" spans="13:13">
      <c r="M7848" s="690"/>
    </row>
    <row r="7849" spans="13:13">
      <c r="M7849" s="690"/>
    </row>
    <row r="7850" spans="13:13">
      <c r="M7850" s="690"/>
    </row>
    <row r="7851" spans="13:13">
      <c r="M7851" s="690"/>
    </row>
    <row r="7852" spans="13:13">
      <c r="M7852" s="690"/>
    </row>
    <row r="7853" spans="13:13">
      <c r="M7853" s="690"/>
    </row>
    <row r="7854" spans="13:13">
      <c r="M7854" s="690"/>
    </row>
    <row r="7855" spans="13:13">
      <c r="M7855" s="690"/>
    </row>
    <row r="7856" spans="13:13">
      <c r="M7856" s="690"/>
    </row>
    <row r="7857" spans="13:13">
      <c r="M7857" s="690"/>
    </row>
    <row r="7858" spans="13:13">
      <c r="M7858" s="690"/>
    </row>
    <row r="7859" spans="13:13">
      <c r="M7859" s="690"/>
    </row>
    <row r="7860" spans="13:13">
      <c r="M7860" s="690"/>
    </row>
    <row r="7861" spans="13:13">
      <c r="M7861" s="690"/>
    </row>
    <row r="7862" spans="13:13">
      <c r="M7862" s="690"/>
    </row>
    <row r="7863" spans="13:13">
      <c r="M7863" s="690"/>
    </row>
    <row r="7864" spans="13:13">
      <c r="M7864" s="690"/>
    </row>
    <row r="7865" spans="13:13">
      <c r="M7865" s="690"/>
    </row>
    <row r="7866" spans="13:13">
      <c r="M7866" s="690"/>
    </row>
    <row r="7867" spans="13:13">
      <c r="M7867" s="690"/>
    </row>
    <row r="7868" spans="13:13">
      <c r="M7868" s="690"/>
    </row>
    <row r="7869" spans="13:13">
      <c r="M7869" s="690"/>
    </row>
    <row r="7870" spans="13:13">
      <c r="M7870" s="690"/>
    </row>
    <row r="7871" spans="13:13">
      <c r="M7871" s="690"/>
    </row>
    <row r="7872" spans="13:13">
      <c r="M7872" s="690"/>
    </row>
    <row r="7873" spans="13:13">
      <c r="M7873" s="690"/>
    </row>
    <row r="7874" spans="13:13">
      <c r="M7874" s="690"/>
    </row>
    <row r="7875" spans="13:13">
      <c r="M7875" s="690"/>
    </row>
    <row r="7876" spans="13:13">
      <c r="M7876" s="690"/>
    </row>
    <row r="7877" spans="13:13">
      <c r="M7877" s="690"/>
    </row>
    <row r="7878" spans="13:13">
      <c r="M7878" s="690"/>
    </row>
    <row r="7879" spans="13:13">
      <c r="M7879" s="690"/>
    </row>
    <row r="7880" spans="13:13">
      <c r="M7880" s="690"/>
    </row>
    <row r="7881" spans="13:13">
      <c r="M7881" s="690"/>
    </row>
    <row r="7882" spans="13:13">
      <c r="M7882" s="690"/>
    </row>
    <row r="7883" spans="13:13">
      <c r="M7883" s="690"/>
    </row>
    <row r="7884" spans="13:13">
      <c r="M7884" s="690"/>
    </row>
    <row r="7885" spans="13:13">
      <c r="M7885" s="690"/>
    </row>
    <row r="7886" spans="13:13">
      <c r="M7886" s="690"/>
    </row>
    <row r="7887" spans="13:13">
      <c r="M7887" s="690"/>
    </row>
    <row r="7888" spans="13:13">
      <c r="M7888" s="690"/>
    </row>
    <row r="7889" spans="13:13">
      <c r="M7889" s="690"/>
    </row>
    <row r="7890" spans="13:13">
      <c r="M7890" s="690"/>
    </row>
    <row r="7891" spans="13:13">
      <c r="M7891" s="690"/>
    </row>
    <row r="7892" spans="13:13">
      <c r="M7892" s="690"/>
    </row>
    <row r="7893" spans="13:13">
      <c r="M7893" s="690"/>
    </row>
    <row r="7894" spans="13:13">
      <c r="M7894" s="690"/>
    </row>
    <row r="7895" spans="13:13">
      <c r="M7895" s="690"/>
    </row>
    <row r="7896" spans="13:13">
      <c r="M7896" s="690"/>
    </row>
    <row r="7897" spans="13:13">
      <c r="M7897" s="690"/>
    </row>
    <row r="7898" spans="13:13">
      <c r="M7898" s="690"/>
    </row>
    <row r="7899" spans="13:13">
      <c r="M7899" s="690"/>
    </row>
    <row r="7900" spans="13:13">
      <c r="M7900" s="690"/>
    </row>
    <row r="7901" spans="13:13">
      <c r="M7901" s="690"/>
    </row>
    <row r="7902" spans="13:13">
      <c r="M7902" s="690"/>
    </row>
    <row r="7903" spans="13:13">
      <c r="M7903" s="690"/>
    </row>
    <row r="7904" spans="13:13">
      <c r="M7904" s="690"/>
    </row>
    <row r="7905" spans="13:13">
      <c r="M7905" s="690"/>
    </row>
    <row r="7906" spans="13:13">
      <c r="M7906" s="690"/>
    </row>
    <row r="7907" spans="13:13">
      <c r="M7907" s="690"/>
    </row>
    <row r="7908" spans="13:13">
      <c r="M7908" s="690"/>
    </row>
    <row r="7909" spans="13:13">
      <c r="M7909" s="690"/>
    </row>
    <row r="7910" spans="13:13">
      <c r="M7910" s="690"/>
    </row>
    <row r="7911" spans="13:13">
      <c r="M7911" s="690"/>
    </row>
    <row r="7912" spans="13:13">
      <c r="M7912" s="690"/>
    </row>
    <row r="7913" spans="13:13">
      <c r="M7913" s="690"/>
    </row>
    <row r="7914" spans="13:13">
      <c r="M7914" s="690"/>
    </row>
    <row r="7915" spans="13:13">
      <c r="M7915" s="690"/>
    </row>
    <row r="7916" spans="13:13">
      <c r="M7916" s="690"/>
    </row>
    <row r="7917" spans="13:13">
      <c r="M7917" s="690"/>
    </row>
    <row r="7918" spans="13:13">
      <c r="M7918" s="690"/>
    </row>
    <row r="7919" spans="13:13">
      <c r="M7919" s="690"/>
    </row>
    <row r="7920" spans="13:13">
      <c r="M7920" s="690"/>
    </row>
    <row r="7921" spans="13:13">
      <c r="M7921" s="690"/>
    </row>
    <row r="7922" spans="13:13">
      <c r="M7922" s="690"/>
    </row>
    <row r="7923" spans="13:13">
      <c r="M7923" s="690"/>
    </row>
    <row r="7924" spans="13:13">
      <c r="M7924" s="690"/>
    </row>
    <row r="7925" spans="13:13">
      <c r="M7925" s="690"/>
    </row>
    <row r="7926" spans="13:13">
      <c r="M7926" s="690"/>
    </row>
    <row r="7927" spans="13:13">
      <c r="M7927" s="690"/>
    </row>
    <row r="7928" spans="13:13">
      <c r="M7928" s="690"/>
    </row>
    <row r="7929" spans="13:13">
      <c r="M7929" s="690"/>
    </row>
    <row r="7930" spans="13:13">
      <c r="M7930" s="690"/>
    </row>
    <row r="7931" spans="13:13">
      <c r="M7931" s="690"/>
    </row>
    <row r="7932" spans="13:13">
      <c r="M7932" s="690"/>
    </row>
    <row r="7933" spans="13:13">
      <c r="M7933" s="690"/>
    </row>
    <row r="7934" spans="13:13">
      <c r="M7934" s="690"/>
    </row>
    <row r="7935" spans="13:13">
      <c r="M7935" s="690"/>
    </row>
    <row r="7936" spans="13:13">
      <c r="M7936" s="690"/>
    </row>
    <row r="7937" spans="13:13">
      <c r="M7937" s="690"/>
    </row>
    <row r="7938" spans="13:13">
      <c r="M7938" s="690"/>
    </row>
    <row r="7939" spans="13:13">
      <c r="M7939" s="690"/>
    </row>
    <row r="7940" spans="13:13">
      <c r="M7940" s="690"/>
    </row>
    <row r="7941" spans="13:13">
      <c r="M7941" s="690"/>
    </row>
    <row r="7942" spans="13:13">
      <c r="M7942" s="690"/>
    </row>
    <row r="7943" spans="13:13">
      <c r="M7943" s="690"/>
    </row>
    <row r="7944" spans="13:13">
      <c r="M7944" s="690"/>
    </row>
    <row r="7945" spans="13:13">
      <c r="M7945" s="690"/>
    </row>
    <row r="7946" spans="13:13">
      <c r="M7946" s="690"/>
    </row>
    <row r="7947" spans="13:13">
      <c r="M7947" s="690"/>
    </row>
    <row r="7948" spans="13:13">
      <c r="M7948" s="690"/>
    </row>
    <row r="7949" spans="13:13">
      <c r="M7949" s="690"/>
    </row>
    <row r="7950" spans="13:13">
      <c r="M7950" s="690"/>
    </row>
    <row r="7951" spans="13:13">
      <c r="M7951" s="690"/>
    </row>
    <row r="7952" spans="13:13">
      <c r="M7952" s="690"/>
    </row>
    <row r="7953" spans="13:13">
      <c r="M7953" s="690"/>
    </row>
    <row r="7954" spans="13:13">
      <c r="M7954" s="690"/>
    </row>
    <row r="7955" spans="13:13">
      <c r="M7955" s="690"/>
    </row>
    <row r="7956" spans="13:13">
      <c r="M7956" s="690"/>
    </row>
    <row r="7957" spans="13:13">
      <c r="M7957" s="690"/>
    </row>
    <row r="7958" spans="13:13">
      <c r="M7958" s="690"/>
    </row>
    <row r="7959" spans="13:13">
      <c r="M7959" s="690"/>
    </row>
    <row r="7960" spans="13:13">
      <c r="M7960" s="690"/>
    </row>
    <row r="7961" spans="13:13">
      <c r="M7961" s="690"/>
    </row>
    <row r="7962" spans="13:13">
      <c r="M7962" s="690"/>
    </row>
    <row r="7963" spans="13:13">
      <c r="M7963" s="690"/>
    </row>
    <row r="7964" spans="13:13">
      <c r="M7964" s="690"/>
    </row>
    <row r="7965" spans="13:13">
      <c r="M7965" s="690"/>
    </row>
    <row r="7966" spans="13:13">
      <c r="M7966" s="690"/>
    </row>
    <row r="7967" spans="13:13">
      <c r="M7967" s="690"/>
    </row>
    <row r="7968" spans="13:13">
      <c r="M7968" s="690"/>
    </row>
    <row r="7969" spans="13:13">
      <c r="M7969" s="690"/>
    </row>
    <row r="7970" spans="13:13">
      <c r="M7970" s="690"/>
    </row>
    <row r="7971" spans="13:13">
      <c r="M7971" s="690"/>
    </row>
    <row r="7972" spans="13:13">
      <c r="M7972" s="690"/>
    </row>
    <row r="7973" spans="13:13">
      <c r="M7973" s="690"/>
    </row>
    <row r="7974" spans="13:13">
      <c r="M7974" s="690"/>
    </row>
    <row r="7975" spans="13:13">
      <c r="M7975" s="690"/>
    </row>
    <row r="7976" spans="13:13">
      <c r="M7976" s="690"/>
    </row>
    <row r="7977" spans="13:13">
      <c r="M7977" s="690"/>
    </row>
    <row r="7978" spans="13:13">
      <c r="M7978" s="690"/>
    </row>
    <row r="7979" spans="13:13">
      <c r="M7979" s="690"/>
    </row>
    <row r="7980" spans="13:13">
      <c r="M7980" s="690"/>
    </row>
    <row r="7981" spans="13:13">
      <c r="M7981" s="690"/>
    </row>
    <row r="7982" spans="13:13">
      <c r="M7982" s="690"/>
    </row>
    <row r="7983" spans="13:13">
      <c r="M7983" s="690"/>
    </row>
    <row r="7984" spans="13:13">
      <c r="M7984" s="690"/>
    </row>
    <row r="7985" spans="13:13">
      <c r="M7985" s="690"/>
    </row>
    <row r="7986" spans="13:13">
      <c r="M7986" s="690"/>
    </row>
    <row r="7987" spans="13:13">
      <c r="M7987" s="690"/>
    </row>
    <row r="7988" spans="13:13">
      <c r="M7988" s="690"/>
    </row>
    <row r="7989" spans="13:13">
      <c r="M7989" s="690"/>
    </row>
    <row r="7990" spans="13:13">
      <c r="M7990" s="690"/>
    </row>
    <row r="7991" spans="13:13">
      <c r="M7991" s="690"/>
    </row>
    <row r="7992" spans="13:13">
      <c r="M7992" s="690"/>
    </row>
    <row r="7993" spans="13:13">
      <c r="M7993" s="690"/>
    </row>
    <row r="7994" spans="13:13">
      <c r="M7994" s="690"/>
    </row>
    <row r="7995" spans="13:13">
      <c r="M7995" s="690"/>
    </row>
    <row r="7996" spans="13:13">
      <c r="M7996" s="690"/>
    </row>
    <row r="7997" spans="13:13">
      <c r="M7997" s="690"/>
    </row>
    <row r="7998" spans="13:13">
      <c r="M7998" s="690"/>
    </row>
    <row r="7999" spans="13:13">
      <c r="M7999" s="690"/>
    </row>
    <row r="8000" spans="13:13">
      <c r="M8000" s="690"/>
    </row>
    <row r="8001" spans="13:13">
      <c r="M8001" s="690"/>
    </row>
    <row r="8002" spans="13:13">
      <c r="M8002" s="690"/>
    </row>
    <row r="8003" spans="13:13">
      <c r="M8003" s="690"/>
    </row>
    <row r="8004" spans="13:13">
      <c r="M8004" s="690"/>
    </row>
    <row r="8005" spans="13:13">
      <c r="M8005" s="690"/>
    </row>
    <row r="8006" spans="13:13">
      <c r="M8006" s="690"/>
    </row>
    <row r="8007" spans="13:13">
      <c r="M8007" s="690"/>
    </row>
    <row r="8008" spans="13:13">
      <c r="M8008" s="690"/>
    </row>
    <row r="8009" spans="13:13">
      <c r="M8009" s="690"/>
    </row>
    <row r="8010" spans="13:13">
      <c r="M8010" s="690"/>
    </row>
    <row r="8011" spans="13:13">
      <c r="M8011" s="690"/>
    </row>
    <row r="8012" spans="13:13">
      <c r="M8012" s="690"/>
    </row>
    <row r="8013" spans="13:13">
      <c r="M8013" s="690"/>
    </row>
    <row r="8014" spans="13:13">
      <c r="M8014" s="690"/>
    </row>
    <row r="8015" spans="13:13">
      <c r="M8015" s="690"/>
    </row>
    <row r="8016" spans="13:13">
      <c r="M8016" s="690"/>
    </row>
    <row r="8017" spans="13:13">
      <c r="M8017" s="690"/>
    </row>
    <row r="8018" spans="13:13">
      <c r="M8018" s="690"/>
    </row>
    <row r="8019" spans="13:13">
      <c r="M8019" s="690"/>
    </row>
    <row r="8020" spans="13:13">
      <c r="M8020" s="690"/>
    </row>
    <row r="8021" spans="13:13">
      <c r="M8021" s="690"/>
    </row>
    <row r="8022" spans="13:13">
      <c r="M8022" s="690"/>
    </row>
    <row r="8023" spans="13:13">
      <c r="M8023" s="690"/>
    </row>
    <row r="8024" spans="13:13">
      <c r="M8024" s="690"/>
    </row>
    <row r="8025" spans="13:13">
      <c r="M8025" s="690"/>
    </row>
    <row r="8026" spans="13:13">
      <c r="M8026" s="690"/>
    </row>
    <row r="8027" spans="13:13">
      <c r="M8027" s="690"/>
    </row>
    <row r="8028" spans="13:13">
      <c r="M8028" s="690"/>
    </row>
    <row r="8029" spans="13:13">
      <c r="M8029" s="690"/>
    </row>
    <row r="8030" spans="13:13">
      <c r="M8030" s="690"/>
    </row>
    <row r="8031" spans="13:13">
      <c r="M8031" s="690"/>
    </row>
    <row r="8032" spans="13:13">
      <c r="M8032" s="690"/>
    </row>
    <row r="8033" spans="13:13">
      <c r="M8033" s="690"/>
    </row>
    <row r="8034" spans="13:13">
      <c r="M8034" s="690"/>
    </row>
    <row r="8035" spans="13:13">
      <c r="M8035" s="690"/>
    </row>
    <row r="8036" spans="13:13">
      <c r="M8036" s="690"/>
    </row>
    <row r="8037" spans="13:13">
      <c r="M8037" s="690"/>
    </row>
    <row r="8038" spans="13:13">
      <c r="M8038" s="690"/>
    </row>
    <row r="8039" spans="13:13">
      <c r="M8039" s="690"/>
    </row>
    <row r="8040" spans="13:13">
      <c r="M8040" s="690"/>
    </row>
    <row r="8041" spans="13:13">
      <c r="M8041" s="690"/>
    </row>
    <row r="8042" spans="13:13">
      <c r="M8042" s="690"/>
    </row>
    <row r="8043" spans="13:13">
      <c r="M8043" s="690"/>
    </row>
    <row r="8044" spans="13:13">
      <c r="M8044" s="690"/>
    </row>
    <row r="8045" spans="13:13">
      <c r="M8045" s="690"/>
    </row>
    <row r="8046" spans="13:13">
      <c r="M8046" s="690"/>
    </row>
    <row r="8047" spans="13:13">
      <c r="M8047" s="690"/>
    </row>
    <row r="8048" spans="13:13">
      <c r="M8048" s="690"/>
    </row>
    <row r="8049" spans="13:13">
      <c r="M8049" s="690"/>
    </row>
    <row r="8050" spans="13:13">
      <c r="M8050" s="690"/>
    </row>
    <row r="8051" spans="13:13">
      <c r="M8051" s="690"/>
    </row>
    <row r="8052" spans="13:13">
      <c r="M8052" s="690"/>
    </row>
    <row r="8053" spans="13:13">
      <c r="M8053" s="690"/>
    </row>
    <row r="8054" spans="13:13">
      <c r="M8054" s="690"/>
    </row>
    <row r="8055" spans="13:13">
      <c r="M8055" s="690"/>
    </row>
    <row r="8056" spans="13:13">
      <c r="M8056" s="690"/>
    </row>
    <row r="8057" spans="13:13">
      <c r="M8057" s="690"/>
    </row>
    <row r="8058" spans="13:13">
      <c r="M8058" s="690"/>
    </row>
    <row r="8059" spans="13:13">
      <c r="M8059" s="690"/>
    </row>
    <row r="8060" spans="13:13">
      <c r="M8060" s="690"/>
    </row>
    <row r="8061" spans="13:13">
      <c r="M8061" s="690"/>
    </row>
    <row r="8062" spans="13:13">
      <c r="M8062" s="690"/>
    </row>
    <row r="8063" spans="13:13">
      <c r="M8063" s="690"/>
    </row>
    <row r="8064" spans="13:13">
      <c r="M8064" s="690"/>
    </row>
    <row r="8065" spans="13:13">
      <c r="M8065" s="690"/>
    </row>
    <row r="8066" spans="13:13">
      <c r="M8066" s="690"/>
    </row>
    <row r="8067" spans="13:13">
      <c r="M8067" s="690"/>
    </row>
    <row r="8068" spans="13:13">
      <c r="M8068" s="690"/>
    </row>
    <row r="8069" spans="13:13">
      <c r="M8069" s="690"/>
    </row>
    <row r="8070" spans="13:13">
      <c r="M8070" s="690"/>
    </row>
    <row r="8071" spans="13:13">
      <c r="M8071" s="690"/>
    </row>
    <row r="8072" spans="13:13">
      <c r="M8072" s="690"/>
    </row>
    <row r="8073" spans="13:13">
      <c r="M8073" s="690"/>
    </row>
    <row r="8074" spans="13:13">
      <c r="M8074" s="690"/>
    </row>
    <row r="8075" spans="13:13">
      <c r="M8075" s="690"/>
    </row>
    <row r="8076" spans="13:13">
      <c r="M8076" s="690"/>
    </row>
    <row r="8077" spans="13:13">
      <c r="M8077" s="690"/>
    </row>
    <row r="8078" spans="13:13">
      <c r="M8078" s="690"/>
    </row>
    <row r="8079" spans="13:13">
      <c r="M8079" s="690"/>
    </row>
    <row r="8080" spans="13:13">
      <c r="M8080" s="690"/>
    </row>
    <row r="8081" spans="13:13">
      <c r="M8081" s="690"/>
    </row>
    <row r="8082" spans="13:13">
      <c r="M8082" s="690"/>
    </row>
    <row r="8083" spans="13:13">
      <c r="M8083" s="690"/>
    </row>
    <row r="8084" spans="13:13">
      <c r="M8084" s="690"/>
    </row>
    <row r="8085" spans="13:13">
      <c r="M8085" s="690"/>
    </row>
    <row r="8086" spans="13:13">
      <c r="M8086" s="690"/>
    </row>
    <row r="8087" spans="13:13">
      <c r="M8087" s="690"/>
    </row>
    <row r="8088" spans="13:13">
      <c r="M8088" s="690"/>
    </row>
    <row r="8089" spans="13:13">
      <c r="M8089" s="690"/>
    </row>
    <row r="8090" spans="13:13">
      <c r="M8090" s="690"/>
    </row>
    <row r="8091" spans="13:13">
      <c r="M8091" s="690"/>
    </row>
    <row r="8092" spans="13:13">
      <c r="M8092" s="690"/>
    </row>
    <row r="8093" spans="13:13">
      <c r="M8093" s="690"/>
    </row>
    <row r="8094" spans="13:13">
      <c r="M8094" s="690"/>
    </row>
    <row r="8095" spans="13:13">
      <c r="M8095" s="690"/>
    </row>
    <row r="8096" spans="13:13">
      <c r="M8096" s="690"/>
    </row>
    <row r="8097" spans="13:13">
      <c r="M8097" s="690"/>
    </row>
    <row r="8098" spans="13:13">
      <c r="M8098" s="690"/>
    </row>
    <row r="8099" spans="13:13">
      <c r="M8099" s="690"/>
    </row>
    <row r="8100" spans="13:13">
      <c r="M8100" s="690"/>
    </row>
    <row r="8101" spans="13:13">
      <c r="M8101" s="690"/>
    </row>
    <row r="8102" spans="13:13">
      <c r="M8102" s="690"/>
    </row>
    <row r="8103" spans="13:13">
      <c r="M8103" s="690"/>
    </row>
    <row r="8104" spans="13:13">
      <c r="M8104" s="690"/>
    </row>
    <row r="8105" spans="13:13">
      <c r="M8105" s="690"/>
    </row>
    <row r="8106" spans="13:13">
      <c r="M8106" s="690"/>
    </row>
    <row r="8107" spans="13:13">
      <c r="M8107" s="690"/>
    </row>
    <row r="8108" spans="13:13">
      <c r="M8108" s="690"/>
    </row>
    <row r="8109" spans="13:13">
      <c r="M8109" s="690"/>
    </row>
    <row r="8110" spans="13:13">
      <c r="M8110" s="690"/>
    </row>
    <row r="8111" spans="13:13">
      <c r="M8111" s="690"/>
    </row>
    <row r="8112" spans="13:13">
      <c r="M8112" s="690"/>
    </row>
    <row r="8113" spans="13:13">
      <c r="M8113" s="690"/>
    </row>
    <row r="8114" spans="13:13">
      <c r="M8114" s="690"/>
    </row>
    <row r="8115" spans="13:13">
      <c r="M8115" s="690"/>
    </row>
    <row r="8116" spans="13:13">
      <c r="M8116" s="690"/>
    </row>
    <row r="8117" spans="13:13">
      <c r="M8117" s="690"/>
    </row>
    <row r="8118" spans="13:13">
      <c r="M8118" s="690"/>
    </row>
    <row r="8119" spans="13:13">
      <c r="M8119" s="690"/>
    </row>
    <row r="8120" spans="13:13">
      <c r="M8120" s="690"/>
    </row>
    <row r="8121" spans="13:13">
      <c r="M8121" s="690"/>
    </row>
    <row r="8122" spans="13:13">
      <c r="M8122" s="690"/>
    </row>
    <row r="8123" spans="13:13">
      <c r="M8123" s="690"/>
    </row>
    <row r="8124" spans="13:13">
      <c r="M8124" s="690"/>
    </row>
    <row r="8125" spans="13:13">
      <c r="M8125" s="690"/>
    </row>
    <row r="8126" spans="13:13">
      <c r="M8126" s="690"/>
    </row>
    <row r="8127" spans="13:13">
      <c r="M8127" s="690"/>
    </row>
    <row r="8128" spans="13:13">
      <c r="M8128" s="690"/>
    </row>
    <row r="8129" spans="13:13">
      <c r="M8129" s="690"/>
    </row>
    <row r="8130" spans="13:13">
      <c r="M8130" s="690"/>
    </row>
    <row r="8131" spans="13:13">
      <c r="M8131" s="690"/>
    </row>
    <row r="8132" spans="13:13">
      <c r="M8132" s="690"/>
    </row>
    <row r="8133" spans="13:13">
      <c r="M8133" s="690"/>
    </row>
    <row r="8134" spans="13:13">
      <c r="M8134" s="690"/>
    </row>
    <row r="8135" spans="13:13">
      <c r="M8135" s="690"/>
    </row>
    <row r="8136" spans="13:13">
      <c r="M8136" s="690"/>
    </row>
    <row r="8137" spans="13:13">
      <c r="M8137" s="690"/>
    </row>
    <row r="8138" spans="13:13">
      <c r="M8138" s="690"/>
    </row>
    <row r="8139" spans="13:13">
      <c r="M8139" s="690"/>
    </row>
    <row r="8140" spans="13:13">
      <c r="M8140" s="690"/>
    </row>
    <row r="8141" spans="13:13">
      <c r="M8141" s="690"/>
    </row>
    <row r="8142" spans="13:13">
      <c r="M8142" s="690"/>
    </row>
    <row r="8143" spans="13:13">
      <c r="M8143" s="690"/>
    </row>
    <row r="8144" spans="13:13">
      <c r="M8144" s="690"/>
    </row>
    <row r="8145" spans="13:13">
      <c r="M8145" s="690"/>
    </row>
    <row r="8146" spans="13:13">
      <c r="M8146" s="690"/>
    </row>
    <row r="8147" spans="13:13">
      <c r="M8147" s="690"/>
    </row>
    <row r="8148" spans="13:13">
      <c r="M8148" s="690"/>
    </row>
    <row r="8149" spans="13:13">
      <c r="M8149" s="690"/>
    </row>
    <row r="8150" spans="13:13">
      <c r="M8150" s="690"/>
    </row>
    <row r="8151" spans="13:13">
      <c r="M8151" s="690"/>
    </row>
    <row r="8152" spans="13:13">
      <c r="M8152" s="690"/>
    </row>
    <row r="8153" spans="13:13">
      <c r="M8153" s="690"/>
    </row>
    <row r="8154" spans="13:13">
      <c r="M8154" s="690"/>
    </row>
    <row r="8155" spans="13:13">
      <c r="M8155" s="690"/>
    </row>
    <row r="8156" spans="13:13">
      <c r="M8156" s="690"/>
    </row>
    <row r="8157" spans="13:13">
      <c r="M8157" s="690"/>
    </row>
    <row r="8158" spans="13:13">
      <c r="M8158" s="690"/>
    </row>
    <row r="8159" spans="13:13">
      <c r="M8159" s="690"/>
    </row>
    <row r="8160" spans="13:13">
      <c r="M8160" s="690"/>
    </row>
    <row r="8161" spans="13:13">
      <c r="M8161" s="690"/>
    </row>
    <row r="8162" spans="13:13">
      <c r="M8162" s="690"/>
    </row>
    <row r="8163" spans="13:13">
      <c r="M8163" s="690"/>
    </row>
    <row r="8164" spans="13:13">
      <c r="M8164" s="690"/>
    </row>
    <row r="8165" spans="13:13">
      <c r="M8165" s="690"/>
    </row>
    <row r="8166" spans="13:13">
      <c r="M8166" s="690"/>
    </row>
    <row r="8167" spans="13:13">
      <c r="M8167" s="690"/>
    </row>
    <row r="8168" spans="13:13">
      <c r="M8168" s="690"/>
    </row>
    <row r="8169" spans="13:13">
      <c r="M8169" s="690"/>
    </row>
    <row r="8170" spans="13:13">
      <c r="M8170" s="690"/>
    </row>
    <row r="8171" spans="13:13">
      <c r="M8171" s="690"/>
    </row>
    <row r="8172" spans="13:13">
      <c r="M8172" s="690"/>
    </row>
    <row r="8173" spans="13:13">
      <c r="M8173" s="690"/>
    </row>
    <row r="8174" spans="13:13">
      <c r="M8174" s="690"/>
    </row>
    <row r="8175" spans="13:13">
      <c r="M8175" s="690"/>
    </row>
    <row r="8176" spans="13:13">
      <c r="M8176" s="690"/>
    </row>
    <row r="8177" spans="13:13">
      <c r="M8177" s="690"/>
    </row>
    <row r="8178" spans="13:13">
      <c r="M8178" s="690"/>
    </row>
    <row r="8179" spans="13:13">
      <c r="M8179" s="690"/>
    </row>
    <row r="8180" spans="13:13">
      <c r="M8180" s="690"/>
    </row>
    <row r="8181" spans="13:13">
      <c r="M8181" s="690"/>
    </row>
    <row r="8182" spans="13:13">
      <c r="M8182" s="690"/>
    </row>
    <row r="8183" spans="13:13">
      <c r="M8183" s="690"/>
    </row>
    <row r="8184" spans="13:13">
      <c r="M8184" s="690"/>
    </row>
    <row r="8185" spans="13:13">
      <c r="M8185" s="690"/>
    </row>
    <row r="8186" spans="13:13">
      <c r="M8186" s="690"/>
    </row>
    <row r="8187" spans="13:13">
      <c r="M8187" s="690"/>
    </row>
    <row r="8188" spans="13:13">
      <c r="M8188" s="690"/>
    </row>
    <row r="8189" spans="13:13">
      <c r="M8189" s="690"/>
    </row>
    <row r="8190" spans="13:13">
      <c r="M8190" s="690"/>
    </row>
    <row r="8191" spans="13:13">
      <c r="M8191" s="690"/>
    </row>
    <row r="8192" spans="13:13">
      <c r="M8192" s="690"/>
    </row>
    <row r="8193" spans="13:13">
      <c r="M8193" s="690"/>
    </row>
    <row r="8194" spans="13:13">
      <c r="M8194" s="690"/>
    </row>
    <row r="8195" spans="13:13">
      <c r="M8195" s="690"/>
    </row>
    <row r="8196" spans="13:13">
      <c r="M8196" s="690"/>
    </row>
    <row r="8197" spans="13:13">
      <c r="M8197" s="690"/>
    </row>
    <row r="8198" spans="13:13">
      <c r="M8198" s="690"/>
    </row>
    <row r="8199" spans="13:13">
      <c r="M8199" s="690"/>
    </row>
    <row r="8200" spans="13:13">
      <c r="M8200" s="690"/>
    </row>
    <row r="8201" spans="13:13">
      <c r="M8201" s="690"/>
    </row>
    <row r="8202" spans="13:13">
      <c r="M8202" s="690"/>
    </row>
    <row r="8203" spans="13:13">
      <c r="M8203" s="690"/>
    </row>
    <row r="8204" spans="13:13">
      <c r="M8204" s="690"/>
    </row>
    <row r="8205" spans="13:13">
      <c r="M8205" s="690"/>
    </row>
    <row r="8206" spans="13:13">
      <c r="M8206" s="690"/>
    </row>
    <row r="8207" spans="13:13">
      <c r="M8207" s="690"/>
    </row>
    <row r="8208" spans="13:13">
      <c r="M8208" s="690"/>
    </row>
    <row r="8209" spans="13:13">
      <c r="M8209" s="690"/>
    </row>
    <row r="8210" spans="13:13">
      <c r="M8210" s="690"/>
    </row>
    <row r="8211" spans="13:13">
      <c r="M8211" s="690"/>
    </row>
    <row r="8212" spans="13:13">
      <c r="M8212" s="690"/>
    </row>
    <row r="8213" spans="13:13">
      <c r="M8213" s="690"/>
    </row>
    <row r="8214" spans="13:13">
      <c r="M8214" s="690"/>
    </row>
    <row r="8215" spans="13:13">
      <c r="M8215" s="690"/>
    </row>
    <row r="8216" spans="13:13">
      <c r="M8216" s="690"/>
    </row>
    <row r="8217" spans="13:13">
      <c r="M8217" s="690"/>
    </row>
    <row r="8218" spans="13:13">
      <c r="M8218" s="690"/>
    </row>
    <row r="8219" spans="13:13">
      <c r="M8219" s="690"/>
    </row>
    <row r="8220" spans="13:13">
      <c r="M8220" s="690"/>
    </row>
    <row r="8221" spans="13:13">
      <c r="M8221" s="690"/>
    </row>
    <row r="8222" spans="13:13">
      <c r="M8222" s="690"/>
    </row>
    <row r="8223" spans="13:13">
      <c r="M8223" s="690"/>
    </row>
    <row r="8224" spans="13:13">
      <c r="M8224" s="690"/>
    </row>
    <row r="8225" spans="13:13">
      <c r="M8225" s="690"/>
    </row>
    <row r="8226" spans="13:13">
      <c r="M8226" s="690"/>
    </row>
    <row r="8227" spans="13:13">
      <c r="M8227" s="690"/>
    </row>
    <row r="8228" spans="13:13">
      <c r="M8228" s="690"/>
    </row>
    <row r="8229" spans="13:13">
      <c r="M8229" s="690"/>
    </row>
    <row r="8230" spans="13:13">
      <c r="M8230" s="690"/>
    </row>
    <row r="8231" spans="13:13">
      <c r="M8231" s="690"/>
    </row>
    <row r="8232" spans="13:13">
      <c r="M8232" s="690"/>
    </row>
    <row r="8233" spans="13:13">
      <c r="M8233" s="690"/>
    </row>
    <row r="8234" spans="13:13">
      <c r="M8234" s="690"/>
    </row>
    <row r="8235" spans="13:13">
      <c r="M8235" s="690"/>
    </row>
    <row r="8236" spans="13:13">
      <c r="M8236" s="690"/>
    </row>
    <row r="8237" spans="13:13">
      <c r="M8237" s="690"/>
    </row>
    <row r="8238" spans="13:13">
      <c r="M8238" s="690"/>
    </row>
    <row r="8239" spans="13:13">
      <c r="M8239" s="690"/>
    </row>
    <row r="8240" spans="13:13">
      <c r="M8240" s="690"/>
    </row>
    <row r="8241" spans="13:13">
      <c r="M8241" s="690"/>
    </row>
    <row r="8242" spans="13:13">
      <c r="M8242" s="690"/>
    </row>
    <row r="8243" spans="13:13">
      <c r="M8243" s="690"/>
    </row>
    <row r="8244" spans="13:13">
      <c r="M8244" s="690"/>
    </row>
    <row r="8245" spans="13:13">
      <c r="M8245" s="690"/>
    </row>
    <row r="8246" spans="13:13">
      <c r="M8246" s="690"/>
    </row>
    <row r="8247" spans="13:13">
      <c r="M8247" s="690"/>
    </row>
    <row r="8248" spans="13:13">
      <c r="M8248" s="690"/>
    </row>
    <row r="8249" spans="13:13">
      <c r="M8249" s="690"/>
    </row>
    <row r="8250" spans="13:13">
      <c r="M8250" s="690"/>
    </row>
    <row r="8251" spans="13:13">
      <c r="M8251" s="690"/>
    </row>
    <row r="8252" spans="13:13">
      <c r="M8252" s="690"/>
    </row>
    <row r="8253" spans="13:13">
      <c r="M8253" s="690"/>
    </row>
    <row r="8254" spans="13:13">
      <c r="M8254" s="690"/>
    </row>
    <row r="8255" spans="13:13">
      <c r="M8255" s="690"/>
    </row>
    <row r="8256" spans="13:13">
      <c r="M8256" s="690"/>
    </row>
    <row r="8257" spans="13:13">
      <c r="M8257" s="690"/>
    </row>
    <row r="8258" spans="13:13">
      <c r="M8258" s="690"/>
    </row>
    <row r="8259" spans="13:13">
      <c r="M8259" s="690"/>
    </row>
    <row r="8260" spans="13:13">
      <c r="M8260" s="690"/>
    </row>
    <row r="8261" spans="13:13">
      <c r="M8261" s="690"/>
    </row>
    <row r="8262" spans="13:13">
      <c r="M8262" s="690"/>
    </row>
    <row r="8263" spans="13:13">
      <c r="M8263" s="690"/>
    </row>
    <row r="8264" spans="13:13">
      <c r="M8264" s="690"/>
    </row>
    <row r="8265" spans="13:13">
      <c r="M8265" s="690"/>
    </row>
    <row r="8266" spans="13:13">
      <c r="M8266" s="690"/>
    </row>
    <row r="8267" spans="13:13">
      <c r="M8267" s="690"/>
    </row>
    <row r="8268" spans="13:13">
      <c r="M8268" s="690"/>
    </row>
    <row r="8269" spans="13:13">
      <c r="M8269" s="690"/>
    </row>
    <row r="8270" spans="13:13">
      <c r="M8270" s="690"/>
    </row>
    <row r="8271" spans="13:13">
      <c r="M8271" s="690"/>
    </row>
    <row r="8272" spans="13:13">
      <c r="M8272" s="690"/>
    </row>
    <row r="8273" spans="13:13">
      <c r="M8273" s="690"/>
    </row>
    <row r="8274" spans="13:13">
      <c r="M8274" s="690"/>
    </row>
    <row r="8275" spans="13:13">
      <c r="M8275" s="690"/>
    </row>
    <row r="8276" spans="13:13">
      <c r="M8276" s="690"/>
    </row>
    <row r="8277" spans="13:13">
      <c r="M8277" s="690"/>
    </row>
    <row r="8278" spans="13:13">
      <c r="M8278" s="690"/>
    </row>
    <row r="8279" spans="13:13">
      <c r="M8279" s="690"/>
    </row>
    <row r="8280" spans="13:13">
      <c r="M8280" s="690"/>
    </row>
    <row r="8281" spans="13:13">
      <c r="M8281" s="690"/>
    </row>
    <row r="8282" spans="13:13">
      <c r="M8282" s="690"/>
    </row>
    <row r="8283" spans="13:13">
      <c r="M8283" s="690"/>
    </row>
    <row r="8284" spans="13:13">
      <c r="M8284" s="690"/>
    </row>
    <row r="8285" spans="13:13">
      <c r="M8285" s="690"/>
    </row>
    <row r="8286" spans="13:13">
      <c r="M8286" s="690"/>
    </row>
    <row r="8287" spans="13:13">
      <c r="M8287" s="690"/>
    </row>
    <row r="8288" spans="13:13">
      <c r="M8288" s="690"/>
    </row>
    <row r="8289" spans="13:13">
      <c r="M8289" s="690"/>
    </row>
    <row r="8290" spans="13:13">
      <c r="M8290" s="690"/>
    </row>
    <row r="8291" spans="13:13">
      <c r="M8291" s="690"/>
    </row>
    <row r="8292" spans="13:13">
      <c r="M8292" s="690"/>
    </row>
    <row r="8293" spans="13:13">
      <c r="M8293" s="690"/>
    </row>
    <row r="8294" spans="13:13">
      <c r="M8294" s="690"/>
    </row>
    <row r="8295" spans="13:13">
      <c r="M8295" s="690"/>
    </row>
    <row r="8296" spans="13:13">
      <c r="M8296" s="690"/>
    </row>
    <row r="8297" spans="13:13">
      <c r="M8297" s="690"/>
    </row>
    <row r="8298" spans="13:13">
      <c r="M8298" s="690"/>
    </row>
    <row r="8299" spans="13:13">
      <c r="M8299" s="690"/>
    </row>
    <row r="8300" spans="13:13">
      <c r="M8300" s="690"/>
    </row>
    <row r="8301" spans="13:13">
      <c r="M8301" s="690"/>
    </row>
    <row r="8302" spans="13:13">
      <c r="M8302" s="690"/>
    </row>
    <row r="8303" spans="13:13">
      <c r="M8303" s="690"/>
    </row>
    <row r="8304" spans="13:13">
      <c r="M8304" s="690"/>
    </row>
    <row r="8305" spans="13:13">
      <c r="M8305" s="690"/>
    </row>
    <row r="8306" spans="13:13">
      <c r="M8306" s="690"/>
    </row>
    <row r="8307" spans="13:13">
      <c r="M8307" s="690"/>
    </row>
    <row r="8308" spans="13:13">
      <c r="M8308" s="690"/>
    </row>
    <row r="8309" spans="13:13">
      <c r="M8309" s="690"/>
    </row>
    <row r="8310" spans="13:13">
      <c r="M8310" s="690"/>
    </row>
    <row r="8311" spans="13:13">
      <c r="M8311" s="690"/>
    </row>
    <row r="8312" spans="13:13">
      <c r="M8312" s="690"/>
    </row>
    <row r="8313" spans="13:13">
      <c r="M8313" s="690"/>
    </row>
    <row r="8314" spans="13:13">
      <c r="M8314" s="690"/>
    </row>
    <row r="8315" spans="13:13">
      <c r="M8315" s="690"/>
    </row>
    <row r="8316" spans="13:13">
      <c r="M8316" s="690"/>
    </row>
    <row r="8317" spans="13:13">
      <c r="M8317" s="690"/>
    </row>
    <row r="8318" spans="13:13">
      <c r="M8318" s="690"/>
    </row>
    <row r="8319" spans="13:13">
      <c r="M8319" s="690"/>
    </row>
    <row r="8320" spans="13:13">
      <c r="M8320" s="690"/>
    </row>
    <row r="8321" spans="13:13">
      <c r="M8321" s="690"/>
    </row>
    <row r="8322" spans="13:13">
      <c r="M8322" s="690"/>
    </row>
    <row r="8323" spans="13:13">
      <c r="M8323" s="690"/>
    </row>
    <row r="8324" spans="13:13">
      <c r="M8324" s="690"/>
    </row>
    <row r="8325" spans="13:13">
      <c r="M8325" s="690"/>
    </row>
    <row r="8326" spans="13:13">
      <c r="M8326" s="690"/>
    </row>
    <row r="8327" spans="13:13">
      <c r="M8327" s="690"/>
    </row>
    <row r="8328" spans="13:13">
      <c r="M8328" s="690"/>
    </row>
    <row r="8329" spans="13:13">
      <c r="M8329" s="690"/>
    </row>
    <row r="8330" spans="13:13">
      <c r="M8330" s="690"/>
    </row>
    <row r="8331" spans="13:13">
      <c r="M8331" s="690"/>
    </row>
    <row r="8332" spans="13:13">
      <c r="M8332" s="690"/>
    </row>
    <row r="8333" spans="13:13">
      <c r="M8333" s="690"/>
    </row>
    <row r="8334" spans="13:13">
      <c r="M8334" s="690"/>
    </row>
    <row r="8335" spans="13:13">
      <c r="M8335" s="690"/>
    </row>
    <row r="8336" spans="13:13">
      <c r="M8336" s="690"/>
    </row>
    <row r="8337" spans="13:13">
      <c r="M8337" s="690"/>
    </row>
    <row r="8338" spans="13:13">
      <c r="M8338" s="690"/>
    </row>
    <row r="8339" spans="13:13">
      <c r="M8339" s="690"/>
    </row>
    <row r="8340" spans="13:13">
      <c r="M8340" s="690"/>
    </row>
    <row r="8341" spans="13:13">
      <c r="M8341" s="690"/>
    </row>
    <row r="8342" spans="13:13">
      <c r="M8342" s="690"/>
    </row>
    <row r="8343" spans="13:13">
      <c r="M8343" s="690"/>
    </row>
    <row r="8344" spans="13:13">
      <c r="M8344" s="690"/>
    </row>
    <row r="8345" spans="13:13">
      <c r="M8345" s="690"/>
    </row>
    <row r="8346" spans="13:13">
      <c r="M8346" s="690"/>
    </row>
    <row r="8347" spans="13:13">
      <c r="M8347" s="690"/>
    </row>
    <row r="8348" spans="13:13">
      <c r="M8348" s="690"/>
    </row>
    <row r="8349" spans="13:13">
      <c r="M8349" s="690"/>
    </row>
    <row r="8350" spans="13:13">
      <c r="M8350" s="690"/>
    </row>
    <row r="8351" spans="13:13">
      <c r="M8351" s="690"/>
    </row>
    <row r="8352" spans="13:13">
      <c r="M8352" s="690"/>
    </row>
    <row r="8353" spans="13:13">
      <c r="M8353" s="690"/>
    </row>
    <row r="8354" spans="13:13">
      <c r="M8354" s="690"/>
    </row>
    <row r="8355" spans="13:13">
      <c r="M8355" s="690"/>
    </row>
    <row r="8356" spans="13:13">
      <c r="M8356" s="690"/>
    </row>
    <row r="8357" spans="13:13">
      <c r="M8357" s="690"/>
    </row>
    <row r="8358" spans="13:13">
      <c r="M8358" s="690"/>
    </row>
    <row r="8359" spans="13:13">
      <c r="M8359" s="690"/>
    </row>
    <row r="8360" spans="13:13">
      <c r="M8360" s="690"/>
    </row>
    <row r="8361" spans="13:13">
      <c r="M8361" s="690"/>
    </row>
    <row r="8362" spans="13:13">
      <c r="M8362" s="690"/>
    </row>
    <row r="8363" spans="13:13">
      <c r="M8363" s="690"/>
    </row>
    <row r="8364" spans="13:13">
      <c r="M8364" s="690"/>
    </row>
    <row r="8365" spans="13:13">
      <c r="M8365" s="690"/>
    </row>
    <row r="8366" spans="13:13">
      <c r="M8366" s="690"/>
    </row>
    <row r="8367" spans="13:13">
      <c r="M8367" s="690"/>
    </row>
    <row r="8368" spans="13:13">
      <c r="M8368" s="690"/>
    </row>
    <row r="8369" spans="13:13">
      <c r="M8369" s="690"/>
    </row>
    <row r="8370" spans="13:13">
      <c r="M8370" s="690"/>
    </row>
    <row r="8371" spans="13:13">
      <c r="M8371" s="690"/>
    </row>
    <row r="8372" spans="13:13">
      <c r="M8372" s="690"/>
    </row>
    <row r="8373" spans="13:13">
      <c r="M8373" s="690"/>
    </row>
    <row r="8374" spans="13:13">
      <c r="M8374" s="690"/>
    </row>
    <row r="8375" spans="13:13">
      <c r="M8375" s="690"/>
    </row>
    <row r="8376" spans="13:13">
      <c r="M8376" s="690"/>
    </row>
    <row r="8377" spans="13:13">
      <c r="M8377" s="690"/>
    </row>
    <row r="8378" spans="13:13">
      <c r="M8378" s="690"/>
    </row>
    <row r="8379" spans="13:13">
      <c r="M8379" s="690"/>
    </row>
    <row r="8380" spans="13:13">
      <c r="M8380" s="690"/>
    </row>
    <row r="8381" spans="13:13">
      <c r="M8381" s="690"/>
    </row>
    <row r="8382" spans="13:13">
      <c r="M8382" s="690"/>
    </row>
    <row r="8383" spans="13:13">
      <c r="M8383" s="690"/>
    </row>
    <row r="8384" spans="13:13">
      <c r="M8384" s="690"/>
    </row>
    <row r="8385" spans="13:13">
      <c r="M8385" s="690"/>
    </row>
    <row r="8386" spans="13:13">
      <c r="M8386" s="690"/>
    </row>
    <row r="8387" spans="13:13">
      <c r="M8387" s="690"/>
    </row>
    <row r="8388" spans="13:13">
      <c r="M8388" s="690"/>
    </row>
    <row r="8389" spans="13:13">
      <c r="M8389" s="690"/>
    </row>
    <row r="8390" spans="13:13">
      <c r="M8390" s="690"/>
    </row>
    <row r="8391" spans="13:13">
      <c r="M8391" s="690"/>
    </row>
    <row r="8392" spans="13:13">
      <c r="M8392" s="690"/>
    </row>
    <row r="8393" spans="13:13">
      <c r="M8393" s="690"/>
    </row>
    <row r="8394" spans="13:13">
      <c r="M8394" s="690"/>
    </row>
    <row r="8395" spans="13:13">
      <c r="M8395" s="690"/>
    </row>
    <row r="8396" spans="13:13">
      <c r="M8396" s="690"/>
    </row>
    <row r="8397" spans="13:13">
      <c r="M8397" s="690"/>
    </row>
    <row r="8398" spans="13:13">
      <c r="M8398" s="690"/>
    </row>
    <row r="8399" spans="13:13">
      <c r="M8399" s="690"/>
    </row>
    <row r="8400" spans="13:13">
      <c r="M8400" s="690"/>
    </row>
    <row r="8401" spans="13:13">
      <c r="M8401" s="690"/>
    </row>
    <row r="8402" spans="13:13">
      <c r="M8402" s="690"/>
    </row>
    <row r="8403" spans="13:13">
      <c r="M8403" s="690"/>
    </row>
    <row r="8404" spans="13:13">
      <c r="M8404" s="690"/>
    </row>
    <row r="8405" spans="13:13">
      <c r="M8405" s="690"/>
    </row>
    <row r="8406" spans="13:13">
      <c r="M8406" s="690"/>
    </row>
    <row r="8407" spans="13:13">
      <c r="M8407" s="690"/>
    </row>
    <row r="8408" spans="13:13">
      <c r="M8408" s="690"/>
    </row>
    <row r="8409" spans="13:13">
      <c r="M8409" s="690"/>
    </row>
    <row r="8410" spans="13:13">
      <c r="M8410" s="690"/>
    </row>
    <row r="8411" spans="13:13">
      <c r="M8411" s="690"/>
    </row>
    <row r="8412" spans="13:13">
      <c r="M8412" s="690"/>
    </row>
    <row r="8413" spans="13:13">
      <c r="M8413" s="690"/>
    </row>
    <row r="8414" spans="13:13">
      <c r="M8414" s="690"/>
    </row>
    <row r="8415" spans="13:13">
      <c r="M8415" s="690"/>
    </row>
    <row r="8416" spans="13:13">
      <c r="M8416" s="690"/>
    </row>
    <row r="8417" spans="13:13">
      <c r="M8417" s="690"/>
    </row>
    <row r="8418" spans="13:13">
      <c r="M8418" s="690"/>
    </row>
    <row r="8419" spans="13:13">
      <c r="M8419" s="690"/>
    </row>
    <row r="8420" spans="13:13">
      <c r="M8420" s="690"/>
    </row>
    <row r="8421" spans="13:13">
      <c r="M8421" s="690"/>
    </row>
    <row r="8422" spans="13:13">
      <c r="M8422" s="690"/>
    </row>
    <row r="8423" spans="13:13">
      <c r="M8423" s="690"/>
    </row>
    <row r="8424" spans="13:13">
      <c r="M8424" s="690"/>
    </row>
    <row r="8425" spans="13:13">
      <c r="M8425" s="690"/>
    </row>
    <row r="8426" spans="13:13">
      <c r="M8426" s="690"/>
    </row>
    <row r="8427" spans="13:13">
      <c r="M8427" s="690"/>
    </row>
    <row r="8428" spans="13:13">
      <c r="M8428" s="690"/>
    </row>
    <row r="8429" spans="13:13">
      <c r="M8429" s="690"/>
    </row>
    <row r="8430" spans="13:13">
      <c r="M8430" s="690"/>
    </row>
    <row r="8431" spans="13:13">
      <c r="M8431" s="690"/>
    </row>
    <row r="8432" spans="13:13">
      <c r="M8432" s="690"/>
    </row>
    <row r="8433" spans="13:13">
      <c r="M8433" s="690"/>
    </row>
    <row r="8434" spans="13:13">
      <c r="M8434" s="690"/>
    </row>
    <row r="8435" spans="13:13">
      <c r="M8435" s="690"/>
    </row>
    <row r="8436" spans="13:13">
      <c r="M8436" s="690"/>
    </row>
    <row r="8437" spans="13:13">
      <c r="M8437" s="690"/>
    </row>
    <row r="8438" spans="13:13">
      <c r="M8438" s="690"/>
    </row>
    <row r="8439" spans="13:13">
      <c r="M8439" s="690"/>
    </row>
    <row r="8440" spans="13:13">
      <c r="M8440" s="690"/>
    </row>
    <row r="8441" spans="13:13">
      <c r="M8441" s="690"/>
    </row>
    <row r="8442" spans="13:13">
      <c r="M8442" s="690"/>
    </row>
    <row r="8443" spans="13:13">
      <c r="M8443" s="690"/>
    </row>
    <row r="8444" spans="13:13">
      <c r="M8444" s="690"/>
    </row>
    <row r="8445" spans="13:13">
      <c r="M8445" s="690"/>
    </row>
    <row r="8446" spans="13:13">
      <c r="M8446" s="690"/>
    </row>
    <row r="8447" spans="13:13">
      <c r="M8447" s="690"/>
    </row>
    <row r="8448" spans="13:13">
      <c r="M8448" s="690"/>
    </row>
    <row r="8449" spans="13:13">
      <c r="M8449" s="690"/>
    </row>
    <row r="8450" spans="13:13">
      <c r="M8450" s="690"/>
    </row>
    <row r="8451" spans="13:13">
      <c r="M8451" s="690"/>
    </row>
    <row r="8452" spans="13:13">
      <c r="M8452" s="690"/>
    </row>
    <row r="8453" spans="13:13">
      <c r="M8453" s="690"/>
    </row>
    <row r="8454" spans="13:13">
      <c r="M8454" s="690"/>
    </row>
    <row r="8455" spans="13:13">
      <c r="M8455" s="690"/>
    </row>
    <row r="8456" spans="13:13">
      <c r="M8456" s="690"/>
    </row>
    <row r="8457" spans="13:13">
      <c r="M8457" s="690"/>
    </row>
    <row r="8458" spans="13:13">
      <c r="M8458" s="690"/>
    </row>
    <row r="8459" spans="13:13">
      <c r="M8459" s="690"/>
    </row>
    <row r="8460" spans="13:13">
      <c r="M8460" s="690"/>
    </row>
    <row r="8461" spans="13:13">
      <c r="M8461" s="690"/>
    </row>
    <row r="8462" spans="13:13">
      <c r="M8462" s="690"/>
    </row>
    <row r="8463" spans="13:13">
      <c r="M8463" s="690"/>
    </row>
    <row r="8464" spans="13:13">
      <c r="M8464" s="690"/>
    </row>
    <row r="8465" spans="13:13">
      <c r="M8465" s="690"/>
    </row>
    <row r="8466" spans="13:13">
      <c r="M8466" s="690"/>
    </row>
    <row r="8467" spans="13:13">
      <c r="M8467" s="690"/>
    </row>
    <row r="8468" spans="13:13">
      <c r="M8468" s="690"/>
    </row>
    <row r="8469" spans="13:13">
      <c r="M8469" s="690"/>
    </row>
    <row r="8470" spans="13:13">
      <c r="M8470" s="690"/>
    </row>
    <row r="8471" spans="13:13">
      <c r="M8471" s="690"/>
    </row>
    <row r="8472" spans="13:13">
      <c r="M8472" s="690"/>
    </row>
    <row r="8473" spans="13:13">
      <c r="M8473" s="690"/>
    </row>
    <row r="8474" spans="13:13">
      <c r="M8474" s="690"/>
    </row>
    <row r="8475" spans="13:13">
      <c r="M8475" s="690"/>
    </row>
    <row r="8476" spans="13:13">
      <c r="M8476" s="690"/>
    </row>
    <row r="8477" spans="13:13">
      <c r="M8477" s="690"/>
    </row>
    <row r="8478" spans="13:13">
      <c r="M8478" s="690"/>
    </row>
    <row r="8479" spans="13:13">
      <c r="M8479" s="690"/>
    </row>
    <row r="8480" spans="13:13">
      <c r="M8480" s="690"/>
    </row>
    <row r="8481" spans="13:13">
      <c r="M8481" s="690"/>
    </row>
    <row r="8482" spans="13:13">
      <c r="M8482" s="690"/>
    </row>
    <row r="8483" spans="13:13">
      <c r="M8483" s="690"/>
    </row>
    <row r="8484" spans="13:13">
      <c r="M8484" s="690"/>
    </row>
    <row r="8485" spans="13:13">
      <c r="M8485" s="690"/>
    </row>
    <row r="8486" spans="13:13">
      <c r="M8486" s="690"/>
    </row>
    <row r="8487" spans="13:13">
      <c r="M8487" s="690"/>
    </row>
    <row r="8488" spans="13:13">
      <c r="M8488" s="690"/>
    </row>
    <row r="8489" spans="13:13">
      <c r="M8489" s="690"/>
    </row>
    <row r="8490" spans="13:13">
      <c r="M8490" s="690"/>
    </row>
    <row r="8491" spans="13:13">
      <c r="M8491" s="690"/>
    </row>
    <row r="8492" spans="13:13">
      <c r="M8492" s="690"/>
    </row>
    <row r="8493" spans="13:13">
      <c r="M8493" s="690"/>
    </row>
    <row r="8494" spans="13:13">
      <c r="M8494" s="690"/>
    </row>
    <row r="8495" spans="13:13">
      <c r="M8495" s="690"/>
    </row>
    <row r="8496" spans="13:13">
      <c r="M8496" s="690"/>
    </row>
    <row r="8497" spans="13:13">
      <c r="M8497" s="690"/>
    </row>
    <row r="8498" spans="13:13">
      <c r="M8498" s="690"/>
    </row>
    <row r="8499" spans="13:13">
      <c r="M8499" s="690"/>
    </row>
    <row r="8500" spans="13:13">
      <c r="M8500" s="690"/>
    </row>
    <row r="8501" spans="13:13">
      <c r="M8501" s="690"/>
    </row>
    <row r="8502" spans="13:13">
      <c r="M8502" s="690"/>
    </row>
    <row r="8503" spans="13:13">
      <c r="M8503" s="690"/>
    </row>
    <row r="8504" spans="13:13">
      <c r="M8504" s="690"/>
    </row>
    <row r="8505" spans="13:13">
      <c r="M8505" s="690"/>
    </row>
    <row r="8506" spans="13:13">
      <c r="M8506" s="690"/>
    </row>
    <row r="8507" spans="13:13">
      <c r="M8507" s="690"/>
    </row>
    <row r="8508" spans="13:13">
      <c r="M8508" s="690"/>
    </row>
    <row r="8509" spans="13:13">
      <c r="M8509" s="690"/>
    </row>
    <row r="8510" spans="13:13">
      <c r="M8510" s="690"/>
    </row>
    <row r="8511" spans="13:13">
      <c r="M8511" s="690"/>
    </row>
    <row r="8512" spans="13:13">
      <c r="M8512" s="690"/>
    </row>
    <row r="8513" spans="13:13">
      <c r="M8513" s="690"/>
    </row>
    <row r="8514" spans="13:13">
      <c r="M8514" s="690"/>
    </row>
    <row r="8515" spans="13:13">
      <c r="M8515" s="690"/>
    </row>
    <row r="8516" spans="13:13">
      <c r="M8516" s="690"/>
    </row>
    <row r="8517" spans="13:13">
      <c r="M8517" s="690"/>
    </row>
    <row r="8518" spans="13:13">
      <c r="M8518" s="690"/>
    </row>
    <row r="8519" spans="13:13">
      <c r="M8519" s="690"/>
    </row>
    <row r="8520" spans="13:13">
      <c r="M8520" s="690"/>
    </row>
    <row r="8521" spans="13:13">
      <c r="M8521" s="690"/>
    </row>
    <row r="8522" spans="13:13">
      <c r="M8522" s="690"/>
    </row>
    <row r="8523" spans="13:13">
      <c r="M8523" s="690"/>
    </row>
    <row r="8524" spans="13:13">
      <c r="M8524" s="690"/>
    </row>
    <row r="8525" spans="13:13">
      <c r="M8525" s="690"/>
    </row>
    <row r="8526" spans="13:13">
      <c r="M8526" s="690"/>
    </row>
    <row r="8527" spans="13:13">
      <c r="M8527" s="690"/>
    </row>
    <row r="8528" spans="13:13">
      <c r="M8528" s="690"/>
    </row>
    <row r="8529" spans="13:13">
      <c r="M8529" s="690"/>
    </row>
    <row r="8530" spans="13:13">
      <c r="M8530" s="690"/>
    </row>
    <row r="8531" spans="13:13">
      <c r="M8531" s="690"/>
    </row>
    <row r="8532" spans="13:13">
      <c r="M8532" s="690"/>
    </row>
    <row r="8533" spans="13:13">
      <c r="M8533" s="690"/>
    </row>
    <row r="8534" spans="13:13">
      <c r="M8534" s="690"/>
    </row>
    <row r="8535" spans="13:13">
      <c r="M8535" s="690"/>
    </row>
    <row r="8536" spans="13:13">
      <c r="M8536" s="690"/>
    </row>
    <row r="8537" spans="13:13">
      <c r="M8537" s="690"/>
    </row>
    <row r="8538" spans="13:13">
      <c r="M8538" s="690"/>
    </row>
    <row r="8539" spans="13:13">
      <c r="M8539" s="690"/>
    </row>
    <row r="8540" spans="13:13">
      <c r="M8540" s="690"/>
    </row>
    <row r="8541" spans="13:13">
      <c r="M8541" s="690"/>
    </row>
    <row r="8542" spans="13:13">
      <c r="M8542" s="690"/>
    </row>
    <row r="8543" spans="13:13">
      <c r="M8543" s="690"/>
    </row>
    <row r="8544" spans="13:13">
      <c r="M8544" s="690"/>
    </row>
    <row r="8545" spans="13:13">
      <c r="M8545" s="690"/>
    </row>
    <row r="8546" spans="13:13">
      <c r="M8546" s="690"/>
    </row>
    <row r="8547" spans="13:13">
      <c r="M8547" s="690"/>
    </row>
    <row r="8548" spans="13:13">
      <c r="M8548" s="690"/>
    </row>
    <row r="8549" spans="13:13">
      <c r="M8549" s="690"/>
    </row>
    <row r="8550" spans="13:13">
      <c r="M8550" s="690"/>
    </row>
    <row r="8551" spans="13:13">
      <c r="M8551" s="690"/>
    </row>
    <row r="8552" spans="13:13">
      <c r="M8552" s="690"/>
    </row>
    <row r="8553" spans="13:13">
      <c r="M8553" s="690"/>
    </row>
    <row r="8554" spans="13:13">
      <c r="M8554" s="690"/>
    </row>
    <row r="8555" spans="13:13">
      <c r="M8555" s="690"/>
    </row>
    <row r="8556" spans="13:13">
      <c r="M8556" s="690"/>
    </row>
    <row r="8557" spans="13:13">
      <c r="M8557" s="690"/>
    </row>
    <row r="8558" spans="13:13">
      <c r="M8558" s="690"/>
    </row>
    <row r="8559" spans="13:13">
      <c r="M8559" s="690"/>
    </row>
    <row r="8560" spans="13:13">
      <c r="M8560" s="690"/>
    </row>
    <row r="8561" spans="13:13">
      <c r="M8561" s="690"/>
    </row>
    <row r="8562" spans="13:13">
      <c r="M8562" s="690"/>
    </row>
    <row r="8563" spans="13:13">
      <c r="M8563" s="690"/>
    </row>
    <row r="8564" spans="13:13">
      <c r="M8564" s="690"/>
    </row>
    <row r="8565" spans="13:13">
      <c r="M8565" s="690"/>
    </row>
    <row r="8566" spans="13:13">
      <c r="M8566" s="690"/>
    </row>
    <row r="8567" spans="13:13">
      <c r="M8567" s="690"/>
    </row>
    <row r="8568" spans="13:13">
      <c r="M8568" s="690"/>
    </row>
    <row r="8569" spans="13:13">
      <c r="M8569" s="690"/>
    </row>
    <row r="8570" spans="13:13">
      <c r="M8570" s="690"/>
    </row>
    <row r="8571" spans="13:13">
      <c r="M8571" s="690"/>
    </row>
    <row r="8572" spans="13:13">
      <c r="M8572" s="690"/>
    </row>
    <row r="8573" spans="13:13">
      <c r="M8573" s="690"/>
    </row>
    <row r="8574" spans="13:13">
      <c r="M8574" s="690"/>
    </row>
    <row r="8575" spans="13:13">
      <c r="M8575" s="690"/>
    </row>
    <row r="8576" spans="13:13">
      <c r="M8576" s="690"/>
    </row>
    <row r="8577" spans="13:13">
      <c r="M8577" s="690"/>
    </row>
    <row r="8578" spans="13:13">
      <c r="M8578" s="690"/>
    </row>
    <row r="8579" spans="13:13">
      <c r="M8579" s="690"/>
    </row>
    <row r="8580" spans="13:13">
      <c r="M8580" s="690"/>
    </row>
    <row r="8581" spans="13:13">
      <c r="M8581" s="690"/>
    </row>
    <row r="8582" spans="13:13">
      <c r="M8582" s="690"/>
    </row>
    <row r="8583" spans="13:13">
      <c r="M8583" s="690"/>
    </row>
    <row r="8584" spans="13:13">
      <c r="M8584" s="690"/>
    </row>
    <row r="8585" spans="13:13">
      <c r="M8585" s="690"/>
    </row>
    <row r="8586" spans="13:13">
      <c r="M8586" s="690"/>
    </row>
    <row r="8587" spans="13:13">
      <c r="M8587" s="690"/>
    </row>
    <row r="8588" spans="13:13">
      <c r="M8588" s="690"/>
    </row>
    <row r="8589" spans="13:13">
      <c r="M8589" s="690"/>
    </row>
    <row r="8590" spans="13:13">
      <c r="M8590" s="690"/>
    </row>
    <row r="8591" spans="13:13">
      <c r="M8591" s="690"/>
    </row>
    <row r="8592" spans="13:13">
      <c r="M8592" s="690"/>
    </row>
    <row r="8593" spans="13:13">
      <c r="M8593" s="690"/>
    </row>
    <row r="8594" spans="13:13">
      <c r="M8594" s="690"/>
    </row>
    <row r="8595" spans="13:13">
      <c r="M8595" s="690"/>
    </row>
    <row r="8596" spans="13:13">
      <c r="M8596" s="690"/>
    </row>
    <row r="8597" spans="13:13">
      <c r="M8597" s="690"/>
    </row>
    <row r="8598" spans="13:13">
      <c r="M8598" s="690"/>
    </row>
    <row r="8599" spans="13:13">
      <c r="M8599" s="690"/>
    </row>
    <row r="8600" spans="13:13">
      <c r="M8600" s="690"/>
    </row>
    <row r="8601" spans="13:13">
      <c r="M8601" s="690"/>
    </row>
    <row r="8602" spans="13:13">
      <c r="M8602" s="690"/>
    </row>
    <row r="8603" spans="13:13">
      <c r="M8603" s="690"/>
    </row>
    <row r="8604" spans="13:13">
      <c r="M8604" s="690"/>
    </row>
    <row r="8605" spans="13:13">
      <c r="M8605" s="690"/>
    </row>
    <row r="8606" spans="13:13">
      <c r="M8606" s="690"/>
    </row>
    <row r="8607" spans="13:13">
      <c r="M8607" s="690"/>
    </row>
    <row r="8608" spans="13:13">
      <c r="M8608" s="690"/>
    </row>
    <row r="8609" spans="13:13">
      <c r="M8609" s="690"/>
    </row>
    <row r="8610" spans="13:13">
      <c r="M8610" s="690"/>
    </row>
    <row r="8611" spans="13:13">
      <c r="M8611" s="690"/>
    </row>
    <row r="8612" spans="13:13">
      <c r="M8612" s="690"/>
    </row>
    <row r="8613" spans="13:13">
      <c r="M8613" s="690"/>
    </row>
    <row r="8614" spans="13:13">
      <c r="M8614" s="690"/>
    </row>
    <row r="8615" spans="13:13">
      <c r="M8615" s="690"/>
    </row>
    <row r="8616" spans="13:13">
      <c r="M8616" s="690"/>
    </row>
    <row r="8617" spans="13:13">
      <c r="M8617" s="690"/>
    </row>
    <row r="8618" spans="13:13">
      <c r="M8618" s="690"/>
    </row>
    <row r="8619" spans="13:13">
      <c r="M8619" s="690"/>
    </row>
    <row r="8620" spans="13:13">
      <c r="M8620" s="690"/>
    </row>
    <row r="8621" spans="13:13">
      <c r="M8621" s="690"/>
    </row>
    <row r="8622" spans="13:13">
      <c r="M8622" s="690"/>
    </row>
    <row r="8623" spans="13:13">
      <c r="M8623" s="690"/>
    </row>
    <row r="8624" spans="13:13">
      <c r="M8624" s="690"/>
    </row>
    <row r="8625" spans="13:13">
      <c r="M8625" s="690"/>
    </row>
    <row r="8626" spans="13:13">
      <c r="M8626" s="690"/>
    </row>
    <row r="8627" spans="13:13">
      <c r="M8627" s="690"/>
    </row>
    <row r="8628" spans="13:13">
      <c r="M8628" s="690"/>
    </row>
    <row r="8629" spans="13:13">
      <c r="M8629" s="690"/>
    </row>
    <row r="8630" spans="13:13">
      <c r="M8630" s="690"/>
    </row>
    <row r="8631" spans="13:13">
      <c r="M8631" s="690"/>
    </row>
    <row r="8632" spans="13:13">
      <c r="M8632" s="690"/>
    </row>
    <row r="8633" spans="13:13">
      <c r="M8633" s="690"/>
    </row>
    <row r="8634" spans="13:13">
      <c r="M8634" s="690"/>
    </row>
    <row r="8635" spans="13:13">
      <c r="M8635" s="690"/>
    </row>
    <row r="8636" spans="13:13">
      <c r="M8636" s="690"/>
    </row>
    <row r="8637" spans="13:13">
      <c r="M8637" s="690"/>
    </row>
    <row r="8638" spans="13:13">
      <c r="M8638" s="690"/>
    </row>
    <row r="8639" spans="13:13">
      <c r="M8639" s="690"/>
    </row>
    <row r="8640" spans="13:13">
      <c r="M8640" s="690"/>
    </row>
    <row r="8641" spans="13:13">
      <c r="M8641" s="690"/>
    </row>
    <row r="8642" spans="13:13">
      <c r="M8642" s="690"/>
    </row>
    <row r="8643" spans="13:13">
      <c r="M8643" s="690"/>
    </row>
    <row r="8644" spans="13:13">
      <c r="M8644" s="690"/>
    </row>
    <row r="8645" spans="13:13">
      <c r="M8645" s="690"/>
    </row>
    <row r="8646" spans="13:13">
      <c r="M8646" s="690"/>
    </row>
    <row r="8647" spans="13:13">
      <c r="M8647" s="690"/>
    </row>
    <row r="8648" spans="13:13">
      <c r="M8648" s="690"/>
    </row>
    <row r="8649" spans="13:13">
      <c r="M8649" s="690"/>
    </row>
    <row r="8650" spans="13:13">
      <c r="M8650" s="690"/>
    </row>
    <row r="8651" spans="13:13">
      <c r="M8651" s="690"/>
    </row>
    <row r="8652" spans="13:13">
      <c r="M8652" s="690"/>
    </row>
    <row r="8653" spans="13:13">
      <c r="M8653" s="690"/>
    </row>
    <row r="8654" spans="13:13">
      <c r="M8654" s="690"/>
    </row>
    <row r="8655" spans="13:13">
      <c r="M8655" s="690"/>
    </row>
    <row r="8656" spans="13:13">
      <c r="M8656" s="690"/>
    </row>
    <row r="8657" spans="13:13">
      <c r="M8657" s="690"/>
    </row>
    <row r="8658" spans="13:13">
      <c r="M8658" s="690"/>
    </row>
    <row r="8659" spans="13:13">
      <c r="M8659" s="690"/>
    </row>
    <row r="8660" spans="13:13">
      <c r="M8660" s="690"/>
    </row>
    <row r="8661" spans="13:13">
      <c r="M8661" s="690"/>
    </row>
    <row r="8662" spans="13:13">
      <c r="M8662" s="690"/>
    </row>
    <row r="8663" spans="13:13">
      <c r="M8663" s="690"/>
    </row>
    <row r="8664" spans="13:13">
      <c r="M8664" s="690"/>
    </row>
    <row r="8665" spans="13:13">
      <c r="M8665" s="690"/>
    </row>
    <row r="8666" spans="13:13">
      <c r="M8666" s="690"/>
    </row>
    <row r="8667" spans="13:13">
      <c r="M8667" s="690"/>
    </row>
    <row r="8668" spans="13:13">
      <c r="M8668" s="690"/>
    </row>
    <row r="8669" spans="13:13">
      <c r="M8669" s="690"/>
    </row>
    <row r="8670" spans="13:13">
      <c r="M8670" s="690"/>
    </row>
    <row r="8671" spans="13:13">
      <c r="M8671" s="690"/>
    </row>
    <row r="8672" spans="13:13">
      <c r="M8672" s="690"/>
    </row>
    <row r="8673" spans="13:13">
      <c r="M8673" s="690"/>
    </row>
    <row r="8674" spans="13:13">
      <c r="M8674" s="690"/>
    </row>
    <row r="8675" spans="13:13">
      <c r="M8675" s="690"/>
    </row>
    <row r="8676" spans="13:13">
      <c r="M8676" s="690"/>
    </row>
    <row r="8677" spans="13:13">
      <c r="M8677" s="690"/>
    </row>
    <row r="8678" spans="13:13">
      <c r="M8678" s="690"/>
    </row>
    <row r="8679" spans="13:13">
      <c r="M8679" s="690"/>
    </row>
    <row r="8680" spans="13:13">
      <c r="M8680" s="690"/>
    </row>
    <row r="8681" spans="13:13">
      <c r="M8681" s="690"/>
    </row>
    <row r="8682" spans="13:13">
      <c r="M8682" s="690"/>
    </row>
    <row r="8683" spans="13:13">
      <c r="M8683" s="690"/>
    </row>
    <row r="8684" spans="13:13">
      <c r="M8684" s="690"/>
    </row>
    <row r="8685" spans="13:13">
      <c r="M8685" s="690"/>
    </row>
    <row r="8686" spans="13:13">
      <c r="M8686" s="690"/>
    </row>
    <row r="8687" spans="13:13">
      <c r="M8687" s="690"/>
    </row>
    <row r="8688" spans="13:13">
      <c r="M8688" s="690"/>
    </row>
    <row r="8689" spans="13:13">
      <c r="M8689" s="690"/>
    </row>
    <row r="8690" spans="13:13">
      <c r="M8690" s="690"/>
    </row>
    <row r="8691" spans="13:13">
      <c r="M8691" s="690"/>
    </row>
    <row r="8692" spans="13:13">
      <c r="M8692" s="690"/>
    </row>
    <row r="8693" spans="13:13">
      <c r="M8693" s="690"/>
    </row>
    <row r="8694" spans="13:13">
      <c r="M8694" s="690"/>
    </row>
    <row r="8695" spans="13:13">
      <c r="M8695" s="690"/>
    </row>
    <row r="8696" spans="13:13">
      <c r="M8696" s="690"/>
    </row>
    <row r="8697" spans="13:13">
      <c r="M8697" s="690"/>
    </row>
    <row r="8698" spans="13:13">
      <c r="M8698" s="690"/>
    </row>
    <row r="8699" spans="13:13">
      <c r="M8699" s="690"/>
    </row>
    <row r="8700" spans="13:13">
      <c r="M8700" s="690"/>
    </row>
    <row r="8701" spans="13:13">
      <c r="M8701" s="690"/>
    </row>
    <row r="8702" spans="13:13">
      <c r="M8702" s="690"/>
    </row>
    <row r="8703" spans="13:13">
      <c r="M8703" s="690"/>
    </row>
    <row r="8704" spans="13:13">
      <c r="M8704" s="690"/>
    </row>
    <row r="8705" spans="13:13">
      <c r="M8705" s="690"/>
    </row>
    <row r="8706" spans="13:13">
      <c r="M8706" s="690"/>
    </row>
    <row r="8707" spans="13:13">
      <c r="M8707" s="690"/>
    </row>
    <row r="8708" spans="13:13">
      <c r="M8708" s="690"/>
    </row>
    <row r="8709" spans="13:13">
      <c r="M8709" s="690"/>
    </row>
    <row r="8710" spans="13:13">
      <c r="M8710" s="690"/>
    </row>
    <row r="8711" spans="13:13">
      <c r="M8711" s="690"/>
    </row>
    <row r="8712" spans="13:13">
      <c r="M8712" s="690"/>
    </row>
    <row r="8713" spans="13:13">
      <c r="M8713" s="690"/>
    </row>
    <row r="8714" spans="13:13">
      <c r="M8714" s="690"/>
    </row>
    <row r="8715" spans="13:13">
      <c r="M8715" s="690"/>
    </row>
    <row r="8716" spans="13:13">
      <c r="M8716" s="690"/>
    </row>
    <row r="8717" spans="13:13">
      <c r="M8717" s="690"/>
    </row>
    <row r="8718" spans="13:13">
      <c r="M8718" s="690"/>
    </row>
    <row r="8719" spans="13:13">
      <c r="M8719" s="690"/>
    </row>
    <row r="8720" spans="13:13">
      <c r="M8720" s="690"/>
    </row>
    <row r="8721" spans="13:13">
      <c r="M8721" s="690"/>
    </row>
    <row r="8722" spans="13:13">
      <c r="M8722" s="690"/>
    </row>
    <row r="8723" spans="13:13">
      <c r="M8723" s="690"/>
    </row>
    <row r="8724" spans="13:13">
      <c r="M8724" s="690"/>
    </row>
    <row r="8725" spans="13:13">
      <c r="M8725" s="690"/>
    </row>
    <row r="8726" spans="13:13">
      <c r="M8726" s="690"/>
    </row>
    <row r="8727" spans="13:13">
      <c r="M8727" s="690"/>
    </row>
    <row r="8728" spans="13:13">
      <c r="M8728" s="690"/>
    </row>
    <row r="8729" spans="13:13">
      <c r="M8729" s="690"/>
    </row>
    <row r="8730" spans="13:13">
      <c r="M8730" s="690"/>
    </row>
    <row r="8731" spans="13:13">
      <c r="M8731" s="690"/>
    </row>
    <row r="8732" spans="13:13">
      <c r="M8732" s="690"/>
    </row>
    <row r="8733" spans="13:13">
      <c r="M8733" s="690"/>
    </row>
    <row r="8734" spans="13:13">
      <c r="M8734" s="690"/>
    </row>
    <row r="8735" spans="13:13">
      <c r="M8735" s="690"/>
    </row>
    <row r="8736" spans="13:13">
      <c r="M8736" s="690"/>
    </row>
    <row r="8737" spans="13:13">
      <c r="M8737" s="690"/>
    </row>
    <row r="8738" spans="13:13">
      <c r="M8738" s="690"/>
    </row>
    <row r="8739" spans="13:13">
      <c r="M8739" s="690"/>
    </row>
    <row r="8740" spans="13:13">
      <c r="M8740" s="690"/>
    </row>
    <row r="8741" spans="13:13">
      <c r="M8741" s="690"/>
    </row>
    <row r="8742" spans="13:13">
      <c r="M8742" s="690"/>
    </row>
    <row r="8743" spans="13:13">
      <c r="M8743" s="690"/>
    </row>
    <row r="8744" spans="13:13">
      <c r="M8744" s="690"/>
    </row>
    <row r="8745" spans="13:13">
      <c r="M8745" s="690"/>
    </row>
    <row r="8746" spans="13:13">
      <c r="M8746" s="690"/>
    </row>
    <row r="8747" spans="13:13">
      <c r="M8747" s="690"/>
    </row>
    <row r="8748" spans="13:13">
      <c r="M8748" s="690"/>
    </row>
    <row r="8749" spans="13:13">
      <c r="M8749" s="690"/>
    </row>
    <row r="8750" spans="13:13">
      <c r="M8750" s="690"/>
    </row>
    <row r="8751" spans="13:13">
      <c r="M8751" s="690"/>
    </row>
    <row r="8752" spans="13:13">
      <c r="M8752" s="690"/>
    </row>
    <row r="8753" spans="13:13">
      <c r="M8753" s="690"/>
    </row>
    <row r="8754" spans="13:13">
      <c r="M8754" s="690"/>
    </row>
    <row r="8755" spans="13:13">
      <c r="M8755" s="690"/>
    </row>
    <row r="8756" spans="13:13">
      <c r="M8756" s="690"/>
    </row>
    <row r="8757" spans="13:13">
      <c r="M8757" s="690"/>
    </row>
    <row r="8758" spans="13:13">
      <c r="M8758" s="690"/>
    </row>
    <row r="8759" spans="13:13">
      <c r="M8759" s="690"/>
    </row>
    <row r="8760" spans="13:13">
      <c r="M8760" s="690"/>
    </row>
    <row r="8761" spans="13:13">
      <c r="M8761" s="690"/>
    </row>
    <row r="8762" spans="13:13">
      <c r="M8762" s="690"/>
    </row>
    <row r="8763" spans="13:13">
      <c r="M8763" s="690"/>
    </row>
    <row r="8764" spans="13:13">
      <c r="M8764" s="690"/>
    </row>
    <row r="8765" spans="13:13">
      <c r="M8765" s="690"/>
    </row>
    <row r="8766" spans="13:13">
      <c r="M8766" s="690"/>
    </row>
    <row r="8767" spans="13:13">
      <c r="M8767" s="690"/>
    </row>
    <row r="8768" spans="13:13">
      <c r="M8768" s="690"/>
    </row>
    <row r="8769" spans="13:13">
      <c r="M8769" s="690"/>
    </row>
    <row r="8770" spans="13:13">
      <c r="M8770" s="690"/>
    </row>
    <row r="8771" spans="13:13">
      <c r="M8771" s="690"/>
    </row>
    <row r="8772" spans="13:13">
      <c r="M8772" s="690"/>
    </row>
    <row r="8773" spans="13:13">
      <c r="M8773" s="690"/>
    </row>
    <row r="8774" spans="13:13">
      <c r="M8774" s="690"/>
    </row>
    <row r="8775" spans="13:13">
      <c r="M8775" s="690"/>
    </row>
    <row r="8776" spans="13:13">
      <c r="M8776" s="690"/>
    </row>
    <row r="8777" spans="13:13">
      <c r="M8777" s="690"/>
    </row>
    <row r="8778" spans="13:13">
      <c r="M8778" s="690"/>
    </row>
    <row r="8779" spans="13:13">
      <c r="M8779" s="690"/>
    </row>
    <row r="8780" spans="13:13">
      <c r="M8780" s="690"/>
    </row>
    <row r="8781" spans="13:13">
      <c r="M8781" s="690"/>
    </row>
    <row r="8782" spans="13:13">
      <c r="M8782" s="690"/>
    </row>
    <row r="8783" spans="13:13">
      <c r="M8783" s="690"/>
    </row>
    <row r="8784" spans="13:13">
      <c r="M8784" s="690"/>
    </row>
    <row r="8785" spans="13:13">
      <c r="M8785" s="690"/>
    </row>
    <row r="8786" spans="13:13">
      <c r="M8786" s="690"/>
    </row>
    <row r="8787" spans="13:13">
      <c r="M8787" s="690"/>
    </row>
    <row r="8788" spans="13:13">
      <c r="M8788" s="690"/>
    </row>
    <row r="8789" spans="13:13">
      <c r="M8789" s="690"/>
    </row>
    <row r="8790" spans="13:13">
      <c r="M8790" s="690"/>
    </row>
    <row r="8791" spans="13:13">
      <c r="M8791" s="690"/>
    </row>
    <row r="8792" spans="13:13">
      <c r="M8792" s="690"/>
    </row>
    <row r="8793" spans="13:13">
      <c r="M8793" s="690"/>
    </row>
    <row r="8794" spans="13:13">
      <c r="M8794" s="690"/>
    </row>
    <row r="8795" spans="13:13">
      <c r="M8795" s="690"/>
    </row>
    <row r="8796" spans="13:13">
      <c r="M8796" s="690"/>
    </row>
    <row r="8797" spans="13:13">
      <c r="M8797" s="690"/>
    </row>
    <row r="8798" spans="13:13">
      <c r="M8798" s="690"/>
    </row>
    <row r="8799" spans="13:13">
      <c r="M8799" s="690"/>
    </row>
    <row r="8800" spans="13:13">
      <c r="M8800" s="690"/>
    </row>
    <row r="8801" spans="13:13">
      <c r="M8801" s="690"/>
    </row>
    <row r="8802" spans="13:13">
      <c r="M8802" s="690"/>
    </row>
    <row r="8803" spans="13:13">
      <c r="M8803" s="690"/>
    </row>
    <row r="8804" spans="13:13">
      <c r="M8804" s="690"/>
    </row>
    <row r="8805" spans="13:13">
      <c r="M8805" s="690"/>
    </row>
    <row r="8806" spans="13:13">
      <c r="M8806" s="690"/>
    </row>
    <row r="8807" spans="13:13">
      <c r="M8807" s="690"/>
    </row>
    <row r="8808" spans="13:13">
      <c r="M8808" s="690"/>
    </row>
    <row r="8809" spans="13:13">
      <c r="M8809" s="690"/>
    </row>
    <row r="8810" spans="13:13">
      <c r="M8810" s="690"/>
    </row>
    <row r="8811" spans="13:13">
      <c r="M8811" s="690"/>
    </row>
    <row r="8812" spans="13:13">
      <c r="M8812" s="690"/>
    </row>
    <row r="8813" spans="13:13">
      <c r="M8813" s="690"/>
    </row>
    <row r="8814" spans="13:13">
      <c r="M8814" s="690"/>
    </row>
    <row r="8815" spans="13:13">
      <c r="M8815" s="690"/>
    </row>
    <row r="8816" spans="13:13">
      <c r="M8816" s="690"/>
    </row>
    <row r="8817" spans="13:13">
      <c r="M8817" s="690"/>
    </row>
    <row r="8818" spans="13:13">
      <c r="M8818" s="690"/>
    </row>
    <row r="8819" spans="13:13">
      <c r="M8819" s="690"/>
    </row>
    <row r="8820" spans="13:13">
      <c r="M8820" s="690"/>
    </row>
    <row r="8821" spans="13:13">
      <c r="M8821" s="690"/>
    </row>
    <row r="8822" spans="13:13">
      <c r="M8822" s="690"/>
    </row>
    <row r="8823" spans="13:13">
      <c r="M8823" s="690"/>
    </row>
    <row r="8824" spans="13:13">
      <c r="M8824" s="690"/>
    </row>
    <row r="8825" spans="13:13">
      <c r="M8825" s="690"/>
    </row>
    <row r="8826" spans="13:13">
      <c r="M8826" s="690"/>
    </row>
    <row r="8827" spans="13:13">
      <c r="M8827" s="690"/>
    </row>
    <row r="8828" spans="13:13">
      <c r="M8828" s="690"/>
    </row>
    <row r="8829" spans="13:13">
      <c r="M8829" s="690"/>
    </row>
    <row r="8830" spans="13:13">
      <c r="M8830" s="690"/>
    </row>
    <row r="8831" spans="13:13">
      <c r="M8831" s="690"/>
    </row>
    <row r="8832" spans="13:13">
      <c r="M8832" s="690"/>
    </row>
    <row r="8833" spans="13:13">
      <c r="M8833" s="690"/>
    </row>
    <row r="8834" spans="13:13">
      <c r="M8834" s="690"/>
    </row>
    <row r="8835" spans="13:13">
      <c r="M8835" s="690"/>
    </row>
    <row r="8836" spans="13:13">
      <c r="M8836" s="690"/>
    </row>
    <row r="8837" spans="13:13">
      <c r="M8837" s="690"/>
    </row>
    <row r="8838" spans="13:13">
      <c r="M8838" s="690"/>
    </row>
    <row r="8839" spans="13:13">
      <c r="M8839" s="690"/>
    </row>
    <row r="8840" spans="13:13">
      <c r="M8840" s="690"/>
    </row>
    <row r="8841" spans="13:13">
      <c r="M8841" s="690"/>
    </row>
    <row r="8842" spans="13:13">
      <c r="M8842" s="690"/>
    </row>
    <row r="8843" spans="13:13">
      <c r="M8843" s="690"/>
    </row>
    <row r="8844" spans="13:13">
      <c r="M8844" s="690"/>
    </row>
    <row r="8845" spans="13:13">
      <c r="M8845" s="690"/>
    </row>
    <row r="8846" spans="13:13">
      <c r="M8846" s="690"/>
    </row>
    <row r="8847" spans="13:13">
      <c r="M8847" s="690"/>
    </row>
    <row r="8848" spans="13:13">
      <c r="M8848" s="690"/>
    </row>
    <row r="8849" spans="13:13">
      <c r="M8849" s="690"/>
    </row>
    <row r="8850" spans="13:13">
      <c r="M8850" s="690"/>
    </row>
    <row r="8851" spans="13:13">
      <c r="M8851" s="690"/>
    </row>
    <row r="8852" spans="13:13">
      <c r="M8852" s="690"/>
    </row>
    <row r="8853" spans="13:13">
      <c r="M8853" s="690"/>
    </row>
    <row r="8854" spans="13:13">
      <c r="M8854" s="690"/>
    </row>
    <row r="8855" spans="13:13">
      <c r="M8855" s="690"/>
    </row>
    <row r="8856" spans="13:13">
      <c r="M8856" s="690"/>
    </row>
    <row r="8857" spans="13:13">
      <c r="M8857" s="690"/>
    </row>
    <row r="8858" spans="13:13">
      <c r="M8858" s="690"/>
    </row>
    <row r="8859" spans="13:13">
      <c r="M8859" s="690"/>
    </row>
    <row r="8860" spans="13:13">
      <c r="M8860" s="690"/>
    </row>
    <row r="8861" spans="13:13">
      <c r="M8861" s="690"/>
    </row>
    <row r="8862" spans="13:13">
      <c r="M8862" s="690"/>
    </row>
    <row r="8863" spans="13:13">
      <c r="M8863" s="690"/>
    </row>
    <row r="8864" spans="13:13">
      <c r="M8864" s="690"/>
    </row>
    <row r="8865" spans="13:13">
      <c r="M8865" s="690"/>
    </row>
    <row r="8866" spans="13:13">
      <c r="M8866" s="690"/>
    </row>
    <row r="8867" spans="13:13">
      <c r="M8867" s="690"/>
    </row>
    <row r="8868" spans="13:13">
      <c r="M8868" s="690"/>
    </row>
    <row r="8869" spans="13:13">
      <c r="M8869" s="690"/>
    </row>
    <row r="8870" spans="13:13">
      <c r="M8870" s="690"/>
    </row>
    <row r="8871" spans="13:13">
      <c r="M8871" s="690"/>
    </row>
    <row r="8872" spans="13:13">
      <c r="M8872" s="690"/>
    </row>
    <row r="8873" spans="13:13">
      <c r="M8873" s="690"/>
    </row>
    <row r="8874" spans="13:13">
      <c r="M8874" s="690"/>
    </row>
    <row r="8875" spans="13:13">
      <c r="M8875" s="690"/>
    </row>
    <row r="8876" spans="13:13">
      <c r="M8876" s="690"/>
    </row>
    <row r="8877" spans="13:13">
      <c r="M8877" s="690"/>
    </row>
    <row r="8878" spans="13:13">
      <c r="M8878" s="690"/>
    </row>
    <row r="8879" spans="13:13">
      <c r="M8879" s="690"/>
    </row>
    <row r="8880" spans="13:13">
      <c r="M8880" s="690"/>
    </row>
    <row r="8881" spans="13:13">
      <c r="M8881" s="690"/>
    </row>
    <row r="8882" spans="13:13">
      <c r="M8882" s="690"/>
    </row>
    <row r="8883" spans="13:13">
      <c r="M8883" s="690"/>
    </row>
    <row r="8884" spans="13:13">
      <c r="M8884" s="690"/>
    </row>
    <row r="8885" spans="13:13">
      <c r="M8885" s="690"/>
    </row>
    <row r="8886" spans="13:13">
      <c r="M8886" s="690"/>
    </row>
    <row r="8887" spans="13:13">
      <c r="M8887" s="690"/>
    </row>
    <row r="8888" spans="13:13">
      <c r="M8888" s="690"/>
    </row>
    <row r="8889" spans="13:13">
      <c r="M8889" s="690"/>
    </row>
    <row r="8890" spans="13:13">
      <c r="M8890" s="690"/>
    </row>
    <row r="8891" spans="13:13">
      <c r="M8891" s="690"/>
    </row>
    <row r="8892" spans="13:13">
      <c r="M8892" s="690"/>
    </row>
    <row r="8893" spans="13:13">
      <c r="M8893" s="690"/>
    </row>
    <row r="8894" spans="13:13">
      <c r="M8894" s="690"/>
    </row>
    <row r="8895" spans="13:13">
      <c r="M8895" s="690"/>
    </row>
    <row r="8896" spans="13:13">
      <c r="M8896" s="690"/>
    </row>
    <row r="8897" spans="13:13">
      <c r="M8897" s="690"/>
    </row>
    <row r="8898" spans="13:13">
      <c r="M8898" s="690"/>
    </row>
    <row r="8899" spans="13:13">
      <c r="M8899" s="690"/>
    </row>
    <row r="8900" spans="13:13">
      <c r="M8900" s="690"/>
    </row>
    <row r="8901" spans="13:13">
      <c r="M8901" s="690"/>
    </row>
    <row r="8902" spans="13:13">
      <c r="M8902" s="690"/>
    </row>
    <row r="8903" spans="13:13">
      <c r="M8903" s="690"/>
    </row>
    <row r="8904" spans="13:13">
      <c r="M8904" s="690"/>
    </row>
    <row r="8905" spans="13:13">
      <c r="M8905" s="690"/>
    </row>
    <row r="8906" spans="13:13">
      <c r="M8906" s="690"/>
    </row>
    <row r="8907" spans="13:13">
      <c r="M8907" s="690"/>
    </row>
    <row r="8908" spans="13:13">
      <c r="M8908" s="690"/>
    </row>
    <row r="8909" spans="13:13">
      <c r="M8909" s="690"/>
    </row>
    <row r="8910" spans="13:13">
      <c r="M8910" s="690"/>
    </row>
    <row r="8911" spans="13:13">
      <c r="M8911" s="690"/>
    </row>
    <row r="8912" spans="13:13">
      <c r="M8912" s="690"/>
    </row>
    <row r="8913" spans="13:13">
      <c r="M8913" s="690"/>
    </row>
    <row r="8914" spans="13:13">
      <c r="M8914" s="690"/>
    </row>
    <row r="8915" spans="13:13">
      <c r="M8915" s="690"/>
    </row>
    <row r="8916" spans="13:13">
      <c r="M8916" s="690"/>
    </row>
    <row r="8917" spans="13:13">
      <c r="M8917" s="690"/>
    </row>
    <row r="8918" spans="13:13">
      <c r="M8918" s="690"/>
    </row>
    <row r="8919" spans="13:13">
      <c r="M8919" s="690"/>
    </row>
    <row r="8920" spans="13:13">
      <c r="M8920" s="690"/>
    </row>
    <row r="8921" spans="13:13">
      <c r="M8921" s="690"/>
    </row>
    <row r="8922" spans="13:13">
      <c r="M8922" s="690"/>
    </row>
    <row r="8923" spans="13:13">
      <c r="M8923" s="690"/>
    </row>
    <row r="8924" spans="13:13">
      <c r="M8924" s="690"/>
    </row>
    <row r="8925" spans="13:13">
      <c r="M8925" s="690"/>
    </row>
    <row r="8926" spans="13:13">
      <c r="M8926" s="690"/>
    </row>
    <row r="8927" spans="13:13">
      <c r="M8927" s="690"/>
    </row>
    <row r="8928" spans="13:13">
      <c r="M8928" s="690"/>
    </row>
    <row r="8929" spans="13:13">
      <c r="M8929" s="690"/>
    </row>
    <row r="8930" spans="13:13">
      <c r="M8930" s="690"/>
    </row>
    <row r="8931" spans="13:13">
      <c r="M8931" s="690"/>
    </row>
    <row r="8932" spans="13:13">
      <c r="M8932" s="690"/>
    </row>
    <row r="8933" spans="13:13">
      <c r="M8933" s="690"/>
    </row>
    <row r="8934" spans="13:13">
      <c r="M8934" s="690"/>
    </row>
    <row r="8935" spans="13:13">
      <c r="M8935" s="690"/>
    </row>
    <row r="8936" spans="13:13">
      <c r="M8936" s="690"/>
    </row>
    <row r="8937" spans="13:13">
      <c r="M8937" s="690"/>
    </row>
    <row r="8938" spans="13:13">
      <c r="M8938" s="690"/>
    </row>
    <row r="8939" spans="13:13">
      <c r="M8939" s="690"/>
    </row>
    <row r="8940" spans="13:13">
      <c r="M8940" s="690"/>
    </row>
    <row r="8941" spans="13:13">
      <c r="M8941" s="690"/>
    </row>
    <row r="8942" spans="13:13">
      <c r="M8942" s="690"/>
    </row>
    <row r="8943" spans="13:13">
      <c r="M8943" s="690"/>
    </row>
    <row r="8944" spans="13:13">
      <c r="M8944" s="690"/>
    </row>
    <row r="8945" spans="13:13">
      <c r="M8945" s="690"/>
    </row>
    <row r="8946" spans="13:13">
      <c r="M8946" s="690"/>
    </row>
    <row r="8947" spans="13:13">
      <c r="M8947" s="690"/>
    </row>
    <row r="8948" spans="13:13">
      <c r="M8948" s="690"/>
    </row>
    <row r="8949" spans="13:13">
      <c r="M8949" s="690"/>
    </row>
    <row r="8950" spans="13:13">
      <c r="M8950" s="690"/>
    </row>
    <row r="8951" spans="13:13">
      <c r="M8951" s="690"/>
    </row>
    <row r="8952" spans="13:13">
      <c r="M8952" s="690"/>
    </row>
    <row r="8953" spans="13:13">
      <c r="M8953" s="690"/>
    </row>
    <row r="8954" spans="13:13">
      <c r="M8954" s="690"/>
    </row>
    <row r="8955" spans="13:13">
      <c r="M8955" s="690"/>
    </row>
    <row r="8956" spans="13:13">
      <c r="M8956" s="690"/>
    </row>
    <row r="8957" spans="13:13">
      <c r="M8957" s="690"/>
    </row>
    <row r="8958" spans="13:13">
      <c r="M8958" s="690"/>
    </row>
    <row r="8959" spans="13:13">
      <c r="M8959" s="690"/>
    </row>
    <row r="8960" spans="13:13">
      <c r="M8960" s="690"/>
    </row>
    <row r="8961" spans="13:13">
      <c r="M8961" s="690"/>
    </row>
    <row r="8962" spans="13:13">
      <c r="M8962" s="690"/>
    </row>
    <row r="8963" spans="13:13">
      <c r="M8963" s="690"/>
    </row>
    <row r="8964" spans="13:13">
      <c r="M8964" s="690"/>
    </row>
    <row r="8965" spans="13:13">
      <c r="M8965" s="690"/>
    </row>
    <row r="8966" spans="13:13">
      <c r="M8966" s="690"/>
    </row>
    <row r="8967" spans="13:13">
      <c r="M8967" s="690"/>
    </row>
    <row r="8968" spans="13:13">
      <c r="M8968" s="690"/>
    </row>
    <row r="8969" spans="13:13">
      <c r="M8969" s="690"/>
    </row>
    <row r="8970" spans="13:13">
      <c r="M8970" s="690"/>
    </row>
    <row r="8971" spans="13:13">
      <c r="M8971" s="690"/>
    </row>
    <row r="8972" spans="13:13">
      <c r="M8972" s="690"/>
    </row>
    <row r="8973" spans="13:13">
      <c r="M8973" s="690"/>
    </row>
    <row r="8974" spans="13:13">
      <c r="M8974" s="690"/>
    </row>
    <row r="8975" spans="13:13">
      <c r="M8975" s="690"/>
    </row>
    <row r="8976" spans="13:13">
      <c r="M8976" s="690"/>
    </row>
    <row r="8977" spans="13:13">
      <c r="M8977" s="690"/>
    </row>
    <row r="8978" spans="13:13">
      <c r="M8978" s="690"/>
    </row>
    <row r="8979" spans="13:13">
      <c r="M8979" s="690"/>
    </row>
    <row r="8980" spans="13:13">
      <c r="M8980" s="690"/>
    </row>
    <row r="8981" spans="13:13">
      <c r="M8981" s="690"/>
    </row>
    <row r="8982" spans="13:13">
      <c r="M8982" s="690"/>
    </row>
    <row r="8983" spans="13:13">
      <c r="M8983" s="690"/>
    </row>
    <row r="8984" spans="13:13">
      <c r="M8984" s="690"/>
    </row>
    <row r="8985" spans="13:13">
      <c r="M8985" s="690"/>
    </row>
    <row r="8986" spans="13:13">
      <c r="M8986" s="690"/>
    </row>
    <row r="8987" spans="13:13">
      <c r="M8987" s="690"/>
    </row>
    <row r="8988" spans="13:13">
      <c r="M8988" s="690"/>
    </row>
    <row r="8989" spans="13:13">
      <c r="M8989" s="690"/>
    </row>
    <row r="8990" spans="13:13">
      <c r="M8990" s="690"/>
    </row>
    <row r="8991" spans="13:13">
      <c r="M8991" s="690"/>
    </row>
    <row r="8992" spans="13:13">
      <c r="M8992" s="690"/>
    </row>
    <row r="8993" spans="13:13">
      <c r="M8993" s="690"/>
    </row>
    <row r="8994" spans="13:13">
      <c r="M8994" s="690"/>
    </row>
    <row r="8995" spans="13:13">
      <c r="M8995" s="690"/>
    </row>
    <row r="8996" spans="13:13">
      <c r="M8996" s="690"/>
    </row>
    <row r="8997" spans="13:13">
      <c r="M8997" s="690"/>
    </row>
    <row r="8998" spans="13:13">
      <c r="M8998" s="690"/>
    </row>
    <row r="8999" spans="13:13">
      <c r="M8999" s="690"/>
    </row>
    <row r="9000" spans="13:13">
      <c r="M9000" s="690"/>
    </row>
    <row r="9001" spans="13:13">
      <c r="M9001" s="690"/>
    </row>
    <row r="9002" spans="13:13">
      <c r="M9002" s="690"/>
    </row>
    <row r="9003" spans="13:13">
      <c r="M9003" s="690"/>
    </row>
    <row r="9004" spans="13:13">
      <c r="M9004" s="690"/>
    </row>
    <row r="9005" spans="13:13">
      <c r="M9005" s="690"/>
    </row>
    <row r="9006" spans="13:13">
      <c r="M9006" s="690"/>
    </row>
    <row r="9007" spans="13:13">
      <c r="M9007" s="690"/>
    </row>
    <row r="9008" spans="13:13">
      <c r="M9008" s="690"/>
    </row>
    <row r="9009" spans="13:13">
      <c r="M9009" s="690"/>
    </row>
    <row r="9010" spans="13:13">
      <c r="M9010" s="690"/>
    </row>
    <row r="9011" spans="13:13">
      <c r="M9011" s="690"/>
    </row>
    <row r="9012" spans="13:13">
      <c r="M9012" s="690"/>
    </row>
    <row r="9013" spans="13:13">
      <c r="M9013" s="690"/>
    </row>
    <row r="9014" spans="13:13">
      <c r="M9014" s="690"/>
    </row>
    <row r="9015" spans="13:13">
      <c r="M9015" s="690"/>
    </row>
    <row r="9016" spans="13:13">
      <c r="M9016" s="690"/>
    </row>
    <row r="9017" spans="13:13">
      <c r="M9017" s="690"/>
    </row>
    <row r="9018" spans="13:13">
      <c r="M9018" s="690"/>
    </row>
    <row r="9019" spans="13:13">
      <c r="M9019" s="690"/>
    </row>
    <row r="9020" spans="13:13">
      <c r="M9020" s="690"/>
    </row>
    <row r="9021" spans="13:13">
      <c r="M9021" s="690"/>
    </row>
    <row r="9022" spans="13:13">
      <c r="M9022" s="690"/>
    </row>
    <row r="9023" spans="13:13">
      <c r="M9023" s="690"/>
    </row>
    <row r="9024" spans="13:13">
      <c r="M9024" s="690"/>
    </row>
    <row r="9025" spans="13:13">
      <c r="M9025" s="690"/>
    </row>
    <row r="9026" spans="13:13">
      <c r="M9026" s="690"/>
    </row>
    <row r="9027" spans="13:13">
      <c r="M9027" s="690"/>
    </row>
    <row r="9028" spans="13:13">
      <c r="M9028" s="690"/>
    </row>
    <row r="9029" spans="13:13">
      <c r="M9029" s="690"/>
    </row>
    <row r="9030" spans="13:13">
      <c r="M9030" s="690"/>
    </row>
    <row r="9031" spans="13:13">
      <c r="M9031" s="690"/>
    </row>
    <row r="9032" spans="13:13">
      <c r="M9032" s="690"/>
    </row>
    <row r="9033" spans="13:13">
      <c r="M9033" s="690"/>
    </row>
    <row r="9034" spans="13:13">
      <c r="M9034" s="690"/>
    </row>
    <row r="9035" spans="13:13">
      <c r="M9035" s="690"/>
    </row>
    <row r="9036" spans="13:13">
      <c r="M9036" s="690"/>
    </row>
    <row r="9037" spans="13:13">
      <c r="M9037" s="690"/>
    </row>
    <row r="9038" spans="13:13">
      <c r="M9038" s="690"/>
    </row>
    <row r="9039" spans="13:13">
      <c r="M9039" s="690"/>
    </row>
    <row r="9040" spans="13:13">
      <c r="M9040" s="690"/>
    </row>
    <row r="9041" spans="13:13">
      <c r="M9041" s="690"/>
    </row>
    <row r="9042" spans="13:13">
      <c r="M9042" s="690"/>
    </row>
    <row r="9043" spans="13:13">
      <c r="M9043" s="690"/>
    </row>
    <row r="9044" spans="13:13">
      <c r="M9044" s="690"/>
    </row>
    <row r="9045" spans="13:13">
      <c r="M9045" s="690"/>
    </row>
    <row r="9046" spans="13:13">
      <c r="M9046" s="690"/>
    </row>
    <row r="9047" spans="13:13">
      <c r="M9047" s="690"/>
    </row>
    <row r="9048" spans="13:13">
      <c r="M9048" s="690"/>
    </row>
    <row r="9049" spans="13:13">
      <c r="M9049" s="690"/>
    </row>
    <row r="9050" spans="13:13">
      <c r="M9050" s="690"/>
    </row>
    <row r="9051" spans="13:13">
      <c r="M9051" s="690"/>
    </row>
    <row r="9052" spans="13:13">
      <c r="M9052" s="690"/>
    </row>
    <row r="9053" spans="13:13">
      <c r="M9053" s="690"/>
    </row>
    <row r="9054" spans="13:13">
      <c r="M9054" s="690"/>
    </row>
    <row r="9055" spans="13:13">
      <c r="M9055" s="690"/>
    </row>
    <row r="9056" spans="13:13">
      <c r="M9056" s="690"/>
    </row>
    <row r="9057" spans="13:13">
      <c r="M9057" s="690"/>
    </row>
    <row r="9058" spans="13:13">
      <c r="M9058" s="690"/>
    </row>
    <row r="9059" spans="13:13">
      <c r="M9059" s="690"/>
    </row>
    <row r="9060" spans="13:13">
      <c r="M9060" s="690"/>
    </row>
    <row r="9061" spans="13:13">
      <c r="M9061" s="690"/>
    </row>
    <row r="9062" spans="13:13">
      <c r="M9062" s="690"/>
    </row>
    <row r="9063" spans="13:13">
      <c r="M9063" s="690"/>
    </row>
    <row r="9064" spans="13:13">
      <c r="M9064" s="690"/>
    </row>
    <row r="9065" spans="13:13">
      <c r="M9065" s="690"/>
    </row>
    <row r="9066" spans="13:13">
      <c r="M9066" s="690"/>
    </row>
    <row r="9067" spans="13:13">
      <c r="M9067" s="690"/>
    </row>
    <row r="9068" spans="13:13">
      <c r="M9068" s="690"/>
    </row>
    <row r="9069" spans="13:13">
      <c r="M9069" s="690"/>
    </row>
    <row r="9070" spans="13:13">
      <c r="M9070" s="690"/>
    </row>
    <row r="9071" spans="13:13">
      <c r="M9071" s="690"/>
    </row>
    <row r="9072" spans="13:13">
      <c r="M9072" s="690"/>
    </row>
    <row r="9073" spans="13:13">
      <c r="M9073" s="690"/>
    </row>
    <row r="9074" spans="13:13">
      <c r="M9074" s="690"/>
    </row>
    <row r="9075" spans="13:13">
      <c r="M9075" s="690"/>
    </row>
    <row r="9076" spans="13:13">
      <c r="M9076" s="690"/>
    </row>
    <row r="9077" spans="13:13">
      <c r="M9077" s="690"/>
    </row>
    <row r="9078" spans="13:13">
      <c r="M9078" s="690"/>
    </row>
    <row r="9079" spans="13:13">
      <c r="M9079" s="690"/>
    </row>
    <row r="9080" spans="13:13">
      <c r="M9080" s="690"/>
    </row>
    <row r="9081" spans="13:13">
      <c r="M9081" s="690"/>
    </row>
    <row r="9082" spans="13:13">
      <c r="M9082" s="690"/>
    </row>
    <row r="9083" spans="13:13">
      <c r="M9083" s="690"/>
    </row>
    <row r="9084" spans="13:13">
      <c r="M9084" s="690"/>
    </row>
    <row r="9085" spans="13:13">
      <c r="M9085" s="690"/>
    </row>
    <row r="9086" spans="13:13">
      <c r="M9086" s="690"/>
    </row>
    <row r="9087" spans="13:13">
      <c r="M9087" s="690"/>
    </row>
    <row r="9088" spans="13:13">
      <c r="M9088" s="690"/>
    </row>
    <row r="9089" spans="13:13">
      <c r="M9089" s="690"/>
    </row>
    <row r="9090" spans="13:13">
      <c r="M9090" s="690"/>
    </row>
    <row r="9091" spans="13:13">
      <c r="M9091" s="690"/>
    </row>
    <row r="9092" spans="13:13">
      <c r="M9092" s="690"/>
    </row>
    <row r="9093" spans="13:13">
      <c r="M9093" s="690"/>
    </row>
    <row r="9094" spans="13:13">
      <c r="M9094" s="690"/>
    </row>
    <row r="9095" spans="13:13">
      <c r="M9095" s="690"/>
    </row>
    <row r="9096" spans="13:13">
      <c r="M9096" s="690"/>
    </row>
    <row r="9097" spans="13:13">
      <c r="M9097" s="690"/>
    </row>
    <row r="9098" spans="13:13">
      <c r="M9098" s="690"/>
    </row>
    <row r="9099" spans="13:13">
      <c r="M9099" s="690"/>
    </row>
    <row r="9100" spans="13:13">
      <c r="M9100" s="690"/>
    </row>
    <row r="9101" spans="13:13">
      <c r="M9101" s="690"/>
    </row>
    <row r="9102" spans="13:13">
      <c r="M9102" s="690"/>
    </row>
    <row r="9103" spans="13:13">
      <c r="M9103" s="690"/>
    </row>
    <row r="9104" spans="13:13">
      <c r="M9104" s="690"/>
    </row>
    <row r="9105" spans="13:13">
      <c r="M9105" s="690"/>
    </row>
    <row r="9106" spans="13:13">
      <c r="M9106" s="690"/>
    </row>
    <row r="9107" spans="13:13">
      <c r="M9107" s="690"/>
    </row>
    <row r="9108" spans="13:13">
      <c r="M9108" s="690"/>
    </row>
    <row r="9109" spans="13:13">
      <c r="M9109" s="690"/>
    </row>
    <row r="9110" spans="13:13">
      <c r="M9110" s="690"/>
    </row>
    <row r="9111" spans="13:13">
      <c r="M9111" s="690"/>
    </row>
    <row r="9112" spans="13:13">
      <c r="M9112" s="690"/>
    </row>
    <row r="9113" spans="13:13">
      <c r="M9113" s="690"/>
    </row>
    <row r="9114" spans="13:13">
      <c r="M9114" s="690"/>
    </row>
    <row r="9115" spans="13:13">
      <c r="M9115" s="690"/>
    </row>
    <row r="9116" spans="13:13">
      <c r="M9116" s="690"/>
    </row>
    <row r="9117" spans="13:13">
      <c r="M9117" s="690"/>
    </row>
    <row r="9118" spans="13:13">
      <c r="M9118" s="690"/>
    </row>
    <row r="9119" spans="13:13">
      <c r="M9119" s="690"/>
    </row>
    <row r="9120" spans="13:13">
      <c r="M9120" s="690"/>
    </row>
    <row r="9121" spans="13:13">
      <c r="M9121" s="690"/>
    </row>
    <row r="9122" spans="13:13">
      <c r="M9122" s="690"/>
    </row>
    <row r="9123" spans="13:13">
      <c r="M9123" s="690"/>
    </row>
    <row r="9124" spans="13:13">
      <c r="M9124" s="690"/>
    </row>
    <row r="9125" spans="13:13">
      <c r="M9125" s="690"/>
    </row>
    <row r="9126" spans="13:13">
      <c r="M9126" s="690"/>
    </row>
    <row r="9127" spans="13:13">
      <c r="M9127" s="690"/>
    </row>
    <row r="9128" spans="13:13">
      <c r="M9128" s="690"/>
    </row>
    <row r="9129" spans="13:13">
      <c r="M9129" s="690"/>
    </row>
    <row r="9130" spans="13:13">
      <c r="M9130" s="690"/>
    </row>
    <row r="9131" spans="13:13">
      <c r="M9131" s="690"/>
    </row>
    <row r="9132" spans="13:13">
      <c r="M9132" s="690"/>
    </row>
    <row r="9133" spans="13:13">
      <c r="M9133" s="690"/>
    </row>
    <row r="9134" spans="13:13">
      <c r="M9134" s="690"/>
    </row>
    <row r="9135" spans="13:13">
      <c r="M9135" s="690"/>
    </row>
    <row r="9136" spans="13:13">
      <c r="M9136" s="690"/>
    </row>
    <row r="9137" spans="13:13">
      <c r="M9137" s="690"/>
    </row>
    <row r="9138" spans="13:13">
      <c r="M9138" s="690"/>
    </row>
    <row r="9139" spans="13:13">
      <c r="M9139" s="690"/>
    </row>
    <row r="9140" spans="13:13">
      <c r="M9140" s="690"/>
    </row>
    <row r="9141" spans="13:13">
      <c r="M9141" s="690"/>
    </row>
    <row r="9142" spans="13:13">
      <c r="M9142" s="690"/>
    </row>
    <row r="9143" spans="13:13">
      <c r="M9143" s="690"/>
    </row>
    <row r="9144" spans="13:13">
      <c r="M9144" s="690"/>
    </row>
    <row r="9145" spans="13:13">
      <c r="M9145" s="690"/>
    </row>
    <row r="9146" spans="13:13">
      <c r="M9146" s="690"/>
    </row>
    <row r="9147" spans="13:13">
      <c r="M9147" s="690"/>
    </row>
    <row r="9148" spans="13:13">
      <c r="M9148" s="690"/>
    </row>
    <row r="9149" spans="13:13">
      <c r="M9149" s="690"/>
    </row>
    <row r="9150" spans="13:13">
      <c r="M9150" s="690"/>
    </row>
    <row r="9151" spans="13:13">
      <c r="M9151" s="690"/>
    </row>
    <row r="9152" spans="13:13">
      <c r="M9152" s="690"/>
    </row>
    <row r="9153" spans="13:13">
      <c r="M9153" s="690"/>
    </row>
    <row r="9154" spans="13:13">
      <c r="M9154" s="690"/>
    </row>
    <row r="9155" spans="13:13">
      <c r="M9155" s="690"/>
    </row>
    <row r="9156" spans="13:13">
      <c r="M9156" s="690"/>
    </row>
    <row r="9157" spans="13:13">
      <c r="M9157" s="690"/>
    </row>
    <row r="9158" spans="13:13">
      <c r="M9158" s="690"/>
    </row>
    <row r="9159" spans="13:13">
      <c r="M9159" s="690"/>
    </row>
    <row r="9160" spans="13:13">
      <c r="M9160" s="690"/>
    </row>
    <row r="9161" spans="13:13">
      <c r="M9161" s="690"/>
    </row>
    <row r="9162" spans="13:13">
      <c r="M9162" s="690"/>
    </row>
    <row r="9163" spans="13:13">
      <c r="M9163" s="690"/>
    </row>
    <row r="9164" spans="13:13">
      <c r="M9164" s="690"/>
    </row>
    <row r="9165" spans="13:13">
      <c r="M9165" s="690"/>
    </row>
    <row r="9166" spans="13:13">
      <c r="M9166" s="690"/>
    </row>
    <row r="9167" spans="13:13">
      <c r="M9167" s="690"/>
    </row>
    <row r="9168" spans="13:13">
      <c r="M9168" s="690"/>
    </row>
    <row r="9169" spans="13:13">
      <c r="M9169" s="690"/>
    </row>
    <row r="9170" spans="13:13">
      <c r="M9170" s="690"/>
    </row>
    <row r="9171" spans="13:13">
      <c r="M9171" s="690"/>
    </row>
    <row r="9172" spans="13:13">
      <c r="M9172" s="690"/>
    </row>
    <row r="9173" spans="13:13">
      <c r="M9173" s="690"/>
    </row>
    <row r="9174" spans="13:13">
      <c r="M9174" s="690"/>
    </row>
    <row r="9175" spans="13:13">
      <c r="M9175" s="690"/>
    </row>
    <row r="9176" spans="13:13">
      <c r="M9176" s="690"/>
    </row>
    <row r="9177" spans="13:13">
      <c r="M9177" s="690"/>
    </row>
    <row r="9178" spans="13:13">
      <c r="M9178" s="690"/>
    </row>
    <row r="9179" spans="13:13">
      <c r="M9179" s="690"/>
    </row>
    <row r="9180" spans="13:13">
      <c r="M9180" s="690"/>
    </row>
    <row r="9181" spans="13:13">
      <c r="M9181" s="690"/>
    </row>
    <row r="9182" spans="13:13">
      <c r="M9182" s="690"/>
    </row>
    <row r="9183" spans="13:13">
      <c r="M9183" s="690"/>
    </row>
    <row r="9184" spans="13:13">
      <c r="M9184" s="690"/>
    </row>
    <row r="9185" spans="13:13">
      <c r="M9185" s="690"/>
    </row>
    <row r="9186" spans="13:13">
      <c r="M9186" s="690"/>
    </row>
    <row r="9187" spans="13:13">
      <c r="M9187" s="690"/>
    </row>
    <row r="9188" spans="13:13">
      <c r="M9188" s="690"/>
    </row>
    <row r="9189" spans="13:13">
      <c r="M9189" s="690"/>
    </row>
    <row r="9190" spans="13:13">
      <c r="M9190" s="690"/>
    </row>
    <row r="9191" spans="13:13">
      <c r="M9191" s="690"/>
    </row>
    <row r="9192" spans="13:13">
      <c r="M9192" s="690"/>
    </row>
    <row r="9193" spans="13:13">
      <c r="M9193" s="690"/>
    </row>
    <row r="9194" spans="13:13">
      <c r="M9194" s="690"/>
    </row>
    <row r="9195" spans="13:13">
      <c r="M9195" s="690"/>
    </row>
    <row r="9196" spans="13:13">
      <c r="M9196" s="690"/>
    </row>
    <row r="9197" spans="13:13">
      <c r="M9197" s="690"/>
    </row>
    <row r="9198" spans="13:13">
      <c r="M9198" s="690"/>
    </row>
    <row r="9199" spans="13:13">
      <c r="M9199" s="690"/>
    </row>
    <row r="9200" spans="13:13">
      <c r="M9200" s="690"/>
    </row>
    <row r="9201" spans="13:13">
      <c r="M9201" s="690"/>
    </row>
    <row r="9202" spans="13:13">
      <c r="M9202" s="690"/>
    </row>
    <row r="9203" spans="13:13">
      <c r="M9203" s="690"/>
    </row>
    <row r="9204" spans="13:13">
      <c r="M9204" s="690"/>
    </row>
    <row r="9205" spans="13:13">
      <c r="M9205" s="690"/>
    </row>
    <row r="9206" spans="13:13">
      <c r="M9206" s="690"/>
    </row>
    <row r="9207" spans="13:13">
      <c r="M9207" s="690"/>
    </row>
    <row r="9208" spans="13:13">
      <c r="M9208" s="690"/>
    </row>
    <row r="9209" spans="13:13">
      <c r="M9209" s="690"/>
    </row>
    <row r="9210" spans="13:13">
      <c r="M9210" s="690"/>
    </row>
    <row r="9211" spans="13:13">
      <c r="M9211" s="690"/>
    </row>
    <row r="9212" spans="13:13">
      <c r="M9212" s="690"/>
    </row>
    <row r="9213" spans="13:13">
      <c r="M9213" s="690"/>
    </row>
    <row r="9214" spans="13:13">
      <c r="M9214" s="690"/>
    </row>
    <row r="9215" spans="13:13">
      <c r="M9215" s="690"/>
    </row>
    <row r="9216" spans="13:13">
      <c r="M9216" s="690"/>
    </row>
    <row r="9217" spans="13:13">
      <c r="M9217" s="690"/>
    </row>
    <row r="9218" spans="13:13">
      <c r="M9218" s="690"/>
    </row>
    <row r="9219" spans="13:13">
      <c r="M9219" s="690"/>
    </row>
    <row r="9220" spans="13:13">
      <c r="M9220" s="690"/>
    </row>
    <row r="9221" spans="13:13">
      <c r="M9221" s="690"/>
    </row>
    <row r="9222" spans="13:13">
      <c r="M9222" s="690"/>
    </row>
    <row r="9223" spans="13:13">
      <c r="M9223" s="690"/>
    </row>
    <row r="9224" spans="13:13">
      <c r="M9224" s="690"/>
    </row>
    <row r="9225" spans="13:13">
      <c r="M9225" s="690"/>
    </row>
    <row r="9226" spans="13:13">
      <c r="M9226" s="690"/>
    </row>
    <row r="9227" spans="13:13">
      <c r="M9227" s="690"/>
    </row>
    <row r="9228" spans="13:13">
      <c r="M9228" s="690"/>
    </row>
    <row r="9229" spans="13:13">
      <c r="M9229" s="690"/>
    </row>
    <row r="9230" spans="13:13">
      <c r="M9230" s="690"/>
    </row>
    <row r="9231" spans="13:13">
      <c r="M9231" s="690"/>
    </row>
    <row r="9232" spans="13:13">
      <c r="M9232" s="690"/>
    </row>
    <row r="9233" spans="13:13">
      <c r="M9233" s="690"/>
    </row>
    <row r="9234" spans="13:13">
      <c r="M9234" s="690"/>
    </row>
    <row r="9235" spans="13:13">
      <c r="M9235" s="690"/>
    </row>
    <row r="9236" spans="13:13">
      <c r="M9236" s="690"/>
    </row>
    <row r="9237" spans="13:13">
      <c r="M9237" s="690"/>
    </row>
    <row r="9238" spans="13:13">
      <c r="M9238" s="690"/>
    </row>
    <row r="9239" spans="13:13">
      <c r="M9239" s="690"/>
    </row>
    <row r="9240" spans="13:13">
      <c r="M9240" s="690"/>
    </row>
    <row r="9241" spans="13:13">
      <c r="M9241" s="690"/>
    </row>
    <row r="9242" spans="13:13">
      <c r="M9242" s="690"/>
    </row>
    <row r="9243" spans="13:13">
      <c r="M9243" s="690"/>
    </row>
    <row r="9244" spans="13:13">
      <c r="M9244" s="690"/>
    </row>
    <row r="9245" spans="13:13">
      <c r="M9245" s="690"/>
    </row>
    <row r="9246" spans="13:13">
      <c r="M9246" s="690"/>
    </row>
    <row r="9247" spans="13:13">
      <c r="M9247" s="690"/>
    </row>
    <row r="9248" spans="13:13">
      <c r="M9248" s="690"/>
    </row>
    <row r="9249" spans="13:13">
      <c r="M9249" s="690"/>
    </row>
    <row r="9250" spans="13:13">
      <c r="M9250" s="690"/>
    </row>
    <row r="9251" spans="13:13">
      <c r="M9251" s="690"/>
    </row>
    <row r="9252" spans="13:13">
      <c r="M9252" s="690"/>
    </row>
    <row r="9253" spans="13:13">
      <c r="M9253" s="690"/>
    </row>
    <row r="9254" spans="13:13">
      <c r="M9254" s="690"/>
    </row>
    <row r="9255" spans="13:13">
      <c r="M9255" s="690"/>
    </row>
    <row r="9256" spans="13:13">
      <c r="M9256" s="690"/>
    </row>
    <row r="9257" spans="13:13">
      <c r="M9257" s="690"/>
    </row>
    <row r="9258" spans="13:13">
      <c r="M9258" s="690"/>
    </row>
    <row r="9259" spans="13:13">
      <c r="M9259" s="690"/>
    </row>
    <row r="9260" spans="13:13">
      <c r="M9260" s="690"/>
    </row>
    <row r="9261" spans="13:13">
      <c r="M9261" s="690"/>
    </row>
    <row r="9262" spans="13:13">
      <c r="M9262" s="690"/>
    </row>
    <row r="9263" spans="13:13">
      <c r="M9263" s="690"/>
    </row>
    <row r="9264" spans="13:13">
      <c r="M9264" s="690"/>
    </row>
    <row r="9265" spans="13:13">
      <c r="M9265" s="690"/>
    </row>
    <row r="9266" spans="13:13">
      <c r="M9266" s="690"/>
    </row>
    <row r="9267" spans="13:13">
      <c r="M9267" s="690"/>
    </row>
    <row r="9268" spans="13:13">
      <c r="M9268" s="690"/>
    </row>
    <row r="9269" spans="13:13">
      <c r="M9269" s="690"/>
    </row>
    <row r="9270" spans="13:13">
      <c r="M9270" s="690"/>
    </row>
    <row r="9271" spans="13:13">
      <c r="M9271" s="690"/>
    </row>
    <row r="9272" spans="13:13">
      <c r="M9272" s="690"/>
    </row>
    <row r="9273" spans="13:13">
      <c r="M9273" s="690"/>
    </row>
    <row r="9274" spans="13:13">
      <c r="M9274" s="690"/>
    </row>
    <row r="9275" spans="13:13">
      <c r="M9275" s="690"/>
    </row>
    <row r="9276" spans="13:13">
      <c r="M9276" s="690"/>
    </row>
    <row r="9277" spans="13:13">
      <c r="M9277" s="690"/>
    </row>
    <row r="9278" spans="13:13">
      <c r="M9278" s="690"/>
    </row>
    <row r="9279" spans="13:13">
      <c r="M9279" s="690"/>
    </row>
    <row r="9280" spans="13:13">
      <c r="M9280" s="690"/>
    </row>
    <row r="9281" spans="13:13">
      <c r="M9281" s="690"/>
    </row>
    <row r="9282" spans="13:13">
      <c r="M9282" s="690"/>
    </row>
    <row r="9283" spans="13:13">
      <c r="M9283" s="690"/>
    </row>
    <row r="9284" spans="13:13">
      <c r="M9284" s="690"/>
    </row>
    <row r="9285" spans="13:13">
      <c r="M9285" s="690"/>
    </row>
    <row r="9286" spans="13:13">
      <c r="M9286" s="690"/>
    </row>
    <row r="9287" spans="13:13">
      <c r="M9287" s="690"/>
    </row>
    <row r="9288" spans="13:13">
      <c r="M9288" s="690"/>
    </row>
    <row r="9289" spans="13:13">
      <c r="M9289" s="690"/>
    </row>
    <row r="9290" spans="13:13">
      <c r="M9290" s="690"/>
    </row>
    <row r="9291" spans="13:13">
      <c r="M9291" s="690"/>
    </row>
    <row r="9292" spans="13:13">
      <c r="M9292" s="690"/>
    </row>
    <row r="9293" spans="13:13">
      <c r="M9293" s="690"/>
    </row>
    <row r="9294" spans="13:13">
      <c r="M9294" s="690"/>
    </row>
    <row r="9295" spans="13:13">
      <c r="M9295" s="690"/>
    </row>
    <row r="9296" spans="13:13">
      <c r="M9296" s="690"/>
    </row>
    <row r="9297" spans="13:13">
      <c r="M9297" s="690"/>
    </row>
    <row r="9298" spans="13:13">
      <c r="M9298" s="690"/>
    </row>
    <row r="9299" spans="13:13">
      <c r="M9299" s="690"/>
    </row>
    <row r="9300" spans="13:13">
      <c r="M9300" s="690"/>
    </row>
    <row r="9301" spans="13:13">
      <c r="M9301" s="690"/>
    </row>
    <row r="9302" spans="13:13">
      <c r="M9302" s="690"/>
    </row>
    <row r="9303" spans="13:13">
      <c r="M9303" s="690"/>
    </row>
    <row r="9304" spans="13:13">
      <c r="M9304" s="690"/>
    </row>
    <row r="9305" spans="13:13">
      <c r="M9305" s="690"/>
    </row>
    <row r="9306" spans="13:13">
      <c r="M9306" s="690"/>
    </row>
    <row r="9307" spans="13:13">
      <c r="M9307" s="690"/>
    </row>
    <row r="9308" spans="13:13">
      <c r="M9308" s="690"/>
    </row>
    <row r="9309" spans="13:13">
      <c r="M9309" s="690"/>
    </row>
    <row r="9310" spans="13:13">
      <c r="M9310" s="690"/>
    </row>
    <row r="9311" spans="13:13">
      <c r="M9311" s="690"/>
    </row>
    <row r="9312" spans="13:13">
      <c r="M9312" s="690"/>
    </row>
    <row r="9313" spans="13:13">
      <c r="M9313" s="690"/>
    </row>
    <row r="9314" spans="13:13">
      <c r="M9314" s="690"/>
    </row>
    <row r="9315" spans="13:13">
      <c r="M9315" s="690"/>
    </row>
    <row r="9316" spans="13:13">
      <c r="M9316" s="690"/>
    </row>
    <row r="9317" spans="13:13">
      <c r="M9317" s="690"/>
    </row>
    <row r="9318" spans="13:13">
      <c r="M9318" s="690"/>
    </row>
    <row r="9319" spans="13:13">
      <c r="M9319" s="690"/>
    </row>
    <row r="9320" spans="13:13">
      <c r="M9320" s="690"/>
    </row>
    <row r="9321" spans="13:13">
      <c r="M9321" s="690"/>
    </row>
    <row r="9322" spans="13:13">
      <c r="M9322" s="690"/>
    </row>
    <row r="9323" spans="13:13">
      <c r="M9323" s="690"/>
    </row>
    <row r="9324" spans="13:13">
      <c r="M9324" s="690"/>
    </row>
    <row r="9325" spans="13:13">
      <c r="M9325" s="690"/>
    </row>
    <row r="9326" spans="13:13">
      <c r="M9326" s="690"/>
    </row>
    <row r="9327" spans="13:13">
      <c r="M9327" s="690"/>
    </row>
    <row r="9328" spans="13:13">
      <c r="M9328" s="690"/>
    </row>
    <row r="9329" spans="13:13">
      <c r="M9329" s="690"/>
    </row>
    <row r="9330" spans="13:13">
      <c r="M9330" s="690"/>
    </row>
    <row r="9331" spans="13:13">
      <c r="M9331" s="690"/>
    </row>
    <row r="9332" spans="13:13">
      <c r="M9332" s="690"/>
    </row>
    <row r="9333" spans="13:13">
      <c r="M9333" s="690"/>
    </row>
    <row r="9334" spans="13:13">
      <c r="M9334" s="690"/>
    </row>
    <row r="9335" spans="13:13">
      <c r="M9335" s="690"/>
    </row>
    <row r="9336" spans="13:13">
      <c r="M9336" s="690"/>
    </row>
    <row r="9337" spans="13:13">
      <c r="M9337" s="690"/>
    </row>
    <row r="9338" spans="13:13">
      <c r="M9338" s="690"/>
    </row>
    <row r="9339" spans="13:13">
      <c r="M9339" s="690"/>
    </row>
    <row r="9340" spans="13:13">
      <c r="M9340" s="690"/>
    </row>
    <row r="9341" spans="13:13">
      <c r="M9341" s="690"/>
    </row>
    <row r="9342" spans="13:13">
      <c r="M9342" s="690"/>
    </row>
    <row r="9343" spans="13:13">
      <c r="M9343" s="690"/>
    </row>
    <row r="9344" spans="13:13">
      <c r="M9344" s="690"/>
    </row>
    <row r="9345" spans="13:13">
      <c r="M9345" s="690"/>
    </row>
    <row r="9346" spans="13:13">
      <c r="M9346" s="690"/>
    </row>
    <row r="9347" spans="13:13">
      <c r="M9347" s="690"/>
    </row>
    <row r="9348" spans="13:13">
      <c r="M9348" s="690"/>
    </row>
    <row r="9349" spans="13:13">
      <c r="M9349" s="690"/>
    </row>
    <row r="9350" spans="13:13">
      <c r="M9350" s="690"/>
    </row>
    <row r="9351" spans="13:13">
      <c r="M9351" s="690"/>
    </row>
    <row r="9352" spans="13:13">
      <c r="M9352" s="690"/>
    </row>
    <row r="9353" spans="13:13">
      <c r="M9353" s="690"/>
    </row>
    <row r="9354" spans="13:13">
      <c r="M9354" s="690"/>
    </row>
    <row r="9355" spans="13:13">
      <c r="M9355" s="690"/>
    </row>
    <row r="9356" spans="13:13">
      <c r="M9356" s="690"/>
    </row>
    <row r="9357" spans="13:13">
      <c r="M9357" s="690"/>
    </row>
    <row r="9358" spans="13:13">
      <c r="M9358" s="690"/>
    </row>
    <row r="9359" spans="13:13">
      <c r="M9359" s="690"/>
    </row>
    <row r="9360" spans="13:13">
      <c r="M9360" s="690"/>
    </row>
    <row r="9361" spans="13:13">
      <c r="M9361" s="690"/>
    </row>
    <row r="9362" spans="13:13">
      <c r="M9362" s="690"/>
    </row>
    <row r="9363" spans="13:13">
      <c r="M9363" s="690"/>
    </row>
    <row r="9364" spans="13:13">
      <c r="M9364" s="690"/>
    </row>
    <row r="9365" spans="13:13">
      <c r="M9365" s="690"/>
    </row>
    <row r="9366" spans="13:13">
      <c r="M9366" s="690"/>
    </row>
    <row r="9367" spans="13:13">
      <c r="M9367" s="690"/>
    </row>
    <row r="9368" spans="13:13">
      <c r="M9368" s="690"/>
    </row>
    <row r="9369" spans="13:13">
      <c r="M9369" s="690"/>
    </row>
    <row r="9370" spans="13:13">
      <c r="M9370" s="690"/>
    </row>
    <row r="9371" spans="13:13">
      <c r="M9371" s="690"/>
    </row>
    <row r="9372" spans="13:13">
      <c r="M9372" s="690"/>
    </row>
    <row r="9373" spans="13:13">
      <c r="M9373" s="690"/>
    </row>
    <row r="9374" spans="13:13">
      <c r="M9374" s="690"/>
    </row>
    <row r="9375" spans="13:13">
      <c r="M9375" s="690"/>
    </row>
    <row r="9376" spans="13:13">
      <c r="M9376" s="690"/>
    </row>
    <row r="9377" spans="13:13">
      <c r="M9377" s="690"/>
    </row>
    <row r="9378" spans="13:13">
      <c r="M9378" s="690"/>
    </row>
    <row r="9379" spans="13:13">
      <c r="M9379" s="690"/>
    </row>
    <row r="9380" spans="13:13">
      <c r="M9380" s="690"/>
    </row>
    <row r="9381" spans="13:13">
      <c r="M9381" s="690"/>
    </row>
    <row r="9382" spans="13:13">
      <c r="M9382" s="690"/>
    </row>
    <row r="9383" spans="13:13">
      <c r="M9383" s="690"/>
    </row>
    <row r="9384" spans="13:13">
      <c r="M9384" s="690"/>
    </row>
    <row r="9385" spans="13:13">
      <c r="M9385" s="690"/>
    </row>
    <row r="9386" spans="13:13">
      <c r="M9386" s="690"/>
    </row>
    <row r="9387" spans="13:13">
      <c r="M9387" s="690"/>
    </row>
    <row r="9388" spans="13:13">
      <c r="M9388" s="690"/>
    </row>
    <row r="9389" spans="13:13">
      <c r="M9389" s="690"/>
    </row>
    <row r="9390" spans="13:13">
      <c r="M9390" s="690"/>
    </row>
    <row r="9391" spans="13:13">
      <c r="M9391" s="690"/>
    </row>
    <row r="9392" spans="13:13">
      <c r="M9392" s="690"/>
    </row>
    <row r="9393" spans="13:13">
      <c r="M9393" s="690"/>
    </row>
    <row r="9394" spans="13:13">
      <c r="M9394" s="690"/>
    </row>
    <row r="9395" spans="13:13">
      <c r="M9395" s="690"/>
    </row>
    <row r="9396" spans="13:13">
      <c r="M9396" s="690"/>
    </row>
    <row r="9397" spans="13:13">
      <c r="M9397" s="690"/>
    </row>
    <row r="9398" spans="13:13">
      <c r="M9398" s="690"/>
    </row>
    <row r="9399" spans="13:13">
      <c r="M9399" s="690"/>
    </row>
    <row r="9400" spans="13:13">
      <c r="M9400" s="690"/>
    </row>
    <row r="9401" spans="13:13">
      <c r="M9401" s="690"/>
    </row>
    <row r="9402" spans="13:13">
      <c r="M9402" s="690"/>
    </row>
    <row r="9403" spans="13:13">
      <c r="M9403" s="690"/>
    </row>
    <row r="9404" spans="13:13">
      <c r="M9404" s="690"/>
    </row>
    <row r="9405" spans="13:13">
      <c r="M9405" s="690"/>
    </row>
    <row r="9406" spans="13:13">
      <c r="M9406" s="690"/>
    </row>
    <row r="9407" spans="13:13">
      <c r="M9407" s="690"/>
    </row>
    <row r="9408" spans="13:13">
      <c r="M9408" s="690"/>
    </row>
    <row r="9409" spans="13:13">
      <c r="M9409" s="690"/>
    </row>
    <row r="9410" spans="13:13">
      <c r="M9410" s="690"/>
    </row>
    <row r="9411" spans="13:13">
      <c r="M9411" s="690"/>
    </row>
    <row r="9412" spans="13:13">
      <c r="M9412" s="690"/>
    </row>
    <row r="9413" spans="13:13">
      <c r="M9413" s="690"/>
    </row>
    <row r="9414" spans="13:13">
      <c r="M9414" s="690"/>
    </row>
    <row r="9415" spans="13:13">
      <c r="M9415" s="690"/>
    </row>
    <row r="9416" spans="13:13">
      <c r="M9416" s="690"/>
    </row>
    <row r="9417" spans="13:13">
      <c r="M9417" s="690"/>
    </row>
    <row r="9418" spans="13:13">
      <c r="M9418" s="690"/>
    </row>
    <row r="9419" spans="13:13">
      <c r="M9419" s="690"/>
    </row>
    <row r="9420" spans="13:13">
      <c r="M9420" s="690"/>
    </row>
    <row r="9421" spans="13:13">
      <c r="M9421" s="690"/>
    </row>
    <row r="9422" spans="13:13">
      <c r="M9422" s="690"/>
    </row>
    <row r="9423" spans="13:13">
      <c r="M9423" s="690"/>
    </row>
    <row r="9424" spans="13:13">
      <c r="M9424" s="690"/>
    </row>
    <row r="9425" spans="13:13">
      <c r="M9425" s="690"/>
    </row>
    <row r="9426" spans="13:13">
      <c r="M9426" s="690"/>
    </row>
    <row r="9427" spans="13:13">
      <c r="M9427" s="690"/>
    </row>
    <row r="9428" spans="13:13">
      <c r="M9428" s="690"/>
    </row>
    <row r="9429" spans="13:13">
      <c r="M9429" s="690"/>
    </row>
    <row r="9430" spans="13:13">
      <c r="M9430" s="690"/>
    </row>
    <row r="9431" spans="13:13">
      <c r="M9431" s="690"/>
    </row>
    <row r="9432" spans="13:13">
      <c r="M9432" s="690"/>
    </row>
    <row r="9433" spans="13:13">
      <c r="M9433" s="690"/>
    </row>
    <row r="9434" spans="13:13">
      <c r="M9434" s="690"/>
    </row>
    <row r="9435" spans="13:13">
      <c r="M9435" s="690"/>
    </row>
    <row r="9436" spans="13:13">
      <c r="M9436" s="690"/>
    </row>
    <row r="9437" spans="13:13">
      <c r="M9437" s="690"/>
    </row>
    <row r="9438" spans="13:13">
      <c r="M9438" s="690"/>
    </row>
    <row r="9439" spans="13:13">
      <c r="M9439" s="690"/>
    </row>
    <row r="9440" spans="13:13">
      <c r="M9440" s="690"/>
    </row>
    <row r="9441" spans="13:13">
      <c r="M9441" s="690"/>
    </row>
    <row r="9442" spans="13:13">
      <c r="M9442" s="690"/>
    </row>
    <row r="9443" spans="13:13">
      <c r="M9443" s="690"/>
    </row>
    <row r="9444" spans="13:13">
      <c r="M9444" s="690"/>
    </row>
    <row r="9445" spans="13:13">
      <c r="M9445" s="690"/>
    </row>
    <row r="9446" spans="13:13">
      <c r="M9446" s="690"/>
    </row>
    <row r="9447" spans="13:13">
      <c r="M9447" s="690"/>
    </row>
    <row r="9448" spans="13:13">
      <c r="M9448" s="690"/>
    </row>
    <row r="9449" spans="13:13">
      <c r="M9449" s="690"/>
    </row>
    <row r="9450" spans="13:13">
      <c r="M9450" s="690"/>
    </row>
    <row r="9451" spans="13:13">
      <c r="M9451" s="690"/>
    </row>
    <row r="9452" spans="13:13">
      <c r="M9452" s="690"/>
    </row>
    <row r="9453" spans="13:13">
      <c r="M9453" s="690"/>
    </row>
    <row r="9454" spans="13:13">
      <c r="M9454" s="690"/>
    </row>
    <row r="9455" spans="13:13">
      <c r="M9455" s="690"/>
    </row>
    <row r="9456" spans="13:13">
      <c r="M9456" s="690"/>
    </row>
    <row r="9457" spans="13:13">
      <c r="M9457" s="690"/>
    </row>
    <row r="9458" spans="13:13">
      <c r="M9458" s="690"/>
    </row>
    <row r="9459" spans="13:13">
      <c r="M9459" s="690"/>
    </row>
    <row r="9460" spans="13:13">
      <c r="M9460" s="690"/>
    </row>
    <row r="9461" spans="13:13">
      <c r="M9461" s="690"/>
    </row>
    <row r="9462" spans="13:13">
      <c r="M9462" s="690"/>
    </row>
    <row r="9463" spans="13:13">
      <c r="M9463" s="690"/>
    </row>
    <row r="9464" spans="13:13">
      <c r="M9464" s="690"/>
    </row>
    <row r="9465" spans="13:13">
      <c r="M9465" s="690"/>
    </row>
    <row r="9466" spans="13:13">
      <c r="M9466" s="690"/>
    </row>
    <row r="9467" spans="13:13">
      <c r="M9467" s="690"/>
    </row>
    <row r="9468" spans="13:13">
      <c r="M9468" s="690"/>
    </row>
    <row r="9469" spans="13:13">
      <c r="M9469" s="690"/>
    </row>
    <row r="9470" spans="13:13">
      <c r="M9470" s="690"/>
    </row>
    <row r="9471" spans="13:13">
      <c r="M9471" s="690"/>
    </row>
    <row r="9472" spans="13:13">
      <c r="M9472" s="690"/>
    </row>
    <row r="9473" spans="13:13">
      <c r="M9473" s="690"/>
    </row>
    <row r="9474" spans="13:13">
      <c r="M9474" s="690"/>
    </row>
    <row r="9475" spans="13:13">
      <c r="M9475" s="690"/>
    </row>
    <row r="9476" spans="13:13">
      <c r="M9476" s="690"/>
    </row>
    <row r="9477" spans="13:13">
      <c r="M9477" s="690"/>
    </row>
    <row r="9478" spans="13:13">
      <c r="M9478" s="690"/>
    </row>
    <row r="9479" spans="13:13">
      <c r="M9479" s="690"/>
    </row>
    <row r="9480" spans="13:13">
      <c r="M9480" s="690"/>
    </row>
    <row r="9481" spans="13:13">
      <c r="M9481" s="690"/>
    </row>
    <row r="9482" spans="13:13">
      <c r="M9482" s="690"/>
    </row>
    <row r="9483" spans="13:13">
      <c r="M9483" s="690"/>
    </row>
    <row r="9484" spans="13:13">
      <c r="M9484" s="690"/>
    </row>
    <row r="9485" spans="13:13">
      <c r="M9485" s="690"/>
    </row>
    <row r="9486" spans="13:13">
      <c r="M9486" s="690"/>
    </row>
    <row r="9487" spans="13:13">
      <c r="M9487" s="690"/>
    </row>
    <row r="9488" spans="13:13">
      <c r="M9488" s="690"/>
    </row>
    <row r="9489" spans="13:13">
      <c r="M9489" s="690"/>
    </row>
    <row r="9490" spans="13:13">
      <c r="M9490" s="690"/>
    </row>
    <row r="9491" spans="13:13">
      <c r="M9491" s="690"/>
    </row>
    <row r="9492" spans="13:13">
      <c r="M9492" s="690"/>
    </row>
    <row r="9493" spans="13:13">
      <c r="M9493" s="690"/>
    </row>
    <row r="9494" spans="13:13">
      <c r="M9494" s="690"/>
    </row>
    <row r="9495" spans="13:13">
      <c r="M9495" s="690"/>
    </row>
    <row r="9496" spans="13:13">
      <c r="M9496" s="690"/>
    </row>
    <row r="9497" spans="13:13">
      <c r="M9497" s="690"/>
    </row>
    <row r="9498" spans="13:13">
      <c r="M9498" s="690"/>
    </row>
    <row r="9499" spans="13:13">
      <c r="M9499" s="690"/>
    </row>
    <row r="9500" spans="13:13">
      <c r="M9500" s="690"/>
    </row>
    <row r="9501" spans="13:13">
      <c r="M9501" s="690"/>
    </row>
    <row r="9502" spans="13:13">
      <c r="M9502" s="690"/>
    </row>
    <row r="9503" spans="13:13">
      <c r="M9503" s="690"/>
    </row>
    <row r="9504" spans="13:13">
      <c r="M9504" s="690"/>
    </row>
    <row r="9505" spans="13:13">
      <c r="M9505" s="690"/>
    </row>
    <row r="9506" spans="13:13">
      <c r="M9506" s="690"/>
    </row>
    <row r="9507" spans="13:13">
      <c r="M9507" s="690"/>
    </row>
    <row r="9508" spans="13:13">
      <c r="M9508" s="690"/>
    </row>
    <row r="9509" spans="13:13">
      <c r="M9509" s="690"/>
    </row>
    <row r="9510" spans="13:13">
      <c r="M9510" s="690"/>
    </row>
    <row r="9511" spans="13:13">
      <c r="M9511" s="690"/>
    </row>
    <row r="9512" spans="13:13">
      <c r="M9512" s="690"/>
    </row>
    <row r="9513" spans="13:13">
      <c r="M9513" s="690"/>
    </row>
    <row r="9514" spans="13:13">
      <c r="M9514" s="690"/>
    </row>
    <row r="9515" spans="13:13">
      <c r="M9515" s="690"/>
    </row>
    <row r="9516" spans="13:13">
      <c r="M9516" s="690"/>
    </row>
    <row r="9517" spans="13:13">
      <c r="M9517" s="690"/>
    </row>
    <row r="9518" spans="13:13">
      <c r="M9518" s="690"/>
    </row>
    <row r="9519" spans="13:13">
      <c r="M9519" s="690"/>
    </row>
    <row r="9520" spans="13:13">
      <c r="M9520" s="690"/>
    </row>
    <row r="9521" spans="13:13">
      <c r="M9521" s="690"/>
    </row>
    <row r="9522" spans="13:13">
      <c r="M9522" s="690"/>
    </row>
    <row r="9523" spans="13:13">
      <c r="M9523" s="690"/>
    </row>
    <row r="9524" spans="13:13">
      <c r="M9524" s="690"/>
    </row>
    <row r="9525" spans="13:13">
      <c r="M9525" s="690"/>
    </row>
    <row r="9526" spans="13:13">
      <c r="M9526" s="690"/>
    </row>
    <row r="9527" spans="13:13">
      <c r="M9527" s="690"/>
    </row>
    <row r="9528" spans="13:13">
      <c r="M9528" s="690"/>
    </row>
    <row r="9529" spans="13:13">
      <c r="M9529" s="690"/>
    </row>
    <row r="9530" spans="13:13">
      <c r="M9530" s="690"/>
    </row>
    <row r="9531" spans="13:13">
      <c r="M9531" s="690"/>
    </row>
    <row r="9532" spans="13:13">
      <c r="M9532" s="690"/>
    </row>
    <row r="9533" spans="13:13">
      <c r="M9533" s="690"/>
    </row>
    <row r="9534" spans="13:13">
      <c r="M9534" s="690"/>
    </row>
    <row r="9535" spans="13:13">
      <c r="M9535" s="690"/>
    </row>
    <row r="9536" spans="13:13">
      <c r="M9536" s="690"/>
    </row>
    <row r="9537" spans="13:13">
      <c r="M9537" s="690"/>
    </row>
    <row r="9538" spans="13:13">
      <c r="M9538" s="690"/>
    </row>
    <row r="9539" spans="13:13">
      <c r="M9539" s="690"/>
    </row>
    <row r="9540" spans="13:13">
      <c r="M9540" s="690"/>
    </row>
    <row r="9541" spans="13:13">
      <c r="M9541" s="690"/>
    </row>
    <row r="9542" spans="13:13">
      <c r="M9542" s="690"/>
    </row>
    <row r="9543" spans="13:13">
      <c r="M9543" s="690"/>
    </row>
    <row r="9544" spans="13:13">
      <c r="M9544" s="690"/>
    </row>
    <row r="9545" spans="13:13">
      <c r="M9545" s="690"/>
    </row>
    <row r="9546" spans="13:13">
      <c r="M9546" s="690"/>
    </row>
    <row r="9547" spans="13:13">
      <c r="M9547" s="690"/>
    </row>
    <row r="9548" spans="13:13">
      <c r="M9548" s="690"/>
    </row>
    <row r="9549" spans="13:13">
      <c r="M9549" s="690"/>
    </row>
    <row r="9550" spans="13:13">
      <c r="M9550" s="690"/>
    </row>
    <row r="9551" spans="13:13">
      <c r="M9551" s="690"/>
    </row>
    <row r="9552" spans="13:13">
      <c r="M9552" s="690"/>
    </row>
    <row r="9553" spans="13:13">
      <c r="M9553" s="690"/>
    </row>
    <row r="9554" spans="13:13">
      <c r="M9554" s="690"/>
    </row>
    <row r="9555" spans="13:13">
      <c r="M9555" s="690"/>
    </row>
    <row r="9556" spans="13:13">
      <c r="M9556" s="690"/>
    </row>
    <row r="9557" spans="13:13">
      <c r="M9557" s="690"/>
    </row>
    <row r="9558" spans="13:13">
      <c r="M9558" s="690"/>
    </row>
    <row r="9559" spans="13:13">
      <c r="M9559" s="690"/>
    </row>
    <row r="9560" spans="13:13">
      <c r="M9560" s="690"/>
    </row>
    <row r="9561" spans="13:13">
      <c r="M9561" s="690"/>
    </row>
    <row r="9562" spans="13:13">
      <c r="M9562" s="690"/>
    </row>
    <row r="9563" spans="13:13">
      <c r="M9563" s="690"/>
    </row>
    <row r="9564" spans="13:13">
      <c r="M9564" s="690"/>
    </row>
    <row r="9565" spans="13:13">
      <c r="M9565" s="690"/>
    </row>
    <row r="9566" spans="13:13">
      <c r="M9566" s="690"/>
    </row>
    <row r="9567" spans="13:13">
      <c r="M9567" s="690"/>
    </row>
    <row r="9568" spans="13:13">
      <c r="M9568" s="690"/>
    </row>
    <row r="9569" spans="13:13">
      <c r="M9569" s="690"/>
    </row>
    <row r="9570" spans="13:13">
      <c r="M9570" s="690"/>
    </row>
    <row r="9571" spans="13:13">
      <c r="M9571" s="690"/>
    </row>
    <row r="9572" spans="13:13">
      <c r="M9572" s="690"/>
    </row>
    <row r="9573" spans="13:13">
      <c r="M9573" s="690"/>
    </row>
    <row r="9574" spans="13:13">
      <c r="M9574" s="690"/>
    </row>
    <row r="9575" spans="13:13">
      <c r="M9575" s="690"/>
    </row>
    <row r="9576" spans="13:13">
      <c r="M9576" s="690"/>
    </row>
    <row r="9577" spans="13:13">
      <c r="M9577" s="690"/>
    </row>
    <row r="9578" spans="13:13">
      <c r="M9578" s="690"/>
    </row>
    <row r="9579" spans="13:13">
      <c r="M9579" s="690"/>
    </row>
    <row r="9580" spans="13:13">
      <c r="M9580" s="690"/>
    </row>
    <row r="9581" spans="13:13">
      <c r="M9581" s="690"/>
    </row>
    <row r="9582" spans="13:13">
      <c r="M9582" s="690"/>
    </row>
    <row r="9583" spans="13:13">
      <c r="M9583" s="690"/>
    </row>
    <row r="9584" spans="13:13">
      <c r="M9584" s="690"/>
    </row>
    <row r="9585" spans="13:13">
      <c r="M9585" s="690"/>
    </row>
    <row r="9586" spans="13:13">
      <c r="M9586" s="690"/>
    </row>
    <row r="9587" spans="13:13">
      <c r="M9587" s="690"/>
    </row>
    <row r="9588" spans="13:13">
      <c r="M9588" s="690"/>
    </row>
    <row r="9589" spans="13:13">
      <c r="M9589" s="690"/>
    </row>
    <row r="9590" spans="13:13">
      <c r="M9590" s="690"/>
    </row>
    <row r="9591" spans="13:13">
      <c r="M9591" s="690"/>
    </row>
    <row r="9592" spans="13:13">
      <c r="M9592" s="690"/>
    </row>
    <row r="9593" spans="13:13">
      <c r="M9593" s="690"/>
    </row>
    <row r="9594" spans="13:13">
      <c r="M9594" s="690"/>
    </row>
    <row r="9595" spans="13:13">
      <c r="M9595" s="690"/>
    </row>
    <row r="9596" spans="13:13">
      <c r="M9596" s="690"/>
    </row>
    <row r="9597" spans="13:13">
      <c r="M9597" s="690"/>
    </row>
    <row r="9598" spans="13:13">
      <c r="M9598" s="690"/>
    </row>
    <row r="9599" spans="13:13">
      <c r="M9599" s="690"/>
    </row>
    <row r="9600" spans="13:13">
      <c r="M9600" s="690"/>
    </row>
    <row r="9601" spans="13:13">
      <c r="M9601" s="690"/>
    </row>
    <row r="9602" spans="13:13">
      <c r="M9602" s="690"/>
    </row>
    <row r="9603" spans="13:13">
      <c r="M9603" s="690"/>
    </row>
    <row r="9604" spans="13:13">
      <c r="M9604" s="690"/>
    </row>
    <row r="9605" spans="13:13">
      <c r="M9605" s="690"/>
    </row>
    <row r="9606" spans="13:13">
      <c r="M9606" s="690"/>
    </row>
    <row r="9607" spans="13:13">
      <c r="M9607" s="690"/>
    </row>
    <row r="9608" spans="13:13">
      <c r="M9608" s="690"/>
    </row>
    <row r="9609" spans="13:13">
      <c r="M9609" s="690"/>
    </row>
    <row r="9610" spans="13:13">
      <c r="M9610" s="690"/>
    </row>
    <row r="9611" spans="13:13">
      <c r="M9611" s="690"/>
    </row>
    <row r="9612" spans="13:13">
      <c r="M9612" s="690"/>
    </row>
    <row r="9613" spans="13:13">
      <c r="M9613" s="690"/>
    </row>
    <row r="9614" spans="13:13">
      <c r="M9614" s="690"/>
    </row>
    <row r="9615" spans="13:13">
      <c r="M9615" s="690"/>
    </row>
    <row r="9616" spans="13:13">
      <c r="M9616" s="690"/>
    </row>
    <row r="9617" spans="13:13">
      <c r="M9617" s="690"/>
    </row>
    <row r="9618" spans="13:13">
      <c r="M9618" s="690"/>
    </row>
    <row r="9619" spans="13:13">
      <c r="M9619" s="690"/>
    </row>
    <row r="9620" spans="13:13">
      <c r="M9620" s="690"/>
    </row>
    <row r="9621" spans="13:13">
      <c r="M9621" s="690"/>
    </row>
    <row r="9622" spans="13:13">
      <c r="M9622" s="690"/>
    </row>
    <row r="9623" spans="13:13">
      <c r="M9623" s="690"/>
    </row>
    <row r="9624" spans="13:13">
      <c r="M9624" s="690"/>
    </row>
    <row r="9625" spans="13:13">
      <c r="M9625" s="690"/>
    </row>
    <row r="9626" spans="13:13">
      <c r="M9626" s="690"/>
    </row>
    <row r="9627" spans="13:13">
      <c r="M9627" s="690"/>
    </row>
    <row r="9628" spans="13:13">
      <c r="M9628" s="690"/>
    </row>
    <row r="9629" spans="13:13">
      <c r="M9629" s="690"/>
    </row>
    <row r="9630" spans="13:13">
      <c r="M9630" s="690"/>
    </row>
    <row r="9631" spans="13:13">
      <c r="M9631" s="690"/>
    </row>
    <row r="9632" spans="13:13">
      <c r="M9632" s="690"/>
    </row>
    <row r="9633" spans="13:13">
      <c r="M9633" s="690"/>
    </row>
    <row r="9634" spans="13:13">
      <c r="M9634" s="690"/>
    </row>
    <row r="9635" spans="13:13">
      <c r="M9635" s="690"/>
    </row>
    <row r="9636" spans="13:13">
      <c r="M9636" s="690"/>
    </row>
    <row r="9637" spans="13:13">
      <c r="M9637" s="690"/>
    </row>
    <row r="9638" spans="13:13">
      <c r="M9638" s="690"/>
    </row>
    <row r="9639" spans="13:13">
      <c r="M9639" s="690"/>
    </row>
    <row r="9640" spans="13:13">
      <c r="M9640" s="690"/>
    </row>
    <row r="9641" spans="13:13">
      <c r="M9641" s="690"/>
    </row>
    <row r="9642" spans="13:13">
      <c r="M9642" s="690"/>
    </row>
    <row r="9643" spans="13:13">
      <c r="M9643" s="690"/>
    </row>
    <row r="9644" spans="13:13">
      <c r="M9644" s="690"/>
    </row>
    <row r="9645" spans="13:13">
      <c r="M9645" s="690"/>
    </row>
    <row r="9646" spans="13:13">
      <c r="M9646" s="690"/>
    </row>
    <row r="9647" spans="13:13">
      <c r="M9647" s="690"/>
    </row>
    <row r="9648" spans="13:13">
      <c r="M9648" s="690"/>
    </row>
    <row r="9649" spans="13:13">
      <c r="M9649" s="690"/>
    </row>
    <row r="9650" spans="13:13">
      <c r="M9650" s="690"/>
    </row>
    <row r="9651" spans="13:13">
      <c r="M9651" s="690"/>
    </row>
    <row r="9652" spans="13:13">
      <c r="M9652" s="690"/>
    </row>
    <row r="9653" spans="13:13">
      <c r="M9653" s="690"/>
    </row>
    <row r="9654" spans="13:13">
      <c r="M9654" s="690"/>
    </row>
    <row r="9655" spans="13:13">
      <c r="M9655" s="690"/>
    </row>
    <row r="9656" spans="13:13">
      <c r="M9656" s="690"/>
    </row>
    <row r="9657" spans="13:13">
      <c r="M9657" s="690"/>
    </row>
    <row r="9658" spans="13:13">
      <c r="M9658" s="690"/>
    </row>
    <row r="9659" spans="13:13">
      <c r="M9659" s="690"/>
    </row>
    <row r="9660" spans="13:13">
      <c r="M9660" s="690"/>
    </row>
    <row r="9661" spans="13:13">
      <c r="M9661" s="690"/>
    </row>
    <row r="9662" spans="13:13">
      <c r="M9662" s="690"/>
    </row>
    <row r="9663" spans="13:13">
      <c r="M9663" s="690"/>
    </row>
    <row r="9664" spans="13:13">
      <c r="M9664" s="690"/>
    </row>
    <row r="9665" spans="13:13">
      <c r="M9665" s="690"/>
    </row>
    <row r="9666" spans="13:13">
      <c r="M9666" s="690"/>
    </row>
    <row r="9667" spans="13:13">
      <c r="M9667" s="690"/>
    </row>
    <row r="9668" spans="13:13">
      <c r="M9668" s="690"/>
    </row>
    <row r="9669" spans="13:13">
      <c r="M9669" s="690"/>
    </row>
    <row r="9670" spans="13:13">
      <c r="M9670" s="690"/>
    </row>
    <row r="9671" spans="13:13">
      <c r="M9671" s="690"/>
    </row>
    <row r="9672" spans="13:13">
      <c r="M9672" s="690"/>
    </row>
    <row r="9673" spans="13:13">
      <c r="M9673" s="690"/>
    </row>
    <row r="9674" spans="13:13">
      <c r="M9674" s="690"/>
    </row>
    <row r="9675" spans="13:13">
      <c r="M9675" s="690"/>
    </row>
    <row r="9676" spans="13:13">
      <c r="M9676" s="690"/>
    </row>
    <row r="9677" spans="13:13">
      <c r="M9677" s="690"/>
    </row>
    <row r="9678" spans="13:13">
      <c r="M9678" s="690"/>
    </row>
    <row r="9679" spans="13:13">
      <c r="M9679" s="690"/>
    </row>
    <row r="9680" spans="13:13">
      <c r="M9680" s="690"/>
    </row>
    <row r="9681" spans="13:13">
      <c r="M9681" s="690"/>
    </row>
    <row r="9682" spans="13:13">
      <c r="M9682" s="690"/>
    </row>
    <row r="9683" spans="13:13">
      <c r="M9683" s="690"/>
    </row>
    <row r="9684" spans="13:13">
      <c r="M9684" s="690"/>
    </row>
    <row r="9685" spans="13:13">
      <c r="M9685" s="690"/>
    </row>
    <row r="9686" spans="13:13">
      <c r="M9686" s="690"/>
    </row>
    <row r="9687" spans="13:13">
      <c r="M9687" s="690"/>
    </row>
    <row r="9688" spans="13:13">
      <c r="M9688" s="690"/>
    </row>
    <row r="9689" spans="13:13">
      <c r="M9689" s="690"/>
    </row>
    <row r="9690" spans="13:13">
      <c r="M9690" s="690"/>
    </row>
    <row r="9691" spans="13:13">
      <c r="M9691" s="690"/>
    </row>
    <row r="9692" spans="13:13">
      <c r="M9692" s="690"/>
    </row>
    <row r="9693" spans="13:13">
      <c r="M9693" s="690"/>
    </row>
    <row r="9694" spans="13:13">
      <c r="M9694" s="690"/>
    </row>
    <row r="9695" spans="13:13">
      <c r="M9695" s="690"/>
    </row>
    <row r="9696" spans="13:13">
      <c r="M9696" s="690"/>
    </row>
    <row r="9697" spans="13:13">
      <c r="M9697" s="690"/>
    </row>
    <row r="9698" spans="13:13">
      <c r="M9698" s="690"/>
    </row>
    <row r="9699" spans="13:13">
      <c r="M9699" s="690"/>
    </row>
    <row r="9700" spans="13:13">
      <c r="M9700" s="690"/>
    </row>
    <row r="9701" spans="13:13">
      <c r="M9701" s="690"/>
    </row>
    <row r="9702" spans="13:13">
      <c r="M9702" s="690"/>
    </row>
    <row r="9703" spans="13:13">
      <c r="M9703" s="690"/>
    </row>
    <row r="9704" spans="13:13">
      <c r="M9704" s="690"/>
    </row>
    <row r="9705" spans="13:13">
      <c r="M9705" s="690"/>
    </row>
    <row r="9706" spans="13:13">
      <c r="M9706" s="690"/>
    </row>
    <row r="9707" spans="13:13">
      <c r="M9707" s="690"/>
    </row>
    <row r="9708" spans="13:13">
      <c r="M9708" s="690"/>
    </row>
    <row r="9709" spans="13:13">
      <c r="M9709" s="690"/>
    </row>
    <row r="9710" spans="13:13">
      <c r="M9710" s="690"/>
    </row>
    <row r="9711" spans="13:13">
      <c r="M9711" s="690"/>
    </row>
    <row r="9712" spans="13:13">
      <c r="M9712" s="690"/>
    </row>
    <row r="9713" spans="13:13">
      <c r="M9713" s="690"/>
    </row>
    <row r="9714" spans="13:13">
      <c r="M9714" s="690"/>
    </row>
    <row r="9715" spans="13:13">
      <c r="M9715" s="690"/>
    </row>
    <row r="9716" spans="13:13">
      <c r="M9716" s="690"/>
    </row>
    <row r="9717" spans="13:13">
      <c r="M9717" s="690"/>
    </row>
    <row r="9718" spans="13:13">
      <c r="M9718" s="690"/>
    </row>
    <row r="9719" spans="13:13">
      <c r="M9719" s="690"/>
    </row>
    <row r="9720" spans="13:13">
      <c r="M9720" s="690"/>
    </row>
    <row r="9721" spans="13:13">
      <c r="M9721" s="690"/>
    </row>
    <row r="9722" spans="13:13">
      <c r="M9722" s="690"/>
    </row>
    <row r="9723" spans="13:13">
      <c r="M9723" s="690"/>
    </row>
    <row r="9724" spans="13:13">
      <c r="M9724" s="690"/>
    </row>
    <row r="9725" spans="13:13">
      <c r="M9725" s="690"/>
    </row>
    <row r="9726" spans="13:13">
      <c r="M9726" s="690"/>
    </row>
    <row r="9727" spans="13:13">
      <c r="M9727" s="690"/>
    </row>
    <row r="9728" spans="13:13">
      <c r="M9728" s="690"/>
    </row>
    <row r="9729" spans="13:13">
      <c r="M9729" s="690"/>
    </row>
    <row r="9730" spans="13:13">
      <c r="M9730" s="690"/>
    </row>
    <row r="9731" spans="13:13">
      <c r="M9731" s="690"/>
    </row>
    <row r="9732" spans="13:13">
      <c r="M9732" s="690"/>
    </row>
    <row r="9733" spans="13:13">
      <c r="M9733" s="690"/>
    </row>
    <row r="9734" spans="13:13">
      <c r="M9734" s="690"/>
    </row>
    <row r="9735" spans="13:13">
      <c r="M9735" s="690"/>
    </row>
    <row r="9736" spans="13:13">
      <c r="M9736" s="690"/>
    </row>
    <row r="9737" spans="13:13">
      <c r="M9737" s="690"/>
    </row>
    <row r="9738" spans="13:13">
      <c r="M9738" s="690"/>
    </row>
    <row r="9739" spans="13:13">
      <c r="M9739" s="690"/>
    </row>
    <row r="9740" spans="13:13">
      <c r="M9740" s="690"/>
    </row>
    <row r="9741" spans="13:13">
      <c r="M9741" s="690"/>
    </row>
    <row r="9742" spans="13:13">
      <c r="M9742" s="690"/>
    </row>
    <row r="9743" spans="13:13">
      <c r="M9743" s="690"/>
    </row>
    <row r="9744" spans="13:13">
      <c r="M9744" s="690"/>
    </row>
    <row r="9745" spans="13:13">
      <c r="M9745" s="690"/>
    </row>
    <row r="9746" spans="13:13">
      <c r="M9746" s="690"/>
    </row>
    <row r="9747" spans="13:13">
      <c r="M9747" s="690"/>
    </row>
    <row r="9748" spans="13:13">
      <c r="M9748" s="690"/>
    </row>
    <row r="9749" spans="13:13">
      <c r="M9749" s="690"/>
    </row>
    <row r="9750" spans="13:13">
      <c r="M9750" s="690"/>
    </row>
    <row r="9751" spans="13:13">
      <c r="M9751" s="690"/>
    </row>
    <row r="9752" spans="13:13">
      <c r="M9752" s="690"/>
    </row>
    <row r="9753" spans="13:13">
      <c r="M9753" s="690"/>
    </row>
    <row r="9754" spans="13:13">
      <c r="M9754" s="690"/>
    </row>
    <row r="9755" spans="13:13">
      <c r="M9755" s="690"/>
    </row>
    <row r="9756" spans="13:13">
      <c r="M9756" s="690"/>
    </row>
    <row r="9757" spans="13:13">
      <c r="M9757" s="690"/>
    </row>
    <row r="9758" spans="13:13">
      <c r="M9758" s="690"/>
    </row>
    <row r="9759" spans="13:13">
      <c r="M9759" s="690"/>
    </row>
    <row r="9760" spans="13:13">
      <c r="M9760" s="690"/>
    </row>
    <row r="9761" spans="13:13">
      <c r="M9761" s="690"/>
    </row>
    <row r="9762" spans="13:13">
      <c r="M9762" s="690"/>
    </row>
    <row r="9763" spans="13:13">
      <c r="M9763" s="690"/>
    </row>
    <row r="9764" spans="13:13">
      <c r="M9764" s="690"/>
    </row>
    <row r="9765" spans="13:13">
      <c r="M9765" s="690"/>
    </row>
    <row r="9766" spans="13:13">
      <c r="M9766" s="690"/>
    </row>
    <row r="9767" spans="13:13">
      <c r="M9767" s="690"/>
    </row>
    <row r="9768" spans="13:13">
      <c r="M9768" s="690"/>
    </row>
    <row r="9769" spans="13:13">
      <c r="M9769" s="690"/>
    </row>
    <row r="9770" spans="13:13">
      <c r="M9770" s="690"/>
    </row>
    <row r="9771" spans="13:13">
      <c r="M9771" s="690"/>
    </row>
    <row r="9772" spans="13:13">
      <c r="M9772" s="690"/>
    </row>
    <row r="9773" spans="13:13">
      <c r="M9773" s="690"/>
    </row>
    <row r="9774" spans="13:13">
      <c r="M9774" s="690"/>
    </row>
    <row r="9775" spans="13:13">
      <c r="M9775" s="690"/>
    </row>
    <row r="9776" spans="13:13">
      <c r="M9776" s="690"/>
    </row>
    <row r="9777" spans="13:13">
      <c r="M9777" s="690"/>
    </row>
    <row r="9778" spans="13:13">
      <c r="M9778" s="690"/>
    </row>
    <row r="9779" spans="13:13">
      <c r="M9779" s="690"/>
    </row>
    <row r="9780" spans="13:13">
      <c r="M9780" s="690"/>
    </row>
    <row r="9781" spans="13:13">
      <c r="M9781" s="690"/>
    </row>
    <row r="9782" spans="13:13">
      <c r="M9782" s="690"/>
    </row>
    <row r="9783" spans="13:13">
      <c r="M9783" s="690"/>
    </row>
    <row r="9784" spans="13:13">
      <c r="M9784" s="690"/>
    </row>
    <row r="9785" spans="13:13">
      <c r="M9785" s="690"/>
    </row>
    <row r="9786" spans="13:13">
      <c r="M9786" s="690"/>
    </row>
    <row r="9787" spans="13:13">
      <c r="M9787" s="690"/>
    </row>
    <row r="9788" spans="13:13">
      <c r="M9788" s="690"/>
    </row>
    <row r="9789" spans="13:13">
      <c r="M9789" s="690"/>
    </row>
    <row r="9790" spans="13:13">
      <c r="M9790" s="690"/>
    </row>
    <row r="9791" spans="13:13">
      <c r="M9791" s="690"/>
    </row>
    <row r="9792" spans="13:13">
      <c r="M9792" s="690"/>
    </row>
    <row r="9793" spans="13:13">
      <c r="M9793" s="690"/>
    </row>
    <row r="9794" spans="13:13">
      <c r="M9794" s="690"/>
    </row>
    <row r="9795" spans="13:13">
      <c r="M9795" s="690"/>
    </row>
    <row r="9796" spans="13:13">
      <c r="M9796" s="690"/>
    </row>
    <row r="9797" spans="13:13">
      <c r="M9797" s="690"/>
    </row>
    <row r="9798" spans="13:13">
      <c r="M9798" s="690"/>
    </row>
    <row r="9799" spans="13:13">
      <c r="M9799" s="690"/>
    </row>
    <row r="9800" spans="13:13">
      <c r="M9800" s="690"/>
    </row>
    <row r="9801" spans="13:13">
      <c r="M9801" s="690"/>
    </row>
    <row r="9802" spans="13:13">
      <c r="M9802" s="690"/>
    </row>
    <row r="9803" spans="13:13">
      <c r="M9803" s="690"/>
    </row>
    <row r="9804" spans="13:13">
      <c r="M9804" s="690"/>
    </row>
    <row r="9805" spans="13:13">
      <c r="M9805" s="690"/>
    </row>
    <row r="9806" spans="13:13">
      <c r="M9806" s="690"/>
    </row>
    <row r="9807" spans="13:13">
      <c r="M9807" s="690"/>
    </row>
    <row r="9808" spans="13:13">
      <c r="M9808" s="690"/>
    </row>
    <row r="9809" spans="13:13">
      <c r="M9809" s="690"/>
    </row>
    <row r="9810" spans="13:13">
      <c r="M9810" s="690"/>
    </row>
    <row r="9811" spans="13:13">
      <c r="M9811" s="690"/>
    </row>
    <row r="9812" spans="13:13">
      <c r="M9812" s="690"/>
    </row>
    <row r="9813" spans="13:13">
      <c r="M9813" s="690"/>
    </row>
    <row r="9814" spans="13:13">
      <c r="M9814" s="690"/>
    </row>
    <row r="9815" spans="13:13">
      <c r="M9815" s="690"/>
    </row>
    <row r="9816" spans="13:13">
      <c r="M9816" s="690"/>
    </row>
    <row r="9817" spans="13:13">
      <c r="M9817" s="690"/>
    </row>
    <row r="9818" spans="13:13">
      <c r="M9818" s="690"/>
    </row>
    <row r="9819" spans="13:13">
      <c r="M9819" s="690"/>
    </row>
    <row r="9820" spans="13:13">
      <c r="M9820" s="690"/>
    </row>
    <row r="9821" spans="13:13">
      <c r="M9821" s="690"/>
    </row>
    <row r="9822" spans="13:13">
      <c r="M9822" s="690"/>
    </row>
    <row r="9823" spans="13:13">
      <c r="M9823" s="690"/>
    </row>
    <row r="9824" spans="13:13">
      <c r="M9824" s="690"/>
    </row>
    <row r="9825" spans="13:13">
      <c r="M9825" s="690"/>
    </row>
    <row r="9826" spans="13:13">
      <c r="M9826" s="690"/>
    </row>
    <row r="9827" spans="13:13">
      <c r="M9827" s="690"/>
    </row>
    <row r="9828" spans="13:13">
      <c r="M9828" s="690"/>
    </row>
    <row r="9829" spans="13:13">
      <c r="M9829" s="690"/>
    </row>
    <row r="9830" spans="13:13">
      <c r="M9830" s="690"/>
    </row>
    <row r="9831" spans="13:13">
      <c r="M9831" s="690"/>
    </row>
    <row r="9832" spans="13:13">
      <c r="M9832" s="690"/>
    </row>
    <row r="9833" spans="13:13">
      <c r="M9833" s="690"/>
    </row>
    <row r="9834" spans="13:13">
      <c r="M9834" s="690"/>
    </row>
    <row r="9835" spans="13:13">
      <c r="M9835" s="690"/>
    </row>
    <row r="9836" spans="13:13">
      <c r="M9836" s="690"/>
    </row>
    <row r="9837" spans="13:13">
      <c r="M9837" s="690"/>
    </row>
    <row r="9838" spans="13:13">
      <c r="M9838" s="690"/>
    </row>
    <row r="9839" spans="13:13">
      <c r="M9839" s="690"/>
    </row>
    <row r="9840" spans="13:13">
      <c r="M9840" s="690"/>
    </row>
    <row r="9841" spans="13:13">
      <c r="M9841" s="690"/>
    </row>
    <row r="9842" spans="13:13">
      <c r="M9842" s="690"/>
    </row>
    <row r="9843" spans="13:13">
      <c r="M9843" s="690"/>
    </row>
    <row r="9844" spans="13:13">
      <c r="M9844" s="690"/>
    </row>
    <row r="9845" spans="13:13">
      <c r="M9845" s="690"/>
    </row>
    <row r="9846" spans="13:13">
      <c r="M9846" s="690"/>
    </row>
    <row r="9847" spans="13:13">
      <c r="M9847" s="690"/>
    </row>
    <row r="9848" spans="13:13">
      <c r="M9848" s="690"/>
    </row>
    <row r="9849" spans="13:13">
      <c r="M9849" s="690"/>
    </row>
    <row r="9850" spans="13:13">
      <c r="M9850" s="690"/>
    </row>
    <row r="9851" spans="13:13">
      <c r="M9851" s="690"/>
    </row>
    <row r="9852" spans="13:13">
      <c r="M9852" s="690"/>
    </row>
    <row r="9853" spans="13:13">
      <c r="M9853" s="690"/>
    </row>
    <row r="9854" spans="13:13">
      <c r="M9854" s="690"/>
    </row>
    <row r="9855" spans="13:13">
      <c r="M9855" s="690"/>
    </row>
    <row r="9856" spans="13:13">
      <c r="M9856" s="690"/>
    </row>
    <row r="9857" spans="13:13">
      <c r="M9857" s="690"/>
    </row>
    <row r="9858" spans="13:13">
      <c r="M9858" s="690"/>
    </row>
    <row r="9859" spans="13:13">
      <c r="M9859" s="690"/>
    </row>
    <row r="9860" spans="13:13">
      <c r="M9860" s="690"/>
    </row>
    <row r="9861" spans="13:13">
      <c r="M9861" s="690"/>
    </row>
    <row r="9862" spans="13:13">
      <c r="M9862" s="690"/>
    </row>
    <row r="9863" spans="13:13">
      <c r="M9863" s="690"/>
    </row>
    <row r="9864" spans="13:13">
      <c r="M9864" s="690"/>
    </row>
    <row r="9865" spans="13:13">
      <c r="M9865" s="690"/>
    </row>
    <row r="9866" spans="13:13">
      <c r="M9866" s="690"/>
    </row>
    <row r="9867" spans="13:13">
      <c r="M9867" s="690"/>
    </row>
    <row r="9868" spans="13:13">
      <c r="M9868" s="690"/>
    </row>
    <row r="9869" spans="13:13">
      <c r="M9869" s="690"/>
    </row>
    <row r="9870" spans="13:13">
      <c r="M9870" s="690"/>
    </row>
    <row r="9871" spans="13:13">
      <c r="M9871" s="690"/>
    </row>
    <row r="9872" spans="13:13">
      <c r="M9872" s="690"/>
    </row>
    <row r="9873" spans="13:13">
      <c r="M9873" s="690"/>
    </row>
    <row r="9874" spans="13:13">
      <c r="M9874" s="690"/>
    </row>
    <row r="9875" spans="13:13">
      <c r="M9875" s="690"/>
    </row>
    <row r="9876" spans="13:13">
      <c r="M9876" s="690"/>
    </row>
    <row r="9877" spans="13:13">
      <c r="M9877" s="690"/>
    </row>
    <row r="9878" spans="13:13">
      <c r="M9878" s="690"/>
    </row>
    <row r="9879" spans="13:13">
      <c r="M9879" s="690"/>
    </row>
    <row r="9880" spans="13:13">
      <c r="M9880" s="690"/>
    </row>
    <row r="9881" spans="13:13">
      <c r="M9881" s="690"/>
    </row>
    <row r="9882" spans="13:13">
      <c r="M9882" s="690"/>
    </row>
    <row r="9883" spans="13:13">
      <c r="M9883" s="690"/>
    </row>
    <row r="9884" spans="13:13">
      <c r="M9884" s="690"/>
    </row>
    <row r="9885" spans="13:13">
      <c r="M9885" s="690"/>
    </row>
    <row r="9886" spans="13:13">
      <c r="M9886" s="690"/>
    </row>
    <row r="9887" spans="13:13">
      <c r="M9887" s="690"/>
    </row>
    <row r="9888" spans="13:13">
      <c r="M9888" s="690"/>
    </row>
    <row r="9889" spans="13:13">
      <c r="M9889" s="690"/>
    </row>
    <row r="9890" spans="13:13">
      <c r="M9890" s="690"/>
    </row>
    <row r="9891" spans="13:13">
      <c r="M9891" s="690"/>
    </row>
    <row r="9892" spans="13:13">
      <c r="M9892" s="690"/>
    </row>
    <row r="9893" spans="13:13">
      <c r="M9893" s="690"/>
    </row>
    <row r="9894" spans="13:13">
      <c r="M9894" s="690"/>
    </row>
    <row r="9895" spans="13:13">
      <c r="M9895" s="690"/>
    </row>
    <row r="9896" spans="13:13">
      <c r="M9896" s="690"/>
    </row>
    <row r="9897" spans="13:13">
      <c r="M9897" s="690"/>
    </row>
    <row r="9898" spans="13:13">
      <c r="M9898" s="690"/>
    </row>
    <row r="9899" spans="13:13">
      <c r="M9899" s="690"/>
    </row>
    <row r="9900" spans="13:13">
      <c r="M9900" s="690"/>
    </row>
    <row r="9901" spans="13:13">
      <c r="M9901" s="690"/>
    </row>
    <row r="9902" spans="13:13">
      <c r="M9902" s="690"/>
    </row>
    <row r="9903" spans="13:13">
      <c r="M9903" s="690"/>
    </row>
    <row r="9904" spans="13:13">
      <c r="M9904" s="690"/>
    </row>
    <row r="9905" spans="13:13">
      <c r="M9905" s="690"/>
    </row>
    <row r="9906" spans="13:13">
      <c r="M9906" s="690"/>
    </row>
    <row r="9907" spans="13:13">
      <c r="M9907" s="690"/>
    </row>
    <row r="9908" spans="13:13">
      <c r="M9908" s="690"/>
    </row>
    <row r="9909" spans="13:13">
      <c r="M9909" s="690"/>
    </row>
    <row r="9910" spans="13:13">
      <c r="M9910" s="690"/>
    </row>
    <row r="9911" spans="13:13">
      <c r="M9911" s="690"/>
    </row>
    <row r="9912" spans="13:13">
      <c r="M9912" s="690"/>
    </row>
    <row r="9913" spans="13:13">
      <c r="M9913" s="690"/>
    </row>
    <row r="9914" spans="13:13">
      <c r="M9914" s="690"/>
    </row>
    <row r="9915" spans="13:13">
      <c r="M9915" s="690"/>
    </row>
    <row r="9916" spans="13:13">
      <c r="M9916" s="690"/>
    </row>
    <row r="9917" spans="13:13">
      <c r="M9917" s="690"/>
    </row>
    <row r="9918" spans="13:13">
      <c r="M9918" s="690"/>
    </row>
    <row r="9919" spans="13:13">
      <c r="M9919" s="690"/>
    </row>
    <row r="9920" spans="13:13">
      <c r="M9920" s="690"/>
    </row>
    <row r="9921" spans="13:13">
      <c r="M9921" s="690"/>
    </row>
    <row r="9922" spans="13:13">
      <c r="M9922" s="690"/>
    </row>
    <row r="9923" spans="13:13">
      <c r="M9923" s="690"/>
    </row>
    <row r="9924" spans="13:13">
      <c r="M9924" s="690"/>
    </row>
    <row r="9925" spans="13:13">
      <c r="M9925" s="690"/>
    </row>
    <row r="9926" spans="13:13">
      <c r="M9926" s="690"/>
    </row>
    <row r="9927" spans="13:13">
      <c r="M9927" s="690"/>
    </row>
    <row r="9928" spans="13:13">
      <c r="M9928" s="690"/>
    </row>
    <row r="9929" spans="13:13">
      <c r="M9929" s="690"/>
    </row>
    <row r="9930" spans="13:13">
      <c r="M9930" s="690"/>
    </row>
    <row r="9931" spans="13:13">
      <c r="M9931" s="690"/>
    </row>
    <row r="9932" spans="13:13">
      <c r="M9932" s="690"/>
    </row>
    <row r="9933" spans="13:13">
      <c r="M9933" s="690"/>
    </row>
    <row r="9934" spans="13:13">
      <c r="M9934" s="690"/>
    </row>
    <row r="9935" spans="13:13">
      <c r="M9935" s="690"/>
    </row>
    <row r="9936" spans="13:13">
      <c r="M9936" s="690"/>
    </row>
    <row r="9937" spans="13:13">
      <c r="M9937" s="690"/>
    </row>
    <row r="9938" spans="13:13">
      <c r="M9938" s="690"/>
    </row>
    <row r="9939" spans="13:13">
      <c r="M9939" s="690"/>
    </row>
    <row r="9940" spans="13:13">
      <c r="M9940" s="690"/>
    </row>
    <row r="9941" spans="13:13">
      <c r="M9941" s="690"/>
    </row>
    <row r="9942" spans="13:13">
      <c r="M9942" s="690"/>
    </row>
    <row r="9943" spans="13:13">
      <c r="M9943" s="690"/>
    </row>
    <row r="9944" spans="13:13">
      <c r="M9944" s="690"/>
    </row>
    <row r="9945" spans="13:13">
      <c r="M9945" s="690"/>
    </row>
    <row r="9946" spans="13:13">
      <c r="M9946" s="690"/>
    </row>
    <row r="9947" spans="13:13">
      <c r="M9947" s="690"/>
    </row>
    <row r="9948" spans="13:13">
      <c r="M9948" s="690"/>
    </row>
    <row r="9949" spans="13:13">
      <c r="M9949" s="690"/>
    </row>
    <row r="9950" spans="13:13">
      <c r="M9950" s="690"/>
    </row>
    <row r="9951" spans="13:13">
      <c r="M9951" s="690"/>
    </row>
    <row r="9952" spans="13:13">
      <c r="M9952" s="690"/>
    </row>
    <row r="9953" spans="13:13">
      <c r="M9953" s="690"/>
    </row>
    <row r="9954" spans="13:13">
      <c r="M9954" s="690"/>
    </row>
    <row r="9955" spans="13:13">
      <c r="M9955" s="690"/>
    </row>
    <row r="9956" spans="13:13">
      <c r="M9956" s="690"/>
    </row>
    <row r="9957" spans="13:13">
      <c r="M9957" s="690"/>
    </row>
    <row r="9958" spans="13:13">
      <c r="M9958" s="690"/>
    </row>
    <row r="9959" spans="13:13">
      <c r="M9959" s="690"/>
    </row>
    <row r="9960" spans="13:13">
      <c r="M9960" s="690"/>
    </row>
    <row r="9961" spans="13:13">
      <c r="M9961" s="690"/>
    </row>
    <row r="9962" spans="13:13">
      <c r="M9962" s="690"/>
    </row>
    <row r="9963" spans="13:13">
      <c r="M9963" s="690"/>
    </row>
    <row r="9964" spans="13:13">
      <c r="M9964" s="690"/>
    </row>
    <row r="9965" spans="13:13">
      <c r="M9965" s="690"/>
    </row>
    <row r="9966" spans="13:13">
      <c r="M9966" s="690"/>
    </row>
    <row r="9967" spans="13:13">
      <c r="M9967" s="690"/>
    </row>
    <row r="9968" spans="13:13">
      <c r="M9968" s="690"/>
    </row>
    <row r="9969" spans="13:13">
      <c r="M9969" s="690"/>
    </row>
    <row r="9970" spans="13:13">
      <c r="M9970" s="690"/>
    </row>
    <row r="9971" spans="13:13">
      <c r="M9971" s="690"/>
    </row>
    <row r="9972" spans="13:13">
      <c r="M9972" s="690"/>
    </row>
    <row r="9973" spans="13:13">
      <c r="M9973" s="690"/>
    </row>
    <row r="9974" spans="13:13">
      <c r="M9974" s="690"/>
    </row>
    <row r="9975" spans="13:13">
      <c r="M9975" s="690"/>
    </row>
    <row r="9976" spans="13:13">
      <c r="M9976" s="690"/>
    </row>
    <row r="9977" spans="13:13">
      <c r="M9977" s="690"/>
    </row>
    <row r="9978" spans="13:13">
      <c r="M9978" s="690"/>
    </row>
    <row r="9979" spans="13:13">
      <c r="M9979" s="690"/>
    </row>
    <row r="9980" spans="13:13">
      <c r="M9980" s="690"/>
    </row>
    <row r="9981" spans="13:13">
      <c r="M9981" s="690"/>
    </row>
    <row r="9982" spans="13:13">
      <c r="M9982" s="690"/>
    </row>
    <row r="9983" spans="13:13">
      <c r="M9983" s="690"/>
    </row>
    <row r="9984" spans="13:13">
      <c r="M9984" s="690"/>
    </row>
    <row r="9985" spans="13:13">
      <c r="M9985" s="690"/>
    </row>
    <row r="9986" spans="13:13">
      <c r="M9986" s="690"/>
    </row>
    <row r="9987" spans="13:13">
      <c r="M9987" s="690"/>
    </row>
    <row r="9988" spans="13:13">
      <c r="M9988" s="690"/>
    </row>
    <row r="9989" spans="13:13">
      <c r="M9989" s="690"/>
    </row>
    <row r="9990" spans="13:13">
      <c r="M9990" s="690"/>
    </row>
    <row r="9991" spans="13:13">
      <c r="M9991" s="690"/>
    </row>
    <row r="9992" spans="13:13">
      <c r="M9992" s="690"/>
    </row>
    <row r="9993" spans="13:13">
      <c r="M9993" s="690"/>
    </row>
    <row r="9994" spans="13:13">
      <c r="M9994" s="690"/>
    </row>
    <row r="9995" spans="13:13">
      <c r="M9995" s="690"/>
    </row>
    <row r="9996" spans="13:13">
      <c r="M9996" s="690"/>
    </row>
    <row r="9997" spans="13:13">
      <c r="M9997" s="690"/>
    </row>
    <row r="9998" spans="13:13">
      <c r="M9998" s="690"/>
    </row>
    <row r="9999" spans="13:13">
      <c r="M9999" s="690"/>
    </row>
    <row r="10000" spans="13:13">
      <c r="M10000" s="690"/>
    </row>
    <row r="10001" spans="13:13">
      <c r="M10001" s="690"/>
    </row>
    <row r="10002" spans="13:13">
      <c r="M10002" s="690"/>
    </row>
    <row r="10003" spans="13:13">
      <c r="M10003" s="690"/>
    </row>
    <row r="10004" spans="13:13">
      <c r="M10004" s="690"/>
    </row>
    <row r="10005" spans="13:13">
      <c r="M10005" s="690"/>
    </row>
    <row r="10006" spans="13:13">
      <c r="M10006" s="690"/>
    </row>
    <row r="10007" spans="13:13">
      <c r="M10007" s="690"/>
    </row>
    <row r="10008" spans="13:13">
      <c r="M10008" s="690"/>
    </row>
    <row r="10009" spans="13:13">
      <c r="M10009" s="690"/>
    </row>
    <row r="10010" spans="13:13">
      <c r="M10010" s="690"/>
    </row>
    <row r="10011" spans="13:13">
      <c r="M10011" s="690"/>
    </row>
    <row r="10012" spans="13:13">
      <c r="M10012" s="690"/>
    </row>
    <row r="10013" spans="13:13">
      <c r="M10013" s="690"/>
    </row>
    <row r="10014" spans="13:13">
      <c r="M10014" s="690"/>
    </row>
    <row r="10015" spans="13:13">
      <c r="M10015" s="690"/>
    </row>
    <row r="10016" spans="13:13">
      <c r="M10016" s="690"/>
    </row>
    <row r="10017" spans="13:13">
      <c r="M10017" s="690"/>
    </row>
    <row r="10018" spans="13:13">
      <c r="M10018" s="690"/>
    </row>
    <row r="10019" spans="13:13">
      <c r="M10019" s="690"/>
    </row>
    <row r="10020" spans="13:13">
      <c r="M10020" s="690"/>
    </row>
    <row r="10021" spans="13:13">
      <c r="M10021" s="690"/>
    </row>
    <row r="10022" spans="13:13">
      <c r="M10022" s="690"/>
    </row>
    <row r="10023" spans="13:13">
      <c r="M10023" s="690"/>
    </row>
    <row r="10024" spans="13:13">
      <c r="M10024" s="690"/>
    </row>
    <row r="10025" spans="13:13">
      <c r="M10025" s="690"/>
    </row>
    <row r="10026" spans="13:13">
      <c r="M10026" s="690"/>
    </row>
    <row r="10027" spans="13:13">
      <c r="M10027" s="690"/>
    </row>
    <row r="10028" spans="13:13">
      <c r="M10028" s="690"/>
    </row>
    <row r="10029" spans="13:13">
      <c r="M10029" s="690"/>
    </row>
    <row r="10030" spans="13:13">
      <c r="M10030" s="690"/>
    </row>
    <row r="10031" spans="13:13">
      <c r="M10031" s="690"/>
    </row>
    <row r="10032" spans="13:13">
      <c r="M10032" s="690"/>
    </row>
    <row r="10033" spans="13:13">
      <c r="M10033" s="690"/>
    </row>
    <row r="10034" spans="13:13">
      <c r="M10034" s="690"/>
    </row>
    <row r="10035" spans="13:13">
      <c r="M10035" s="690"/>
    </row>
    <row r="10036" spans="13:13">
      <c r="M10036" s="690"/>
    </row>
    <row r="10037" spans="13:13">
      <c r="M10037" s="690"/>
    </row>
    <row r="10038" spans="13:13">
      <c r="M10038" s="690"/>
    </row>
    <row r="10039" spans="13:13">
      <c r="M10039" s="690"/>
    </row>
    <row r="10040" spans="13:13">
      <c r="M10040" s="690"/>
    </row>
    <row r="10041" spans="13:13">
      <c r="M10041" s="690"/>
    </row>
    <row r="10042" spans="13:13">
      <c r="M10042" s="690"/>
    </row>
    <row r="10043" spans="13:13">
      <c r="M10043" s="690"/>
    </row>
    <row r="10044" spans="13:13">
      <c r="M10044" s="690"/>
    </row>
    <row r="10045" spans="13:13">
      <c r="M10045" s="690"/>
    </row>
    <row r="10046" spans="13:13">
      <c r="M10046" s="690"/>
    </row>
    <row r="10047" spans="13:13">
      <c r="M10047" s="690"/>
    </row>
    <row r="10048" spans="13:13">
      <c r="M10048" s="690"/>
    </row>
    <row r="10049" spans="13:13">
      <c r="M10049" s="690"/>
    </row>
    <row r="10050" spans="13:13">
      <c r="M10050" s="690"/>
    </row>
    <row r="10051" spans="13:13">
      <c r="M10051" s="690"/>
    </row>
    <row r="10052" spans="13:13">
      <c r="M10052" s="690"/>
    </row>
    <row r="10053" spans="13:13">
      <c r="M10053" s="690"/>
    </row>
    <row r="10054" spans="13:13">
      <c r="M10054" s="690"/>
    </row>
    <row r="10055" spans="13:13">
      <c r="M10055" s="690"/>
    </row>
    <row r="10056" spans="13:13">
      <c r="M10056" s="690"/>
    </row>
    <row r="10057" spans="13:13">
      <c r="M10057" s="690"/>
    </row>
    <row r="10058" spans="13:13">
      <c r="M10058" s="690"/>
    </row>
    <row r="10059" spans="13:13">
      <c r="M10059" s="690"/>
    </row>
    <row r="10060" spans="13:13">
      <c r="M10060" s="690"/>
    </row>
    <row r="10061" spans="13:13">
      <c r="M10061" s="690"/>
    </row>
    <row r="10062" spans="13:13">
      <c r="M10062" s="690"/>
    </row>
    <row r="10063" spans="13:13">
      <c r="M10063" s="690"/>
    </row>
    <row r="10064" spans="13:13">
      <c r="M10064" s="690"/>
    </row>
    <row r="10065" spans="13:13">
      <c r="M10065" s="690"/>
    </row>
    <row r="10066" spans="13:13">
      <c r="M10066" s="690"/>
    </row>
    <row r="10067" spans="13:13">
      <c r="M10067" s="690"/>
    </row>
    <row r="10068" spans="13:13">
      <c r="M10068" s="690"/>
    </row>
    <row r="10069" spans="13:13">
      <c r="M10069" s="690"/>
    </row>
    <row r="10070" spans="13:13">
      <c r="M10070" s="690"/>
    </row>
    <row r="10071" spans="13:13">
      <c r="M10071" s="690"/>
    </row>
    <row r="10072" spans="13:13">
      <c r="M10072" s="690"/>
    </row>
    <row r="10073" spans="13:13">
      <c r="M10073" s="690"/>
    </row>
    <row r="10074" spans="13:13">
      <c r="M10074" s="690"/>
    </row>
    <row r="10075" spans="13:13">
      <c r="M10075" s="690"/>
    </row>
    <row r="10076" spans="13:13">
      <c r="M10076" s="690"/>
    </row>
    <row r="10077" spans="13:13">
      <c r="M10077" s="690"/>
    </row>
    <row r="10078" spans="13:13">
      <c r="M10078" s="690"/>
    </row>
    <row r="10079" spans="13:13">
      <c r="M10079" s="690"/>
    </row>
    <row r="10080" spans="13:13">
      <c r="M10080" s="690"/>
    </row>
    <row r="10081" spans="13:13">
      <c r="M10081" s="690"/>
    </row>
    <row r="10082" spans="13:13">
      <c r="M10082" s="690"/>
    </row>
    <row r="10083" spans="13:13">
      <c r="M10083" s="690"/>
    </row>
    <row r="10084" spans="13:13">
      <c r="M10084" s="690"/>
    </row>
    <row r="10085" spans="13:13">
      <c r="M10085" s="690"/>
    </row>
    <row r="10086" spans="13:13">
      <c r="M10086" s="690"/>
    </row>
    <row r="10087" spans="13:13">
      <c r="M10087" s="690"/>
    </row>
    <row r="10088" spans="13:13">
      <c r="M10088" s="690"/>
    </row>
    <row r="10089" spans="13:13">
      <c r="M10089" s="690"/>
    </row>
    <row r="10090" spans="13:13">
      <c r="M10090" s="690"/>
    </row>
    <row r="10091" spans="13:13">
      <c r="M10091" s="690"/>
    </row>
    <row r="10092" spans="13:13">
      <c r="M10092" s="690"/>
    </row>
    <row r="10093" spans="13:13">
      <c r="M10093" s="690"/>
    </row>
    <row r="10094" spans="13:13">
      <c r="M10094" s="690"/>
    </row>
    <row r="10095" spans="13:13">
      <c r="M10095" s="690"/>
    </row>
    <row r="10096" spans="13:13">
      <c r="M10096" s="690"/>
    </row>
    <row r="10097" spans="13:13">
      <c r="M10097" s="690"/>
    </row>
    <row r="10098" spans="13:13">
      <c r="M10098" s="690"/>
    </row>
    <row r="10099" spans="13:13">
      <c r="M10099" s="690"/>
    </row>
    <row r="10100" spans="13:13">
      <c r="M10100" s="690"/>
    </row>
    <row r="10101" spans="13:13">
      <c r="M10101" s="690"/>
    </row>
    <row r="10102" spans="13:13">
      <c r="M10102" s="690"/>
    </row>
    <row r="10103" spans="13:13">
      <c r="M10103" s="690"/>
    </row>
    <row r="10104" spans="13:13">
      <c r="M10104" s="690"/>
    </row>
    <row r="10105" spans="13:13">
      <c r="M10105" s="690"/>
    </row>
    <row r="10106" spans="13:13">
      <c r="M10106" s="690"/>
    </row>
    <row r="10107" spans="13:13">
      <c r="M10107" s="690"/>
    </row>
    <row r="10108" spans="13:13">
      <c r="M10108" s="690"/>
    </row>
    <row r="10109" spans="13:13">
      <c r="M10109" s="690"/>
    </row>
    <row r="10110" spans="13:13">
      <c r="M10110" s="690"/>
    </row>
    <row r="10111" spans="13:13">
      <c r="M10111" s="690"/>
    </row>
    <row r="10112" spans="13:13">
      <c r="M10112" s="690"/>
    </row>
    <row r="10113" spans="13:13">
      <c r="M10113" s="690"/>
    </row>
    <row r="10114" spans="13:13">
      <c r="M10114" s="690"/>
    </row>
    <row r="10115" spans="13:13">
      <c r="M10115" s="690"/>
    </row>
    <row r="10116" spans="13:13">
      <c r="M10116" s="690"/>
    </row>
    <row r="10117" spans="13:13">
      <c r="M10117" s="690"/>
    </row>
    <row r="10118" spans="13:13">
      <c r="M10118" s="690"/>
    </row>
    <row r="10119" spans="13:13">
      <c r="M10119" s="690"/>
    </row>
    <row r="10120" spans="13:13">
      <c r="M10120" s="690"/>
    </row>
    <row r="10121" spans="13:13">
      <c r="M10121" s="690"/>
    </row>
    <row r="10122" spans="13:13">
      <c r="M10122" s="690"/>
    </row>
    <row r="10123" spans="13:13">
      <c r="M10123" s="690"/>
    </row>
    <row r="10124" spans="13:13">
      <c r="M10124" s="690"/>
    </row>
    <row r="10125" spans="13:13">
      <c r="M10125" s="690"/>
    </row>
    <row r="10126" spans="13:13">
      <c r="M10126" s="690"/>
    </row>
    <row r="10127" spans="13:13">
      <c r="M10127" s="690"/>
    </row>
    <row r="10128" spans="13:13">
      <c r="M10128" s="690"/>
    </row>
    <row r="10129" spans="13:13">
      <c r="M10129" s="690"/>
    </row>
    <row r="10130" spans="13:13">
      <c r="M10130" s="690"/>
    </row>
    <row r="10131" spans="13:13">
      <c r="M10131" s="690"/>
    </row>
    <row r="10132" spans="13:13">
      <c r="M10132" s="690"/>
    </row>
    <row r="10133" spans="13:13">
      <c r="M10133" s="690"/>
    </row>
    <row r="10134" spans="13:13">
      <c r="M10134" s="690"/>
    </row>
    <row r="10135" spans="13:13">
      <c r="M10135" s="690"/>
    </row>
    <row r="10136" spans="13:13">
      <c r="M10136" s="690"/>
    </row>
    <row r="10137" spans="13:13">
      <c r="M10137" s="690"/>
    </row>
    <row r="10138" spans="13:13">
      <c r="M10138" s="690"/>
    </row>
    <row r="10139" spans="13:13">
      <c r="M10139" s="690"/>
    </row>
    <row r="10140" spans="13:13">
      <c r="M10140" s="690"/>
    </row>
    <row r="10141" spans="13:13">
      <c r="M10141" s="690"/>
    </row>
    <row r="10142" spans="13:13">
      <c r="M10142" s="690"/>
    </row>
    <row r="10143" spans="13:13">
      <c r="M10143" s="690"/>
    </row>
    <row r="10144" spans="13:13">
      <c r="M10144" s="690"/>
    </row>
    <row r="10145" spans="13:13">
      <c r="M10145" s="690"/>
    </row>
    <row r="10146" spans="13:13">
      <c r="M10146" s="690"/>
    </row>
    <row r="10147" spans="13:13">
      <c r="M10147" s="690"/>
    </row>
    <row r="10148" spans="13:13">
      <c r="M10148" s="690"/>
    </row>
    <row r="10149" spans="13:13">
      <c r="M10149" s="690"/>
    </row>
    <row r="10150" spans="13:13">
      <c r="M10150" s="690"/>
    </row>
    <row r="10151" spans="13:13">
      <c r="M10151" s="690"/>
    </row>
    <row r="10152" spans="13:13">
      <c r="M10152" s="690"/>
    </row>
    <row r="10153" spans="13:13">
      <c r="M10153" s="690"/>
    </row>
    <row r="10154" spans="13:13">
      <c r="M10154" s="690"/>
    </row>
    <row r="10155" spans="13:13">
      <c r="M10155" s="690"/>
    </row>
    <row r="10156" spans="13:13">
      <c r="M10156" s="690"/>
    </row>
    <row r="10157" spans="13:13">
      <c r="M10157" s="690"/>
    </row>
    <row r="10158" spans="13:13">
      <c r="M10158" s="690"/>
    </row>
    <row r="10159" spans="13:13">
      <c r="M10159" s="690"/>
    </row>
    <row r="10160" spans="13:13">
      <c r="M10160" s="690"/>
    </row>
    <row r="10161" spans="13:13">
      <c r="M10161" s="690"/>
    </row>
    <row r="10162" spans="13:13">
      <c r="M10162" s="690"/>
    </row>
    <row r="10163" spans="13:13">
      <c r="M10163" s="690"/>
    </row>
    <row r="10164" spans="13:13">
      <c r="M10164" s="690"/>
    </row>
    <row r="10165" spans="13:13">
      <c r="M10165" s="690"/>
    </row>
    <row r="10166" spans="13:13">
      <c r="M10166" s="690"/>
    </row>
    <row r="10167" spans="13:13">
      <c r="M10167" s="690"/>
    </row>
    <row r="10168" spans="13:13">
      <c r="M10168" s="690"/>
    </row>
    <row r="10169" spans="13:13">
      <c r="M10169" s="690"/>
    </row>
    <row r="10170" spans="13:13">
      <c r="M10170" s="690"/>
    </row>
    <row r="10171" spans="13:13">
      <c r="M10171" s="690"/>
    </row>
    <row r="10172" spans="13:13">
      <c r="M10172" s="690"/>
    </row>
    <row r="10173" spans="13:13">
      <c r="M10173" s="690"/>
    </row>
    <row r="10174" spans="13:13">
      <c r="M10174" s="690"/>
    </row>
    <row r="10175" spans="13:13">
      <c r="M10175" s="690"/>
    </row>
    <row r="10176" spans="13:13">
      <c r="M10176" s="690"/>
    </row>
    <row r="10177" spans="13:13">
      <c r="M10177" s="690"/>
    </row>
    <row r="10178" spans="13:13">
      <c r="M10178" s="690"/>
    </row>
    <row r="10179" spans="13:13">
      <c r="M10179" s="690"/>
    </row>
    <row r="10180" spans="13:13">
      <c r="M10180" s="690"/>
    </row>
    <row r="10181" spans="13:13">
      <c r="M10181" s="690"/>
    </row>
    <row r="10182" spans="13:13">
      <c r="M10182" s="690"/>
    </row>
    <row r="10183" spans="13:13">
      <c r="M10183" s="690"/>
    </row>
    <row r="10184" spans="13:13">
      <c r="M10184" s="690"/>
    </row>
    <row r="10185" spans="13:13">
      <c r="M10185" s="690"/>
    </row>
    <row r="10186" spans="13:13">
      <c r="M10186" s="690"/>
    </row>
    <row r="10187" spans="13:13">
      <c r="M10187" s="690"/>
    </row>
    <row r="10188" spans="13:13">
      <c r="M10188" s="690"/>
    </row>
    <row r="10189" spans="13:13">
      <c r="M10189" s="690"/>
    </row>
    <row r="10190" spans="13:13">
      <c r="M10190" s="690"/>
    </row>
    <row r="10191" spans="13:13">
      <c r="M10191" s="690"/>
    </row>
    <row r="10192" spans="13:13">
      <c r="M10192" s="690"/>
    </row>
    <row r="10193" spans="13:13">
      <c r="M10193" s="690"/>
    </row>
    <row r="10194" spans="13:13">
      <c r="M10194" s="690"/>
    </row>
    <row r="10195" spans="13:13">
      <c r="M10195" s="690"/>
    </row>
    <row r="10196" spans="13:13">
      <c r="M10196" s="690"/>
    </row>
    <row r="10197" spans="13:13">
      <c r="M10197" s="690"/>
    </row>
    <row r="10198" spans="13:13">
      <c r="M10198" s="690"/>
    </row>
    <row r="10199" spans="13:13">
      <c r="M10199" s="690"/>
    </row>
    <row r="10200" spans="13:13">
      <c r="M10200" s="690"/>
    </row>
    <row r="10201" spans="13:13">
      <c r="M10201" s="690"/>
    </row>
    <row r="10202" spans="13:13">
      <c r="M10202" s="690"/>
    </row>
    <row r="10203" spans="13:13">
      <c r="M10203" s="690"/>
    </row>
    <row r="10204" spans="13:13">
      <c r="M10204" s="690"/>
    </row>
    <row r="10205" spans="13:13">
      <c r="M10205" s="690"/>
    </row>
    <row r="10206" spans="13:13">
      <c r="M10206" s="690"/>
    </row>
    <row r="10207" spans="13:13">
      <c r="M10207" s="690"/>
    </row>
    <row r="10208" spans="13:13">
      <c r="M10208" s="690"/>
    </row>
    <row r="10209" spans="13:13">
      <c r="M10209" s="690"/>
    </row>
    <row r="10210" spans="13:13">
      <c r="M10210" s="690"/>
    </row>
    <row r="10211" spans="13:13">
      <c r="M10211" s="690"/>
    </row>
    <row r="10212" spans="13:13">
      <c r="M10212" s="690"/>
    </row>
    <row r="10213" spans="13:13">
      <c r="M10213" s="690"/>
    </row>
    <row r="10214" spans="13:13">
      <c r="M10214" s="690"/>
    </row>
    <row r="10215" spans="13:13">
      <c r="M10215" s="690"/>
    </row>
    <row r="10216" spans="13:13">
      <c r="M10216" s="690"/>
    </row>
    <row r="10217" spans="13:13">
      <c r="M10217" s="690"/>
    </row>
    <row r="10218" spans="13:13">
      <c r="M10218" s="690"/>
    </row>
    <row r="10219" spans="13:13">
      <c r="M10219" s="690"/>
    </row>
    <row r="10220" spans="13:13">
      <c r="M10220" s="690"/>
    </row>
    <row r="10221" spans="13:13">
      <c r="M10221" s="690"/>
    </row>
    <row r="10222" spans="13:13">
      <c r="M10222" s="690"/>
    </row>
    <row r="10223" spans="13:13">
      <c r="M10223" s="690"/>
    </row>
    <row r="10224" spans="13:13">
      <c r="M10224" s="690"/>
    </row>
    <row r="10225" spans="13:13">
      <c r="M10225" s="690"/>
    </row>
    <row r="10226" spans="13:13">
      <c r="M10226" s="690"/>
    </row>
    <row r="10227" spans="13:13">
      <c r="M10227" s="690"/>
    </row>
    <row r="10228" spans="13:13">
      <c r="M10228" s="690"/>
    </row>
    <row r="10229" spans="13:13">
      <c r="M10229" s="690"/>
    </row>
    <row r="10230" spans="13:13">
      <c r="M10230" s="690"/>
    </row>
    <row r="10231" spans="13:13">
      <c r="M10231" s="690"/>
    </row>
    <row r="10232" spans="13:13">
      <c r="M10232" s="690"/>
    </row>
    <row r="10233" spans="13:13">
      <c r="M10233" s="690"/>
    </row>
    <row r="10234" spans="13:13">
      <c r="M10234" s="690"/>
    </row>
    <row r="10235" spans="13:13">
      <c r="M10235" s="690"/>
    </row>
    <row r="10236" spans="13:13">
      <c r="M10236" s="690"/>
    </row>
    <row r="10237" spans="13:13">
      <c r="M10237" s="690"/>
    </row>
    <row r="10238" spans="13:13">
      <c r="M10238" s="690"/>
    </row>
    <row r="10239" spans="13:13">
      <c r="M10239" s="690"/>
    </row>
    <row r="10240" spans="13:13">
      <c r="M10240" s="690"/>
    </row>
    <row r="10241" spans="13:13">
      <c r="M10241" s="690"/>
    </row>
    <row r="10242" spans="13:13">
      <c r="M10242" s="690"/>
    </row>
    <row r="10243" spans="13:13">
      <c r="M10243" s="690"/>
    </row>
    <row r="10244" spans="13:13">
      <c r="M10244" s="690"/>
    </row>
    <row r="10245" spans="13:13">
      <c r="M10245" s="690"/>
    </row>
    <row r="10246" spans="13:13">
      <c r="M10246" s="690"/>
    </row>
    <row r="10247" spans="13:13">
      <c r="M10247" s="690"/>
    </row>
    <row r="10248" spans="13:13">
      <c r="M10248" s="690"/>
    </row>
    <row r="10249" spans="13:13">
      <c r="M10249" s="690"/>
    </row>
    <row r="10250" spans="13:13">
      <c r="M10250" s="690"/>
    </row>
    <row r="10251" spans="13:13">
      <c r="M10251" s="690"/>
    </row>
    <row r="10252" spans="13:13">
      <c r="M10252" s="690"/>
    </row>
    <row r="10253" spans="13:13">
      <c r="M10253" s="690"/>
    </row>
    <row r="10254" spans="13:13">
      <c r="M10254" s="690"/>
    </row>
    <row r="10255" spans="13:13">
      <c r="M10255" s="690"/>
    </row>
    <row r="10256" spans="13:13">
      <c r="M10256" s="690"/>
    </row>
    <row r="10257" spans="13:13">
      <c r="M10257" s="690"/>
    </row>
    <row r="10258" spans="13:13">
      <c r="M10258" s="690"/>
    </row>
    <row r="10259" spans="13:13">
      <c r="M10259" s="690"/>
    </row>
    <row r="10260" spans="13:13">
      <c r="M10260" s="690"/>
    </row>
    <row r="10261" spans="13:13">
      <c r="M10261" s="690"/>
    </row>
    <row r="10262" spans="13:13">
      <c r="M10262" s="690"/>
    </row>
    <row r="10263" spans="13:13">
      <c r="M10263" s="690"/>
    </row>
    <row r="10264" spans="13:13">
      <c r="M10264" s="690"/>
    </row>
    <row r="10265" spans="13:13">
      <c r="M10265" s="690"/>
    </row>
    <row r="10266" spans="13:13">
      <c r="M10266" s="690"/>
    </row>
    <row r="10267" spans="13:13">
      <c r="M10267" s="690"/>
    </row>
    <row r="10268" spans="13:13">
      <c r="M10268" s="690"/>
    </row>
    <row r="10269" spans="13:13">
      <c r="M10269" s="690"/>
    </row>
    <row r="10270" spans="13:13">
      <c r="M10270" s="690"/>
    </row>
    <row r="10271" spans="13:13">
      <c r="M10271" s="690"/>
    </row>
    <row r="10272" spans="13:13">
      <c r="M10272" s="690"/>
    </row>
    <row r="10273" spans="13:13">
      <c r="M10273" s="690"/>
    </row>
    <row r="10274" spans="13:13">
      <c r="M10274" s="690"/>
    </row>
    <row r="10275" spans="13:13">
      <c r="M10275" s="690"/>
    </row>
    <row r="10276" spans="13:13">
      <c r="M10276" s="690"/>
    </row>
    <row r="10277" spans="13:13">
      <c r="M10277" s="690"/>
    </row>
    <row r="10278" spans="13:13">
      <c r="M10278" s="690"/>
    </row>
    <row r="10279" spans="13:13">
      <c r="M10279" s="690"/>
    </row>
    <row r="10280" spans="13:13">
      <c r="M10280" s="690"/>
    </row>
    <row r="10281" spans="13:13">
      <c r="M10281" s="690"/>
    </row>
    <row r="10282" spans="13:13">
      <c r="M10282" s="690"/>
    </row>
    <row r="10283" spans="13:13">
      <c r="M10283" s="690"/>
    </row>
    <row r="10284" spans="13:13">
      <c r="M10284" s="690"/>
    </row>
    <row r="10285" spans="13:13">
      <c r="M10285" s="690"/>
    </row>
    <row r="10286" spans="13:13">
      <c r="M10286" s="690"/>
    </row>
    <row r="10287" spans="13:13">
      <c r="M10287" s="690"/>
    </row>
    <row r="10288" spans="13:13">
      <c r="M10288" s="690"/>
    </row>
    <row r="10289" spans="13:13">
      <c r="M10289" s="690"/>
    </row>
    <row r="10290" spans="13:13">
      <c r="M10290" s="690"/>
    </row>
    <row r="10291" spans="13:13">
      <c r="M10291" s="690"/>
    </row>
    <row r="10292" spans="13:13">
      <c r="M10292" s="690"/>
    </row>
    <row r="10293" spans="13:13">
      <c r="M10293" s="690"/>
    </row>
    <row r="10294" spans="13:13">
      <c r="M10294" s="690"/>
    </row>
    <row r="10295" spans="13:13">
      <c r="M10295" s="690"/>
    </row>
    <row r="10296" spans="13:13">
      <c r="M10296" s="690"/>
    </row>
    <row r="10297" spans="13:13">
      <c r="M10297" s="690"/>
    </row>
    <row r="10298" spans="13:13">
      <c r="M10298" s="690"/>
    </row>
    <row r="10299" spans="13:13">
      <c r="M10299" s="690"/>
    </row>
    <row r="10300" spans="13:13">
      <c r="M10300" s="690"/>
    </row>
    <row r="10301" spans="13:13">
      <c r="M10301" s="690"/>
    </row>
    <row r="10302" spans="13:13">
      <c r="M10302" s="690"/>
    </row>
    <row r="10303" spans="13:13">
      <c r="M10303" s="690"/>
    </row>
    <row r="10304" spans="13:13">
      <c r="M10304" s="690"/>
    </row>
    <row r="10305" spans="13:13">
      <c r="M10305" s="690"/>
    </row>
    <row r="10306" spans="13:13">
      <c r="M10306" s="690"/>
    </row>
    <row r="10307" spans="13:13">
      <c r="M10307" s="690"/>
    </row>
    <row r="10308" spans="13:13">
      <c r="M10308" s="690"/>
    </row>
    <row r="10309" spans="13:13">
      <c r="M10309" s="690"/>
    </row>
    <row r="10310" spans="13:13">
      <c r="M10310" s="690"/>
    </row>
    <row r="10311" spans="13:13">
      <c r="M10311" s="690"/>
    </row>
    <row r="10312" spans="13:13">
      <c r="M10312" s="690"/>
    </row>
    <row r="10313" spans="13:13">
      <c r="M10313" s="690"/>
    </row>
    <row r="10314" spans="13:13">
      <c r="M10314" s="690"/>
    </row>
    <row r="10315" spans="13:13">
      <c r="M10315" s="690"/>
    </row>
    <row r="10316" spans="13:13">
      <c r="M10316" s="690"/>
    </row>
    <row r="10317" spans="13:13">
      <c r="M10317" s="690"/>
    </row>
    <row r="10318" spans="13:13">
      <c r="M10318" s="690"/>
    </row>
    <row r="10319" spans="13:13">
      <c r="M10319" s="690"/>
    </row>
    <row r="10320" spans="13:13">
      <c r="M10320" s="690"/>
    </row>
    <row r="10321" spans="13:13">
      <c r="M10321" s="690"/>
    </row>
    <row r="10322" spans="13:13">
      <c r="M10322" s="690"/>
    </row>
    <row r="10323" spans="13:13">
      <c r="M10323" s="690"/>
    </row>
    <row r="10324" spans="13:13">
      <c r="M10324" s="690"/>
    </row>
    <row r="10325" spans="13:13">
      <c r="M10325" s="690"/>
    </row>
    <row r="10326" spans="13:13">
      <c r="M10326" s="690"/>
    </row>
    <row r="10327" spans="13:13">
      <c r="M10327" s="690"/>
    </row>
    <row r="10328" spans="13:13">
      <c r="M10328" s="690"/>
    </row>
    <row r="10329" spans="13:13">
      <c r="M10329" s="690"/>
    </row>
    <row r="10330" spans="13:13">
      <c r="M10330" s="690"/>
    </row>
    <row r="10331" spans="13:13">
      <c r="M10331" s="690"/>
    </row>
    <row r="10332" spans="13:13">
      <c r="M10332" s="690"/>
    </row>
    <row r="10333" spans="13:13">
      <c r="M10333" s="690"/>
    </row>
    <row r="10334" spans="13:13">
      <c r="M10334" s="690"/>
    </row>
    <row r="10335" spans="13:13">
      <c r="M10335" s="690"/>
    </row>
    <row r="10336" spans="13:13">
      <c r="M10336" s="690"/>
    </row>
    <row r="10337" spans="13:13">
      <c r="M10337" s="690"/>
    </row>
    <row r="10338" spans="13:13">
      <c r="M10338" s="690"/>
    </row>
    <row r="10339" spans="13:13">
      <c r="M10339" s="690"/>
    </row>
    <row r="10340" spans="13:13">
      <c r="M10340" s="690"/>
    </row>
    <row r="10341" spans="13:13">
      <c r="M10341" s="690"/>
    </row>
    <row r="10342" spans="13:13">
      <c r="M10342" s="690"/>
    </row>
    <row r="10343" spans="13:13">
      <c r="M10343" s="690"/>
    </row>
    <row r="10344" spans="13:13">
      <c r="M10344" s="690"/>
    </row>
    <row r="10345" spans="13:13">
      <c r="M10345" s="690"/>
    </row>
    <row r="10346" spans="13:13">
      <c r="M10346" s="690"/>
    </row>
    <row r="10347" spans="13:13">
      <c r="M10347" s="690"/>
    </row>
    <row r="10348" spans="13:13">
      <c r="M10348" s="690"/>
    </row>
    <row r="10349" spans="13:13">
      <c r="M10349" s="690"/>
    </row>
    <row r="10350" spans="13:13">
      <c r="M10350" s="690"/>
    </row>
    <row r="10351" spans="13:13">
      <c r="M10351" s="690"/>
    </row>
    <row r="10352" spans="13:13">
      <c r="M10352" s="690"/>
    </row>
    <row r="10353" spans="13:13">
      <c r="M10353" s="690"/>
    </row>
    <row r="10354" spans="13:13">
      <c r="M10354" s="690"/>
    </row>
    <row r="10355" spans="13:13">
      <c r="M10355" s="690"/>
    </row>
    <row r="10356" spans="13:13">
      <c r="M10356" s="690"/>
    </row>
    <row r="10357" spans="13:13">
      <c r="M10357" s="690"/>
    </row>
    <row r="10358" spans="13:13">
      <c r="M10358" s="690"/>
    </row>
    <row r="10359" spans="13:13">
      <c r="M10359" s="690"/>
    </row>
    <row r="10360" spans="13:13">
      <c r="M10360" s="690"/>
    </row>
    <row r="10361" spans="13:13">
      <c r="M10361" s="690"/>
    </row>
    <row r="10362" spans="13:13">
      <c r="M10362" s="690"/>
    </row>
    <row r="10363" spans="13:13">
      <c r="M10363" s="690"/>
    </row>
    <row r="10364" spans="13:13">
      <c r="M10364" s="690"/>
    </row>
    <row r="10365" spans="13:13">
      <c r="M10365" s="690"/>
    </row>
    <row r="10366" spans="13:13">
      <c r="M10366" s="690"/>
    </row>
    <row r="10367" spans="13:13">
      <c r="M10367" s="690"/>
    </row>
    <row r="10368" spans="13:13">
      <c r="M10368" s="690"/>
    </row>
    <row r="10369" spans="13:13">
      <c r="M10369" s="690"/>
    </row>
    <row r="10370" spans="13:13">
      <c r="M10370" s="690"/>
    </row>
    <row r="10371" spans="13:13">
      <c r="M10371" s="690"/>
    </row>
    <row r="10372" spans="13:13">
      <c r="M10372" s="690"/>
    </row>
    <row r="10373" spans="13:13">
      <c r="M10373" s="690"/>
    </row>
    <row r="10374" spans="13:13">
      <c r="M10374" s="690"/>
    </row>
    <row r="10375" spans="13:13">
      <c r="M10375" s="690"/>
    </row>
    <row r="10376" spans="13:13">
      <c r="M10376" s="690"/>
    </row>
    <row r="10377" spans="13:13">
      <c r="M10377" s="690"/>
    </row>
    <row r="10378" spans="13:13">
      <c r="M10378" s="690"/>
    </row>
    <row r="10379" spans="13:13">
      <c r="M10379" s="690"/>
    </row>
    <row r="10380" spans="13:13">
      <c r="M10380" s="690"/>
    </row>
    <row r="10381" spans="13:13">
      <c r="M10381" s="690"/>
    </row>
    <row r="10382" spans="13:13">
      <c r="M10382" s="690"/>
    </row>
    <row r="10383" spans="13:13">
      <c r="M10383" s="690"/>
    </row>
    <row r="10384" spans="13:13">
      <c r="M10384" s="690"/>
    </row>
    <row r="10385" spans="13:13">
      <c r="M10385" s="690"/>
    </row>
    <row r="10386" spans="13:13">
      <c r="M10386" s="690"/>
    </row>
    <row r="10387" spans="13:13">
      <c r="M10387" s="690"/>
    </row>
    <row r="10388" spans="13:13">
      <c r="M10388" s="690"/>
    </row>
    <row r="10389" spans="13:13">
      <c r="M10389" s="690"/>
    </row>
    <row r="10390" spans="13:13">
      <c r="M10390" s="690"/>
    </row>
    <row r="10391" spans="13:13">
      <c r="M10391" s="690"/>
    </row>
    <row r="10392" spans="13:13">
      <c r="M10392" s="690"/>
    </row>
    <row r="10393" spans="13:13">
      <c r="M10393" s="690"/>
    </row>
    <row r="10394" spans="13:13">
      <c r="M10394" s="690"/>
    </row>
    <row r="10395" spans="13:13">
      <c r="M10395" s="690"/>
    </row>
    <row r="10396" spans="13:13">
      <c r="M10396" s="690"/>
    </row>
    <row r="10397" spans="13:13">
      <c r="M10397" s="690"/>
    </row>
    <row r="10398" spans="13:13">
      <c r="M10398" s="690"/>
    </row>
    <row r="10399" spans="13:13">
      <c r="M10399" s="690"/>
    </row>
    <row r="10400" spans="13:13">
      <c r="M10400" s="690"/>
    </row>
    <row r="10401" spans="13:13">
      <c r="M10401" s="690"/>
    </row>
    <row r="10402" spans="13:13">
      <c r="M10402" s="690"/>
    </row>
    <row r="10403" spans="13:13">
      <c r="M10403" s="690"/>
    </row>
    <row r="10404" spans="13:13">
      <c r="M10404" s="690"/>
    </row>
    <row r="10405" spans="13:13">
      <c r="M10405" s="690"/>
    </row>
    <row r="10406" spans="13:13">
      <c r="M10406" s="690"/>
    </row>
    <row r="10407" spans="13:13">
      <c r="M10407" s="690"/>
    </row>
    <row r="10408" spans="13:13">
      <c r="M10408" s="690"/>
    </row>
    <row r="10409" spans="13:13">
      <c r="M10409" s="690"/>
    </row>
    <row r="10410" spans="13:13">
      <c r="M10410" s="690"/>
    </row>
    <row r="10411" spans="13:13">
      <c r="M10411" s="690"/>
    </row>
    <row r="10412" spans="13:13">
      <c r="M10412" s="690"/>
    </row>
    <row r="10413" spans="13:13">
      <c r="M10413" s="690"/>
    </row>
    <row r="10414" spans="13:13">
      <c r="M10414" s="690"/>
    </row>
    <row r="10415" spans="13:13">
      <c r="M10415" s="690"/>
    </row>
    <row r="10416" spans="13:13">
      <c r="M10416" s="690"/>
    </row>
    <row r="10417" spans="13:13">
      <c r="M10417" s="690"/>
    </row>
    <row r="10418" spans="13:13">
      <c r="M10418" s="690"/>
    </row>
    <row r="10419" spans="13:13">
      <c r="M10419" s="690"/>
    </row>
    <row r="10420" spans="13:13">
      <c r="M10420" s="690"/>
    </row>
    <row r="10421" spans="13:13">
      <c r="M10421" s="690"/>
    </row>
    <row r="10422" spans="13:13">
      <c r="M10422" s="690"/>
    </row>
    <row r="10423" spans="13:13">
      <c r="M10423" s="690"/>
    </row>
    <row r="10424" spans="13:13">
      <c r="M10424" s="690"/>
    </row>
    <row r="10425" spans="13:13">
      <c r="M10425" s="690"/>
    </row>
    <row r="10426" spans="13:13">
      <c r="M10426" s="690"/>
    </row>
    <row r="10427" spans="13:13">
      <c r="M10427" s="690"/>
    </row>
    <row r="10428" spans="13:13">
      <c r="M10428" s="690"/>
    </row>
    <row r="10429" spans="13:13">
      <c r="M10429" s="690"/>
    </row>
    <row r="10430" spans="13:13">
      <c r="M10430" s="690"/>
    </row>
    <row r="10431" spans="13:13">
      <c r="M10431" s="690"/>
    </row>
    <row r="10432" spans="13:13">
      <c r="M10432" s="690"/>
    </row>
    <row r="10433" spans="13:13">
      <c r="M10433" s="690"/>
    </row>
    <row r="10434" spans="13:13">
      <c r="M10434" s="690"/>
    </row>
    <row r="10435" spans="13:13">
      <c r="M10435" s="690"/>
    </row>
    <row r="10436" spans="13:13">
      <c r="M10436" s="690"/>
    </row>
    <row r="10437" spans="13:13">
      <c r="M10437" s="690"/>
    </row>
    <row r="10438" spans="13:13">
      <c r="M10438" s="690"/>
    </row>
    <row r="10439" spans="13:13">
      <c r="M10439" s="690"/>
    </row>
    <row r="10440" spans="13:13">
      <c r="M10440" s="690"/>
    </row>
    <row r="10441" spans="13:13">
      <c r="M10441" s="690"/>
    </row>
    <row r="10442" spans="13:13">
      <c r="M10442" s="690"/>
    </row>
    <row r="10443" spans="13:13">
      <c r="M10443" s="690"/>
    </row>
    <row r="10444" spans="13:13">
      <c r="M10444" s="690"/>
    </row>
    <row r="10445" spans="13:13">
      <c r="M10445" s="690"/>
    </row>
    <row r="10446" spans="13:13">
      <c r="M10446" s="690"/>
    </row>
    <row r="10447" spans="13:13">
      <c r="M10447" s="690"/>
    </row>
    <row r="10448" spans="13:13">
      <c r="M10448" s="690"/>
    </row>
    <row r="10449" spans="13:13">
      <c r="M10449" s="690"/>
    </row>
    <row r="10450" spans="13:13">
      <c r="M10450" s="690"/>
    </row>
    <row r="10451" spans="13:13">
      <c r="M10451" s="690"/>
    </row>
    <row r="10452" spans="13:13">
      <c r="M10452" s="690"/>
    </row>
    <row r="10453" spans="13:13">
      <c r="M10453" s="690"/>
    </row>
    <row r="10454" spans="13:13">
      <c r="M10454" s="690"/>
    </row>
    <row r="10455" spans="13:13">
      <c r="M10455" s="690"/>
    </row>
    <row r="10456" spans="13:13">
      <c r="M10456" s="690"/>
    </row>
    <row r="10457" spans="13:13">
      <c r="M10457" s="690"/>
    </row>
    <row r="10458" spans="13:13">
      <c r="M10458" s="690"/>
    </row>
    <row r="10459" spans="13:13">
      <c r="M10459" s="690"/>
    </row>
    <row r="10460" spans="13:13">
      <c r="M10460" s="690"/>
    </row>
    <row r="10461" spans="13:13">
      <c r="M10461" s="690"/>
    </row>
    <row r="10462" spans="13:13">
      <c r="M10462" s="690"/>
    </row>
    <row r="10463" spans="13:13">
      <c r="M10463" s="690"/>
    </row>
    <row r="10464" spans="13:13">
      <c r="M10464" s="690"/>
    </row>
    <row r="10465" spans="13:13">
      <c r="M10465" s="690"/>
    </row>
    <row r="10466" spans="13:13">
      <c r="M10466" s="690"/>
    </row>
    <row r="10467" spans="13:13">
      <c r="M10467" s="690"/>
    </row>
    <row r="10468" spans="13:13">
      <c r="M10468" s="690"/>
    </row>
    <row r="10469" spans="13:13">
      <c r="M10469" s="690"/>
    </row>
    <row r="10470" spans="13:13">
      <c r="M10470" s="690"/>
    </row>
    <row r="10471" spans="13:13">
      <c r="M10471" s="690"/>
    </row>
    <row r="10472" spans="13:13">
      <c r="M10472" s="690"/>
    </row>
    <row r="10473" spans="13:13">
      <c r="M10473" s="690"/>
    </row>
    <row r="10474" spans="13:13">
      <c r="M10474" s="690"/>
    </row>
    <row r="10475" spans="13:13">
      <c r="M10475" s="690"/>
    </row>
    <row r="10476" spans="13:13">
      <c r="M10476" s="690"/>
    </row>
    <row r="10477" spans="13:13">
      <c r="M10477" s="690"/>
    </row>
    <row r="10478" spans="13:13">
      <c r="M10478" s="690"/>
    </row>
    <row r="10479" spans="13:13">
      <c r="M10479" s="690"/>
    </row>
    <row r="10480" spans="13:13">
      <c r="M10480" s="690"/>
    </row>
    <row r="10481" spans="13:13">
      <c r="M10481" s="690"/>
    </row>
    <row r="10482" spans="13:13">
      <c r="M10482" s="690"/>
    </row>
    <row r="10483" spans="13:13">
      <c r="M10483" s="690"/>
    </row>
    <row r="10484" spans="13:13">
      <c r="M10484" s="690"/>
    </row>
    <row r="10485" spans="13:13">
      <c r="M10485" s="690"/>
    </row>
    <row r="10486" spans="13:13">
      <c r="M10486" s="690"/>
    </row>
    <row r="10487" spans="13:13">
      <c r="M10487" s="690"/>
    </row>
    <row r="10488" spans="13:13">
      <c r="M10488" s="690"/>
    </row>
    <row r="10489" spans="13:13">
      <c r="M10489" s="690"/>
    </row>
    <row r="10490" spans="13:13">
      <c r="M10490" s="690"/>
    </row>
    <row r="10491" spans="13:13">
      <c r="M10491" s="690"/>
    </row>
    <row r="10492" spans="13:13">
      <c r="M10492" s="690"/>
    </row>
    <row r="10493" spans="13:13">
      <c r="M10493" s="690"/>
    </row>
    <row r="10494" spans="13:13">
      <c r="M10494" s="690"/>
    </row>
    <row r="10495" spans="13:13">
      <c r="M10495" s="690"/>
    </row>
    <row r="10496" spans="13:13">
      <c r="M10496" s="690"/>
    </row>
    <row r="10497" spans="13:13">
      <c r="M10497" s="690"/>
    </row>
    <row r="10498" spans="13:13">
      <c r="M10498" s="690"/>
    </row>
    <row r="10499" spans="13:13">
      <c r="M10499" s="690"/>
    </row>
    <row r="10500" spans="13:13">
      <c r="M10500" s="690"/>
    </row>
    <row r="10501" spans="13:13">
      <c r="M10501" s="690"/>
    </row>
    <row r="10502" spans="13:13">
      <c r="M10502" s="690"/>
    </row>
    <row r="10503" spans="13:13">
      <c r="M10503" s="690"/>
    </row>
    <row r="10504" spans="13:13">
      <c r="M10504" s="690"/>
    </row>
    <row r="10505" spans="13:13">
      <c r="M10505" s="690"/>
    </row>
    <row r="10506" spans="13:13">
      <c r="M10506" s="690"/>
    </row>
    <row r="10507" spans="13:13">
      <c r="M10507" s="690"/>
    </row>
    <row r="10508" spans="13:13">
      <c r="M10508" s="690"/>
    </row>
    <row r="10509" spans="13:13">
      <c r="M10509" s="690"/>
    </row>
    <row r="10510" spans="13:13">
      <c r="M10510" s="690"/>
    </row>
    <row r="10511" spans="13:13">
      <c r="M10511" s="690"/>
    </row>
    <row r="10512" spans="13:13">
      <c r="M10512" s="690"/>
    </row>
    <row r="10513" spans="13:13">
      <c r="M10513" s="690"/>
    </row>
    <row r="10514" spans="13:13">
      <c r="M10514" s="690"/>
    </row>
    <row r="10515" spans="13:13">
      <c r="M10515" s="690"/>
    </row>
    <row r="10516" spans="13:13">
      <c r="M10516" s="690"/>
    </row>
    <row r="10517" spans="13:13">
      <c r="M10517" s="690"/>
    </row>
    <row r="10518" spans="13:13">
      <c r="M10518" s="690"/>
    </row>
    <row r="10519" spans="13:13">
      <c r="M10519" s="690"/>
    </row>
    <row r="10520" spans="13:13">
      <c r="M10520" s="690"/>
    </row>
    <row r="10521" spans="13:13">
      <c r="M10521" s="690"/>
    </row>
    <row r="10522" spans="13:13">
      <c r="M10522" s="690"/>
    </row>
    <row r="10523" spans="13:13">
      <c r="M10523" s="690"/>
    </row>
    <row r="10524" spans="13:13">
      <c r="M10524" s="690"/>
    </row>
    <row r="10525" spans="13:13">
      <c r="M10525" s="690"/>
    </row>
    <row r="10526" spans="13:13">
      <c r="M10526" s="690"/>
    </row>
    <row r="10527" spans="13:13">
      <c r="M10527" s="690"/>
    </row>
    <row r="10528" spans="13:13">
      <c r="M10528" s="690"/>
    </row>
    <row r="10529" spans="13:13">
      <c r="M10529" s="690"/>
    </row>
    <row r="10530" spans="13:13">
      <c r="M10530" s="690"/>
    </row>
    <row r="10531" spans="13:13">
      <c r="M10531" s="690"/>
    </row>
    <row r="10532" spans="13:13">
      <c r="M10532" s="690"/>
    </row>
    <row r="10533" spans="13:13">
      <c r="M10533" s="690"/>
    </row>
    <row r="10534" spans="13:13">
      <c r="M10534" s="690"/>
    </row>
    <row r="10535" spans="13:13">
      <c r="M10535" s="690"/>
    </row>
    <row r="10536" spans="13:13">
      <c r="M10536" s="690"/>
    </row>
    <row r="10537" spans="13:13">
      <c r="M10537" s="690"/>
    </row>
    <row r="10538" spans="13:13">
      <c r="M10538" s="690"/>
    </row>
    <row r="10539" spans="13:13">
      <c r="M10539" s="690"/>
    </row>
    <row r="10540" spans="13:13">
      <c r="M10540" s="690"/>
    </row>
    <row r="10541" spans="13:13">
      <c r="M10541" s="690"/>
    </row>
    <row r="10542" spans="13:13">
      <c r="M10542" s="690"/>
    </row>
    <row r="10543" spans="13:13">
      <c r="M10543" s="690"/>
    </row>
    <row r="10544" spans="13:13">
      <c r="M10544" s="690"/>
    </row>
    <row r="10545" spans="13:13">
      <c r="M10545" s="690"/>
    </row>
    <row r="10546" spans="13:13">
      <c r="M10546" s="690"/>
    </row>
    <row r="10547" spans="13:13">
      <c r="M10547" s="690"/>
    </row>
    <row r="10548" spans="13:13">
      <c r="M10548" s="690"/>
    </row>
    <row r="10549" spans="13:13">
      <c r="M10549" s="690"/>
    </row>
    <row r="10550" spans="13:13">
      <c r="M10550" s="690"/>
    </row>
    <row r="10551" spans="13:13">
      <c r="M10551" s="690"/>
    </row>
    <row r="10552" spans="13:13">
      <c r="M10552" s="690"/>
    </row>
    <row r="10553" spans="13:13">
      <c r="M10553" s="690"/>
    </row>
    <row r="10554" spans="13:13">
      <c r="M10554" s="690"/>
    </row>
    <row r="10555" spans="13:13">
      <c r="M10555" s="690"/>
    </row>
    <row r="10556" spans="13:13">
      <c r="M10556" s="690"/>
    </row>
    <row r="10557" spans="13:13">
      <c r="M10557" s="690"/>
    </row>
    <row r="10558" spans="13:13">
      <c r="M10558" s="690"/>
    </row>
    <row r="10559" spans="13:13">
      <c r="M10559" s="690"/>
    </row>
    <row r="10560" spans="13:13">
      <c r="M10560" s="690"/>
    </row>
    <row r="10561" spans="13:13">
      <c r="M10561" s="690"/>
    </row>
    <row r="10562" spans="13:13">
      <c r="M10562" s="690"/>
    </row>
    <row r="10563" spans="13:13">
      <c r="M10563" s="690"/>
    </row>
    <row r="10564" spans="13:13">
      <c r="M10564" s="690"/>
    </row>
    <row r="10565" spans="13:13">
      <c r="M10565" s="690"/>
    </row>
    <row r="10566" spans="13:13">
      <c r="M10566" s="690"/>
    </row>
    <row r="10567" spans="13:13">
      <c r="M10567" s="690"/>
    </row>
    <row r="10568" spans="13:13">
      <c r="M10568" s="690"/>
    </row>
    <row r="10569" spans="13:13">
      <c r="M10569" s="690"/>
    </row>
    <row r="10570" spans="13:13">
      <c r="M10570" s="690"/>
    </row>
    <row r="10571" spans="13:13">
      <c r="M10571" s="690"/>
    </row>
    <row r="10572" spans="13:13">
      <c r="M10572" s="690"/>
    </row>
    <row r="10573" spans="13:13">
      <c r="M10573" s="690"/>
    </row>
    <row r="10574" spans="13:13">
      <c r="M10574" s="690"/>
    </row>
    <row r="10575" spans="13:13">
      <c r="M10575" s="690"/>
    </row>
    <row r="10576" spans="13:13">
      <c r="M10576" s="690"/>
    </row>
    <row r="10577" spans="13:13">
      <c r="M10577" s="690"/>
    </row>
    <row r="10578" spans="13:13">
      <c r="M10578" s="690"/>
    </row>
    <row r="10579" spans="13:13">
      <c r="M10579" s="690"/>
    </row>
    <row r="10580" spans="13:13">
      <c r="M10580" s="690"/>
    </row>
    <row r="10581" spans="13:13">
      <c r="M10581" s="690"/>
    </row>
    <row r="10582" spans="13:13">
      <c r="M10582" s="690"/>
    </row>
    <row r="10583" spans="13:13">
      <c r="M10583" s="690"/>
    </row>
    <row r="10584" spans="13:13">
      <c r="M10584" s="690"/>
    </row>
    <row r="10585" spans="13:13">
      <c r="M10585" s="690"/>
    </row>
    <row r="10586" spans="13:13">
      <c r="M10586" s="690"/>
    </row>
    <row r="10587" spans="13:13">
      <c r="M10587" s="690"/>
    </row>
    <row r="10588" spans="13:13">
      <c r="M10588" s="690"/>
    </row>
    <row r="10589" spans="13:13">
      <c r="M10589" s="690"/>
    </row>
    <row r="10590" spans="13:13">
      <c r="M10590" s="690"/>
    </row>
    <row r="10591" spans="13:13">
      <c r="M10591" s="690"/>
    </row>
    <row r="10592" spans="13:13">
      <c r="M10592" s="690"/>
    </row>
    <row r="10593" spans="13:13">
      <c r="M10593" s="690"/>
    </row>
    <row r="10594" spans="13:13">
      <c r="M10594" s="690"/>
    </row>
    <row r="10595" spans="13:13">
      <c r="M10595" s="690"/>
    </row>
    <row r="10596" spans="13:13">
      <c r="M10596" s="690"/>
    </row>
    <row r="10597" spans="13:13">
      <c r="M10597" s="690"/>
    </row>
    <row r="10598" spans="13:13">
      <c r="M10598" s="690"/>
    </row>
    <row r="10599" spans="13:13">
      <c r="M10599" s="690"/>
    </row>
    <row r="10600" spans="13:13">
      <c r="M10600" s="690"/>
    </row>
    <row r="10601" spans="13:13">
      <c r="M10601" s="690"/>
    </row>
    <row r="10602" spans="13:13">
      <c r="M10602" s="690"/>
    </row>
    <row r="10603" spans="13:13">
      <c r="M10603" s="690"/>
    </row>
    <row r="10604" spans="13:13">
      <c r="M10604" s="690"/>
    </row>
    <row r="10605" spans="13:13">
      <c r="M10605" s="690"/>
    </row>
    <row r="10606" spans="13:13">
      <c r="M10606" s="690"/>
    </row>
    <row r="10607" spans="13:13">
      <c r="M10607" s="690"/>
    </row>
    <row r="10608" spans="13:13">
      <c r="M10608" s="690"/>
    </row>
    <row r="10609" spans="13:13">
      <c r="M10609" s="690"/>
    </row>
    <row r="10610" spans="13:13">
      <c r="M10610" s="690"/>
    </row>
    <row r="10611" spans="13:13">
      <c r="M10611" s="690"/>
    </row>
    <row r="10612" spans="13:13">
      <c r="M10612" s="690"/>
    </row>
    <row r="10613" spans="13:13">
      <c r="M10613" s="690"/>
    </row>
    <row r="10614" spans="13:13">
      <c r="M10614" s="690"/>
    </row>
    <row r="10615" spans="13:13">
      <c r="M10615" s="690"/>
    </row>
    <row r="10616" spans="13:13">
      <c r="M10616" s="690"/>
    </row>
    <row r="10617" spans="13:13">
      <c r="M10617" s="690"/>
    </row>
    <row r="10618" spans="13:13">
      <c r="M10618" s="690"/>
    </row>
    <row r="10619" spans="13:13">
      <c r="M10619" s="690"/>
    </row>
    <row r="10620" spans="13:13">
      <c r="M10620" s="690"/>
    </row>
    <row r="10621" spans="13:13">
      <c r="M10621" s="690"/>
    </row>
    <row r="10622" spans="13:13">
      <c r="M10622" s="690"/>
    </row>
    <row r="10623" spans="13:13">
      <c r="M10623" s="690"/>
    </row>
    <row r="10624" spans="13:13">
      <c r="M10624" s="690"/>
    </row>
    <row r="10625" spans="13:13">
      <c r="M10625" s="690"/>
    </row>
    <row r="10626" spans="13:13">
      <c r="M10626" s="690"/>
    </row>
    <row r="10627" spans="13:13">
      <c r="M10627" s="690"/>
    </row>
    <row r="10628" spans="13:13">
      <c r="M10628" s="690"/>
    </row>
    <row r="10629" spans="13:13">
      <c r="M10629" s="690"/>
    </row>
    <row r="10630" spans="13:13">
      <c r="M10630" s="690"/>
    </row>
    <row r="10631" spans="13:13">
      <c r="M10631" s="690"/>
    </row>
    <row r="10632" spans="13:13">
      <c r="M10632" s="690"/>
    </row>
    <row r="10633" spans="13:13">
      <c r="M10633" s="690"/>
    </row>
    <row r="10634" spans="13:13">
      <c r="M10634" s="690"/>
    </row>
    <row r="10635" spans="13:13">
      <c r="M10635" s="690"/>
    </row>
    <row r="10636" spans="13:13">
      <c r="M10636" s="690"/>
    </row>
    <row r="10637" spans="13:13">
      <c r="M10637" s="690"/>
    </row>
    <row r="10638" spans="13:13">
      <c r="M10638" s="690"/>
    </row>
    <row r="10639" spans="13:13">
      <c r="M10639" s="690"/>
    </row>
    <row r="10640" spans="13:13">
      <c r="M10640" s="690"/>
    </row>
    <row r="10641" spans="13:13">
      <c r="M10641" s="690"/>
    </row>
    <row r="10642" spans="13:13">
      <c r="M10642" s="690"/>
    </row>
    <row r="10643" spans="13:13">
      <c r="M10643" s="690"/>
    </row>
    <row r="10644" spans="13:13">
      <c r="M10644" s="690"/>
    </row>
    <row r="10645" spans="13:13">
      <c r="M10645" s="690"/>
    </row>
    <row r="10646" spans="13:13">
      <c r="M10646" s="690"/>
    </row>
    <row r="10647" spans="13:13">
      <c r="M10647" s="690"/>
    </row>
    <row r="10648" spans="13:13">
      <c r="M10648" s="690"/>
    </row>
    <row r="10649" spans="13:13">
      <c r="M10649" s="690"/>
    </row>
    <row r="10650" spans="13:13">
      <c r="M10650" s="690"/>
    </row>
    <row r="10651" spans="13:13">
      <c r="M10651" s="690"/>
    </row>
    <row r="10652" spans="13:13">
      <c r="M10652" s="690"/>
    </row>
    <row r="10653" spans="13:13">
      <c r="M10653" s="690"/>
    </row>
    <row r="10654" spans="13:13">
      <c r="M10654" s="690"/>
    </row>
    <row r="10655" spans="13:13">
      <c r="M10655" s="690"/>
    </row>
    <row r="10656" spans="13:13">
      <c r="M10656" s="690"/>
    </row>
    <row r="10657" spans="13:13">
      <c r="M10657" s="690"/>
    </row>
    <row r="10658" spans="13:13">
      <c r="M10658" s="690"/>
    </row>
    <row r="10659" spans="13:13">
      <c r="M10659" s="690"/>
    </row>
    <row r="10660" spans="13:13">
      <c r="M10660" s="690"/>
    </row>
    <row r="10661" spans="13:13">
      <c r="M10661" s="690"/>
    </row>
    <row r="10662" spans="13:13">
      <c r="M10662" s="690"/>
    </row>
    <row r="10663" spans="13:13">
      <c r="M10663" s="690"/>
    </row>
    <row r="10664" spans="13:13">
      <c r="M10664" s="690"/>
    </row>
    <row r="10665" spans="13:13">
      <c r="M10665" s="690"/>
    </row>
    <row r="10666" spans="13:13">
      <c r="M10666" s="690"/>
    </row>
    <row r="10667" spans="13:13">
      <c r="M10667" s="690"/>
    </row>
    <row r="10668" spans="13:13">
      <c r="M10668" s="690"/>
    </row>
    <row r="10669" spans="13:13">
      <c r="M10669" s="690"/>
    </row>
    <row r="10670" spans="13:13">
      <c r="M10670" s="690"/>
    </row>
    <row r="10671" spans="13:13">
      <c r="M10671" s="690"/>
    </row>
    <row r="10672" spans="13:13">
      <c r="M10672" s="690"/>
    </row>
    <row r="10673" spans="13:13">
      <c r="M10673" s="690"/>
    </row>
    <row r="10674" spans="13:13">
      <c r="M10674" s="690"/>
    </row>
    <row r="10675" spans="13:13">
      <c r="M10675" s="690"/>
    </row>
    <row r="10676" spans="13:13">
      <c r="M10676" s="690"/>
    </row>
    <row r="10677" spans="13:13">
      <c r="M10677" s="690"/>
    </row>
    <row r="10678" spans="13:13">
      <c r="M10678" s="690"/>
    </row>
    <row r="10679" spans="13:13">
      <c r="M10679" s="690"/>
    </row>
    <row r="10680" spans="13:13">
      <c r="M10680" s="690"/>
    </row>
    <row r="10681" spans="13:13">
      <c r="M10681" s="690"/>
    </row>
    <row r="10682" spans="13:13">
      <c r="M10682" s="690"/>
    </row>
    <row r="10683" spans="13:13">
      <c r="M10683" s="690"/>
    </row>
    <row r="10684" spans="13:13">
      <c r="M10684" s="690"/>
    </row>
    <row r="10685" spans="13:13">
      <c r="M10685" s="690"/>
    </row>
    <row r="10686" spans="13:13">
      <c r="M10686" s="690"/>
    </row>
    <row r="10687" spans="13:13">
      <c r="M10687" s="690"/>
    </row>
    <row r="10688" spans="13:13">
      <c r="M10688" s="690"/>
    </row>
    <row r="10689" spans="13:13">
      <c r="M10689" s="690"/>
    </row>
    <row r="10690" spans="13:13">
      <c r="M10690" s="690"/>
    </row>
    <row r="10691" spans="13:13">
      <c r="M10691" s="690"/>
    </row>
    <row r="10692" spans="13:13">
      <c r="M10692" s="690"/>
    </row>
    <row r="10693" spans="13:13">
      <c r="M10693" s="690"/>
    </row>
    <row r="10694" spans="13:13">
      <c r="M10694" s="690"/>
    </row>
    <row r="10695" spans="13:13">
      <c r="M10695" s="690"/>
    </row>
    <row r="10696" spans="13:13">
      <c r="M10696" s="690"/>
    </row>
    <row r="10697" spans="13:13">
      <c r="M10697" s="690"/>
    </row>
    <row r="10698" spans="13:13">
      <c r="M10698" s="690"/>
    </row>
    <row r="10699" spans="13:13">
      <c r="M10699" s="690"/>
    </row>
    <row r="10700" spans="13:13">
      <c r="M10700" s="690"/>
    </row>
    <row r="10701" spans="13:13">
      <c r="M10701" s="690"/>
    </row>
    <row r="10702" spans="13:13">
      <c r="M10702" s="690"/>
    </row>
    <row r="10703" spans="13:13">
      <c r="M10703" s="690"/>
    </row>
    <row r="10704" spans="13:13">
      <c r="M10704" s="690"/>
    </row>
    <row r="10705" spans="13:13">
      <c r="M10705" s="690"/>
    </row>
    <row r="10706" spans="13:13">
      <c r="M10706" s="690"/>
    </row>
    <row r="10707" spans="13:13">
      <c r="M10707" s="690"/>
    </row>
    <row r="10708" spans="13:13">
      <c r="M10708" s="690"/>
    </row>
    <row r="10709" spans="13:13">
      <c r="M10709" s="690"/>
    </row>
    <row r="10710" spans="13:13">
      <c r="M10710" s="690"/>
    </row>
    <row r="10711" spans="13:13">
      <c r="M10711" s="690"/>
    </row>
    <row r="10712" spans="13:13">
      <c r="M10712" s="690"/>
    </row>
    <row r="10713" spans="13:13">
      <c r="M10713" s="690"/>
    </row>
    <row r="10714" spans="13:13">
      <c r="M10714" s="690"/>
    </row>
    <row r="10715" spans="13:13">
      <c r="M10715" s="690"/>
    </row>
    <row r="10716" spans="13:13">
      <c r="M10716" s="690"/>
    </row>
    <row r="10717" spans="13:13">
      <c r="M10717" s="690"/>
    </row>
    <row r="10718" spans="13:13">
      <c r="M10718" s="690"/>
    </row>
    <row r="10719" spans="13:13">
      <c r="M10719" s="690"/>
    </row>
    <row r="10720" spans="13:13">
      <c r="M10720" s="690"/>
    </row>
    <row r="10721" spans="13:13">
      <c r="M10721" s="690"/>
    </row>
    <row r="10722" spans="13:13">
      <c r="M10722" s="690"/>
    </row>
    <row r="10723" spans="13:13">
      <c r="M10723" s="690"/>
    </row>
    <row r="10724" spans="13:13">
      <c r="M10724" s="690"/>
    </row>
    <row r="10725" spans="13:13">
      <c r="M10725" s="690"/>
    </row>
    <row r="10726" spans="13:13">
      <c r="M10726" s="690"/>
    </row>
    <row r="10727" spans="13:13">
      <c r="M10727" s="690"/>
    </row>
    <row r="10728" spans="13:13">
      <c r="M10728" s="690"/>
    </row>
    <row r="10729" spans="13:13">
      <c r="M10729" s="690"/>
    </row>
    <row r="10730" spans="13:13">
      <c r="M10730" s="690"/>
    </row>
    <row r="10731" spans="13:13">
      <c r="M10731" s="690"/>
    </row>
    <row r="10732" spans="13:13">
      <c r="M10732" s="690"/>
    </row>
    <row r="10733" spans="13:13">
      <c r="M10733" s="690"/>
    </row>
    <row r="10734" spans="13:13">
      <c r="M10734" s="690"/>
    </row>
    <row r="10735" spans="13:13">
      <c r="M10735" s="690"/>
    </row>
    <row r="10736" spans="13:13">
      <c r="M10736" s="690"/>
    </row>
    <row r="10737" spans="13:13">
      <c r="M10737" s="690"/>
    </row>
    <row r="10738" spans="13:13">
      <c r="M10738" s="690"/>
    </row>
    <row r="10739" spans="13:13">
      <c r="M10739" s="690"/>
    </row>
    <row r="10740" spans="13:13">
      <c r="M10740" s="690"/>
    </row>
    <row r="10741" spans="13:13">
      <c r="M10741" s="690"/>
    </row>
    <row r="10742" spans="13:13">
      <c r="M10742" s="690"/>
    </row>
    <row r="10743" spans="13:13">
      <c r="M10743" s="690"/>
    </row>
    <row r="10744" spans="13:13">
      <c r="M10744" s="690"/>
    </row>
    <row r="10745" spans="13:13">
      <c r="M10745" s="690"/>
    </row>
    <row r="10746" spans="13:13">
      <c r="M10746" s="690"/>
    </row>
    <row r="10747" spans="13:13">
      <c r="M10747" s="690"/>
    </row>
    <row r="10748" spans="13:13">
      <c r="M10748" s="690"/>
    </row>
    <row r="10749" spans="13:13">
      <c r="M10749" s="690"/>
    </row>
    <row r="10750" spans="13:13">
      <c r="M10750" s="690"/>
    </row>
    <row r="10751" spans="13:13">
      <c r="M10751" s="690"/>
    </row>
    <row r="10752" spans="13:13">
      <c r="M10752" s="690"/>
    </row>
    <row r="10753" spans="13:13">
      <c r="M10753" s="690"/>
    </row>
    <row r="10754" spans="13:13">
      <c r="M10754" s="690"/>
    </row>
    <row r="10755" spans="13:13">
      <c r="M10755" s="690"/>
    </row>
    <row r="10756" spans="13:13">
      <c r="M10756" s="690"/>
    </row>
    <row r="10757" spans="13:13">
      <c r="M10757" s="690"/>
    </row>
    <row r="10758" spans="13:13">
      <c r="M10758" s="690"/>
    </row>
    <row r="10759" spans="13:13">
      <c r="M10759" s="690"/>
    </row>
    <row r="10760" spans="13:13">
      <c r="M10760" s="690"/>
    </row>
    <row r="10761" spans="13:13">
      <c r="M10761" s="690"/>
    </row>
    <row r="10762" spans="13:13">
      <c r="M10762" s="690"/>
    </row>
    <row r="10763" spans="13:13">
      <c r="M10763" s="690"/>
    </row>
    <row r="10764" spans="13:13">
      <c r="M10764" s="690"/>
    </row>
    <row r="10765" spans="13:13">
      <c r="M10765" s="690"/>
    </row>
    <row r="10766" spans="13:13">
      <c r="M10766" s="690"/>
    </row>
    <row r="10767" spans="13:13">
      <c r="M10767" s="690"/>
    </row>
    <row r="10768" spans="13:13">
      <c r="M10768" s="690"/>
    </row>
    <row r="10769" spans="13:13">
      <c r="M10769" s="690"/>
    </row>
    <row r="10770" spans="13:13">
      <c r="M10770" s="690"/>
    </row>
    <row r="10771" spans="13:13">
      <c r="M10771" s="690"/>
    </row>
    <row r="10772" spans="13:13">
      <c r="M10772" s="690"/>
    </row>
    <row r="10773" spans="13:13">
      <c r="M10773" s="690"/>
    </row>
    <row r="10774" spans="13:13">
      <c r="M10774" s="690"/>
    </row>
    <row r="10775" spans="13:13">
      <c r="M10775" s="690"/>
    </row>
    <row r="10776" spans="13:13">
      <c r="M10776" s="690"/>
    </row>
    <row r="10777" spans="13:13">
      <c r="M10777" s="690"/>
    </row>
    <row r="10778" spans="13:13">
      <c r="M10778" s="690"/>
    </row>
    <row r="10779" spans="13:13">
      <c r="M10779" s="690"/>
    </row>
    <row r="10780" spans="13:13">
      <c r="M10780" s="690"/>
    </row>
    <row r="10781" spans="13:13">
      <c r="M10781" s="690"/>
    </row>
    <row r="10782" spans="13:13">
      <c r="M10782" s="690"/>
    </row>
    <row r="10783" spans="13:13">
      <c r="M10783" s="690"/>
    </row>
    <row r="10784" spans="13:13">
      <c r="M10784" s="690"/>
    </row>
    <row r="10785" spans="13:13">
      <c r="M10785" s="690"/>
    </row>
    <row r="10786" spans="13:13">
      <c r="M10786" s="690"/>
    </row>
    <row r="10787" spans="13:13">
      <c r="M10787" s="690"/>
    </row>
    <row r="10788" spans="13:13">
      <c r="M10788" s="690"/>
    </row>
    <row r="10789" spans="13:13">
      <c r="M10789" s="690"/>
    </row>
    <row r="10790" spans="13:13">
      <c r="M10790" s="690"/>
    </row>
    <row r="10791" spans="13:13">
      <c r="M10791" s="690"/>
    </row>
    <row r="10792" spans="13:13">
      <c r="M10792" s="690"/>
    </row>
    <row r="10793" spans="13:13">
      <c r="M10793" s="690"/>
    </row>
    <row r="10794" spans="13:13">
      <c r="M10794" s="690"/>
    </row>
    <row r="10795" spans="13:13">
      <c r="M10795" s="690"/>
    </row>
    <row r="10796" spans="13:13">
      <c r="M10796" s="690"/>
    </row>
    <row r="10797" spans="13:13">
      <c r="M10797" s="690"/>
    </row>
    <row r="10798" spans="13:13">
      <c r="M10798" s="690"/>
    </row>
    <row r="10799" spans="13:13">
      <c r="M10799" s="690"/>
    </row>
    <row r="10800" spans="13:13">
      <c r="M10800" s="690"/>
    </row>
    <row r="10801" spans="13:13">
      <c r="M10801" s="690"/>
    </row>
    <row r="10802" spans="13:13">
      <c r="M10802" s="690"/>
    </row>
    <row r="10803" spans="13:13">
      <c r="M10803" s="690"/>
    </row>
    <row r="10804" spans="13:13">
      <c r="M10804" s="690"/>
    </row>
    <row r="10805" spans="13:13">
      <c r="M10805" s="690"/>
    </row>
    <row r="10806" spans="13:13">
      <c r="M10806" s="690"/>
    </row>
    <row r="10807" spans="13:13">
      <c r="M10807" s="690"/>
    </row>
    <row r="10808" spans="13:13">
      <c r="M10808" s="690"/>
    </row>
    <row r="10809" spans="13:13">
      <c r="M10809" s="690"/>
    </row>
    <row r="10810" spans="13:13">
      <c r="M10810" s="690"/>
    </row>
    <row r="10811" spans="13:13">
      <c r="M10811" s="690"/>
    </row>
    <row r="10812" spans="13:13">
      <c r="M10812" s="690"/>
    </row>
    <row r="10813" spans="13:13">
      <c r="M10813" s="690"/>
    </row>
    <row r="10814" spans="13:13">
      <c r="M10814" s="690"/>
    </row>
    <row r="10815" spans="13:13">
      <c r="M10815" s="690"/>
    </row>
    <row r="10816" spans="13:13">
      <c r="M10816" s="690"/>
    </row>
    <row r="10817" spans="13:13">
      <c r="M10817" s="690"/>
    </row>
    <row r="10818" spans="13:13">
      <c r="M10818" s="690"/>
    </row>
    <row r="10819" spans="13:13">
      <c r="M10819" s="690"/>
    </row>
    <row r="10820" spans="13:13">
      <c r="M10820" s="690"/>
    </row>
    <row r="10821" spans="13:13">
      <c r="M10821" s="690"/>
    </row>
    <row r="10822" spans="13:13">
      <c r="M10822" s="690"/>
    </row>
    <row r="10823" spans="13:13">
      <c r="M10823" s="690"/>
    </row>
    <row r="10824" spans="13:13">
      <c r="M10824" s="690"/>
    </row>
    <row r="10825" spans="13:13">
      <c r="M10825" s="690"/>
    </row>
    <row r="10826" spans="13:13">
      <c r="M10826" s="690"/>
    </row>
    <row r="10827" spans="13:13">
      <c r="M10827" s="690"/>
    </row>
    <row r="10828" spans="13:13">
      <c r="M10828" s="690"/>
    </row>
    <row r="10829" spans="13:13">
      <c r="M10829" s="690"/>
    </row>
    <row r="10830" spans="13:13">
      <c r="M10830" s="690"/>
    </row>
    <row r="10831" spans="13:13">
      <c r="M10831" s="690"/>
    </row>
    <row r="10832" spans="13:13">
      <c r="M10832" s="690"/>
    </row>
    <row r="10833" spans="13:13">
      <c r="M10833" s="690"/>
    </row>
    <row r="10834" spans="13:13">
      <c r="M10834" s="690"/>
    </row>
    <row r="10835" spans="13:13">
      <c r="M10835" s="690"/>
    </row>
    <row r="10836" spans="13:13">
      <c r="M10836" s="690"/>
    </row>
    <row r="10837" spans="13:13">
      <c r="M10837" s="690"/>
    </row>
    <row r="10838" spans="13:13">
      <c r="M10838" s="690"/>
    </row>
    <row r="10839" spans="13:13">
      <c r="M10839" s="690"/>
    </row>
    <row r="10840" spans="13:13">
      <c r="M10840" s="690"/>
    </row>
    <row r="10841" spans="13:13">
      <c r="M10841" s="690"/>
    </row>
    <row r="10842" spans="13:13">
      <c r="M10842" s="690"/>
    </row>
    <row r="10843" spans="13:13">
      <c r="M10843" s="690"/>
    </row>
    <row r="10844" spans="13:13">
      <c r="M10844" s="690"/>
    </row>
    <row r="10845" spans="13:13">
      <c r="M10845" s="690"/>
    </row>
    <row r="10846" spans="13:13">
      <c r="M10846" s="690"/>
    </row>
    <row r="10847" spans="13:13">
      <c r="M10847" s="690"/>
    </row>
    <row r="10848" spans="13:13">
      <c r="M10848" s="690"/>
    </row>
    <row r="10849" spans="13:13">
      <c r="M10849" s="690"/>
    </row>
    <row r="10850" spans="13:13">
      <c r="M10850" s="690"/>
    </row>
    <row r="10851" spans="13:13">
      <c r="M10851" s="690"/>
    </row>
    <row r="10852" spans="13:13">
      <c r="M10852" s="690"/>
    </row>
    <row r="10853" spans="13:13">
      <c r="M10853" s="690"/>
    </row>
    <row r="10854" spans="13:13">
      <c r="M10854" s="690"/>
    </row>
    <row r="10855" spans="13:13">
      <c r="M10855" s="690"/>
    </row>
    <row r="10856" spans="13:13">
      <c r="M10856" s="690"/>
    </row>
    <row r="10857" spans="13:13">
      <c r="M10857" s="690"/>
    </row>
    <row r="10858" spans="13:13">
      <c r="M10858" s="690"/>
    </row>
    <row r="10859" spans="13:13">
      <c r="M10859" s="690"/>
    </row>
    <row r="10860" spans="13:13">
      <c r="M10860" s="690"/>
    </row>
    <row r="10861" spans="13:13">
      <c r="M10861" s="690"/>
    </row>
    <row r="10862" spans="13:13">
      <c r="M10862" s="690"/>
    </row>
    <row r="10863" spans="13:13">
      <c r="M10863" s="690"/>
    </row>
    <row r="10864" spans="13:13">
      <c r="M10864" s="690"/>
    </row>
    <row r="10865" spans="13:13">
      <c r="M10865" s="690"/>
    </row>
    <row r="10866" spans="13:13">
      <c r="M10866" s="690"/>
    </row>
    <row r="10867" spans="13:13">
      <c r="M10867" s="690"/>
    </row>
    <row r="10868" spans="13:13">
      <c r="M10868" s="690"/>
    </row>
    <row r="10869" spans="13:13">
      <c r="M10869" s="690"/>
    </row>
    <row r="10870" spans="13:13">
      <c r="M10870" s="690"/>
    </row>
    <row r="10871" spans="13:13">
      <c r="M10871" s="690"/>
    </row>
    <row r="10872" spans="13:13">
      <c r="M10872" s="690"/>
    </row>
    <row r="10873" spans="13:13">
      <c r="M10873" s="690"/>
    </row>
    <row r="10874" spans="13:13">
      <c r="M10874" s="690"/>
    </row>
    <row r="10875" spans="13:13">
      <c r="M10875" s="690"/>
    </row>
    <row r="10876" spans="13:13">
      <c r="M10876" s="690"/>
    </row>
    <row r="10877" spans="13:13">
      <c r="M10877" s="690"/>
    </row>
    <row r="10878" spans="13:13">
      <c r="M10878" s="690"/>
    </row>
    <row r="10879" spans="13:13">
      <c r="M10879" s="690"/>
    </row>
    <row r="10880" spans="13:13">
      <c r="M10880" s="690"/>
    </row>
    <row r="10881" spans="13:13">
      <c r="M10881" s="690"/>
    </row>
    <row r="10882" spans="13:13">
      <c r="M10882" s="690"/>
    </row>
    <row r="10883" spans="13:13">
      <c r="M10883" s="690"/>
    </row>
    <row r="10884" spans="13:13">
      <c r="M10884" s="690"/>
    </row>
    <row r="10885" spans="13:13">
      <c r="M10885" s="690"/>
    </row>
    <row r="10886" spans="13:13">
      <c r="M10886" s="690"/>
    </row>
    <row r="10887" spans="13:13">
      <c r="M10887" s="690"/>
    </row>
    <row r="10888" spans="13:13">
      <c r="M10888" s="690"/>
    </row>
    <row r="10889" spans="13:13">
      <c r="M10889" s="690"/>
    </row>
    <row r="10890" spans="13:13">
      <c r="M10890" s="690"/>
    </row>
    <row r="10891" spans="13:13">
      <c r="M10891" s="690"/>
    </row>
    <row r="10892" spans="13:13">
      <c r="M10892" s="690"/>
    </row>
    <row r="10893" spans="13:13">
      <c r="M10893" s="690"/>
    </row>
    <row r="10894" spans="13:13">
      <c r="M10894" s="690"/>
    </row>
    <row r="10895" spans="13:13">
      <c r="M10895" s="690"/>
    </row>
    <row r="10896" spans="13:13">
      <c r="M10896" s="690"/>
    </row>
    <row r="10897" spans="13:13">
      <c r="M10897" s="690"/>
    </row>
    <row r="10898" spans="13:13">
      <c r="M10898" s="690"/>
    </row>
    <row r="10899" spans="13:13">
      <c r="M10899" s="690"/>
    </row>
    <row r="10900" spans="13:13">
      <c r="M10900" s="690"/>
    </row>
    <row r="10901" spans="13:13">
      <c r="M10901" s="690"/>
    </row>
    <row r="10902" spans="13:13">
      <c r="M10902" s="690"/>
    </row>
    <row r="10903" spans="13:13">
      <c r="M10903" s="690"/>
    </row>
    <row r="10904" spans="13:13">
      <c r="M10904" s="690"/>
    </row>
    <row r="10905" spans="13:13">
      <c r="M10905" s="690"/>
    </row>
    <row r="10906" spans="13:13">
      <c r="M10906" s="690"/>
    </row>
    <row r="10907" spans="13:13">
      <c r="M10907" s="690"/>
    </row>
    <row r="10908" spans="13:13">
      <c r="M10908" s="690"/>
    </row>
    <row r="10909" spans="13:13">
      <c r="M10909" s="690"/>
    </row>
    <row r="10910" spans="13:13">
      <c r="M10910" s="690"/>
    </row>
    <row r="10911" spans="13:13">
      <c r="M10911" s="690"/>
    </row>
    <row r="10912" spans="13:13">
      <c r="M10912" s="690"/>
    </row>
    <row r="10913" spans="13:13">
      <c r="M10913" s="690"/>
    </row>
    <row r="10914" spans="13:13">
      <c r="M10914" s="690"/>
    </row>
    <row r="10915" spans="13:13">
      <c r="M10915" s="690"/>
    </row>
    <row r="10916" spans="13:13">
      <c r="M10916" s="690"/>
    </row>
    <row r="10917" spans="13:13">
      <c r="M10917" s="690"/>
    </row>
    <row r="10918" spans="13:13">
      <c r="M10918" s="690"/>
    </row>
    <row r="10919" spans="13:13">
      <c r="M10919" s="690"/>
    </row>
    <row r="10920" spans="13:13">
      <c r="M10920" s="690"/>
    </row>
    <row r="10921" spans="13:13">
      <c r="M10921" s="690"/>
    </row>
    <row r="10922" spans="13:13">
      <c r="M10922" s="690"/>
    </row>
    <row r="10923" spans="13:13">
      <c r="M10923" s="690"/>
    </row>
    <row r="10924" spans="13:13">
      <c r="M10924" s="690"/>
    </row>
    <row r="10925" spans="13:13">
      <c r="M10925" s="690"/>
    </row>
    <row r="10926" spans="13:13">
      <c r="M10926" s="690"/>
    </row>
    <row r="10927" spans="13:13">
      <c r="M10927" s="690"/>
    </row>
    <row r="10928" spans="13:13">
      <c r="M10928" s="690"/>
    </row>
    <row r="10929" spans="13:13">
      <c r="M10929" s="690"/>
    </row>
    <row r="10930" spans="13:13">
      <c r="M10930" s="690"/>
    </row>
    <row r="10931" spans="13:13">
      <c r="M10931" s="690"/>
    </row>
    <row r="10932" spans="13:13">
      <c r="M10932" s="690"/>
    </row>
    <row r="10933" spans="13:13">
      <c r="M10933" s="690"/>
    </row>
    <row r="10934" spans="13:13">
      <c r="M10934" s="690"/>
    </row>
    <row r="10935" spans="13:13">
      <c r="M10935" s="690"/>
    </row>
    <row r="10936" spans="13:13">
      <c r="M10936" s="690"/>
    </row>
    <row r="10937" spans="13:13">
      <c r="M10937" s="690"/>
    </row>
    <row r="10938" spans="13:13">
      <c r="M10938" s="690"/>
    </row>
    <row r="10939" spans="13:13">
      <c r="M10939" s="690"/>
    </row>
    <row r="10940" spans="13:13">
      <c r="M10940" s="690"/>
    </row>
    <row r="10941" spans="13:13">
      <c r="M10941" s="690"/>
    </row>
    <row r="10942" spans="13:13">
      <c r="M10942" s="690"/>
    </row>
    <row r="10943" spans="13:13">
      <c r="M10943" s="690"/>
    </row>
    <row r="10944" spans="13:13">
      <c r="M10944" s="690"/>
    </row>
    <row r="10945" spans="13:13">
      <c r="M10945" s="690"/>
    </row>
    <row r="10946" spans="13:13">
      <c r="M10946" s="690"/>
    </row>
    <row r="10947" spans="13:13">
      <c r="M10947" s="690"/>
    </row>
    <row r="10948" spans="13:13">
      <c r="M10948" s="690"/>
    </row>
    <row r="10949" spans="13:13">
      <c r="M10949" s="690"/>
    </row>
    <row r="10950" spans="13:13">
      <c r="M10950" s="690"/>
    </row>
    <row r="10951" spans="13:13">
      <c r="M10951" s="690"/>
    </row>
    <row r="10952" spans="13:13">
      <c r="M10952" s="690"/>
    </row>
    <row r="10953" spans="13:13">
      <c r="M10953" s="690"/>
    </row>
    <row r="10954" spans="13:13">
      <c r="M10954" s="690"/>
    </row>
    <row r="10955" spans="13:13">
      <c r="M10955" s="690"/>
    </row>
    <row r="10956" spans="13:13">
      <c r="M10956" s="690"/>
    </row>
    <row r="10957" spans="13:13">
      <c r="M10957" s="690"/>
    </row>
    <row r="10958" spans="13:13">
      <c r="M10958" s="690"/>
    </row>
    <row r="10959" spans="13:13">
      <c r="M10959" s="690"/>
    </row>
    <row r="10960" spans="13:13">
      <c r="M10960" s="690"/>
    </row>
    <row r="10961" spans="13:13">
      <c r="M10961" s="690"/>
    </row>
    <row r="10962" spans="13:13">
      <c r="M10962" s="690"/>
    </row>
    <row r="10963" spans="13:13">
      <c r="M10963" s="690"/>
    </row>
    <row r="10964" spans="13:13">
      <c r="M10964" s="690"/>
    </row>
    <row r="10965" spans="13:13">
      <c r="M10965" s="690"/>
    </row>
    <row r="10966" spans="13:13">
      <c r="M10966" s="690"/>
    </row>
    <row r="10967" spans="13:13">
      <c r="M10967" s="690"/>
    </row>
    <row r="10968" spans="13:13">
      <c r="M10968" s="690"/>
    </row>
    <row r="10969" spans="13:13">
      <c r="M10969" s="690"/>
    </row>
    <row r="10970" spans="13:13">
      <c r="M10970" s="690"/>
    </row>
    <row r="10971" spans="13:13">
      <c r="M10971" s="690"/>
    </row>
    <row r="10972" spans="13:13">
      <c r="M10972" s="690"/>
    </row>
    <row r="10973" spans="13:13">
      <c r="M10973" s="690"/>
    </row>
    <row r="10974" spans="13:13">
      <c r="M10974" s="690"/>
    </row>
    <row r="10975" spans="13:13">
      <c r="M10975" s="690"/>
    </row>
    <row r="10976" spans="13:13">
      <c r="M10976" s="690"/>
    </row>
    <row r="10977" spans="13:13">
      <c r="M10977" s="690"/>
    </row>
    <row r="10978" spans="13:13">
      <c r="M10978" s="690"/>
    </row>
    <row r="10979" spans="13:13">
      <c r="M10979" s="690"/>
    </row>
    <row r="10980" spans="13:13">
      <c r="M10980" s="690"/>
    </row>
    <row r="10981" spans="13:13">
      <c r="M10981" s="690"/>
    </row>
    <row r="10982" spans="13:13">
      <c r="M10982" s="690"/>
    </row>
    <row r="10983" spans="13:13">
      <c r="M10983" s="690"/>
    </row>
    <row r="10984" spans="13:13">
      <c r="M10984" s="690"/>
    </row>
    <row r="10985" spans="13:13">
      <c r="M10985" s="690"/>
    </row>
    <row r="10986" spans="13:13">
      <c r="M10986" s="690"/>
    </row>
    <row r="10987" spans="13:13">
      <c r="M10987" s="690"/>
    </row>
    <row r="10988" spans="13:13">
      <c r="M10988" s="690"/>
    </row>
    <row r="10989" spans="13:13">
      <c r="M10989" s="690"/>
    </row>
    <row r="10990" spans="13:13">
      <c r="M10990" s="690"/>
    </row>
    <row r="10991" spans="13:13">
      <c r="M10991" s="690"/>
    </row>
    <row r="10992" spans="13:13">
      <c r="M10992" s="690"/>
    </row>
    <row r="10993" spans="13:13">
      <c r="M10993" s="690"/>
    </row>
    <row r="10994" spans="13:13">
      <c r="M10994" s="690"/>
    </row>
    <row r="10995" spans="13:13">
      <c r="M10995" s="690"/>
    </row>
    <row r="10996" spans="13:13">
      <c r="M10996" s="690"/>
    </row>
    <row r="10997" spans="13:13">
      <c r="M10997" s="690"/>
    </row>
    <row r="10998" spans="13:13">
      <c r="M10998" s="690"/>
    </row>
    <row r="10999" spans="13:13">
      <c r="M10999" s="690"/>
    </row>
    <row r="11000" spans="13:13">
      <c r="M11000" s="690"/>
    </row>
    <row r="11001" spans="13:13">
      <c r="M11001" s="690"/>
    </row>
    <row r="11002" spans="13:13">
      <c r="M11002" s="690"/>
    </row>
    <row r="11003" spans="13:13">
      <c r="M11003" s="690"/>
    </row>
    <row r="11004" spans="13:13">
      <c r="M11004" s="690"/>
    </row>
    <row r="11005" spans="13:13">
      <c r="M11005" s="690"/>
    </row>
    <row r="11006" spans="13:13">
      <c r="M11006" s="690"/>
    </row>
    <row r="11007" spans="13:13">
      <c r="M11007" s="690"/>
    </row>
    <row r="11008" spans="13:13">
      <c r="M11008" s="690"/>
    </row>
    <row r="11009" spans="13:13">
      <c r="M11009" s="690"/>
    </row>
    <row r="11010" spans="13:13">
      <c r="M11010" s="690"/>
    </row>
    <row r="11011" spans="13:13">
      <c r="M11011" s="690"/>
    </row>
    <row r="11012" spans="13:13">
      <c r="M11012" s="690"/>
    </row>
    <row r="11013" spans="13:13">
      <c r="M11013" s="690"/>
    </row>
    <row r="11014" spans="13:13">
      <c r="M11014" s="690"/>
    </row>
    <row r="11015" spans="13:13">
      <c r="M11015" s="690"/>
    </row>
    <row r="11016" spans="13:13">
      <c r="M11016" s="690"/>
    </row>
    <row r="11017" spans="13:13">
      <c r="M11017" s="690"/>
    </row>
    <row r="11018" spans="13:13">
      <c r="M11018" s="690"/>
    </row>
    <row r="11019" spans="13:13">
      <c r="M11019" s="690"/>
    </row>
    <row r="11020" spans="13:13">
      <c r="M11020" s="690"/>
    </row>
    <row r="11021" spans="13:13">
      <c r="M11021" s="690"/>
    </row>
    <row r="11022" spans="13:13">
      <c r="M11022" s="690"/>
    </row>
    <row r="11023" spans="13:13">
      <c r="M11023" s="690"/>
    </row>
    <row r="11024" spans="13:13">
      <c r="M11024" s="690"/>
    </row>
    <row r="11025" spans="13:13">
      <c r="M11025" s="690"/>
    </row>
    <row r="11026" spans="13:13">
      <c r="M11026" s="690"/>
    </row>
    <row r="11027" spans="13:13">
      <c r="M11027" s="690"/>
    </row>
    <row r="11028" spans="13:13">
      <c r="M11028" s="690"/>
    </row>
    <row r="11029" spans="13:13">
      <c r="M11029" s="690"/>
    </row>
    <row r="11030" spans="13:13">
      <c r="M11030" s="690"/>
    </row>
    <row r="11031" spans="13:13">
      <c r="M11031" s="690"/>
    </row>
    <row r="11032" spans="13:13">
      <c r="M11032" s="690"/>
    </row>
    <row r="11033" spans="13:13">
      <c r="M11033" s="690"/>
    </row>
    <row r="11034" spans="13:13">
      <c r="M11034" s="690"/>
    </row>
    <row r="11035" spans="13:13">
      <c r="M11035" s="690"/>
    </row>
    <row r="11036" spans="13:13">
      <c r="M11036" s="690"/>
    </row>
    <row r="11037" spans="13:13">
      <c r="M11037" s="690"/>
    </row>
    <row r="11038" spans="13:13">
      <c r="M11038" s="690"/>
    </row>
    <row r="11039" spans="13:13">
      <c r="M11039" s="690"/>
    </row>
    <row r="11040" spans="13:13">
      <c r="M11040" s="690"/>
    </row>
    <row r="11041" spans="13:13">
      <c r="M11041" s="690"/>
    </row>
    <row r="11042" spans="13:13">
      <c r="M11042" s="690"/>
    </row>
    <row r="11043" spans="13:13">
      <c r="M11043" s="690"/>
    </row>
    <row r="11044" spans="13:13">
      <c r="M11044" s="690"/>
    </row>
    <row r="11045" spans="13:13">
      <c r="M11045" s="690"/>
    </row>
    <row r="11046" spans="13:13">
      <c r="M11046" s="690"/>
    </row>
    <row r="11047" spans="13:13">
      <c r="M11047" s="690"/>
    </row>
    <row r="11048" spans="13:13">
      <c r="M11048" s="690"/>
    </row>
    <row r="11049" spans="13:13">
      <c r="M11049" s="690"/>
    </row>
    <row r="11050" spans="13:13">
      <c r="M11050" s="690"/>
    </row>
    <row r="11051" spans="13:13">
      <c r="M11051" s="690"/>
    </row>
    <row r="11052" spans="13:13">
      <c r="M11052" s="690"/>
    </row>
    <row r="11053" spans="13:13">
      <c r="M11053" s="690"/>
    </row>
    <row r="11054" spans="13:13">
      <c r="M11054" s="690"/>
    </row>
    <row r="11055" spans="13:13">
      <c r="M11055" s="690"/>
    </row>
    <row r="11056" spans="13:13">
      <c r="M11056" s="690"/>
    </row>
    <row r="11057" spans="13:13">
      <c r="M11057" s="690"/>
    </row>
    <row r="11058" spans="13:13">
      <c r="M11058" s="690"/>
    </row>
    <row r="11059" spans="13:13">
      <c r="M11059" s="690"/>
    </row>
    <row r="11060" spans="13:13">
      <c r="M11060" s="690"/>
    </row>
    <row r="11061" spans="13:13">
      <c r="M11061" s="690"/>
    </row>
    <row r="11062" spans="13:13">
      <c r="M11062" s="690"/>
    </row>
    <row r="11063" spans="13:13">
      <c r="M11063" s="690"/>
    </row>
    <row r="11064" spans="13:13">
      <c r="M11064" s="690"/>
    </row>
    <row r="11065" spans="13:13">
      <c r="M11065" s="690"/>
    </row>
    <row r="11066" spans="13:13">
      <c r="M11066" s="690"/>
    </row>
    <row r="11067" spans="13:13">
      <c r="M11067" s="690"/>
    </row>
    <row r="11068" spans="13:13">
      <c r="M11068" s="690"/>
    </row>
    <row r="11069" spans="13:13">
      <c r="M11069" s="690"/>
    </row>
    <row r="11070" spans="13:13">
      <c r="M11070" s="690"/>
    </row>
    <row r="11071" spans="13:13">
      <c r="M11071" s="690"/>
    </row>
    <row r="11072" spans="13:13">
      <c r="M11072" s="690"/>
    </row>
    <row r="11073" spans="13:13">
      <c r="M11073" s="690"/>
    </row>
    <row r="11074" spans="13:13">
      <c r="M11074" s="690"/>
    </row>
    <row r="11075" spans="13:13">
      <c r="M11075" s="690"/>
    </row>
    <row r="11076" spans="13:13">
      <c r="M11076" s="690"/>
    </row>
    <row r="11077" spans="13:13">
      <c r="M11077" s="690"/>
    </row>
    <row r="11078" spans="13:13">
      <c r="M11078" s="690"/>
    </row>
    <row r="11079" spans="13:13">
      <c r="M11079" s="690"/>
    </row>
    <row r="11080" spans="13:13">
      <c r="M11080" s="690"/>
    </row>
    <row r="11081" spans="13:13">
      <c r="M11081" s="690"/>
    </row>
    <row r="11082" spans="13:13">
      <c r="M11082" s="690"/>
    </row>
    <row r="11083" spans="13:13">
      <c r="M11083" s="690"/>
    </row>
    <row r="11084" spans="13:13">
      <c r="M11084" s="690"/>
    </row>
    <row r="11085" spans="13:13">
      <c r="M11085" s="690"/>
    </row>
    <row r="11086" spans="13:13">
      <c r="M11086" s="690"/>
    </row>
    <row r="11087" spans="13:13">
      <c r="M11087" s="690"/>
    </row>
    <row r="11088" spans="13:13">
      <c r="M11088" s="690"/>
    </row>
    <row r="11089" spans="13:13">
      <c r="M11089" s="690"/>
    </row>
    <row r="11090" spans="13:13">
      <c r="M11090" s="690"/>
    </row>
    <row r="11091" spans="13:13">
      <c r="M11091" s="690"/>
    </row>
    <row r="11092" spans="13:13">
      <c r="M11092" s="690"/>
    </row>
    <row r="11093" spans="13:13">
      <c r="M11093" s="690"/>
    </row>
    <row r="11094" spans="13:13">
      <c r="M11094" s="690"/>
    </row>
    <row r="11095" spans="13:13">
      <c r="M11095" s="690"/>
    </row>
    <row r="11096" spans="13:13">
      <c r="M11096" s="690"/>
    </row>
    <row r="11097" spans="13:13">
      <c r="M11097" s="690"/>
    </row>
    <row r="11098" spans="13:13">
      <c r="M11098" s="690"/>
    </row>
    <row r="11099" spans="13:13">
      <c r="M11099" s="690"/>
    </row>
    <row r="11100" spans="13:13">
      <c r="M11100" s="690"/>
    </row>
    <row r="11101" spans="13:13">
      <c r="M11101" s="690"/>
    </row>
    <row r="11102" spans="13:13">
      <c r="M11102" s="690"/>
    </row>
    <row r="11103" spans="13:13">
      <c r="M11103" s="690"/>
    </row>
    <row r="11104" spans="13:13">
      <c r="M11104" s="690"/>
    </row>
    <row r="11105" spans="13:13">
      <c r="M11105" s="690"/>
    </row>
    <row r="11106" spans="13:13">
      <c r="M11106" s="690"/>
    </row>
    <row r="11107" spans="13:13">
      <c r="M11107" s="690"/>
    </row>
    <row r="11108" spans="13:13">
      <c r="M11108" s="690"/>
    </row>
    <row r="11109" spans="13:13">
      <c r="M11109" s="690"/>
    </row>
    <row r="11110" spans="13:13">
      <c r="M11110" s="690"/>
    </row>
    <row r="11111" spans="13:13">
      <c r="M11111" s="690"/>
    </row>
    <row r="11112" spans="13:13">
      <c r="M11112" s="690"/>
    </row>
    <row r="11113" spans="13:13">
      <c r="M11113" s="690"/>
    </row>
    <row r="11114" spans="13:13">
      <c r="M11114" s="690"/>
    </row>
    <row r="11115" spans="13:13">
      <c r="M11115" s="690"/>
    </row>
    <row r="11116" spans="13:13">
      <c r="M11116" s="690"/>
    </row>
    <row r="11117" spans="13:13">
      <c r="M11117" s="690"/>
    </row>
    <row r="11118" spans="13:13">
      <c r="M11118" s="690"/>
    </row>
    <row r="11119" spans="13:13">
      <c r="M11119" s="690"/>
    </row>
    <row r="11120" spans="13:13">
      <c r="M11120" s="690"/>
    </row>
    <row r="11121" spans="13:13">
      <c r="M11121" s="690"/>
    </row>
    <row r="11122" spans="13:13">
      <c r="M11122" s="690"/>
    </row>
    <row r="11123" spans="13:13">
      <c r="M11123" s="690"/>
    </row>
    <row r="11124" spans="13:13">
      <c r="M11124" s="690"/>
    </row>
    <row r="11125" spans="13:13">
      <c r="M11125" s="690"/>
    </row>
    <row r="11126" spans="13:13">
      <c r="M11126" s="690"/>
    </row>
    <row r="11127" spans="13:13">
      <c r="M11127" s="690"/>
    </row>
    <row r="11128" spans="13:13">
      <c r="M11128" s="690"/>
    </row>
    <row r="11129" spans="13:13">
      <c r="M11129" s="690"/>
    </row>
    <row r="11130" spans="13:13">
      <c r="M11130" s="690"/>
    </row>
    <row r="11131" spans="13:13">
      <c r="M11131" s="690"/>
    </row>
    <row r="11132" spans="13:13">
      <c r="M11132" s="690"/>
    </row>
    <row r="11133" spans="13:13">
      <c r="M11133" s="690"/>
    </row>
    <row r="11134" spans="13:13">
      <c r="M11134" s="690"/>
    </row>
    <row r="11135" spans="13:13">
      <c r="M11135" s="690"/>
    </row>
    <row r="11136" spans="13:13">
      <c r="M11136" s="690"/>
    </row>
    <row r="11137" spans="13:13">
      <c r="M11137" s="690"/>
    </row>
    <row r="11138" spans="13:13">
      <c r="M11138" s="690"/>
    </row>
    <row r="11139" spans="13:13">
      <c r="M11139" s="690"/>
    </row>
    <row r="11140" spans="13:13">
      <c r="M11140" s="690"/>
    </row>
    <row r="11141" spans="13:13">
      <c r="M11141" s="690"/>
    </row>
    <row r="11142" spans="13:13">
      <c r="M11142" s="690"/>
    </row>
    <row r="11143" spans="13:13">
      <c r="M11143" s="690"/>
    </row>
    <row r="11144" spans="13:13">
      <c r="M11144" s="690"/>
    </row>
    <row r="11145" spans="13:13">
      <c r="M11145" s="690"/>
    </row>
    <row r="11146" spans="13:13">
      <c r="M11146" s="690"/>
    </row>
    <row r="11147" spans="13:13">
      <c r="M11147" s="690"/>
    </row>
    <row r="11148" spans="13:13">
      <c r="M11148" s="690"/>
    </row>
    <row r="11149" spans="13:13">
      <c r="M11149" s="690"/>
    </row>
    <row r="11150" spans="13:13">
      <c r="M11150" s="690"/>
    </row>
    <row r="11151" spans="13:13">
      <c r="M11151" s="690"/>
    </row>
    <row r="11152" spans="13:13">
      <c r="M11152" s="690"/>
    </row>
    <row r="11153" spans="13:13">
      <c r="M11153" s="690"/>
    </row>
    <row r="11154" spans="13:13">
      <c r="M11154" s="690"/>
    </row>
    <row r="11155" spans="13:13">
      <c r="M11155" s="690"/>
    </row>
    <row r="11156" spans="13:13">
      <c r="M11156" s="690"/>
    </row>
    <row r="11157" spans="13:13">
      <c r="M11157" s="690"/>
    </row>
    <row r="11158" spans="13:13">
      <c r="M11158" s="690"/>
    </row>
    <row r="11159" spans="13:13">
      <c r="M11159" s="690"/>
    </row>
    <row r="11160" spans="13:13">
      <c r="M11160" s="690"/>
    </row>
    <row r="11161" spans="13:13">
      <c r="M11161" s="690"/>
    </row>
    <row r="11162" spans="13:13">
      <c r="M11162" s="690"/>
    </row>
    <row r="11163" spans="13:13">
      <c r="M11163" s="690"/>
    </row>
    <row r="11164" spans="13:13">
      <c r="M11164" s="690"/>
    </row>
    <row r="11165" spans="13:13">
      <c r="M11165" s="690"/>
    </row>
    <row r="11166" spans="13:13">
      <c r="M11166" s="690"/>
    </row>
    <row r="11167" spans="13:13">
      <c r="M11167" s="690"/>
    </row>
    <row r="11168" spans="13:13">
      <c r="M11168" s="690"/>
    </row>
    <row r="11169" spans="13:13">
      <c r="M11169" s="690"/>
    </row>
    <row r="11170" spans="13:13">
      <c r="M11170" s="690"/>
    </row>
    <row r="11171" spans="13:13">
      <c r="M11171" s="690"/>
    </row>
    <row r="11172" spans="13:13">
      <c r="M11172" s="690"/>
    </row>
    <row r="11173" spans="13:13">
      <c r="M11173" s="690"/>
    </row>
    <row r="11174" spans="13:13">
      <c r="M11174" s="690"/>
    </row>
    <row r="11175" spans="13:13">
      <c r="M11175" s="690"/>
    </row>
    <row r="11176" spans="13:13">
      <c r="M11176" s="690"/>
    </row>
    <row r="11177" spans="13:13">
      <c r="M11177" s="690"/>
    </row>
    <row r="11178" spans="13:13">
      <c r="M11178" s="690"/>
    </row>
    <row r="11179" spans="13:13">
      <c r="M11179" s="690"/>
    </row>
    <row r="11180" spans="13:13">
      <c r="M11180" s="690"/>
    </row>
    <row r="11181" spans="13:13">
      <c r="M11181" s="690"/>
    </row>
    <row r="11182" spans="13:13">
      <c r="M11182" s="690"/>
    </row>
    <row r="11183" spans="13:13">
      <c r="M11183" s="690"/>
    </row>
    <row r="11184" spans="13:13">
      <c r="M11184" s="690"/>
    </row>
    <row r="11185" spans="13:13">
      <c r="M11185" s="690"/>
    </row>
    <row r="11186" spans="13:13">
      <c r="M11186" s="690"/>
    </row>
    <row r="11187" spans="13:13">
      <c r="M11187" s="690"/>
    </row>
    <row r="11188" spans="13:13">
      <c r="M11188" s="690"/>
    </row>
    <row r="11189" spans="13:13">
      <c r="M11189" s="690"/>
    </row>
    <row r="11190" spans="13:13">
      <c r="M11190" s="690"/>
    </row>
    <row r="11191" spans="13:13">
      <c r="M11191" s="690"/>
    </row>
    <row r="11192" spans="13:13">
      <c r="M11192" s="690"/>
    </row>
    <row r="11193" spans="13:13">
      <c r="M11193" s="690"/>
    </row>
    <row r="11194" spans="13:13">
      <c r="M11194" s="690"/>
    </row>
    <row r="11195" spans="13:13">
      <c r="M11195" s="690"/>
    </row>
    <row r="11196" spans="13:13">
      <c r="M11196" s="690"/>
    </row>
    <row r="11197" spans="13:13">
      <c r="M11197" s="690"/>
    </row>
    <row r="11198" spans="13:13">
      <c r="M11198" s="690"/>
    </row>
    <row r="11199" spans="13:13">
      <c r="M11199" s="690"/>
    </row>
    <row r="11200" spans="13:13">
      <c r="M11200" s="690"/>
    </row>
    <row r="11201" spans="13:13">
      <c r="M11201" s="690"/>
    </row>
    <row r="11202" spans="13:13">
      <c r="M11202" s="690"/>
    </row>
    <row r="11203" spans="13:13">
      <c r="M11203" s="690"/>
    </row>
    <row r="11204" spans="13:13">
      <c r="M11204" s="690"/>
    </row>
    <row r="11205" spans="13:13">
      <c r="M11205" s="690"/>
    </row>
    <row r="11206" spans="13:13">
      <c r="M11206" s="690"/>
    </row>
    <row r="11207" spans="13:13">
      <c r="M11207" s="690"/>
    </row>
    <row r="11208" spans="13:13">
      <c r="M11208" s="690"/>
    </row>
    <row r="11209" spans="13:13">
      <c r="M11209" s="690"/>
    </row>
    <row r="11210" spans="13:13">
      <c r="M11210" s="690"/>
    </row>
    <row r="11211" spans="13:13">
      <c r="M11211" s="690"/>
    </row>
    <row r="11212" spans="13:13">
      <c r="M11212" s="690"/>
    </row>
    <row r="11213" spans="13:13">
      <c r="M11213" s="690"/>
    </row>
    <row r="11214" spans="13:13">
      <c r="M11214" s="690"/>
    </row>
    <row r="11215" spans="13:13">
      <c r="M11215" s="690"/>
    </row>
    <row r="11216" spans="13:13">
      <c r="M11216" s="690"/>
    </row>
    <row r="11217" spans="13:13">
      <c r="M11217" s="690"/>
    </row>
    <row r="11218" spans="13:13">
      <c r="M11218" s="690"/>
    </row>
    <row r="11219" spans="13:13">
      <c r="M11219" s="690"/>
    </row>
    <row r="11220" spans="13:13">
      <c r="M11220" s="690"/>
    </row>
    <row r="11221" spans="13:13">
      <c r="M11221" s="690"/>
    </row>
    <row r="11222" spans="13:13">
      <c r="M11222" s="690"/>
    </row>
    <row r="11223" spans="13:13">
      <c r="M11223" s="690"/>
    </row>
    <row r="11224" spans="13:13">
      <c r="M11224" s="690"/>
    </row>
    <row r="11225" spans="13:13">
      <c r="M11225" s="690"/>
    </row>
    <row r="11226" spans="13:13">
      <c r="M11226" s="690"/>
    </row>
    <row r="11227" spans="13:13">
      <c r="M11227" s="690"/>
    </row>
    <row r="11228" spans="13:13">
      <c r="M11228" s="690"/>
    </row>
    <row r="11229" spans="13:13">
      <c r="M11229" s="690"/>
    </row>
    <row r="11230" spans="13:13">
      <c r="M11230" s="690"/>
    </row>
    <row r="11231" spans="13:13">
      <c r="M11231" s="690"/>
    </row>
    <row r="11232" spans="13:13">
      <c r="M11232" s="690"/>
    </row>
    <row r="11233" spans="13:13">
      <c r="M11233" s="690"/>
    </row>
    <row r="11234" spans="13:13">
      <c r="M11234" s="690"/>
    </row>
    <row r="11235" spans="13:13">
      <c r="M11235" s="690"/>
    </row>
    <row r="11236" spans="13:13">
      <c r="M11236" s="690"/>
    </row>
    <row r="11237" spans="13:13">
      <c r="M11237" s="690"/>
    </row>
    <row r="11238" spans="13:13">
      <c r="M11238" s="690"/>
    </row>
    <row r="11239" spans="13:13">
      <c r="M11239" s="690"/>
    </row>
    <row r="11240" spans="13:13">
      <c r="M11240" s="690"/>
    </row>
    <row r="11241" spans="13:13">
      <c r="M11241" s="690"/>
    </row>
    <row r="11242" spans="13:13">
      <c r="M11242" s="690"/>
    </row>
    <row r="11243" spans="13:13">
      <c r="M11243" s="690"/>
    </row>
    <row r="11244" spans="13:13">
      <c r="M11244" s="690"/>
    </row>
    <row r="11245" spans="13:13">
      <c r="M11245" s="690"/>
    </row>
    <row r="11246" spans="13:13">
      <c r="M11246" s="690"/>
    </row>
    <row r="11247" spans="13:13">
      <c r="M11247" s="690"/>
    </row>
    <row r="11248" spans="13:13">
      <c r="M11248" s="690"/>
    </row>
    <row r="11249" spans="13:13">
      <c r="M11249" s="690"/>
    </row>
    <row r="11250" spans="13:13">
      <c r="M11250" s="690"/>
    </row>
    <row r="11251" spans="13:13">
      <c r="M11251" s="690"/>
    </row>
    <row r="11252" spans="13:13">
      <c r="M11252" s="690"/>
    </row>
    <row r="11253" spans="13:13">
      <c r="M11253" s="690"/>
    </row>
    <row r="11254" spans="13:13">
      <c r="M11254" s="690"/>
    </row>
    <row r="11255" spans="13:13">
      <c r="M11255" s="690"/>
    </row>
    <row r="11256" spans="13:13">
      <c r="M11256" s="690"/>
    </row>
    <row r="11257" spans="13:13">
      <c r="M11257" s="690"/>
    </row>
    <row r="11258" spans="13:13">
      <c r="M11258" s="690"/>
    </row>
    <row r="11259" spans="13:13">
      <c r="M11259" s="690"/>
    </row>
    <row r="11260" spans="13:13">
      <c r="M11260" s="690"/>
    </row>
    <row r="11261" spans="13:13">
      <c r="M11261" s="690"/>
    </row>
    <row r="11262" spans="13:13">
      <c r="M11262" s="690"/>
    </row>
    <row r="11263" spans="13:13">
      <c r="M11263" s="690"/>
    </row>
    <row r="11264" spans="13:13">
      <c r="M11264" s="690"/>
    </row>
    <row r="11265" spans="13:13">
      <c r="M11265" s="690"/>
    </row>
    <row r="11266" spans="13:13">
      <c r="M11266" s="690"/>
    </row>
    <row r="11267" spans="13:13">
      <c r="M11267" s="690"/>
    </row>
    <row r="11268" spans="13:13">
      <c r="M11268" s="690"/>
    </row>
    <row r="11269" spans="13:13">
      <c r="M11269" s="690"/>
    </row>
    <row r="11270" spans="13:13">
      <c r="M11270" s="690"/>
    </row>
    <row r="11271" spans="13:13">
      <c r="M11271" s="690"/>
    </row>
    <row r="11272" spans="13:13">
      <c r="M11272" s="690"/>
    </row>
    <row r="11273" spans="13:13">
      <c r="M11273" s="690"/>
    </row>
    <row r="11274" spans="13:13">
      <c r="M11274" s="690"/>
    </row>
    <row r="11275" spans="13:13">
      <c r="M11275" s="690"/>
    </row>
    <row r="11276" spans="13:13">
      <c r="M11276" s="690"/>
    </row>
    <row r="11277" spans="13:13">
      <c r="M11277" s="690"/>
    </row>
    <row r="11278" spans="13:13">
      <c r="M11278" s="690"/>
    </row>
    <row r="11279" spans="13:13">
      <c r="M11279" s="690"/>
    </row>
    <row r="11280" spans="13:13">
      <c r="M11280" s="690"/>
    </row>
    <row r="11281" spans="13:13">
      <c r="M11281" s="690"/>
    </row>
    <row r="11282" spans="13:13">
      <c r="M11282" s="690"/>
    </row>
    <row r="11283" spans="13:13">
      <c r="M11283" s="690"/>
    </row>
    <row r="11284" spans="13:13">
      <c r="M11284" s="690"/>
    </row>
    <row r="11285" spans="13:13">
      <c r="M11285" s="690"/>
    </row>
    <row r="11286" spans="13:13">
      <c r="M11286" s="690"/>
    </row>
    <row r="11287" spans="13:13">
      <c r="M11287" s="690"/>
    </row>
    <row r="11288" spans="13:13">
      <c r="M11288" s="690"/>
    </row>
    <row r="11289" spans="13:13">
      <c r="M11289" s="690"/>
    </row>
    <row r="11290" spans="13:13">
      <c r="M11290" s="690"/>
    </row>
    <row r="11291" spans="13:13">
      <c r="M11291" s="690"/>
    </row>
    <row r="11292" spans="13:13">
      <c r="M11292" s="690"/>
    </row>
    <row r="11293" spans="13:13">
      <c r="M11293" s="690"/>
    </row>
    <row r="11294" spans="13:13">
      <c r="M11294" s="690"/>
    </row>
    <row r="11295" spans="13:13">
      <c r="M11295" s="690"/>
    </row>
    <row r="11296" spans="13:13">
      <c r="M11296" s="690"/>
    </row>
    <row r="11297" spans="13:13">
      <c r="M11297" s="690"/>
    </row>
    <row r="11298" spans="13:13">
      <c r="M11298" s="690"/>
    </row>
    <row r="11299" spans="13:13">
      <c r="M11299" s="690"/>
    </row>
    <row r="11300" spans="13:13">
      <c r="M11300" s="690"/>
    </row>
    <row r="11301" spans="13:13">
      <c r="M11301" s="690"/>
    </row>
    <row r="11302" spans="13:13">
      <c r="M11302" s="690"/>
    </row>
    <row r="11303" spans="13:13">
      <c r="M11303" s="690"/>
    </row>
    <row r="11304" spans="13:13">
      <c r="M11304" s="690"/>
    </row>
    <row r="11305" spans="13:13">
      <c r="M11305" s="690"/>
    </row>
    <row r="11306" spans="13:13">
      <c r="M11306" s="690"/>
    </row>
    <row r="11307" spans="13:13">
      <c r="M11307" s="690"/>
    </row>
    <row r="11308" spans="13:13">
      <c r="M11308" s="690"/>
    </row>
    <row r="11309" spans="13:13">
      <c r="M11309" s="690"/>
    </row>
    <row r="11310" spans="13:13">
      <c r="M11310" s="690"/>
    </row>
    <row r="11311" spans="13:13">
      <c r="M11311" s="690"/>
    </row>
    <row r="11312" spans="13:13">
      <c r="M11312" s="690"/>
    </row>
    <row r="11313" spans="13:13">
      <c r="M11313" s="690"/>
    </row>
    <row r="11314" spans="13:13">
      <c r="M11314" s="690"/>
    </row>
    <row r="11315" spans="13:13">
      <c r="M11315" s="690"/>
    </row>
    <row r="11316" spans="13:13">
      <c r="M11316" s="690"/>
    </row>
    <row r="11317" spans="13:13">
      <c r="M11317" s="690"/>
    </row>
    <row r="11318" spans="13:13">
      <c r="M11318" s="690"/>
    </row>
    <row r="11319" spans="13:13">
      <c r="M11319" s="690"/>
    </row>
    <row r="11320" spans="13:13">
      <c r="M11320" s="690"/>
    </row>
    <row r="11321" spans="13:13">
      <c r="M11321" s="690"/>
    </row>
    <row r="11322" spans="13:13">
      <c r="M11322" s="690"/>
    </row>
    <row r="11323" spans="13:13">
      <c r="M11323" s="690"/>
    </row>
    <row r="11324" spans="13:13">
      <c r="M11324" s="690"/>
    </row>
    <row r="11325" spans="13:13">
      <c r="M11325" s="690"/>
    </row>
    <row r="11326" spans="13:13">
      <c r="M11326" s="690"/>
    </row>
    <row r="11327" spans="13:13">
      <c r="M11327" s="690"/>
    </row>
    <row r="11328" spans="13:13">
      <c r="M11328" s="690"/>
    </row>
    <row r="11329" spans="13:13">
      <c r="M11329" s="690"/>
    </row>
    <row r="11330" spans="13:13">
      <c r="M11330" s="690"/>
    </row>
    <row r="11331" spans="13:13">
      <c r="M11331" s="690"/>
    </row>
    <row r="11332" spans="13:13">
      <c r="M11332" s="690"/>
    </row>
    <row r="11333" spans="13:13">
      <c r="M11333" s="690"/>
    </row>
    <row r="11334" spans="13:13">
      <c r="M11334" s="690"/>
    </row>
    <row r="11335" spans="13:13">
      <c r="M11335" s="690"/>
    </row>
    <row r="11336" spans="13:13">
      <c r="M11336" s="690"/>
    </row>
    <row r="11337" spans="13:13">
      <c r="M11337" s="690"/>
    </row>
    <row r="11338" spans="13:13">
      <c r="M11338" s="690"/>
    </row>
    <row r="11339" spans="13:13">
      <c r="M11339" s="690"/>
    </row>
    <row r="11340" spans="13:13">
      <c r="M11340" s="690"/>
    </row>
    <row r="11341" spans="13:13">
      <c r="M11341" s="690"/>
    </row>
    <row r="11342" spans="13:13">
      <c r="M11342" s="690"/>
    </row>
    <row r="11343" spans="13:13">
      <c r="M11343" s="690"/>
    </row>
    <row r="11344" spans="13:13">
      <c r="M11344" s="690"/>
    </row>
    <row r="11345" spans="13:13">
      <c r="M11345" s="690"/>
    </row>
    <row r="11346" spans="13:13">
      <c r="M11346" s="690"/>
    </row>
    <row r="11347" spans="13:13">
      <c r="M11347" s="690"/>
    </row>
    <row r="11348" spans="13:13">
      <c r="M11348" s="690"/>
    </row>
    <row r="11349" spans="13:13">
      <c r="M11349" s="690"/>
    </row>
    <row r="11350" spans="13:13">
      <c r="M11350" s="690"/>
    </row>
    <row r="11351" spans="13:13">
      <c r="M11351" s="690"/>
    </row>
    <row r="11352" spans="13:13">
      <c r="M11352" s="690"/>
    </row>
    <row r="11353" spans="13:13">
      <c r="M11353" s="690"/>
    </row>
    <row r="11354" spans="13:13">
      <c r="M11354" s="690"/>
    </row>
    <row r="11355" spans="13:13">
      <c r="M11355" s="690"/>
    </row>
    <row r="11356" spans="13:13">
      <c r="M11356" s="690"/>
    </row>
    <row r="11357" spans="13:13">
      <c r="M11357" s="690"/>
    </row>
    <row r="11358" spans="13:13">
      <c r="M11358" s="690"/>
    </row>
    <row r="11359" spans="13:13">
      <c r="M11359" s="690"/>
    </row>
    <row r="11360" spans="13:13">
      <c r="M11360" s="690"/>
    </row>
    <row r="11361" spans="13:13">
      <c r="M11361" s="690"/>
    </row>
    <row r="11362" spans="13:13">
      <c r="M11362" s="690"/>
    </row>
    <row r="11363" spans="13:13">
      <c r="M11363" s="690"/>
    </row>
    <row r="11364" spans="13:13">
      <c r="M11364" s="690"/>
    </row>
    <row r="11365" spans="13:13">
      <c r="M11365" s="690"/>
    </row>
    <row r="11366" spans="13:13">
      <c r="M11366" s="690"/>
    </row>
    <row r="11367" spans="13:13">
      <c r="M11367" s="690"/>
    </row>
    <row r="11368" spans="13:13">
      <c r="M11368" s="690"/>
    </row>
    <row r="11369" spans="13:13">
      <c r="M11369" s="690"/>
    </row>
    <row r="11370" spans="13:13">
      <c r="M11370" s="690"/>
    </row>
    <row r="11371" spans="13:13">
      <c r="M11371" s="690"/>
    </row>
    <row r="11372" spans="13:13">
      <c r="M11372" s="690"/>
    </row>
    <row r="11373" spans="13:13">
      <c r="M11373" s="690"/>
    </row>
    <row r="11374" spans="13:13">
      <c r="M11374" s="690"/>
    </row>
    <row r="11375" spans="13:13">
      <c r="M11375" s="690"/>
    </row>
    <row r="11376" spans="13:13">
      <c r="M11376" s="690"/>
    </row>
    <row r="11377" spans="13:13">
      <c r="M11377" s="690"/>
    </row>
    <row r="11378" spans="13:13">
      <c r="M11378" s="690"/>
    </row>
    <row r="11379" spans="13:13">
      <c r="M11379" s="690"/>
    </row>
    <row r="11380" spans="13:13">
      <c r="M11380" s="690"/>
    </row>
    <row r="11381" spans="13:13">
      <c r="M11381" s="690"/>
    </row>
    <row r="11382" spans="13:13">
      <c r="M11382" s="690"/>
    </row>
    <row r="11383" spans="13:13">
      <c r="M11383" s="690"/>
    </row>
    <row r="11384" spans="13:13">
      <c r="M11384" s="690"/>
    </row>
    <row r="11385" spans="13:13">
      <c r="M11385" s="690"/>
    </row>
    <row r="11386" spans="13:13">
      <c r="M11386" s="690"/>
    </row>
    <row r="11387" spans="13:13">
      <c r="M11387" s="690"/>
    </row>
    <row r="11388" spans="13:13">
      <c r="M11388" s="690"/>
    </row>
    <row r="11389" spans="13:13">
      <c r="M11389" s="690"/>
    </row>
    <row r="11390" spans="13:13">
      <c r="M11390" s="690"/>
    </row>
    <row r="11391" spans="13:13">
      <c r="M11391" s="690"/>
    </row>
    <row r="11392" spans="13:13">
      <c r="M11392" s="690"/>
    </row>
    <row r="11393" spans="13:13">
      <c r="M11393" s="690"/>
    </row>
    <row r="11394" spans="13:13">
      <c r="M11394" s="690"/>
    </row>
    <row r="11395" spans="13:13">
      <c r="M11395" s="690"/>
    </row>
    <row r="11396" spans="13:13">
      <c r="M11396" s="690"/>
    </row>
    <row r="11397" spans="13:13">
      <c r="M11397" s="690"/>
    </row>
    <row r="11398" spans="13:13">
      <c r="M11398" s="690"/>
    </row>
    <row r="11399" spans="13:13">
      <c r="M11399" s="690"/>
    </row>
    <row r="11400" spans="13:13">
      <c r="M11400" s="690"/>
    </row>
    <row r="11401" spans="13:13">
      <c r="M11401" s="690"/>
    </row>
    <row r="11402" spans="13:13">
      <c r="M11402" s="690"/>
    </row>
    <row r="11403" spans="13:13">
      <c r="M11403" s="690"/>
    </row>
    <row r="11404" spans="13:13">
      <c r="M11404" s="690"/>
    </row>
    <row r="11405" spans="13:13">
      <c r="M11405" s="690"/>
    </row>
    <row r="11406" spans="13:13">
      <c r="M11406" s="690"/>
    </row>
    <row r="11407" spans="13:13">
      <c r="M11407" s="690"/>
    </row>
    <row r="11408" spans="13:13">
      <c r="M11408" s="690"/>
    </row>
    <row r="11409" spans="13:13">
      <c r="M11409" s="690"/>
    </row>
    <row r="11410" spans="13:13">
      <c r="M11410" s="690"/>
    </row>
    <row r="11411" spans="13:13">
      <c r="M11411" s="690"/>
    </row>
    <row r="11412" spans="13:13">
      <c r="M11412" s="690"/>
    </row>
    <row r="11413" spans="13:13">
      <c r="M11413" s="690"/>
    </row>
    <row r="11414" spans="13:13">
      <c r="M11414" s="690"/>
    </row>
    <row r="11415" spans="13:13">
      <c r="M11415" s="690"/>
    </row>
    <row r="11416" spans="13:13">
      <c r="M11416" s="690"/>
    </row>
    <row r="11417" spans="13:13">
      <c r="M11417" s="690"/>
    </row>
    <row r="11418" spans="13:13">
      <c r="M11418" s="690"/>
    </row>
    <row r="11419" spans="13:13">
      <c r="M11419" s="690"/>
    </row>
    <row r="11420" spans="13:13">
      <c r="M11420" s="690"/>
    </row>
    <row r="11421" spans="13:13">
      <c r="M11421" s="690"/>
    </row>
    <row r="11422" spans="13:13">
      <c r="M11422" s="690"/>
    </row>
    <row r="11423" spans="13:13">
      <c r="M11423" s="690"/>
    </row>
    <row r="11424" spans="13:13">
      <c r="M11424" s="690"/>
    </row>
    <row r="11425" spans="13:13">
      <c r="M11425" s="690"/>
    </row>
    <row r="11426" spans="13:13">
      <c r="M11426" s="690"/>
    </row>
    <row r="11427" spans="13:13">
      <c r="M11427" s="690"/>
    </row>
    <row r="11428" spans="13:13">
      <c r="M11428" s="690"/>
    </row>
    <row r="11429" spans="13:13">
      <c r="M11429" s="690"/>
    </row>
    <row r="11430" spans="13:13">
      <c r="M11430" s="690"/>
    </row>
    <row r="11431" spans="13:13">
      <c r="M11431" s="690"/>
    </row>
    <row r="11432" spans="13:13">
      <c r="M11432" s="690"/>
    </row>
    <row r="11433" spans="13:13">
      <c r="M11433" s="690"/>
    </row>
    <row r="11434" spans="13:13">
      <c r="M11434" s="690"/>
    </row>
    <row r="11435" spans="13:13">
      <c r="M11435" s="690"/>
    </row>
    <row r="11436" spans="13:13">
      <c r="M11436" s="690"/>
    </row>
    <row r="11437" spans="13:13">
      <c r="M11437" s="690"/>
    </row>
    <row r="11438" spans="13:13">
      <c r="M11438" s="690"/>
    </row>
    <row r="11439" spans="13:13">
      <c r="M11439" s="690"/>
    </row>
    <row r="11440" spans="13:13">
      <c r="M11440" s="690"/>
    </row>
    <row r="11441" spans="13:13">
      <c r="M11441" s="690"/>
    </row>
    <row r="11442" spans="13:13">
      <c r="M11442" s="690"/>
    </row>
    <row r="11443" spans="13:13">
      <c r="M11443" s="690"/>
    </row>
    <row r="11444" spans="13:13">
      <c r="M11444" s="690"/>
    </row>
    <row r="11445" spans="13:13">
      <c r="M11445" s="690"/>
    </row>
    <row r="11446" spans="13:13">
      <c r="M11446" s="690"/>
    </row>
    <row r="11447" spans="13:13">
      <c r="M11447" s="690"/>
    </row>
    <row r="11448" spans="13:13">
      <c r="M11448" s="690"/>
    </row>
    <row r="11449" spans="13:13">
      <c r="M11449" s="690"/>
    </row>
    <row r="11450" spans="13:13">
      <c r="M11450" s="690"/>
    </row>
    <row r="11451" spans="13:13">
      <c r="M11451" s="690"/>
    </row>
    <row r="11452" spans="13:13">
      <c r="M11452" s="690"/>
    </row>
    <row r="11453" spans="13:13">
      <c r="M11453" s="690"/>
    </row>
    <row r="11454" spans="13:13">
      <c r="M11454" s="690"/>
    </row>
    <row r="11455" spans="13:13">
      <c r="M11455" s="690"/>
    </row>
    <row r="11456" spans="13:13">
      <c r="M11456" s="690"/>
    </row>
    <row r="11457" spans="13:13">
      <c r="M11457" s="690"/>
    </row>
    <row r="11458" spans="13:13">
      <c r="M11458" s="690"/>
    </row>
    <row r="11459" spans="13:13">
      <c r="M11459" s="690"/>
    </row>
    <row r="11460" spans="13:13">
      <c r="M11460" s="690"/>
    </row>
    <row r="11461" spans="13:13">
      <c r="M11461" s="690"/>
    </row>
    <row r="11462" spans="13:13">
      <c r="M11462" s="690"/>
    </row>
    <row r="11463" spans="13:13">
      <c r="M11463" s="690"/>
    </row>
    <row r="11464" spans="13:13">
      <c r="M11464" s="690"/>
    </row>
    <row r="11465" spans="13:13">
      <c r="M11465" s="690"/>
    </row>
    <row r="11466" spans="13:13">
      <c r="M11466" s="690"/>
    </row>
    <row r="11467" spans="13:13">
      <c r="M11467" s="690"/>
    </row>
    <row r="11468" spans="13:13">
      <c r="M11468" s="690"/>
    </row>
    <row r="11469" spans="13:13">
      <c r="M11469" s="690"/>
    </row>
    <row r="11470" spans="13:13">
      <c r="M11470" s="690"/>
    </row>
    <row r="11471" spans="13:13">
      <c r="M11471" s="690"/>
    </row>
    <row r="11472" spans="13:13">
      <c r="M11472" s="690"/>
    </row>
    <row r="11473" spans="13:13">
      <c r="M11473" s="690"/>
    </row>
    <row r="11474" spans="13:13">
      <c r="M11474" s="690"/>
    </row>
    <row r="11475" spans="13:13">
      <c r="M11475" s="690"/>
    </row>
    <row r="11476" spans="13:13">
      <c r="M11476" s="690"/>
    </row>
    <row r="11477" spans="13:13">
      <c r="M11477" s="690"/>
    </row>
    <row r="11478" spans="13:13">
      <c r="M11478" s="690"/>
    </row>
    <row r="11479" spans="13:13">
      <c r="M11479" s="690"/>
    </row>
    <row r="11480" spans="13:13">
      <c r="M11480" s="690"/>
    </row>
    <row r="11481" spans="13:13">
      <c r="M11481" s="690"/>
    </row>
    <row r="11482" spans="13:13">
      <c r="M11482" s="690"/>
    </row>
    <row r="11483" spans="13:13">
      <c r="M11483" s="690"/>
    </row>
    <row r="11484" spans="13:13">
      <c r="M11484" s="690"/>
    </row>
    <row r="11485" spans="13:13">
      <c r="M11485" s="690"/>
    </row>
    <row r="11486" spans="13:13">
      <c r="M11486" s="690"/>
    </row>
    <row r="11487" spans="13:13">
      <c r="M11487" s="690"/>
    </row>
    <row r="11488" spans="13:13">
      <c r="M11488" s="690"/>
    </row>
    <row r="11489" spans="13:13">
      <c r="M11489" s="690"/>
    </row>
    <row r="11490" spans="13:13">
      <c r="M11490" s="690"/>
    </row>
    <row r="11491" spans="13:13">
      <c r="M11491" s="690"/>
    </row>
    <row r="11492" spans="13:13">
      <c r="M11492" s="690"/>
    </row>
    <row r="11493" spans="13:13">
      <c r="M11493" s="690"/>
    </row>
    <row r="11494" spans="13:13">
      <c r="M11494" s="690"/>
    </row>
    <row r="11495" spans="13:13">
      <c r="M11495" s="690"/>
    </row>
    <row r="11496" spans="13:13">
      <c r="M11496" s="690"/>
    </row>
    <row r="11497" spans="13:13">
      <c r="M11497" s="690"/>
    </row>
    <row r="11498" spans="13:13">
      <c r="M11498" s="690"/>
    </row>
    <row r="11499" spans="13:13">
      <c r="M11499" s="690"/>
    </row>
    <row r="11500" spans="13:13">
      <c r="M11500" s="690"/>
    </row>
    <row r="11501" spans="13:13">
      <c r="M11501" s="690"/>
    </row>
    <row r="11502" spans="13:13">
      <c r="M11502" s="690"/>
    </row>
    <row r="11503" spans="13:13">
      <c r="M11503" s="690"/>
    </row>
    <row r="11504" spans="13:13">
      <c r="M11504" s="690"/>
    </row>
    <row r="11505" spans="13:13">
      <c r="M11505" s="690"/>
    </row>
    <row r="11506" spans="13:13">
      <c r="M11506" s="690"/>
    </row>
    <row r="11507" spans="13:13">
      <c r="M11507" s="690"/>
    </row>
    <row r="11508" spans="13:13">
      <c r="M11508" s="690"/>
    </row>
    <row r="11509" spans="13:13">
      <c r="M11509" s="690"/>
    </row>
    <row r="11510" spans="13:13">
      <c r="M11510" s="690"/>
    </row>
    <row r="11511" spans="13:13">
      <c r="M11511" s="690"/>
    </row>
    <row r="11512" spans="13:13">
      <c r="M11512" s="690"/>
    </row>
    <row r="11513" spans="13:13">
      <c r="M11513" s="690"/>
    </row>
    <row r="11514" spans="13:13">
      <c r="M11514" s="690"/>
    </row>
    <row r="11515" spans="13:13">
      <c r="M11515" s="690"/>
    </row>
    <row r="11516" spans="13:13">
      <c r="M11516" s="690"/>
    </row>
    <row r="11517" spans="13:13">
      <c r="M11517" s="690"/>
    </row>
    <row r="11518" spans="13:13">
      <c r="M11518" s="690"/>
    </row>
    <row r="11519" spans="13:13">
      <c r="M11519" s="690"/>
    </row>
    <row r="11520" spans="13:13">
      <c r="M11520" s="690"/>
    </row>
    <row r="11521" spans="13:13">
      <c r="M11521" s="690"/>
    </row>
    <row r="11522" spans="13:13">
      <c r="M11522" s="690"/>
    </row>
    <row r="11523" spans="13:13">
      <c r="M11523" s="690"/>
    </row>
    <row r="11524" spans="13:13">
      <c r="M11524" s="690"/>
    </row>
    <row r="11525" spans="13:13">
      <c r="M11525" s="690"/>
    </row>
    <row r="11526" spans="13:13">
      <c r="M11526" s="690"/>
    </row>
    <row r="11527" spans="13:13">
      <c r="M11527" s="690"/>
    </row>
    <row r="11528" spans="13:13">
      <c r="M11528" s="690"/>
    </row>
    <row r="11529" spans="13:13">
      <c r="M11529" s="690"/>
    </row>
    <row r="11530" spans="13:13">
      <c r="M11530" s="690"/>
    </row>
    <row r="11531" spans="13:13">
      <c r="M11531" s="690"/>
    </row>
    <row r="11532" spans="13:13">
      <c r="M11532" s="690"/>
    </row>
    <row r="11533" spans="13:13">
      <c r="M11533" s="690"/>
    </row>
    <row r="11534" spans="13:13">
      <c r="M11534" s="690"/>
    </row>
    <row r="11535" spans="13:13">
      <c r="M11535" s="690"/>
    </row>
    <row r="11536" spans="13:13">
      <c r="M11536" s="690"/>
    </row>
    <row r="11537" spans="13:13">
      <c r="M11537" s="690"/>
    </row>
    <row r="11538" spans="13:13">
      <c r="M11538" s="690"/>
    </row>
    <row r="11539" spans="13:13">
      <c r="M11539" s="690"/>
    </row>
    <row r="11540" spans="13:13">
      <c r="M11540" s="690"/>
    </row>
    <row r="11541" spans="13:13">
      <c r="M11541" s="690"/>
    </row>
    <row r="11542" spans="13:13">
      <c r="M11542" s="690"/>
    </row>
    <row r="11543" spans="13:13">
      <c r="M11543" s="690"/>
    </row>
    <row r="11544" spans="13:13">
      <c r="M11544" s="690"/>
    </row>
    <row r="11545" spans="13:13">
      <c r="M11545" s="690"/>
    </row>
    <row r="11546" spans="13:13">
      <c r="M11546" s="690"/>
    </row>
    <row r="11547" spans="13:13">
      <c r="M11547" s="690"/>
    </row>
    <row r="11548" spans="13:13">
      <c r="M11548" s="690"/>
    </row>
    <row r="11549" spans="13:13">
      <c r="M11549" s="690"/>
    </row>
    <row r="11550" spans="13:13">
      <c r="M11550" s="690"/>
    </row>
    <row r="11551" spans="13:13">
      <c r="M11551" s="690"/>
    </row>
    <row r="11552" spans="13:13">
      <c r="M11552" s="690"/>
    </row>
    <row r="11553" spans="13:13">
      <c r="M11553" s="690"/>
    </row>
    <row r="11554" spans="13:13">
      <c r="M11554" s="690"/>
    </row>
    <row r="11555" spans="13:13">
      <c r="M11555" s="690"/>
    </row>
    <row r="11556" spans="13:13">
      <c r="M11556" s="690"/>
    </row>
    <row r="11557" spans="13:13">
      <c r="M11557" s="690"/>
    </row>
    <row r="11558" spans="13:13">
      <c r="M11558" s="690"/>
    </row>
    <row r="11559" spans="13:13">
      <c r="M11559" s="690"/>
    </row>
    <row r="11560" spans="13:13">
      <c r="M11560" s="690"/>
    </row>
    <row r="11561" spans="13:13">
      <c r="M11561" s="690"/>
    </row>
    <row r="11562" spans="13:13">
      <c r="M11562" s="690"/>
    </row>
    <row r="11563" spans="13:13">
      <c r="M11563" s="690"/>
    </row>
    <row r="11564" spans="13:13">
      <c r="M11564" s="690"/>
    </row>
    <row r="11565" spans="13:13">
      <c r="M11565" s="690"/>
    </row>
    <row r="11566" spans="13:13">
      <c r="M11566" s="690"/>
    </row>
    <row r="11567" spans="13:13">
      <c r="M11567" s="690"/>
    </row>
    <row r="11568" spans="13:13">
      <c r="M11568" s="690"/>
    </row>
    <row r="11569" spans="13:13">
      <c r="M11569" s="690"/>
    </row>
    <row r="11570" spans="13:13">
      <c r="M11570" s="690"/>
    </row>
    <row r="11571" spans="13:13">
      <c r="M11571" s="690"/>
    </row>
    <row r="11572" spans="13:13">
      <c r="M11572" s="690"/>
    </row>
    <row r="11573" spans="13:13">
      <c r="M11573" s="690"/>
    </row>
    <row r="11574" spans="13:13">
      <c r="M11574" s="690"/>
    </row>
    <row r="11575" spans="13:13">
      <c r="M11575" s="690"/>
    </row>
    <row r="11576" spans="13:13">
      <c r="M11576" s="690"/>
    </row>
    <row r="11577" spans="13:13">
      <c r="M11577" s="690"/>
    </row>
    <row r="11578" spans="13:13">
      <c r="M11578" s="690"/>
    </row>
    <row r="11579" spans="13:13">
      <c r="M11579" s="690"/>
    </row>
    <row r="11580" spans="13:13">
      <c r="M11580" s="690"/>
    </row>
    <row r="11581" spans="13:13">
      <c r="M11581" s="690"/>
    </row>
    <row r="11582" spans="13:13">
      <c r="M11582" s="690"/>
    </row>
    <row r="11583" spans="13:13">
      <c r="M11583" s="690"/>
    </row>
    <row r="11584" spans="13:13">
      <c r="M11584" s="690"/>
    </row>
    <row r="11585" spans="13:13">
      <c r="M11585" s="690"/>
    </row>
    <row r="11586" spans="13:13">
      <c r="M11586" s="690"/>
    </row>
    <row r="11587" spans="13:13">
      <c r="M11587" s="690"/>
    </row>
    <row r="11588" spans="13:13">
      <c r="M11588" s="690"/>
    </row>
    <row r="11589" spans="13:13">
      <c r="M11589" s="690"/>
    </row>
    <row r="11590" spans="13:13">
      <c r="M11590" s="690"/>
    </row>
    <row r="11591" spans="13:13">
      <c r="M11591" s="690"/>
    </row>
    <row r="11592" spans="13:13">
      <c r="M11592" s="690"/>
    </row>
    <row r="11593" spans="13:13">
      <c r="M11593" s="690"/>
    </row>
    <row r="11594" spans="13:13">
      <c r="M11594" s="690"/>
    </row>
    <row r="11595" spans="13:13">
      <c r="M11595" s="690"/>
    </row>
    <row r="11596" spans="13:13">
      <c r="M11596" s="690"/>
    </row>
    <row r="11597" spans="13:13">
      <c r="M11597" s="690"/>
    </row>
    <row r="11598" spans="13:13">
      <c r="M11598" s="690"/>
    </row>
    <row r="11599" spans="13:13">
      <c r="M11599" s="690"/>
    </row>
    <row r="11600" spans="13:13">
      <c r="M11600" s="690"/>
    </row>
    <row r="11601" spans="13:13">
      <c r="M11601" s="690"/>
    </row>
    <row r="11602" spans="13:13">
      <c r="M11602" s="690"/>
    </row>
    <row r="11603" spans="13:13">
      <c r="M11603" s="690"/>
    </row>
    <row r="11604" spans="13:13">
      <c r="M11604" s="690"/>
    </row>
    <row r="11605" spans="13:13">
      <c r="M11605" s="690"/>
    </row>
    <row r="11606" spans="13:13">
      <c r="M11606" s="690"/>
    </row>
    <row r="11607" spans="13:13">
      <c r="M11607" s="690"/>
    </row>
    <row r="11608" spans="13:13">
      <c r="M11608" s="690"/>
    </row>
    <row r="11609" spans="13:13">
      <c r="M11609" s="690"/>
    </row>
    <row r="11610" spans="13:13">
      <c r="M11610" s="690"/>
    </row>
    <row r="11611" spans="13:13">
      <c r="M11611" s="690"/>
    </row>
    <row r="11612" spans="13:13">
      <c r="M11612" s="690"/>
    </row>
    <row r="11613" spans="13:13">
      <c r="M11613" s="690"/>
    </row>
    <row r="11614" spans="13:13">
      <c r="M11614" s="690"/>
    </row>
    <row r="11615" spans="13:13">
      <c r="M11615" s="690"/>
    </row>
    <row r="11616" spans="13:13">
      <c r="M11616" s="690"/>
    </row>
    <row r="11617" spans="13:13">
      <c r="M11617" s="690"/>
    </row>
    <row r="11618" spans="13:13">
      <c r="M11618" s="690"/>
    </row>
    <row r="11619" spans="13:13">
      <c r="M11619" s="690"/>
    </row>
    <row r="11620" spans="13:13">
      <c r="M11620" s="690"/>
    </row>
    <row r="11621" spans="13:13">
      <c r="M11621" s="690"/>
    </row>
    <row r="11622" spans="13:13">
      <c r="M11622" s="690"/>
    </row>
    <row r="11623" spans="13:13">
      <c r="M11623" s="690"/>
    </row>
    <row r="11624" spans="13:13">
      <c r="M11624" s="690"/>
    </row>
    <row r="11625" spans="13:13">
      <c r="M11625" s="690"/>
    </row>
    <row r="11626" spans="13:13">
      <c r="M11626" s="690"/>
    </row>
    <row r="11627" spans="13:13">
      <c r="M11627" s="690"/>
    </row>
    <row r="11628" spans="13:13">
      <c r="M11628" s="690"/>
    </row>
    <row r="11629" spans="13:13">
      <c r="M11629" s="690"/>
    </row>
    <row r="11630" spans="13:13">
      <c r="M11630" s="690"/>
    </row>
    <row r="11631" spans="13:13">
      <c r="M11631" s="690"/>
    </row>
    <row r="11632" spans="13:13">
      <c r="M11632" s="690"/>
    </row>
    <row r="11633" spans="13:13">
      <c r="M11633" s="690"/>
    </row>
    <row r="11634" spans="13:13">
      <c r="M11634" s="690"/>
    </row>
    <row r="11635" spans="13:13">
      <c r="M11635" s="690"/>
    </row>
    <row r="11636" spans="13:13">
      <c r="M11636" s="690"/>
    </row>
    <row r="11637" spans="13:13">
      <c r="M11637" s="690"/>
    </row>
    <row r="11638" spans="13:13">
      <c r="M11638" s="690"/>
    </row>
    <row r="11639" spans="13:13">
      <c r="M11639" s="690"/>
    </row>
    <row r="11640" spans="13:13">
      <c r="M11640" s="690"/>
    </row>
    <row r="11641" spans="13:13">
      <c r="M11641" s="690"/>
    </row>
    <row r="11642" spans="13:13">
      <c r="M11642" s="690"/>
    </row>
    <row r="11643" spans="13:13">
      <c r="M11643" s="690"/>
    </row>
    <row r="11644" spans="13:13">
      <c r="M11644" s="690"/>
    </row>
    <row r="11645" spans="13:13">
      <c r="M11645" s="690"/>
    </row>
    <row r="11646" spans="13:13">
      <c r="M11646" s="690"/>
    </row>
    <row r="11647" spans="13:13">
      <c r="M11647" s="690"/>
    </row>
    <row r="11648" spans="13:13">
      <c r="M11648" s="690"/>
    </row>
    <row r="11649" spans="13:13">
      <c r="M11649" s="690"/>
    </row>
    <row r="11650" spans="13:13">
      <c r="M11650" s="690"/>
    </row>
    <row r="11651" spans="13:13">
      <c r="M11651" s="690"/>
    </row>
    <row r="11652" spans="13:13">
      <c r="M11652" s="690"/>
    </row>
    <row r="11653" spans="13:13">
      <c r="M11653" s="690"/>
    </row>
    <row r="11654" spans="13:13">
      <c r="M11654" s="690"/>
    </row>
    <row r="11655" spans="13:13">
      <c r="M11655" s="690"/>
    </row>
    <row r="11656" spans="13:13">
      <c r="M11656" s="690"/>
    </row>
    <row r="11657" spans="13:13">
      <c r="M11657" s="690"/>
    </row>
    <row r="11658" spans="13:13">
      <c r="M11658" s="690"/>
    </row>
    <row r="11659" spans="13:13">
      <c r="M11659" s="690"/>
    </row>
    <row r="11660" spans="13:13">
      <c r="M11660" s="690"/>
    </row>
    <row r="11661" spans="13:13">
      <c r="M11661" s="690"/>
    </row>
    <row r="11662" spans="13:13">
      <c r="M11662" s="690"/>
    </row>
    <row r="11663" spans="13:13">
      <c r="M11663" s="690"/>
    </row>
    <row r="11664" spans="13:13">
      <c r="M11664" s="690"/>
    </row>
    <row r="11665" spans="13:13">
      <c r="M11665" s="690"/>
    </row>
    <row r="11666" spans="13:13">
      <c r="M11666" s="690"/>
    </row>
    <row r="11667" spans="13:13">
      <c r="M11667" s="690"/>
    </row>
    <row r="11668" spans="13:13">
      <c r="M11668" s="690"/>
    </row>
    <row r="11669" spans="13:13">
      <c r="M11669" s="690"/>
    </row>
    <row r="11670" spans="13:13">
      <c r="M11670" s="690"/>
    </row>
    <row r="11671" spans="13:13">
      <c r="M11671" s="690"/>
    </row>
    <row r="11672" spans="13:13">
      <c r="M11672" s="690"/>
    </row>
    <row r="11673" spans="13:13">
      <c r="M11673" s="690"/>
    </row>
    <row r="11674" spans="13:13">
      <c r="M11674" s="690"/>
    </row>
    <row r="11675" spans="13:13">
      <c r="M11675" s="690"/>
    </row>
    <row r="11676" spans="13:13">
      <c r="M11676" s="690"/>
    </row>
    <row r="11677" spans="13:13">
      <c r="M11677" s="690"/>
    </row>
    <row r="11678" spans="13:13">
      <c r="M11678" s="690"/>
    </row>
    <row r="11679" spans="13:13">
      <c r="M11679" s="690"/>
    </row>
    <row r="11680" spans="13:13">
      <c r="M11680" s="690"/>
    </row>
    <row r="11681" spans="13:13">
      <c r="M11681" s="690"/>
    </row>
    <row r="11682" spans="13:13">
      <c r="M11682" s="690"/>
    </row>
    <row r="11683" spans="13:13">
      <c r="M11683" s="690"/>
    </row>
    <row r="11684" spans="13:13">
      <c r="M11684" s="690"/>
    </row>
    <row r="11685" spans="13:13">
      <c r="M11685" s="690"/>
    </row>
    <row r="11686" spans="13:13">
      <c r="M11686" s="690"/>
    </row>
    <row r="11687" spans="13:13">
      <c r="M11687" s="690"/>
    </row>
    <row r="11688" spans="13:13">
      <c r="M11688" s="690"/>
    </row>
    <row r="11689" spans="13:13">
      <c r="M11689" s="690"/>
    </row>
    <row r="11690" spans="13:13">
      <c r="M11690" s="690"/>
    </row>
    <row r="11691" spans="13:13">
      <c r="M11691" s="690"/>
    </row>
    <row r="11692" spans="13:13">
      <c r="M11692" s="690"/>
    </row>
    <row r="11693" spans="13:13">
      <c r="M11693" s="690"/>
    </row>
    <row r="11694" spans="13:13">
      <c r="M11694" s="690"/>
    </row>
    <row r="11695" spans="13:13">
      <c r="M11695" s="690"/>
    </row>
    <row r="11696" spans="13:13">
      <c r="M11696" s="690"/>
    </row>
    <row r="11697" spans="13:13">
      <c r="M11697" s="690"/>
    </row>
    <row r="11698" spans="13:13">
      <c r="M11698" s="690"/>
    </row>
    <row r="11699" spans="13:13">
      <c r="M11699" s="690"/>
    </row>
    <row r="11700" spans="13:13">
      <c r="M11700" s="690"/>
    </row>
    <row r="11701" spans="13:13">
      <c r="M11701" s="690"/>
    </row>
    <row r="11702" spans="13:13">
      <c r="M11702" s="690"/>
    </row>
    <row r="11703" spans="13:13">
      <c r="M11703" s="690"/>
    </row>
    <row r="11704" spans="13:13">
      <c r="M11704" s="690"/>
    </row>
    <row r="11705" spans="13:13">
      <c r="M11705" s="690"/>
    </row>
    <row r="11706" spans="13:13">
      <c r="M11706" s="690"/>
    </row>
    <row r="11707" spans="13:13">
      <c r="M11707" s="690"/>
    </row>
    <row r="11708" spans="13:13">
      <c r="M11708" s="690"/>
    </row>
    <row r="11709" spans="13:13">
      <c r="M11709" s="690"/>
    </row>
    <row r="11710" spans="13:13">
      <c r="M11710" s="690"/>
    </row>
    <row r="11711" spans="13:13">
      <c r="M11711" s="690"/>
    </row>
    <row r="11712" spans="13:13">
      <c r="M11712" s="690"/>
    </row>
    <row r="11713" spans="13:13">
      <c r="M11713" s="690"/>
    </row>
    <row r="11714" spans="13:13">
      <c r="M11714" s="690"/>
    </row>
    <row r="11715" spans="13:13">
      <c r="M11715" s="690"/>
    </row>
    <row r="11716" spans="13:13">
      <c r="M11716" s="690"/>
    </row>
    <row r="11717" spans="13:13">
      <c r="M11717" s="690"/>
    </row>
    <row r="11718" spans="13:13">
      <c r="M11718" s="690"/>
    </row>
    <row r="11719" spans="13:13">
      <c r="M11719" s="690"/>
    </row>
    <row r="11720" spans="13:13">
      <c r="M11720" s="690"/>
    </row>
    <row r="11721" spans="13:13">
      <c r="M11721" s="690"/>
    </row>
    <row r="11722" spans="13:13">
      <c r="M11722" s="690"/>
    </row>
    <row r="11723" spans="13:13">
      <c r="M11723" s="690"/>
    </row>
    <row r="11724" spans="13:13">
      <c r="M11724" s="690"/>
    </row>
    <row r="11725" spans="13:13">
      <c r="M11725" s="690"/>
    </row>
    <row r="11726" spans="13:13">
      <c r="M11726" s="690"/>
    </row>
    <row r="11727" spans="13:13">
      <c r="M11727" s="690"/>
    </row>
    <row r="11728" spans="13:13">
      <c r="M11728" s="690"/>
    </row>
    <row r="11729" spans="13:13">
      <c r="M11729" s="690"/>
    </row>
    <row r="11730" spans="13:13">
      <c r="M11730" s="690"/>
    </row>
    <row r="11731" spans="13:13">
      <c r="M11731" s="690"/>
    </row>
    <row r="11732" spans="13:13">
      <c r="M11732" s="690"/>
    </row>
    <row r="11733" spans="13:13">
      <c r="M11733" s="690"/>
    </row>
    <row r="11734" spans="13:13">
      <c r="M11734" s="690"/>
    </row>
    <row r="11735" spans="13:13">
      <c r="M11735" s="690"/>
    </row>
    <row r="11736" spans="13:13">
      <c r="M11736" s="690"/>
    </row>
    <row r="11737" spans="13:13">
      <c r="M11737" s="690"/>
    </row>
    <row r="11738" spans="13:13">
      <c r="M11738" s="690"/>
    </row>
    <row r="11739" spans="13:13">
      <c r="M11739" s="690"/>
    </row>
    <row r="11740" spans="13:13">
      <c r="M11740" s="690"/>
    </row>
    <row r="11741" spans="13:13">
      <c r="M11741" s="690"/>
    </row>
    <row r="11742" spans="13:13">
      <c r="M11742" s="690"/>
    </row>
    <row r="11743" spans="13:13">
      <c r="M11743" s="690"/>
    </row>
    <row r="11744" spans="13:13">
      <c r="M11744" s="690"/>
    </row>
    <row r="11745" spans="13:13">
      <c r="M11745" s="690"/>
    </row>
    <row r="11746" spans="13:13">
      <c r="M11746" s="690"/>
    </row>
    <row r="11747" spans="13:13">
      <c r="M11747" s="690"/>
    </row>
    <row r="11748" spans="13:13">
      <c r="M11748" s="690"/>
    </row>
    <row r="11749" spans="13:13">
      <c r="M11749" s="690"/>
    </row>
    <row r="11750" spans="13:13">
      <c r="M11750" s="690"/>
    </row>
    <row r="11751" spans="13:13">
      <c r="M11751" s="690"/>
    </row>
    <row r="11752" spans="13:13">
      <c r="M11752" s="690"/>
    </row>
    <row r="11753" spans="13:13">
      <c r="M11753" s="690"/>
    </row>
    <row r="11754" spans="13:13">
      <c r="M11754" s="690"/>
    </row>
    <row r="11755" spans="13:13">
      <c r="M11755" s="690"/>
    </row>
    <row r="11756" spans="13:13">
      <c r="M11756" s="690"/>
    </row>
    <row r="11757" spans="13:13">
      <c r="M11757" s="690"/>
    </row>
    <row r="11758" spans="13:13">
      <c r="M11758" s="690"/>
    </row>
    <row r="11759" spans="13:13">
      <c r="M11759" s="690"/>
    </row>
    <row r="11760" spans="13:13">
      <c r="M11760" s="690"/>
    </row>
    <row r="11761" spans="13:13">
      <c r="M11761" s="690"/>
    </row>
    <row r="11762" spans="13:13">
      <c r="M11762" s="690"/>
    </row>
    <row r="11763" spans="13:13">
      <c r="M11763" s="690"/>
    </row>
    <row r="11764" spans="13:13">
      <c r="M11764" s="690"/>
    </row>
    <row r="11765" spans="13:13">
      <c r="M11765" s="690"/>
    </row>
    <row r="11766" spans="13:13">
      <c r="M11766" s="690"/>
    </row>
    <row r="11767" spans="13:13">
      <c r="M11767" s="690"/>
    </row>
    <row r="11768" spans="13:13">
      <c r="M11768" s="690"/>
    </row>
    <row r="11769" spans="13:13">
      <c r="M11769" s="690"/>
    </row>
    <row r="11770" spans="13:13">
      <c r="M11770" s="690"/>
    </row>
    <row r="11771" spans="13:13">
      <c r="M11771" s="690"/>
    </row>
    <row r="11772" spans="13:13">
      <c r="M11772" s="690"/>
    </row>
    <row r="11773" spans="13:13">
      <c r="M11773" s="690"/>
    </row>
    <row r="11774" spans="13:13">
      <c r="M11774" s="690"/>
    </row>
    <row r="11775" spans="13:13">
      <c r="M11775" s="690"/>
    </row>
    <row r="11776" spans="13:13">
      <c r="M11776" s="690"/>
    </row>
    <row r="11777" spans="13:13">
      <c r="M11777" s="690"/>
    </row>
    <row r="11778" spans="13:13">
      <c r="M11778" s="690"/>
    </row>
    <row r="11779" spans="13:13">
      <c r="M11779" s="690"/>
    </row>
    <row r="11780" spans="13:13">
      <c r="M11780" s="690"/>
    </row>
    <row r="11781" spans="13:13">
      <c r="M11781" s="690"/>
    </row>
    <row r="11782" spans="13:13">
      <c r="M11782" s="690"/>
    </row>
    <row r="11783" spans="13:13">
      <c r="M11783" s="690"/>
    </row>
    <row r="11784" spans="13:13">
      <c r="M11784" s="690"/>
    </row>
    <row r="11785" spans="13:13">
      <c r="M11785" s="690"/>
    </row>
    <row r="11786" spans="13:13">
      <c r="M11786" s="690"/>
    </row>
    <row r="11787" spans="13:13">
      <c r="M11787" s="690"/>
    </row>
    <row r="11788" spans="13:13">
      <c r="M11788" s="690"/>
    </row>
    <row r="11789" spans="13:13">
      <c r="M11789" s="690"/>
    </row>
    <row r="11790" spans="13:13">
      <c r="M11790" s="690"/>
    </row>
    <row r="11791" spans="13:13">
      <c r="M11791" s="690"/>
    </row>
    <row r="11792" spans="13:13">
      <c r="M11792" s="690"/>
    </row>
    <row r="11793" spans="13:13">
      <c r="M11793" s="690"/>
    </row>
    <row r="11794" spans="13:13">
      <c r="M11794" s="690"/>
    </row>
    <row r="11795" spans="13:13">
      <c r="M11795" s="690"/>
    </row>
    <row r="11796" spans="13:13">
      <c r="M11796" s="690"/>
    </row>
    <row r="11797" spans="13:13">
      <c r="M11797" s="690"/>
    </row>
    <row r="11798" spans="13:13">
      <c r="M11798" s="690"/>
    </row>
    <row r="11799" spans="13:13">
      <c r="M11799" s="690"/>
    </row>
    <row r="11800" spans="13:13">
      <c r="M11800" s="690"/>
    </row>
    <row r="11801" spans="13:13">
      <c r="M11801" s="690"/>
    </row>
    <row r="11802" spans="13:13">
      <c r="M11802" s="690"/>
    </row>
    <row r="11803" spans="13:13">
      <c r="M11803" s="690"/>
    </row>
    <row r="11804" spans="13:13">
      <c r="M11804" s="690"/>
    </row>
    <row r="11805" spans="13:13">
      <c r="M11805" s="690"/>
    </row>
    <row r="11806" spans="13:13">
      <c r="M11806" s="690"/>
    </row>
    <row r="11807" spans="13:13">
      <c r="M11807" s="690"/>
    </row>
    <row r="11808" spans="13:13">
      <c r="M11808" s="690"/>
    </row>
    <row r="11809" spans="13:13">
      <c r="M11809" s="690"/>
    </row>
    <row r="11810" spans="13:13">
      <c r="M11810" s="690"/>
    </row>
    <row r="11811" spans="13:13">
      <c r="M11811" s="690"/>
    </row>
    <row r="11812" spans="13:13">
      <c r="M11812" s="690"/>
    </row>
    <row r="11813" spans="13:13">
      <c r="M11813" s="690"/>
    </row>
    <row r="11814" spans="13:13">
      <c r="M11814" s="690"/>
    </row>
    <row r="11815" spans="13:13">
      <c r="M11815" s="690"/>
    </row>
    <row r="11816" spans="13:13">
      <c r="M11816" s="690"/>
    </row>
    <row r="11817" spans="13:13">
      <c r="M11817" s="690"/>
    </row>
    <row r="11818" spans="13:13">
      <c r="M11818" s="690"/>
    </row>
    <row r="11819" spans="13:13">
      <c r="M11819" s="690"/>
    </row>
    <row r="11820" spans="13:13">
      <c r="M11820" s="690"/>
    </row>
    <row r="11821" spans="13:13">
      <c r="M11821" s="690"/>
    </row>
    <row r="11822" spans="13:13">
      <c r="M11822" s="690"/>
    </row>
    <row r="11823" spans="13:13">
      <c r="M11823" s="690"/>
    </row>
    <row r="11824" spans="13:13">
      <c r="M11824" s="690"/>
    </row>
    <row r="11825" spans="13:13">
      <c r="M11825" s="690"/>
    </row>
    <row r="11826" spans="13:13">
      <c r="M11826" s="690"/>
    </row>
    <row r="11827" spans="13:13">
      <c r="M11827" s="690"/>
    </row>
    <row r="11828" spans="13:13">
      <c r="M11828" s="690"/>
    </row>
    <row r="11829" spans="13:13">
      <c r="M11829" s="690"/>
    </row>
    <row r="11830" spans="13:13">
      <c r="M11830" s="690"/>
    </row>
    <row r="11831" spans="13:13">
      <c r="M11831" s="690"/>
    </row>
    <row r="11832" spans="13:13">
      <c r="M11832" s="690"/>
    </row>
    <row r="11833" spans="13:13">
      <c r="M11833" s="690"/>
    </row>
    <row r="11834" spans="13:13">
      <c r="M11834" s="690"/>
    </row>
    <row r="11835" spans="13:13">
      <c r="M11835" s="690"/>
    </row>
    <row r="11836" spans="13:13">
      <c r="M11836" s="690"/>
    </row>
    <row r="11837" spans="13:13">
      <c r="M11837" s="690"/>
    </row>
    <row r="11838" spans="13:13">
      <c r="M11838" s="690"/>
    </row>
    <row r="11839" spans="13:13">
      <c r="M11839" s="690"/>
    </row>
    <row r="11840" spans="13:13">
      <c r="M11840" s="690"/>
    </row>
    <row r="11841" spans="13:13">
      <c r="M11841" s="690"/>
    </row>
    <row r="11842" spans="13:13">
      <c r="M11842" s="690"/>
    </row>
    <row r="11843" spans="13:13">
      <c r="M11843" s="690"/>
    </row>
    <row r="11844" spans="13:13">
      <c r="M11844" s="690"/>
    </row>
    <row r="11845" spans="13:13">
      <c r="M11845" s="690"/>
    </row>
    <row r="11846" spans="13:13">
      <c r="M11846" s="690"/>
    </row>
    <row r="11847" spans="13:13">
      <c r="M11847" s="690"/>
    </row>
    <row r="11848" spans="13:13">
      <c r="M11848" s="690"/>
    </row>
    <row r="11849" spans="13:13">
      <c r="M11849" s="690"/>
    </row>
    <row r="11850" spans="13:13">
      <c r="M11850" s="690"/>
    </row>
    <row r="11851" spans="13:13">
      <c r="M11851" s="690"/>
    </row>
    <row r="11852" spans="13:13">
      <c r="M11852" s="690"/>
    </row>
    <row r="11853" spans="13:13">
      <c r="M11853" s="690"/>
    </row>
    <row r="11854" spans="13:13">
      <c r="M11854" s="690"/>
    </row>
    <row r="11855" spans="13:13">
      <c r="M11855" s="690"/>
    </row>
    <row r="11856" spans="13:13">
      <c r="M11856" s="690"/>
    </row>
    <row r="11857" spans="13:13">
      <c r="M11857" s="690"/>
    </row>
    <row r="11858" spans="13:13">
      <c r="M11858" s="690"/>
    </row>
    <row r="11859" spans="13:13">
      <c r="M11859" s="690"/>
    </row>
    <row r="11860" spans="13:13">
      <c r="M11860" s="690"/>
    </row>
    <row r="11861" spans="13:13">
      <c r="M11861" s="690"/>
    </row>
    <row r="11862" spans="13:13">
      <c r="M11862" s="690"/>
    </row>
    <row r="11863" spans="13:13">
      <c r="M11863" s="690"/>
    </row>
    <row r="11864" spans="13:13">
      <c r="M11864" s="690"/>
    </row>
    <row r="11865" spans="13:13">
      <c r="M11865" s="690"/>
    </row>
    <row r="11866" spans="13:13">
      <c r="M11866" s="690"/>
    </row>
    <row r="11867" spans="13:13">
      <c r="M11867" s="690"/>
    </row>
    <row r="11868" spans="13:13">
      <c r="M11868" s="690"/>
    </row>
    <row r="11869" spans="13:13">
      <c r="M11869" s="690"/>
    </row>
    <row r="11870" spans="13:13">
      <c r="M11870" s="690"/>
    </row>
    <row r="11871" spans="13:13">
      <c r="M11871" s="690"/>
    </row>
    <row r="11872" spans="13:13">
      <c r="M11872" s="690"/>
    </row>
    <row r="11873" spans="13:13">
      <c r="M11873" s="690"/>
    </row>
    <row r="11874" spans="13:13">
      <c r="M11874" s="690"/>
    </row>
    <row r="11875" spans="13:13">
      <c r="M11875" s="690"/>
    </row>
    <row r="11876" spans="13:13">
      <c r="M11876" s="690"/>
    </row>
    <row r="11877" spans="13:13">
      <c r="M11877" s="690"/>
    </row>
    <row r="11878" spans="13:13">
      <c r="M11878" s="690"/>
    </row>
    <row r="11879" spans="13:13">
      <c r="M11879" s="690"/>
    </row>
    <row r="11880" spans="13:13">
      <c r="M11880" s="690"/>
    </row>
    <row r="11881" spans="13:13">
      <c r="M11881" s="690"/>
    </row>
    <row r="11882" spans="13:13">
      <c r="M11882" s="690"/>
    </row>
    <row r="11883" spans="13:13">
      <c r="M11883" s="690"/>
    </row>
    <row r="11884" spans="13:13">
      <c r="M11884" s="690"/>
    </row>
    <row r="11885" spans="13:13">
      <c r="M11885" s="690"/>
    </row>
    <row r="11886" spans="13:13">
      <c r="M11886" s="690"/>
    </row>
    <row r="11887" spans="13:13">
      <c r="M11887" s="690"/>
    </row>
    <row r="11888" spans="13:13">
      <c r="M11888" s="690"/>
    </row>
    <row r="11889" spans="13:13">
      <c r="M11889" s="690"/>
    </row>
    <row r="11890" spans="13:13">
      <c r="M11890" s="690"/>
    </row>
    <row r="11891" spans="13:13">
      <c r="M11891" s="690"/>
    </row>
    <row r="11892" spans="13:13">
      <c r="M11892" s="690"/>
    </row>
    <row r="11893" spans="13:13">
      <c r="M11893" s="690"/>
    </row>
    <row r="11894" spans="13:13">
      <c r="M11894" s="690"/>
    </row>
    <row r="11895" spans="13:13">
      <c r="M11895" s="690"/>
    </row>
    <row r="11896" spans="13:13">
      <c r="M11896" s="690"/>
    </row>
    <row r="11897" spans="13:13">
      <c r="M11897" s="690"/>
    </row>
    <row r="11898" spans="13:13">
      <c r="M11898" s="690"/>
    </row>
    <row r="11899" spans="13:13">
      <c r="M11899" s="690"/>
    </row>
    <row r="11900" spans="13:13">
      <c r="M11900" s="690"/>
    </row>
    <row r="11901" spans="13:13">
      <c r="M11901" s="690"/>
    </row>
    <row r="11902" spans="13:13">
      <c r="M11902" s="690"/>
    </row>
    <row r="11903" spans="13:13">
      <c r="M11903" s="690"/>
    </row>
    <row r="11904" spans="13:13">
      <c r="M11904" s="690"/>
    </row>
    <row r="11905" spans="13:13">
      <c r="M11905" s="690"/>
    </row>
    <row r="11906" spans="13:13">
      <c r="M11906" s="690"/>
    </row>
    <row r="11907" spans="13:13">
      <c r="M11907" s="690"/>
    </row>
    <row r="11908" spans="13:13">
      <c r="M11908" s="690"/>
    </row>
    <row r="11909" spans="13:13">
      <c r="M11909" s="690"/>
    </row>
    <row r="11910" spans="13:13">
      <c r="M11910" s="690"/>
    </row>
    <row r="11911" spans="13:13">
      <c r="M11911" s="690"/>
    </row>
    <row r="11912" spans="13:13">
      <c r="M11912" s="690"/>
    </row>
    <row r="11913" spans="13:13">
      <c r="M11913" s="690"/>
    </row>
    <row r="11914" spans="13:13">
      <c r="M11914" s="690"/>
    </row>
    <row r="11915" spans="13:13">
      <c r="M11915" s="690"/>
    </row>
    <row r="11916" spans="13:13">
      <c r="M11916" s="690"/>
    </row>
    <row r="11917" spans="13:13">
      <c r="M11917" s="690"/>
    </row>
    <row r="11918" spans="13:13">
      <c r="M11918" s="690"/>
    </row>
    <row r="11919" spans="13:13">
      <c r="M11919" s="690"/>
    </row>
    <row r="11920" spans="13:13">
      <c r="M11920" s="690"/>
    </row>
    <row r="11921" spans="13:13">
      <c r="M11921" s="690"/>
    </row>
    <row r="11922" spans="13:13">
      <c r="M11922" s="690"/>
    </row>
    <row r="11923" spans="13:13">
      <c r="M11923" s="690"/>
    </row>
    <row r="11924" spans="13:13">
      <c r="M11924" s="690"/>
    </row>
    <row r="11925" spans="13:13">
      <c r="M11925" s="690"/>
    </row>
    <row r="11926" spans="13:13">
      <c r="M11926" s="690"/>
    </row>
    <row r="11927" spans="13:13">
      <c r="M11927" s="690"/>
    </row>
    <row r="11928" spans="13:13">
      <c r="M11928" s="690"/>
    </row>
    <row r="11929" spans="13:13">
      <c r="M11929" s="690"/>
    </row>
    <row r="11930" spans="13:13">
      <c r="M11930" s="690"/>
    </row>
    <row r="11931" spans="13:13">
      <c r="M11931" s="690"/>
    </row>
    <row r="11932" spans="13:13">
      <c r="M11932" s="690"/>
    </row>
    <row r="11933" spans="13:13">
      <c r="M11933" s="690"/>
    </row>
    <row r="11934" spans="13:13">
      <c r="M11934" s="690"/>
    </row>
    <row r="11935" spans="13:13">
      <c r="M11935" s="690"/>
    </row>
    <row r="11936" spans="13:13">
      <c r="M11936" s="690"/>
    </row>
    <row r="11937" spans="13:13">
      <c r="M11937" s="690"/>
    </row>
    <row r="11938" spans="13:13">
      <c r="M11938" s="690"/>
    </row>
    <row r="11939" spans="13:13">
      <c r="M11939" s="690"/>
    </row>
    <row r="11940" spans="13:13">
      <c r="M11940" s="690"/>
    </row>
    <row r="11941" spans="13:13">
      <c r="M11941" s="690"/>
    </row>
    <row r="11942" spans="13:13">
      <c r="M11942" s="690"/>
    </row>
    <row r="11943" spans="13:13">
      <c r="M11943" s="690"/>
    </row>
    <row r="11944" spans="13:13">
      <c r="M11944" s="690"/>
    </row>
    <row r="11945" spans="13:13">
      <c r="M11945" s="690"/>
    </row>
    <row r="11946" spans="13:13">
      <c r="M11946" s="690"/>
    </row>
    <row r="11947" spans="13:13">
      <c r="M11947" s="690"/>
    </row>
    <row r="11948" spans="13:13">
      <c r="M11948" s="690"/>
    </row>
    <row r="11949" spans="13:13">
      <c r="M11949" s="690"/>
    </row>
    <row r="11950" spans="13:13">
      <c r="M11950" s="690"/>
    </row>
    <row r="11951" spans="13:13">
      <c r="M11951" s="690"/>
    </row>
    <row r="11952" spans="13:13">
      <c r="M11952" s="690"/>
    </row>
    <row r="11953" spans="13:13">
      <c r="M11953" s="690"/>
    </row>
    <row r="11954" spans="13:13">
      <c r="M11954" s="690"/>
    </row>
    <row r="11955" spans="13:13">
      <c r="M11955" s="690"/>
    </row>
    <row r="11956" spans="13:13">
      <c r="M11956" s="690"/>
    </row>
    <row r="11957" spans="13:13">
      <c r="M11957" s="690"/>
    </row>
    <row r="11958" spans="13:13">
      <c r="M11958" s="690"/>
    </row>
    <row r="11959" spans="13:13">
      <c r="M11959" s="690"/>
    </row>
    <row r="11960" spans="13:13">
      <c r="M11960" s="690"/>
    </row>
    <row r="11961" spans="13:13">
      <c r="M11961" s="690"/>
    </row>
    <row r="11962" spans="13:13">
      <c r="M11962" s="690"/>
    </row>
    <row r="11963" spans="13:13">
      <c r="M11963" s="690"/>
    </row>
    <row r="11964" spans="13:13">
      <c r="M11964" s="690"/>
    </row>
    <row r="11965" spans="13:13">
      <c r="M11965" s="690"/>
    </row>
    <row r="11966" spans="13:13">
      <c r="M11966" s="690"/>
    </row>
    <row r="11967" spans="13:13">
      <c r="M11967" s="690"/>
    </row>
    <row r="11968" spans="13:13">
      <c r="M11968" s="690"/>
    </row>
    <row r="11969" spans="13:13">
      <c r="M11969" s="690"/>
    </row>
    <row r="11970" spans="13:13">
      <c r="M11970" s="690"/>
    </row>
    <row r="11971" spans="13:13">
      <c r="M11971" s="690"/>
    </row>
    <row r="11972" spans="13:13">
      <c r="M11972" s="690"/>
    </row>
    <row r="11973" spans="13:13">
      <c r="M11973" s="690"/>
    </row>
    <row r="11974" spans="13:13">
      <c r="M11974" s="690"/>
    </row>
    <row r="11975" spans="13:13">
      <c r="M11975" s="690"/>
    </row>
    <row r="11976" spans="13:13">
      <c r="M11976" s="690"/>
    </row>
    <row r="11977" spans="13:13">
      <c r="M11977" s="690"/>
    </row>
    <row r="11978" spans="13:13">
      <c r="M11978" s="690"/>
    </row>
    <row r="11979" spans="13:13">
      <c r="M11979" s="690"/>
    </row>
    <row r="11980" spans="13:13">
      <c r="M11980" s="690"/>
    </row>
    <row r="11981" spans="13:13">
      <c r="M11981" s="690"/>
    </row>
    <row r="11982" spans="13:13">
      <c r="M11982" s="690"/>
    </row>
    <row r="11983" spans="13:13">
      <c r="M11983" s="690"/>
    </row>
    <row r="11984" spans="13:13">
      <c r="M11984" s="690"/>
    </row>
    <row r="11985" spans="13:13">
      <c r="M11985" s="690"/>
    </row>
    <row r="11986" spans="13:13">
      <c r="M11986" s="690"/>
    </row>
    <row r="11987" spans="13:13">
      <c r="M11987" s="690"/>
    </row>
    <row r="11988" spans="13:13">
      <c r="M11988" s="690"/>
    </row>
    <row r="11989" spans="13:13">
      <c r="M11989" s="690"/>
    </row>
    <row r="11990" spans="13:13">
      <c r="M11990" s="690"/>
    </row>
    <row r="11991" spans="13:13">
      <c r="M11991" s="690"/>
    </row>
    <row r="11992" spans="13:13">
      <c r="M11992" s="690"/>
    </row>
    <row r="11993" spans="13:13">
      <c r="M11993" s="690"/>
    </row>
    <row r="11994" spans="13:13">
      <c r="M11994" s="690"/>
    </row>
    <row r="11995" spans="13:13">
      <c r="M11995" s="690"/>
    </row>
    <row r="11996" spans="13:13">
      <c r="M11996" s="690"/>
    </row>
    <row r="11997" spans="13:13">
      <c r="M11997" s="690"/>
    </row>
    <row r="11998" spans="13:13">
      <c r="M11998" s="690"/>
    </row>
    <row r="11999" spans="13:13">
      <c r="M11999" s="690"/>
    </row>
    <row r="12000" spans="13:13">
      <c r="M12000" s="690"/>
    </row>
    <row r="12001" spans="13:13">
      <c r="M12001" s="690"/>
    </row>
    <row r="12002" spans="13:13">
      <c r="M12002" s="690"/>
    </row>
    <row r="12003" spans="13:13">
      <c r="M12003" s="690"/>
    </row>
    <row r="12004" spans="13:13">
      <c r="M12004" s="690"/>
    </row>
    <row r="12005" spans="13:13">
      <c r="M12005" s="690"/>
    </row>
    <row r="12006" spans="13:13">
      <c r="M12006" s="690"/>
    </row>
    <row r="12007" spans="13:13">
      <c r="M12007" s="690"/>
    </row>
    <row r="12008" spans="13:13">
      <c r="M12008" s="690"/>
    </row>
    <row r="12009" spans="13:13">
      <c r="M12009" s="690"/>
    </row>
    <row r="12010" spans="13:13">
      <c r="M12010" s="690"/>
    </row>
    <row r="12011" spans="13:13">
      <c r="M12011" s="690"/>
    </row>
    <row r="12012" spans="13:13">
      <c r="M12012" s="690"/>
    </row>
    <row r="12013" spans="13:13">
      <c r="M12013" s="690"/>
    </row>
    <row r="12014" spans="13:13">
      <c r="M12014" s="690"/>
    </row>
    <row r="12015" spans="13:13">
      <c r="M12015" s="690"/>
    </row>
    <row r="12016" spans="13:13">
      <c r="M12016" s="690"/>
    </row>
    <row r="12017" spans="13:13">
      <c r="M12017" s="690"/>
    </row>
    <row r="12018" spans="13:13">
      <c r="M12018" s="690"/>
    </row>
    <row r="12019" spans="13:13">
      <c r="M12019" s="690"/>
    </row>
    <row r="12020" spans="13:13">
      <c r="M12020" s="690"/>
    </row>
    <row r="12021" spans="13:13">
      <c r="M12021" s="690"/>
    </row>
    <row r="12022" spans="13:13">
      <c r="M12022" s="690"/>
    </row>
    <row r="12023" spans="13:13">
      <c r="M12023" s="690"/>
    </row>
    <row r="12024" spans="13:13">
      <c r="M12024" s="690"/>
    </row>
    <row r="12025" spans="13:13">
      <c r="M12025" s="690"/>
    </row>
    <row r="12026" spans="13:13">
      <c r="M12026" s="690"/>
    </row>
    <row r="12027" spans="13:13">
      <c r="M12027" s="690"/>
    </row>
    <row r="12028" spans="13:13">
      <c r="M12028" s="690"/>
    </row>
    <row r="12029" spans="13:13">
      <c r="M12029" s="690"/>
    </row>
    <row r="12030" spans="13:13">
      <c r="M12030" s="690"/>
    </row>
    <row r="12031" spans="13:13">
      <c r="M12031" s="690"/>
    </row>
    <row r="12032" spans="13:13">
      <c r="M12032" s="690"/>
    </row>
    <row r="12033" spans="13:13">
      <c r="M12033" s="690"/>
    </row>
    <row r="12034" spans="13:13">
      <c r="M12034" s="690"/>
    </row>
    <row r="12035" spans="13:13">
      <c r="M12035" s="690"/>
    </row>
    <row r="12036" spans="13:13">
      <c r="M12036" s="690"/>
    </row>
    <row r="12037" spans="13:13">
      <c r="M12037" s="690"/>
    </row>
    <row r="12038" spans="13:13">
      <c r="M12038" s="690"/>
    </row>
    <row r="12039" spans="13:13">
      <c r="M12039" s="690"/>
    </row>
    <row r="12040" spans="13:13">
      <c r="M12040" s="690"/>
    </row>
    <row r="12041" spans="13:13">
      <c r="M12041" s="690"/>
    </row>
    <row r="12042" spans="13:13">
      <c r="M12042" s="690"/>
    </row>
    <row r="12043" spans="13:13">
      <c r="M12043" s="690"/>
    </row>
    <row r="12044" spans="13:13">
      <c r="M12044" s="690"/>
    </row>
    <row r="12045" spans="13:13">
      <c r="M12045" s="690"/>
    </row>
    <row r="12046" spans="13:13">
      <c r="M12046" s="690"/>
    </row>
    <row r="12047" spans="13:13">
      <c r="M12047" s="690"/>
    </row>
    <row r="12048" spans="13:13">
      <c r="M12048" s="690"/>
    </row>
    <row r="12049" spans="13:13">
      <c r="M12049" s="690"/>
    </row>
    <row r="12050" spans="13:13">
      <c r="M12050" s="690"/>
    </row>
    <row r="12051" spans="13:13">
      <c r="M12051" s="690"/>
    </row>
    <row r="12052" spans="13:13">
      <c r="M12052" s="690"/>
    </row>
    <row r="12053" spans="13:13">
      <c r="M12053" s="690"/>
    </row>
    <row r="12054" spans="13:13">
      <c r="M12054" s="690"/>
    </row>
    <row r="12055" spans="13:13">
      <c r="M12055" s="690"/>
    </row>
    <row r="12056" spans="13:13">
      <c r="M12056" s="690"/>
    </row>
    <row r="12057" spans="13:13">
      <c r="M12057" s="690"/>
    </row>
    <row r="12058" spans="13:13">
      <c r="M12058" s="690"/>
    </row>
    <row r="12059" spans="13:13">
      <c r="M12059" s="690"/>
    </row>
    <row r="12060" spans="13:13">
      <c r="M12060" s="690"/>
    </row>
    <row r="12061" spans="13:13">
      <c r="M12061" s="690"/>
    </row>
    <row r="12062" spans="13:13">
      <c r="M12062" s="690"/>
    </row>
    <row r="12063" spans="13:13">
      <c r="M12063" s="690"/>
    </row>
    <row r="12064" spans="13:13">
      <c r="M12064" s="690"/>
    </row>
    <row r="12065" spans="13:13">
      <c r="M12065" s="690"/>
    </row>
    <row r="12066" spans="13:13">
      <c r="M12066" s="690"/>
    </row>
    <row r="12067" spans="13:13">
      <c r="M12067" s="690"/>
    </row>
    <row r="12068" spans="13:13">
      <c r="M12068" s="690"/>
    </row>
    <row r="12069" spans="13:13">
      <c r="M12069" s="690"/>
    </row>
    <row r="12070" spans="13:13">
      <c r="M12070" s="690"/>
    </row>
    <row r="12071" spans="13:13">
      <c r="M12071" s="690"/>
    </row>
    <row r="12072" spans="13:13">
      <c r="M12072" s="690"/>
    </row>
    <row r="12073" spans="13:13">
      <c r="M12073" s="690"/>
    </row>
    <row r="12074" spans="13:13">
      <c r="M12074" s="690"/>
    </row>
    <row r="12075" spans="13:13">
      <c r="M12075" s="690"/>
    </row>
    <row r="12076" spans="13:13">
      <c r="M12076" s="690"/>
    </row>
    <row r="12077" spans="13:13">
      <c r="M12077" s="690"/>
    </row>
    <row r="12078" spans="13:13">
      <c r="M12078" s="690"/>
    </row>
    <row r="12079" spans="13:13">
      <c r="M12079" s="690"/>
    </row>
    <row r="12080" spans="13:13">
      <c r="M12080" s="690"/>
    </row>
    <row r="12081" spans="13:13">
      <c r="M12081" s="690"/>
    </row>
    <row r="12082" spans="13:13">
      <c r="M12082" s="690"/>
    </row>
    <row r="12083" spans="13:13">
      <c r="M12083" s="690"/>
    </row>
    <row r="12084" spans="13:13">
      <c r="M12084" s="690"/>
    </row>
    <row r="12085" spans="13:13">
      <c r="M12085" s="690"/>
    </row>
    <row r="12086" spans="13:13">
      <c r="M12086" s="690"/>
    </row>
    <row r="12087" spans="13:13">
      <c r="M12087" s="690"/>
    </row>
    <row r="12088" spans="13:13">
      <c r="M12088" s="690"/>
    </row>
    <row r="12089" spans="13:13">
      <c r="M12089" s="690"/>
    </row>
    <row r="12090" spans="13:13">
      <c r="M12090" s="690"/>
    </row>
    <row r="12091" spans="13:13">
      <c r="M12091" s="690"/>
    </row>
    <row r="12092" spans="13:13">
      <c r="M12092" s="690"/>
    </row>
    <row r="12093" spans="13:13">
      <c r="M12093" s="690"/>
    </row>
    <row r="12094" spans="13:13">
      <c r="M12094" s="690"/>
    </row>
    <row r="12095" spans="13:13">
      <c r="M12095" s="690"/>
    </row>
    <row r="12096" spans="13:13">
      <c r="M12096" s="690"/>
    </row>
    <row r="12097" spans="13:13">
      <c r="M12097" s="690"/>
    </row>
    <row r="12098" spans="13:13">
      <c r="M12098" s="690"/>
    </row>
    <row r="12099" spans="13:13">
      <c r="M12099" s="690"/>
    </row>
    <row r="12100" spans="13:13">
      <c r="M12100" s="690"/>
    </row>
    <row r="12101" spans="13:13">
      <c r="M12101" s="690"/>
    </row>
    <row r="12102" spans="13:13">
      <c r="M12102" s="690"/>
    </row>
    <row r="12103" spans="13:13">
      <c r="M12103" s="690"/>
    </row>
    <row r="12104" spans="13:13">
      <c r="M12104" s="690"/>
    </row>
    <row r="12105" spans="13:13">
      <c r="M12105" s="690"/>
    </row>
    <row r="12106" spans="13:13">
      <c r="M12106" s="690"/>
    </row>
    <row r="12107" spans="13:13">
      <c r="M12107" s="690"/>
    </row>
    <row r="12108" spans="13:13">
      <c r="M12108" s="690"/>
    </row>
    <row r="12109" spans="13:13">
      <c r="M12109" s="690"/>
    </row>
    <row r="12110" spans="13:13">
      <c r="M12110" s="690"/>
    </row>
    <row r="12111" spans="13:13">
      <c r="M12111" s="690"/>
    </row>
    <row r="12112" spans="13:13">
      <c r="M12112" s="690"/>
    </row>
    <row r="12113" spans="13:13">
      <c r="M12113" s="690"/>
    </row>
    <row r="12114" spans="13:13">
      <c r="M12114" s="690"/>
    </row>
    <row r="12115" spans="13:13">
      <c r="M12115" s="690"/>
    </row>
    <row r="12116" spans="13:13">
      <c r="M12116" s="690"/>
    </row>
    <row r="12117" spans="13:13">
      <c r="M12117" s="690"/>
    </row>
    <row r="12118" spans="13:13">
      <c r="M12118" s="690"/>
    </row>
    <row r="12119" spans="13:13">
      <c r="M12119" s="690"/>
    </row>
    <row r="12120" spans="13:13">
      <c r="M12120" s="690"/>
    </row>
    <row r="12121" spans="13:13">
      <c r="M12121" s="690"/>
    </row>
    <row r="12122" spans="13:13">
      <c r="M12122" s="690"/>
    </row>
    <row r="12123" spans="13:13">
      <c r="M12123" s="690"/>
    </row>
    <row r="12124" spans="13:13">
      <c r="M12124" s="690"/>
    </row>
    <row r="12125" spans="13:13">
      <c r="M12125" s="690"/>
    </row>
    <row r="12126" spans="13:13">
      <c r="M12126" s="690"/>
    </row>
    <row r="12127" spans="13:13">
      <c r="M12127" s="690"/>
    </row>
    <row r="12128" spans="13:13">
      <c r="M12128" s="690"/>
    </row>
    <row r="12129" spans="13:13">
      <c r="M12129" s="690"/>
    </row>
    <row r="12130" spans="13:13">
      <c r="M12130" s="690"/>
    </row>
    <row r="12131" spans="13:13">
      <c r="M12131" s="690"/>
    </row>
    <row r="12132" spans="13:13">
      <c r="M12132" s="690"/>
    </row>
    <row r="12133" spans="13:13">
      <c r="M12133" s="690"/>
    </row>
    <row r="12134" spans="13:13">
      <c r="M12134" s="690"/>
    </row>
    <row r="12135" spans="13:13">
      <c r="M12135" s="690"/>
    </row>
    <row r="12136" spans="13:13">
      <c r="M12136" s="690"/>
    </row>
    <row r="12137" spans="13:13">
      <c r="M12137" s="690"/>
    </row>
    <row r="12138" spans="13:13">
      <c r="M12138" s="690"/>
    </row>
    <row r="12139" spans="13:13">
      <c r="M12139" s="690"/>
    </row>
    <row r="12140" spans="13:13">
      <c r="M12140" s="690"/>
    </row>
    <row r="12141" spans="13:13">
      <c r="M12141" s="690"/>
    </row>
    <row r="12142" spans="13:13">
      <c r="M12142" s="690"/>
    </row>
    <row r="12143" spans="13:13">
      <c r="M12143" s="690"/>
    </row>
    <row r="12144" spans="13:13">
      <c r="M12144" s="690"/>
    </row>
    <row r="12145" spans="13:13">
      <c r="M12145" s="690"/>
    </row>
    <row r="12146" spans="13:13">
      <c r="M12146" s="690"/>
    </row>
    <row r="12147" spans="13:13">
      <c r="M12147" s="690"/>
    </row>
    <row r="12148" spans="13:13">
      <c r="M12148" s="690"/>
    </row>
    <row r="12149" spans="13:13">
      <c r="M12149" s="690"/>
    </row>
    <row r="12150" spans="13:13">
      <c r="M12150" s="690"/>
    </row>
    <row r="12151" spans="13:13">
      <c r="M12151" s="690"/>
    </row>
    <row r="12152" spans="13:13">
      <c r="M12152" s="690"/>
    </row>
    <row r="12153" spans="13:13">
      <c r="M12153" s="690"/>
    </row>
    <row r="12154" spans="13:13">
      <c r="M12154" s="690"/>
    </row>
    <row r="12155" spans="13:13">
      <c r="M12155" s="690"/>
    </row>
    <row r="12156" spans="13:13">
      <c r="M12156" s="690"/>
    </row>
    <row r="12157" spans="13:13">
      <c r="M12157" s="690"/>
    </row>
    <row r="12158" spans="13:13">
      <c r="M12158" s="690"/>
    </row>
    <row r="12159" spans="13:13">
      <c r="M12159" s="690"/>
    </row>
    <row r="12160" spans="13:13">
      <c r="M12160" s="690"/>
    </row>
    <row r="12161" spans="13:13">
      <c r="M12161" s="690"/>
    </row>
    <row r="12162" spans="13:13">
      <c r="M12162" s="690"/>
    </row>
    <row r="12163" spans="13:13">
      <c r="M12163" s="690"/>
    </row>
    <row r="12164" spans="13:13">
      <c r="M12164" s="690"/>
    </row>
    <row r="12165" spans="13:13">
      <c r="M12165" s="690"/>
    </row>
    <row r="12166" spans="13:13">
      <c r="M12166" s="690"/>
    </row>
    <row r="12167" spans="13:13">
      <c r="M12167" s="690"/>
    </row>
    <row r="12168" spans="13:13">
      <c r="M12168" s="690"/>
    </row>
    <row r="12169" spans="13:13">
      <c r="M12169" s="690"/>
    </row>
    <row r="12170" spans="13:13">
      <c r="M12170" s="690"/>
    </row>
    <row r="12171" spans="13:13">
      <c r="M12171" s="690"/>
    </row>
    <row r="12172" spans="13:13">
      <c r="M12172" s="690"/>
    </row>
    <row r="12173" spans="13:13">
      <c r="M12173" s="690"/>
    </row>
    <row r="12174" spans="13:13">
      <c r="M12174" s="690"/>
    </row>
    <row r="12175" spans="13:13">
      <c r="M12175" s="690"/>
    </row>
    <row r="12176" spans="13:13">
      <c r="M12176" s="690"/>
    </row>
    <row r="12177" spans="13:13">
      <c r="M12177" s="690"/>
    </row>
    <row r="12178" spans="13:13">
      <c r="M12178" s="690"/>
    </row>
    <row r="12179" spans="13:13">
      <c r="M12179" s="690"/>
    </row>
    <row r="12180" spans="13:13">
      <c r="M12180" s="690"/>
    </row>
    <row r="12181" spans="13:13">
      <c r="M12181" s="690"/>
    </row>
    <row r="12182" spans="13:13">
      <c r="M12182" s="690"/>
    </row>
    <row r="12183" spans="13:13">
      <c r="M12183" s="690"/>
    </row>
    <row r="12184" spans="13:13">
      <c r="M12184" s="690"/>
    </row>
    <row r="12185" spans="13:13">
      <c r="M12185" s="690"/>
    </row>
    <row r="12186" spans="13:13">
      <c r="M12186" s="690"/>
    </row>
    <row r="12187" spans="13:13">
      <c r="M12187" s="690"/>
    </row>
    <row r="12188" spans="13:13">
      <c r="M12188" s="690"/>
    </row>
    <row r="12189" spans="13:13">
      <c r="M12189" s="690"/>
    </row>
    <row r="12190" spans="13:13">
      <c r="M12190" s="690"/>
    </row>
    <row r="12191" spans="13:13">
      <c r="M12191" s="690"/>
    </row>
    <row r="12192" spans="13:13">
      <c r="M12192" s="690"/>
    </row>
    <row r="12193" spans="13:13">
      <c r="M12193" s="690"/>
    </row>
    <row r="12194" spans="13:13">
      <c r="M12194" s="690"/>
    </row>
    <row r="12195" spans="13:13">
      <c r="M12195" s="690"/>
    </row>
    <row r="12196" spans="13:13">
      <c r="M12196" s="690"/>
    </row>
    <row r="12197" spans="13:13">
      <c r="M12197" s="690"/>
    </row>
    <row r="12198" spans="13:13">
      <c r="M12198" s="690"/>
    </row>
    <row r="12199" spans="13:13">
      <c r="M12199" s="690"/>
    </row>
    <row r="12200" spans="13:13">
      <c r="M12200" s="690"/>
    </row>
    <row r="12201" spans="13:13">
      <c r="M12201" s="690"/>
    </row>
    <row r="12202" spans="13:13">
      <c r="M12202" s="690"/>
    </row>
    <row r="12203" spans="13:13">
      <c r="M12203" s="690"/>
    </row>
    <row r="12204" spans="13:13">
      <c r="M12204" s="690"/>
    </row>
    <row r="12205" spans="13:13">
      <c r="M12205" s="690"/>
    </row>
    <row r="12206" spans="13:13">
      <c r="M12206" s="690"/>
    </row>
    <row r="12207" spans="13:13">
      <c r="M12207" s="690"/>
    </row>
    <row r="12208" spans="13:13">
      <c r="M12208" s="690"/>
    </row>
    <row r="12209" spans="13:13">
      <c r="M12209" s="690"/>
    </row>
    <row r="12210" spans="13:13">
      <c r="M12210" s="690"/>
    </row>
    <row r="12211" spans="13:13">
      <c r="M12211" s="690"/>
    </row>
    <row r="12212" spans="13:13">
      <c r="M12212" s="690"/>
    </row>
    <row r="12213" spans="13:13">
      <c r="M12213" s="690"/>
    </row>
    <row r="12214" spans="13:13">
      <c r="M12214" s="690"/>
    </row>
    <row r="12215" spans="13:13">
      <c r="M12215" s="690"/>
    </row>
    <row r="12216" spans="13:13">
      <c r="M12216" s="690"/>
    </row>
    <row r="12217" spans="13:13">
      <c r="M12217" s="690"/>
    </row>
    <row r="12218" spans="13:13">
      <c r="M12218" s="690"/>
    </row>
    <row r="12219" spans="13:13">
      <c r="M12219" s="690"/>
    </row>
    <row r="12220" spans="13:13">
      <c r="M12220" s="690"/>
    </row>
    <row r="12221" spans="13:13">
      <c r="M12221" s="690"/>
    </row>
    <row r="12222" spans="13:13">
      <c r="M12222" s="690"/>
    </row>
    <row r="12223" spans="13:13">
      <c r="M12223" s="690"/>
    </row>
    <row r="12224" spans="13:13">
      <c r="M12224" s="690"/>
    </row>
    <row r="12225" spans="13:13">
      <c r="M12225" s="690"/>
    </row>
    <row r="12226" spans="13:13">
      <c r="M12226" s="690"/>
    </row>
    <row r="12227" spans="13:13">
      <c r="M12227" s="690"/>
    </row>
    <row r="12228" spans="13:13">
      <c r="M12228" s="690"/>
    </row>
    <row r="12229" spans="13:13">
      <c r="M12229" s="690"/>
    </row>
    <row r="12230" spans="13:13">
      <c r="M12230" s="690"/>
    </row>
    <row r="12231" spans="13:13">
      <c r="M12231" s="690"/>
    </row>
    <row r="12232" spans="13:13">
      <c r="M12232" s="690"/>
    </row>
    <row r="12233" spans="13:13">
      <c r="M12233" s="690"/>
    </row>
    <row r="12234" spans="13:13">
      <c r="M12234" s="690"/>
    </row>
    <row r="12235" spans="13:13">
      <c r="M12235" s="690"/>
    </row>
    <row r="12236" spans="13:13">
      <c r="M12236" s="690"/>
    </row>
    <row r="12237" spans="13:13">
      <c r="M12237" s="690"/>
    </row>
    <row r="12238" spans="13:13">
      <c r="M12238" s="690"/>
    </row>
    <row r="12239" spans="13:13">
      <c r="M12239" s="690"/>
    </row>
    <row r="12240" spans="13:13">
      <c r="M12240" s="690"/>
    </row>
    <row r="12241" spans="13:13">
      <c r="M12241" s="690"/>
    </row>
    <row r="12242" spans="13:13">
      <c r="M12242" s="690"/>
    </row>
    <row r="12243" spans="13:13">
      <c r="M12243" s="690"/>
    </row>
    <row r="12244" spans="13:13">
      <c r="M12244" s="690"/>
    </row>
    <row r="12245" spans="13:13">
      <c r="M12245" s="690"/>
    </row>
    <row r="12246" spans="13:13">
      <c r="M12246" s="690"/>
    </row>
    <row r="12247" spans="13:13">
      <c r="M12247" s="690"/>
    </row>
    <row r="12248" spans="13:13">
      <c r="M12248" s="690"/>
    </row>
    <row r="12249" spans="13:13">
      <c r="M12249" s="690"/>
    </row>
    <row r="12250" spans="13:13">
      <c r="M12250" s="690"/>
    </row>
    <row r="12251" spans="13:13">
      <c r="M12251" s="690"/>
    </row>
    <row r="12252" spans="13:13">
      <c r="M12252" s="690"/>
    </row>
    <row r="12253" spans="13:13">
      <c r="M12253" s="690"/>
    </row>
    <row r="12254" spans="13:13">
      <c r="M12254" s="690"/>
    </row>
    <row r="12255" spans="13:13">
      <c r="M12255" s="690"/>
    </row>
    <row r="12256" spans="13:13">
      <c r="M12256" s="690"/>
    </row>
    <row r="12257" spans="13:13">
      <c r="M12257" s="690"/>
    </row>
    <row r="12258" spans="13:13">
      <c r="M12258" s="690"/>
    </row>
    <row r="12259" spans="13:13">
      <c r="M12259" s="690"/>
    </row>
    <row r="12260" spans="13:13">
      <c r="M12260" s="690"/>
    </row>
    <row r="12261" spans="13:13">
      <c r="M12261" s="690"/>
    </row>
    <row r="12262" spans="13:13">
      <c r="M12262" s="690"/>
    </row>
    <row r="12263" spans="13:13">
      <c r="M12263" s="690"/>
    </row>
    <row r="12264" spans="13:13">
      <c r="M12264" s="690"/>
    </row>
    <row r="12265" spans="13:13">
      <c r="M12265" s="690"/>
    </row>
    <row r="12266" spans="13:13">
      <c r="M12266" s="690"/>
    </row>
    <row r="12267" spans="13:13">
      <c r="M12267" s="690"/>
    </row>
    <row r="12268" spans="13:13">
      <c r="M12268" s="690"/>
    </row>
    <row r="12269" spans="13:13">
      <c r="M12269" s="690"/>
    </row>
    <row r="12270" spans="13:13">
      <c r="M12270" s="690"/>
    </row>
    <row r="12271" spans="13:13">
      <c r="M12271" s="690"/>
    </row>
    <row r="12272" spans="13:13">
      <c r="M12272" s="690"/>
    </row>
    <row r="12273" spans="13:13">
      <c r="M12273" s="690"/>
    </row>
    <row r="12274" spans="13:13">
      <c r="M12274" s="690"/>
    </row>
    <row r="12275" spans="13:13">
      <c r="M12275" s="690"/>
    </row>
    <row r="12276" spans="13:13">
      <c r="M12276" s="690"/>
    </row>
    <row r="12277" spans="13:13">
      <c r="M12277" s="690"/>
    </row>
    <row r="12278" spans="13:13">
      <c r="M12278" s="690"/>
    </row>
    <row r="12279" spans="13:13">
      <c r="M12279" s="690"/>
    </row>
    <row r="12280" spans="13:13">
      <c r="M12280" s="690"/>
    </row>
    <row r="12281" spans="13:13">
      <c r="M12281" s="690"/>
    </row>
    <row r="12282" spans="13:13">
      <c r="M12282" s="690"/>
    </row>
    <row r="12283" spans="13:13">
      <c r="M12283" s="690"/>
    </row>
    <row r="12284" spans="13:13">
      <c r="M12284" s="690"/>
    </row>
    <row r="12285" spans="13:13">
      <c r="M12285" s="690"/>
    </row>
    <row r="12286" spans="13:13">
      <c r="M12286" s="690"/>
    </row>
    <row r="12287" spans="13:13">
      <c r="M12287" s="690"/>
    </row>
    <row r="12288" spans="13:13">
      <c r="M12288" s="690"/>
    </row>
    <row r="12289" spans="13:13">
      <c r="M12289" s="690"/>
    </row>
    <row r="12290" spans="13:13">
      <c r="M12290" s="690"/>
    </row>
    <row r="12291" spans="13:13">
      <c r="M12291" s="690"/>
    </row>
    <row r="12292" spans="13:13">
      <c r="M12292" s="690"/>
    </row>
    <row r="12293" spans="13:13">
      <c r="M12293" s="690"/>
    </row>
    <row r="12294" spans="13:13">
      <c r="M12294" s="690"/>
    </row>
    <row r="12295" spans="13:13">
      <c r="M12295" s="690"/>
    </row>
    <row r="12296" spans="13:13">
      <c r="M12296" s="690"/>
    </row>
    <row r="12297" spans="13:13">
      <c r="M12297" s="690"/>
    </row>
    <row r="12298" spans="13:13">
      <c r="M12298" s="690"/>
    </row>
    <row r="12299" spans="13:13">
      <c r="M12299" s="690"/>
    </row>
    <row r="12300" spans="13:13">
      <c r="M12300" s="690"/>
    </row>
    <row r="12301" spans="13:13">
      <c r="M12301" s="690"/>
    </row>
    <row r="12302" spans="13:13">
      <c r="M12302" s="690"/>
    </row>
    <row r="12303" spans="13:13">
      <c r="M12303" s="690"/>
    </row>
    <row r="12304" spans="13:13">
      <c r="M12304" s="690"/>
    </row>
    <row r="12305" spans="13:13">
      <c r="M12305" s="690"/>
    </row>
    <row r="12306" spans="13:13">
      <c r="M12306" s="690"/>
    </row>
    <row r="12307" spans="13:13">
      <c r="M12307" s="690"/>
    </row>
    <row r="12308" spans="13:13">
      <c r="M12308" s="690"/>
    </row>
    <row r="12309" spans="13:13">
      <c r="M12309" s="690"/>
    </row>
    <row r="12310" spans="13:13">
      <c r="M12310" s="690"/>
    </row>
    <row r="12311" spans="13:13">
      <c r="M12311" s="690"/>
    </row>
    <row r="12312" spans="13:13">
      <c r="M12312" s="690"/>
    </row>
    <row r="12313" spans="13:13">
      <c r="M12313" s="690"/>
    </row>
    <row r="12314" spans="13:13">
      <c r="M12314" s="690"/>
    </row>
    <row r="12315" spans="13:13">
      <c r="M12315" s="690"/>
    </row>
    <row r="12316" spans="13:13">
      <c r="M12316" s="690"/>
    </row>
    <row r="12317" spans="13:13">
      <c r="M12317" s="690"/>
    </row>
    <row r="12318" spans="13:13">
      <c r="M12318" s="690"/>
    </row>
    <row r="12319" spans="13:13">
      <c r="M12319" s="690"/>
    </row>
    <row r="12320" spans="13:13">
      <c r="M12320" s="690"/>
    </row>
    <row r="12321" spans="13:13">
      <c r="M12321" s="690"/>
    </row>
    <row r="12322" spans="13:13">
      <c r="M12322" s="690"/>
    </row>
    <row r="12323" spans="13:13">
      <c r="M12323" s="690"/>
    </row>
    <row r="12324" spans="13:13">
      <c r="M12324" s="690"/>
    </row>
    <row r="12325" spans="13:13">
      <c r="M12325" s="690"/>
    </row>
    <row r="12326" spans="13:13">
      <c r="M12326" s="690"/>
    </row>
    <row r="12327" spans="13:13">
      <c r="M12327" s="690"/>
    </row>
    <row r="12328" spans="13:13">
      <c r="M12328" s="690"/>
    </row>
    <row r="12329" spans="13:13">
      <c r="M12329" s="690"/>
    </row>
    <row r="12330" spans="13:13">
      <c r="M12330" s="690"/>
    </row>
    <row r="12331" spans="13:13">
      <c r="M12331" s="690"/>
    </row>
    <row r="12332" spans="13:13">
      <c r="M12332" s="690"/>
    </row>
    <row r="12333" spans="13:13">
      <c r="M12333" s="690"/>
    </row>
    <row r="12334" spans="13:13">
      <c r="M12334" s="690"/>
    </row>
    <row r="12335" spans="13:13">
      <c r="M12335" s="690"/>
    </row>
    <row r="12336" spans="13:13">
      <c r="M12336" s="690"/>
    </row>
    <row r="12337" spans="13:13">
      <c r="M12337" s="690"/>
    </row>
    <row r="12338" spans="13:13">
      <c r="M12338" s="690"/>
    </row>
    <row r="12339" spans="13:13">
      <c r="M12339" s="690"/>
    </row>
    <row r="12340" spans="13:13">
      <c r="M12340" s="690"/>
    </row>
    <row r="12341" spans="13:13">
      <c r="M12341" s="690"/>
    </row>
    <row r="12342" spans="13:13">
      <c r="M12342" s="690"/>
    </row>
    <row r="12343" spans="13:13">
      <c r="M12343" s="690"/>
    </row>
    <row r="12344" spans="13:13">
      <c r="M12344" s="690"/>
    </row>
    <row r="12345" spans="13:13">
      <c r="M12345" s="690"/>
    </row>
    <row r="12346" spans="13:13">
      <c r="M12346" s="690"/>
    </row>
    <row r="12347" spans="13:13">
      <c r="M12347" s="690"/>
    </row>
    <row r="12348" spans="13:13">
      <c r="M12348" s="690"/>
    </row>
    <row r="12349" spans="13:13">
      <c r="M12349" s="690"/>
    </row>
    <row r="12350" spans="13:13">
      <c r="M12350" s="690"/>
    </row>
    <row r="12351" spans="13:13">
      <c r="M12351" s="690"/>
    </row>
    <row r="12352" spans="13:13">
      <c r="M12352" s="690"/>
    </row>
    <row r="12353" spans="13:13">
      <c r="M12353" s="690"/>
    </row>
    <row r="12354" spans="13:13">
      <c r="M12354" s="690"/>
    </row>
    <row r="12355" spans="13:13">
      <c r="M12355" s="690"/>
    </row>
    <row r="12356" spans="13:13">
      <c r="M12356" s="690"/>
    </row>
    <row r="12357" spans="13:13">
      <c r="M12357" s="690"/>
    </row>
    <row r="12358" spans="13:13">
      <c r="M12358" s="690"/>
    </row>
    <row r="12359" spans="13:13">
      <c r="M12359" s="690"/>
    </row>
    <row r="12360" spans="13:13">
      <c r="M12360" s="690"/>
    </row>
    <row r="12361" spans="13:13">
      <c r="M12361" s="690"/>
    </row>
    <row r="12362" spans="13:13">
      <c r="M12362" s="690"/>
    </row>
    <row r="12363" spans="13:13">
      <c r="M12363" s="690"/>
    </row>
    <row r="12364" spans="13:13">
      <c r="M12364" s="690"/>
    </row>
    <row r="12365" spans="13:13">
      <c r="M12365" s="690"/>
    </row>
    <row r="12366" spans="13:13">
      <c r="M12366" s="690"/>
    </row>
    <row r="12367" spans="13:13">
      <c r="M12367" s="690"/>
    </row>
    <row r="12368" spans="13:13">
      <c r="M12368" s="690"/>
    </row>
    <row r="12369" spans="13:13">
      <c r="M12369" s="690"/>
    </row>
    <row r="12370" spans="13:13">
      <c r="M12370" s="690"/>
    </row>
    <row r="12371" spans="13:13">
      <c r="M12371" s="690"/>
    </row>
    <row r="12372" spans="13:13">
      <c r="M12372" s="690"/>
    </row>
    <row r="12373" spans="13:13">
      <c r="M12373" s="690"/>
    </row>
    <row r="12374" spans="13:13">
      <c r="M12374" s="690"/>
    </row>
    <row r="12375" spans="13:13">
      <c r="M12375" s="690"/>
    </row>
    <row r="12376" spans="13:13">
      <c r="M12376" s="690"/>
    </row>
    <row r="12377" spans="13:13">
      <c r="M12377" s="690"/>
    </row>
    <row r="12378" spans="13:13">
      <c r="M12378" s="690"/>
    </row>
    <row r="12379" spans="13:13">
      <c r="M12379" s="690"/>
    </row>
    <row r="12380" spans="13:13">
      <c r="M12380" s="690"/>
    </row>
    <row r="12381" spans="13:13">
      <c r="M12381" s="690"/>
    </row>
    <row r="12382" spans="13:13">
      <c r="M12382" s="690"/>
    </row>
    <row r="12383" spans="13:13">
      <c r="M12383" s="690"/>
    </row>
    <row r="12384" spans="13:13">
      <c r="M12384" s="690"/>
    </row>
    <row r="12385" spans="13:13">
      <c r="M12385" s="690"/>
    </row>
    <row r="12386" spans="13:13">
      <c r="M12386" s="690"/>
    </row>
    <row r="12387" spans="13:13">
      <c r="M12387" s="690"/>
    </row>
    <row r="12388" spans="13:13">
      <c r="M12388" s="690"/>
    </row>
    <row r="12389" spans="13:13">
      <c r="M12389" s="690"/>
    </row>
    <row r="12390" spans="13:13">
      <c r="M12390" s="690"/>
    </row>
    <row r="12391" spans="13:13">
      <c r="M12391" s="690"/>
    </row>
    <row r="12392" spans="13:13">
      <c r="M12392" s="690"/>
    </row>
    <row r="12393" spans="13:13">
      <c r="M12393" s="690"/>
    </row>
    <row r="12394" spans="13:13">
      <c r="M12394" s="690"/>
    </row>
    <row r="12395" spans="13:13">
      <c r="M12395" s="690"/>
    </row>
    <row r="12396" spans="13:13">
      <c r="M12396" s="690"/>
    </row>
    <row r="12397" spans="13:13">
      <c r="M12397" s="690"/>
    </row>
    <row r="12398" spans="13:13">
      <c r="M12398" s="690"/>
    </row>
    <row r="12399" spans="13:13">
      <c r="M12399" s="690"/>
    </row>
    <row r="12400" spans="13:13">
      <c r="M12400" s="690"/>
    </row>
    <row r="12401" spans="13:13">
      <c r="M12401" s="690"/>
    </row>
    <row r="12402" spans="13:13">
      <c r="M12402" s="690"/>
    </row>
    <row r="12403" spans="13:13">
      <c r="M12403" s="690"/>
    </row>
    <row r="12404" spans="13:13">
      <c r="M12404" s="690"/>
    </row>
    <row r="12405" spans="13:13">
      <c r="M12405" s="690"/>
    </row>
    <row r="12406" spans="13:13">
      <c r="M12406" s="690"/>
    </row>
    <row r="12407" spans="13:13">
      <c r="M12407" s="690"/>
    </row>
    <row r="12408" spans="13:13">
      <c r="M12408" s="690"/>
    </row>
    <row r="12409" spans="13:13">
      <c r="M12409" s="690"/>
    </row>
    <row r="12410" spans="13:13">
      <c r="M12410" s="690"/>
    </row>
    <row r="12411" spans="13:13">
      <c r="M12411" s="690"/>
    </row>
    <row r="12412" spans="13:13">
      <c r="M12412" s="690"/>
    </row>
    <row r="12413" spans="13:13">
      <c r="M12413" s="690"/>
    </row>
    <row r="12414" spans="13:13">
      <c r="M12414" s="690"/>
    </row>
    <row r="12415" spans="13:13">
      <c r="M12415" s="690"/>
    </row>
    <row r="12416" spans="13:13">
      <c r="M12416" s="690"/>
    </row>
    <row r="12417" spans="13:13">
      <c r="M12417" s="690"/>
    </row>
    <row r="12418" spans="13:13">
      <c r="M12418" s="690"/>
    </row>
    <row r="12419" spans="13:13">
      <c r="M12419" s="690"/>
    </row>
    <row r="12420" spans="13:13">
      <c r="M12420" s="690"/>
    </row>
    <row r="12421" spans="13:13">
      <c r="M12421" s="690"/>
    </row>
    <row r="12422" spans="13:13">
      <c r="M12422" s="690"/>
    </row>
    <row r="12423" spans="13:13">
      <c r="M12423" s="690"/>
    </row>
    <row r="12424" spans="13:13">
      <c r="M12424" s="690"/>
    </row>
    <row r="12425" spans="13:13">
      <c r="M12425" s="690"/>
    </row>
    <row r="12426" spans="13:13">
      <c r="M12426" s="690"/>
    </row>
    <row r="12427" spans="13:13">
      <c r="M12427" s="690"/>
    </row>
    <row r="12428" spans="13:13">
      <c r="M12428" s="690"/>
    </row>
    <row r="12429" spans="13:13">
      <c r="M12429" s="690"/>
    </row>
    <row r="12430" spans="13:13">
      <c r="M12430" s="690"/>
    </row>
    <row r="12431" spans="13:13">
      <c r="M12431" s="690"/>
    </row>
    <row r="12432" spans="13:13">
      <c r="M12432" s="690"/>
    </row>
    <row r="12433" spans="13:13">
      <c r="M12433" s="690"/>
    </row>
    <row r="12434" spans="13:13">
      <c r="M12434" s="690"/>
    </row>
    <row r="12435" spans="13:13">
      <c r="M12435" s="690"/>
    </row>
    <row r="12436" spans="13:13">
      <c r="M12436" s="690"/>
    </row>
    <row r="12437" spans="13:13">
      <c r="M12437" s="690"/>
    </row>
    <row r="12438" spans="13:13">
      <c r="M12438" s="690"/>
    </row>
    <row r="12439" spans="13:13">
      <c r="M12439" s="690"/>
    </row>
    <row r="12440" spans="13:13">
      <c r="M12440" s="690"/>
    </row>
    <row r="12441" spans="13:13">
      <c r="M12441" s="690"/>
    </row>
    <row r="12442" spans="13:13">
      <c r="M12442" s="690"/>
    </row>
    <row r="12443" spans="13:13">
      <c r="M12443" s="690"/>
    </row>
    <row r="12444" spans="13:13">
      <c r="M12444" s="690"/>
    </row>
    <row r="12445" spans="13:13">
      <c r="M12445" s="690"/>
    </row>
    <row r="12446" spans="13:13">
      <c r="M12446" s="690"/>
    </row>
    <row r="12447" spans="13:13">
      <c r="M12447" s="690"/>
    </row>
    <row r="12448" spans="13:13">
      <c r="M12448" s="690"/>
    </row>
    <row r="12449" spans="13:13">
      <c r="M12449" s="690"/>
    </row>
    <row r="12450" spans="13:13">
      <c r="M12450" s="690"/>
    </row>
    <row r="12451" spans="13:13">
      <c r="M12451" s="690"/>
    </row>
    <row r="12452" spans="13:13">
      <c r="M12452" s="690"/>
    </row>
    <row r="12453" spans="13:13">
      <c r="M12453" s="690"/>
    </row>
    <row r="12454" spans="13:13">
      <c r="M12454" s="690"/>
    </row>
    <row r="12455" spans="13:13">
      <c r="M12455" s="690"/>
    </row>
    <row r="12456" spans="13:13">
      <c r="M12456" s="690"/>
    </row>
    <row r="12457" spans="13:13">
      <c r="M12457" s="690"/>
    </row>
    <row r="12458" spans="13:13">
      <c r="M12458" s="690"/>
    </row>
    <row r="12459" spans="13:13">
      <c r="M12459" s="690"/>
    </row>
    <row r="12460" spans="13:13">
      <c r="M12460" s="690"/>
    </row>
    <row r="12461" spans="13:13">
      <c r="M12461" s="690"/>
    </row>
    <row r="12462" spans="13:13">
      <c r="M12462" s="690"/>
    </row>
    <row r="12463" spans="13:13">
      <c r="M12463" s="690"/>
    </row>
    <row r="12464" spans="13:13">
      <c r="M12464" s="690"/>
    </row>
    <row r="12465" spans="13:13">
      <c r="M12465" s="690"/>
    </row>
    <row r="12466" spans="13:13">
      <c r="M12466" s="690"/>
    </row>
    <row r="12467" spans="13:13">
      <c r="M12467" s="690"/>
    </row>
    <row r="12468" spans="13:13">
      <c r="M12468" s="690"/>
    </row>
    <row r="12469" spans="13:13">
      <c r="M12469" s="690"/>
    </row>
    <row r="12470" spans="13:13">
      <c r="M12470" s="690"/>
    </row>
    <row r="12471" spans="13:13">
      <c r="M12471" s="690"/>
    </row>
    <row r="12472" spans="13:13">
      <c r="M12472" s="690"/>
    </row>
    <row r="12473" spans="13:13">
      <c r="M12473" s="690"/>
    </row>
    <row r="12474" spans="13:13">
      <c r="M12474" s="690"/>
    </row>
    <row r="12475" spans="13:13">
      <c r="M12475" s="690"/>
    </row>
    <row r="12476" spans="13:13">
      <c r="M12476" s="690"/>
    </row>
    <row r="12477" spans="13:13">
      <c r="M12477" s="690"/>
    </row>
    <row r="12478" spans="13:13">
      <c r="M12478" s="690"/>
    </row>
    <row r="12479" spans="13:13">
      <c r="M12479" s="690"/>
    </row>
    <row r="12480" spans="13:13">
      <c r="M12480" s="690"/>
    </row>
    <row r="12481" spans="13:13">
      <c r="M12481" s="690"/>
    </row>
    <row r="12482" spans="13:13">
      <c r="M12482" s="690"/>
    </row>
    <row r="12483" spans="13:13">
      <c r="M12483" s="690"/>
    </row>
    <row r="12484" spans="13:13">
      <c r="M12484" s="690"/>
    </row>
    <row r="12485" spans="13:13">
      <c r="M12485" s="690"/>
    </row>
    <row r="12486" spans="13:13">
      <c r="M12486" s="690"/>
    </row>
    <row r="12487" spans="13:13">
      <c r="M12487" s="690"/>
    </row>
    <row r="12488" spans="13:13">
      <c r="M12488" s="690"/>
    </row>
    <row r="12489" spans="13:13">
      <c r="M12489" s="690"/>
    </row>
    <row r="12490" spans="13:13">
      <c r="M12490" s="690"/>
    </row>
    <row r="12491" spans="13:13">
      <c r="M12491" s="690"/>
    </row>
    <row r="12492" spans="13:13">
      <c r="M12492" s="690"/>
    </row>
    <row r="12493" spans="13:13">
      <c r="M12493" s="690"/>
    </row>
    <row r="12494" spans="13:13">
      <c r="M12494" s="690"/>
    </row>
    <row r="12495" spans="13:13">
      <c r="M12495" s="690"/>
    </row>
    <row r="12496" spans="13:13">
      <c r="M12496" s="690"/>
    </row>
    <row r="12497" spans="13:13">
      <c r="M12497" s="690"/>
    </row>
    <row r="12498" spans="13:13">
      <c r="M12498" s="690"/>
    </row>
    <row r="12499" spans="13:13">
      <c r="M12499" s="690"/>
    </row>
    <row r="12500" spans="13:13">
      <c r="M12500" s="690"/>
    </row>
    <row r="12501" spans="13:13">
      <c r="M12501" s="690"/>
    </row>
    <row r="12502" spans="13:13">
      <c r="M12502" s="690"/>
    </row>
    <row r="12503" spans="13:13">
      <c r="M12503" s="690"/>
    </row>
    <row r="12504" spans="13:13">
      <c r="M12504" s="690"/>
    </row>
    <row r="12505" spans="13:13">
      <c r="M12505" s="690"/>
    </row>
    <row r="12506" spans="13:13">
      <c r="M12506" s="690"/>
    </row>
    <row r="12507" spans="13:13">
      <c r="M12507" s="690"/>
    </row>
    <row r="12508" spans="13:13">
      <c r="M12508" s="690"/>
    </row>
    <row r="12509" spans="13:13">
      <c r="M12509" s="690"/>
    </row>
    <row r="12510" spans="13:13">
      <c r="M12510" s="690"/>
    </row>
    <row r="12511" spans="13:13">
      <c r="M12511" s="690"/>
    </row>
    <row r="12512" spans="13:13">
      <c r="M12512" s="690"/>
    </row>
    <row r="12513" spans="13:13">
      <c r="M12513" s="690"/>
    </row>
    <row r="12514" spans="13:13">
      <c r="M12514" s="690"/>
    </row>
    <row r="12515" spans="13:13">
      <c r="M12515" s="690"/>
    </row>
    <row r="12516" spans="13:13">
      <c r="M12516" s="690"/>
    </row>
    <row r="12517" spans="13:13">
      <c r="M12517" s="690"/>
    </row>
    <row r="12518" spans="13:13">
      <c r="M12518" s="690"/>
    </row>
    <row r="12519" spans="13:13">
      <c r="M12519" s="690"/>
    </row>
    <row r="12520" spans="13:13">
      <c r="M12520" s="690"/>
    </row>
    <row r="12521" spans="13:13">
      <c r="M12521" s="690"/>
    </row>
    <row r="12522" spans="13:13">
      <c r="M12522" s="690"/>
    </row>
    <row r="12523" spans="13:13">
      <c r="M12523" s="690"/>
    </row>
    <row r="12524" spans="13:13">
      <c r="M12524" s="690"/>
    </row>
    <row r="12525" spans="13:13">
      <c r="M12525" s="690"/>
    </row>
    <row r="12526" spans="13:13">
      <c r="M12526" s="690"/>
    </row>
    <row r="12527" spans="13:13">
      <c r="M12527" s="690"/>
    </row>
    <row r="12528" spans="13:13">
      <c r="M12528" s="690"/>
    </row>
    <row r="12529" spans="13:13">
      <c r="M12529" s="690"/>
    </row>
    <row r="12530" spans="13:13">
      <c r="M12530" s="690"/>
    </row>
    <row r="12531" spans="13:13">
      <c r="M12531" s="690"/>
    </row>
    <row r="12532" spans="13:13">
      <c r="M12532" s="690"/>
    </row>
    <row r="12533" spans="13:13">
      <c r="M12533" s="690"/>
    </row>
    <row r="12534" spans="13:13">
      <c r="M12534" s="690"/>
    </row>
    <row r="12535" spans="13:13">
      <c r="M12535" s="690"/>
    </row>
    <row r="12536" spans="13:13">
      <c r="M12536" s="690"/>
    </row>
    <row r="12537" spans="13:13">
      <c r="M12537" s="690"/>
    </row>
    <row r="12538" spans="13:13">
      <c r="M12538" s="690"/>
    </row>
    <row r="12539" spans="13:13">
      <c r="M12539" s="690"/>
    </row>
    <row r="12540" spans="13:13">
      <c r="M12540" s="690"/>
    </row>
    <row r="12541" spans="13:13">
      <c r="M12541" s="690"/>
    </row>
    <row r="12542" spans="13:13">
      <c r="M12542" s="690"/>
    </row>
    <row r="12543" spans="13:13">
      <c r="M12543" s="690"/>
    </row>
    <row r="12544" spans="13:13">
      <c r="M12544" s="690"/>
    </row>
    <row r="12545" spans="13:13">
      <c r="M12545" s="690"/>
    </row>
    <row r="12546" spans="13:13">
      <c r="M12546" s="690"/>
    </row>
    <row r="12547" spans="13:13">
      <c r="M12547" s="690"/>
    </row>
    <row r="12548" spans="13:13">
      <c r="M12548" s="690"/>
    </row>
    <row r="12549" spans="13:13">
      <c r="M12549" s="690"/>
    </row>
    <row r="12550" spans="13:13">
      <c r="M12550" s="690"/>
    </row>
    <row r="12551" spans="13:13">
      <c r="M12551" s="690"/>
    </row>
    <row r="12552" spans="13:13">
      <c r="M12552" s="690"/>
    </row>
    <row r="12553" spans="13:13">
      <c r="M12553" s="690"/>
    </row>
    <row r="12554" spans="13:13">
      <c r="M12554" s="690"/>
    </row>
    <row r="12555" spans="13:13">
      <c r="M12555" s="690"/>
    </row>
    <row r="12556" spans="13:13">
      <c r="M12556" s="690"/>
    </row>
    <row r="12557" spans="13:13">
      <c r="M12557" s="690"/>
    </row>
    <row r="12558" spans="13:13">
      <c r="M12558" s="690"/>
    </row>
    <row r="12559" spans="13:13">
      <c r="M12559" s="690"/>
    </row>
    <row r="12560" spans="13:13">
      <c r="M12560" s="690"/>
    </row>
    <row r="12561" spans="13:13">
      <c r="M12561" s="690"/>
    </row>
    <row r="12562" spans="13:13">
      <c r="M12562" s="690"/>
    </row>
    <row r="12563" spans="13:13">
      <c r="M12563" s="690"/>
    </row>
    <row r="12564" spans="13:13">
      <c r="M12564" s="690"/>
    </row>
    <row r="12565" spans="13:13">
      <c r="M12565" s="690"/>
    </row>
    <row r="12566" spans="13:13">
      <c r="M12566" s="690"/>
    </row>
    <row r="12567" spans="13:13">
      <c r="M12567" s="690"/>
    </row>
    <row r="12568" spans="13:13">
      <c r="M12568" s="690"/>
    </row>
    <row r="12569" spans="13:13">
      <c r="M12569" s="690"/>
    </row>
    <row r="12570" spans="13:13">
      <c r="M12570" s="690"/>
    </row>
    <row r="12571" spans="13:13">
      <c r="M12571" s="690"/>
    </row>
    <row r="12572" spans="13:13">
      <c r="M12572" s="690"/>
    </row>
    <row r="12573" spans="13:13">
      <c r="M12573" s="690"/>
    </row>
    <row r="12574" spans="13:13">
      <c r="M12574" s="690"/>
    </row>
    <row r="12575" spans="13:13">
      <c r="M12575" s="690"/>
    </row>
    <row r="12576" spans="13:13">
      <c r="M12576" s="690"/>
    </row>
    <row r="12577" spans="13:13">
      <c r="M12577" s="690"/>
    </row>
    <row r="12578" spans="13:13">
      <c r="M12578" s="690"/>
    </row>
    <row r="12579" spans="13:13">
      <c r="M12579" s="690"/>
    </row>
    <row r="12580" spans="13:13">
      <c r="M12580" s="690"/>
    </row>
    <row r="12581" spans="13:13">
      <c r="M12581" s="690"/>
    </row>
    <row r="12582" spans="13:13">
      <c r="M12582" s="690"/>
    </row>
    <row r="12583" spans="13:13">
      <c r="M12583" s="690"/>
    </row>
    <row r="12584" spans="13:13">
      <c r="M12584" s="690"/>
    </row>
    <row r="12585" spans="13:13">
      <c r="M12585" s="690"/>
    </row>
    <row r="12586" spans="13:13">
      <c r="M12586" s="690"/>
    </row>
    <row r="12587" spans="13:13">
      <c r="M12587" s="690"/>
    </row>
    <row r="12588" spans="13:13">
      <c r="M12588" s="690"/>
    </row>
    <row r="12589" spans="13:13">
      <c r="M12589" s="690"/>
    </row>
    <row r="12590" spans="13:13">
      <c r="M12590" s="690"/>
    </row>
    <row r="12591" spans="13:13">
      <c r="M12591" s="690"/>
    </row>
    <row r="12592" spans="13:13">
      <c r="M12592" s="690"/>
    </row>
    <row r="12593" spans="13:13">
      <c r="M12593" s="690"/>
    </row>
    <row r="12594" spans="13:13">
      <c r="M12594" s="690"/>
    </row>
    <row r="12595" spans="13:13">
      <c r="M12595" s="690"/>
    </row>
    <row r="12596" spans="13:13">
      <c r="M12596" s="690"/>
    </row>
    <row r="12597" spans="13:13">
      <c r="M12597" s="690"/>
    </row>
    <row r="12598" spans="13:13">
      <c r="M12598" s="690"/>
    </row>
    <row r="12599" spans="13:13">
      <c r="M12599" s="690"/>
    </row>
    <row r="12600" spans="13:13">
      <c r="M12600" s="690"/>
    </row>
    <row r="12601" spans="13:13">
      <c r="M12601" s="690"/>
    </row>
    <row r="12602" spans="13:13">
      <c r="M12602" s="690"/>
    </row>
    <row r="12603" spans="13:13">
      <c r="M12603" s="690"/>
    </row>
    <row r="12604" spans="13:13">
      <c r="M12604" s="690"/>
    </row>
    <row r="12605" spans="13:13">
      <c r="M12605" s="690"/>
    </row>
    <row r="12606" spans="13:13">
      <c r="M12606" s="690"/>
    </row>
    <row r="12607" spans="13:13">
      <c r="M12607" s="690"/>
    </row>
    <row r="12608" spans="13:13">
      <c r="M12608" s="690"/>
    </row>
    <row r="12609" spans="13:13">
      <c r="M12609" s="690"/>
    </row>
    <row r="12610" spans="13:13">
      <c r="M12610" s="690"/>
    </row>
    <row r="12611" spans="13:13">
      <c r="M12611" s="690"/>
    </row>
    <row r="12612" spans="13:13">
      <c r="M12612" s="690"/>
    </row>
    <row r="12613" spans="13:13">
      <c r="M12613" s="690"/>
    </row>
    <row r="12614" spans="13:13">
      <c r="M12614" s="690"/>
    </row>
    <row r="12615" spans="13:13">
      <c r="M12615" s="690"/>
    </row>
    <row r="12616" spans="13:13">
      <c r="M12616" s="690"/>
    </row>
    <row r="12617" spans="13:13">
      <c r="M12617" s="690"/>
    </row>
    <row r="12618" spans="13:13">
      <c r="M12618" s="690"/>
    </row>
    <row r="12619" spans="13:13">
      <c r="M12619" s="690"/>
    </row>
    <row r="12620" spans="13:13">
      <c r="M12620" s="690"/>
    </row>
    <row r="12621" spans="13:13">
      <c r="M12621" s="690"/>
    </row>
    <row r="12622" spans="13:13">
      <c r="M12622" s="690"/>
    </row>
    <row r="12623" spans="13:13">
      <c r="M12623" s="690"/>
    </row>
    <row r="12624" spans="13:13">
      <c r="M12624" s="690"/>
    </row>
    <row r="12625" spans="13:13">
      <c r="M12625" s="690"/>
    </row>
    <row r="12626" spans="13:13">
      <c r="M12626" s="690"/>
    </row>
    <row r="12627" spans="13:13">
      <c r="M12627" s="690"/>
    </row>
    <row r="12628" spans="13:13">
      <c r="M12628" s="690"/>
    </row>
    <row r="12629" spans="13:13">
      <c r="M12629" s="690"/>
    </row>
    <row r="12630" spans="13:13">
      <c r="M12630" s="690"/>
    </row>
    <row r="12631" spans="13:13">
      <c r="M12631" s="690"/>
    </row>
    <row r="12632" spans="13:13">
      <c r="M12632" s="690"/>
    </row>
    <row r="12633" spans="13:13">
      <c r="M12633" s="690"/>
    </row>
    <row r="12634" spans="13:13">
      <c r="M12634" s="690"/>
    </row>
    <row r="12635" spans="13:13">
      <c r="M12635" s="690"/>
    </row>
    <row r="12636" spans="13:13">
      <c r="M12636" s="690"/>
    </row>
    <row r="12637" spans="13:13">
      <c r="M12637" s="690"/>
    </row>
    <row r="12638" spans="13:13">
      <c r="M12638" s="690"/>
    </row>
    <row r="12639" spans="13:13">
      <c r="M12639" s="690"/>
    </row>
    <row r="12640" spans="13:13">
      <c r="M12640" s="690"/>
    </row>
    <row r="12641" spans="13:13">
      <c r="M12641" s="690"/>
    </row>
    <row r="12642" spans="13:13">
      <c r="M12642" s="690"/>
    </row>
    <row r="12643" spans="13:13">
      <c r="M12643" s="690"/>
    </row>
    <row r="12644" spans="13:13">
      <c r="M12644" s="690"/>
    </row>
    <row r="12645" spans="13:13">
      <c r="M12645" s="690"/>
    </row>
    <row r="12646" spans="13:13">
      <c r="M12646" s="690"/>
    </row>
    <row r="12647" spans="13:13">
      <c r="M12647" s="690"/>
    </row>
    <row r="12648" spans="13:13">
      <c r="M12648" s="690"/>
    </row>
    <row r="12649" spans="13:13">
      <c r="M12649" s="690"/>
    </row>
    <row r="12650" spans="13:13">
      <c r="M12650" s="690"/>
    </row>
    <row r="12651" spans="13:13">
      <c r="M12651" s="690"/>
    </row>
    <row r="12652" spans="13:13">
      <c r="M12652" s="690"/>
    </row>
    <row r="12653" spans="13:13">
      <c r="M12653" s="690"/>
    </row>
    <row r="12654" spans="13:13">
      <c r="M12654" s="690"/>
    </row>
    <row r="12655" spans="13:13">
      <c r="M12655" s="690"/>
    </row>
    <row r="12656" spans="13:13">
      <c r="M12656" s="690"/>
    </row>
    <row r="12657" spans="13:13">
      <c r="M12657" s="690"/>
    </row>
    <row r="12658" spans="13:13">
      <c r="M12658" s="690"/>
    </row>
    <row r="12659" spans="13:13">
      <c r="M12659" s="690"/>
    </row>
    <row r="12660" spans="13:13">
      <c r="M12660" s="690"/>
    </row>
    <row r="12661" spans="13:13">
      <c r="M12661" s="690"/>
    </row>
    <row r="12662" spans="13:13">
      <c r="M12662" s="690"/>
    </row>
    <row r="12663" spans="13:13">
      <c r="M12663" s="690"/>
    </row>
    <row r="12664" spans="13:13">
      <c r="M12664" s="690"/>
    </row>
    <row r="12665" spans="13:13">
      <c r="M12665" s="690"/>
    </row>
    <row r="12666" spans="13:13">
      <c r="M12666" s="690"/>
    </row>
    <row r="12667" spans="13:13">
      <c r="M12667" s="690"/>
    </row>
    <row r="12668" spans="13:13">
      <c r="M12668" s="690"/>
    </row>
    <row r="12669" spans="13:13">
      <c r="M12669" s="690"/>
    </row>
    <row r="12670" spans="13:13">
      <c r="M12670" s="690"/>
    </row>
    <row r="12671" spans="13:13">
      <c r="M12671" s="690"/>
    </row>
    <row r="12672" spans="13:13">
      <c r="M12672" s="690"/>
    </row>
    <row r="12673" spans="13:13">
      <c r="M12673" s="690"/>
    </row>
    <row r="12674" spans="13:13">
      <c r="M12674" s="690"/>
    </row>
    <row r="12675" spans="13:13">
      <c r="M12675" s="690"/>
    </row>
    <row r="12676" spans="13:13">
      <c r="M12676" s="690"/>
    </row>
    <row r="12677" spans="13:13">
      <c r="M12677" s="690"/>
    </row>
    <row r="12678" spans="13:13">
      <c r="M12678" s="690"/>
    </row>
    <row r="12679" spans="13:13">
      <c r="M12679" s="690"/>
    </row>
    <row r="12680" spans="13:13">
      <c r="M12680" s="690"/>
    </row>
    <row r="12681" spans="13:13">
      <c r="M12681" s="690"/>
    </row>
    <row r="12682" spans="13:13">
      <c r="M12682" s="690"/>
    </row>
    <row r="12683" spans="13:13">
      <c r="M12683" s="690"/>
    </row>
    <row r="12684" spans="13:13">
      <c r="M12684" s="690"/>
    </row>
    <row r="12685" spans="13:13">
      <c r="M12685" s="690"/>
    </row>
    <row r="12686" spans="13:13">
      <c r="M12686" s="690"/>
    </row>
    <row r="12687" spans="13:13">
      <c r="M12687" s="690"/>
    </row>
    <row r="12688" spans="13:13">
      <c r="M12688" s="690"/>
    </row>
    <row r="12689" spans="13:13">
      <c r="M12689" s="690"/>
    </row>
    <row r="12690" spans="13:13">
      <c r="M12690" s="690"/>
    </row>
    <row r="12691" spans="13:13">
      <c r="M12691" s="690"/>
    </row>
    <row r="12692" spans="13:13">
      <c r="M12692" s="690"/>
    </row>
    <row r="12693" spans="13:13">
      <c r="M12693" s="690"/>
    </row>
    <row r="12694" spans="13:13">
      <c r="M12694" s="690"/>
    </row>
    <row r="12695" spans="13:13">
      <c r="M12695" s="690"/>
    </row>
    <row r="12696" spans="13:13">
      <c r="M12696" s="690"/>
    </row>
    <row r="12697" spans="13:13">
      <c r="M12697" s="690"/>
    </row>
    <row r="12698" spans="13:13">
      <c r="M12698" s="690"/>
    </row>
    <row r="12699" spans="13:13">
      <c r="M12699" s="690"/>
    </row>
    <row r="12700" spans="13:13">
      <c r="M12700" s="690"/>
    </row>
    <row r="12701" spans="13:13">
      <c r="M12701" s="690"/>
    </row>
    <row r="12702" spans="13:13">
      <c r="M12702" s="690"/>
    </row>
    <row r="12703" spans="13:13">
      <c r="M12703" s="690"/>
    </row>
    <row r="12704" spans="13:13">
      <c r="M12704" s="690"/>
    </row>
    <row r="12705" spans="13:13">
      <c r="M12705" s="690"/>
    </row>
    <row r="12706" spans="13:13">
      <c r="M12706" s="690"/>
    </row>
    <row r="12707" spans="13:13">
      <c r="M12707" s="690"/>
    </row>
    <row r="12708" spans="13:13">
      <c r="M12708" s="690"/>
    </row>
    <row r="12709" spans="13:13">
      <c r="M12709" s="690"/>
    </row>
    <row r="12710" spans="13:13">
      <c r="M12710" s="690"/>
    </row>
    <row r="12711" spans="13:13">
      <c r="M12711" s="690"/>
    </row>
    <row r="12712" spans="13:13">
      <c r="M12712" s="690"/>
    </row>
    <row r="12713" spans="13:13">
      <c r="M12713" s="690"/>
    </row>
    <row r="12714" spans="13:13">
      <c r="M12714" s="690"/>
    </row>
    <row r="12715" spans="13:13">
      <c r="M12715" s="690"/>
    </row>
    <row r="12716" spans="13:13">
      <c r="M12716" s="690"/>
    </row>
    <row r="12717" spans="13:13">
      <c r="M12717" s="690"/>
    </row>
    <row r="12718" spans="13:13">
      <c r="M12718" s="690"/>
    </row>
    <row r="12719" spans="13:13">
      <c r="M12719" s="690"/>
    </row>
    <row r="12720" spans="13:13">
      <c r="M12720" s="690"/>
    </row>
    <row r="12721" spans="13:13">
      <c r="M12721" s="690"/>
    </row>
    <row r="12722" spans="13:13">
      <c r="M12722" s="690"/>
    </row>
    <row r="12723" spans="13:13">
      <c r="M12723" s="690"/>
    </row>
    <row r="12724" spans="13:13">
      <c r="M12724" s="690"/>
    </row>
    <row r="12725" spans="13:13">
      <c r="M12725" s="690"/>
    </row>
    <row r="12726" spans="13:13">
      <c r="M12726" s="690"/>
    </row>
    <row r="12727" spans="13:13">
      <c r="M12727" s="690"/>
    </row>
    <row r="12728" spans="13:13">
      <c r="M12728" s="690"/>
    </row>
    <row r="12729" spans="13:13">
      <c r="M12729" s="690"/>
    </row>
    <row r="12730" spans="13:13">
      <c r="M12730" s="690"/>
    </row>
    <row r="12731" spans="13:13">
      <c r="M12731" s="690"/>
    </row>
    <row r="12732" spans="13:13">
      <c r="M12732" s="690"/>
    </row>
    <row r="12733" spans="13:13">
      <c r="M12733" s="690"/>
    </row>
    <row r="12734" spans="13:13">
      <c r="M12734" s="690"/>
    </row>
    <row r="12735" spans="13:13">
      <c r="M12735" s="690"/>
    </row>
    <row r="12736" spans="13:13">
      <c r="M12736" s="690"/>
    </row>
    <row r="12737" spans="13:13">
      <c r="M12737" s="690"/>
    </row>
    <row r="12738" spans="13:13">
      <c r="M12738" s="690"/>
    </row>
    <row r="12739" spans="13:13">
      <c r="M12739" s="690"/>
    </row>
    <row r="12740" spans="13:13">
      <c r="M12740" s="690"/>
    </row>
    <row r="12741" spans="13:13">
      <c r="M12741" s="690"/>
    </row>
    <row r="12742" spans="13:13">
      <c r="M12742" s="690"/>
    </row>
    <row r="12743" spans="13:13">
      <c r="M12743" s="690"/>
    </row>
    <row r="12744" spans="13:13">
      <c r="M12744" s="690"/>
    </row>
    <row r="12745" spans="13:13">
      <c r="M12745" s="690"/>
    </row>
    <row r="12746" spans="13:13">
      <c r="M12746" s="690"/>
    </row>
    <row r="12747" spans="13:13">
      <c r="M12747" s="690"/>
    </row>
    <row r="12748" spans="13:13">
      <c r="M12748" s="690"/>
    </row>
    <row r="12749" spans="13:13">
      <c r="M12749" s="690"/>
    </row>
    <row r="12750" spans="13:13">
      <c r="M12750" s="690"/>
    </row>
    <row r="12751" spans="13:13">
      <c r="M12751" s="690"/>
    </row>
    <row r="12752" spans="13:13">
      <c r="M12752" s="690"/>
    </row>
    <row r="12753" spans="13:13">
      <c r="M12753" s="690"/>
    </row>
    <row r="12754" spans="13:13">
      <c r="M12754" s="690"/>
    </row>
    <row r="12755" spans="13:13">
      <c r="M12755" s="690"/>
    </row>
    <row r="12756" spans="13:13">
      <c r="M12756" s="690"/>
    </row>
    <row r="12757" spans="13:13">
      <c r="M12757" s="690"/>
    </row>
    <row r="12758" spans="13:13">
      <c r="M12758" s="690"/>
    </row>
    <row r="12759" spans="13:13">
      <c r="M12759" s="690"/>
    </row>
    <row r="12760" spans="13:13">
      <c r="M12760" s="690"/>
    </row>
    <row r="12761" spans="13:13">
      <c r="M12761" s="690"/>
    </row>
    <row r="12762" spans="13:13">
      <c r="M12762" s="690"/>
    </row>
    <row r="12763" spans="13:13">
      <c r="M12763" s="690"/>
    </row>
    <row r="12764" spans="13:13">
      <c r="M12764" s="690"/>
    </row>
    <row r="12765" spans="13:13">
      <c r="M12765" s="690"/>
    </row>
    <row r="12766" spans="13:13">
      <c r="M12766" s="690"/>
    </row>
    <row r="12767" spans="13:13">
      <c r="M12767" s="690"/>
    </row>
    <row r="12768" spans="13:13">
      <c r="M12768" s="690"/>
    </row>
    <row r="12769" spans="13:13">
      <c r="M12769" s="690"/>
    </row>
    <row r="12770" spans="13:13">
      <c r="M12770" s="690"/>
    </row>
    <row r="12771" spans="13:13">
      <c r="M12771" s="690"/>
    </row>
    <row r="12772" spans="13:13">
      <c r="M12772" s="690"/>
    </row>
    <row r="12773" spans="13:13">
      <c r="M12773" s="690"/>
    </row>
    <row r="12774" spans="13:13">
      <c r="M12774" s="690"/>
    </row>
    <row r="12775" spans="13:13">
      <c r="M12775" s="690"/>
    </row>
    <row r="12776" spans="13:13">
      <c r="M12776" s="690"/>
    </row>
    <row r="12777" spans="13:13">
      <c r="M12777" s="690"/>
    </row>
    <row r="12778" spans="13:13">
      <c r="M12778" s="690"/>
    </row>
    <row r="12779" spans="13:13">
      <c r="M12779" s="690"/>
    </row>
    <row r="12780" spans="13:13">
      <c r="M12780" s="690"/>
    </row>
    <row r="12781" spans="13:13">
      <c r="M12781" s="690"/>
    </row>
    <row r="12782" spans="13:13">
      <c r="M12782" s="690"/>
    </row>
    <row r="12783" spans="13:13">
      <c r="M12783" s="690"/>
    </row>
    <row r="12784" spans="13:13">
      <c r="M12784" s="690"/>
    </row>
    <row r="12785" spans="13:13">
      <c r="M12785" s="690"/>
    </row>
    <row r="12786" spans="13:13">
      <c r="M12786" s="690"/>
    </row>
    <row r="12787" spans="13:13">
      <c r="M12787" s="690"/>
    </row>
    <row r="12788" spans="13:13">
      <c r="M12788" s="690"/>
    </row>
    <row r="12789" spans="13:13">
      <c r="M12789" s="690"/>
    </row>
    <row r="12790" spans="13:13">
      <c r="M12790" s="690"/>
    </row>
    <row r="12791" spans="13:13">
      <c r="M12791" s="690"/>
    </row>
    <row r="12792" spans="13:13">
      <c r="M12792" s="690"/>
    </row>
    <row r="12793" spans="13:13">
      <c r="M12793" s="690"/>
    </row>
    <row r="12794" spans="13:13">
      <c r="M12794" s="690"/>
    </row>
    <row r="12795" spans="13:13">
      <c r="M12795" s="690"/>
    </row>
    <row r="12796" spans="13:13">
      <c r="M12796" s="690"/>
    </row>
    <row r="12797" spans="13:13">
      <c r="M12797" s="690"/>
    </row>
    <row r="12798" spans="13:13">
      <c r="M12798" s="690"/>
    </row>
    <row r="12799" spans="13:13">
      <c r="M12799" s="690"/>
    </row>
    <row r="12800" spans="13:13">
      <c r="M12800" s="690"/>
    </row>
    <row r="12801" spans="13:13">
      <c r="M12801" s="690"/>
    </row>
    <row r="12802" spans="13:13">
      <c r="M12802" s="690"/>
    </row>
    <row r="12803" spans="13:13">
      <c r="M12803" s="690"/>
    </row>
    <row r="12804" spans="13:13">
      <c r="M12804" s="690"/>
    </row>
    <row r="12805" spans="13:13">
      <c r="M12805" s="690"/>
    </row>
    <row r="12806" spans="13:13">
      <c r="M12806" s="690"/>
    </row>
    <row r="12807" spans="13:13">
      <c r="M12807" s="690"/>
    </row>
    <row r="12808" spans="13:13">
      <c r="M12808" s="690"/>
    </row>
    <row r="12809" spans="13:13">
      <c r="M12809" s="690"/>
    </row>
    <row r="12810" spans="13:13">
      <c r="M12810" s="690"/>
    </row>
    <row r="12811" spans="13:13">
      <c r="M12811" s="690"/>
    </row>
    <row r="12812" spans="13:13">
      <c r="M12812" s="690"/>
    </row>
    <row r="12813" spans="13:13">
      <c r="M12813" s="690"/>
    </row>
    <row r="12814" spans="13:13">
      <c r="M12814" s="690"/>
    </row>
    <row r="12815" spans="13:13">
      <c r="M12815" s="690"/>
    </row>
    <row r="12816" spans="13:13">
      <c r="M12816" s="690"/>
    </row>
    <row r="12817" spans="13:13">
      <c r="M12817" s="690"/>
    </row>
    <row r="12818" spans="13:13">
      <c r="M12818" s="690"/>
    </row>
    <row r="12819" spans="13:13">
      <c r="M12819" s="690"/>
    </row>
    <row r="12820" spans="13:13">
      <c r="M12820" s="690"/>
    </row>
    <row r="12821" spans="13:13">
      <c r="M12821" s="690"/>
    </row>
    <row r="12822" spans="13:13">
      <c r="M12822" s="690"/>
    </row>
    <row r="12823" spans="13:13">
      <c r="M12823" s="690"/>
    </row>
    <row r="12824" spans="13:13">
      <c r="M12824" s="690"/>
    </row>
    <row r="12825" spans="13:13">
      <c r="M12825" s="690"/>
    </row>
    <row r="12826" spans="13:13">
      <c r="M12826" s="690"/>
    </row>
    <row r="12827" spans="13:13">
      <c r="M12827" s="690"/>
    </row>
    <row r="12828" spans="13:13">
      <c r="M12828" s="690"/>
    </row>
    <row r="12829" spans="13:13">
      <c r="M12829" s="690"/>
    </row>
    <row r="12830" spans="13:13">
      <c r="M12830" s="690"/>
    </row>
    <row r="12831" spans="13:13">
      <c r="M12831" s="690"/>
    </row>
    <row r="12832" spans="13:13">
      <c r="M12832" s="690"/>
    </row>
    <row r="12833" spans="13:13">
      <c r="M12833" s="690"/>
    </row>
    <row r="12834" spans="13:13">
      <c r="M12834" s="690"/>
    </row>
    <row r="12835" spans="13:13">
      <c r="M12835" s="690"/>
    </row>
    <row r="12836" spans="13:13">
      <c r="M12836" s="690"/>
    </row>
    <row r="12837" spans="13:13">
      <c r="M12837" s="690"/>
    </row>
    <row r="12838" spans="13:13">
      <c r="M12838" s="690"/>
    </row>
    <row r="12839" spans="13:13">
      <c r="M12839" s="690"/>
    </row>
    <row r="12840" spans="13:13">
      <c r="M12840" s="690"/>
    </row>
    <row r="12841" spans="13:13">
      <c r="M12841" s="690"/>
    </row>
    <row r="12842" spans="13:13">
      <c r="M12842" s="690"/>
    </row>
    <row r="12843" spans="13:13">
      <c r="M12843" s="690"/>
    </row>
    <row r="12844" spans="13:13">
      <c r="M12844" s="690"/>
    </row>
    <row r="12845" spans="13:13">
      <c r="M12845" s="690"/>
    </row>
    <row r="12846" spans="13:13">
      <c r="M12846" s="690"/>
    </row>
    <row r="12847" spans="13:13">
      <c r="M12847" s="690"/>
    </row>
    <row r="12848" spans="13:13">
      <c r="M12848" s="690"/>
    </row>
    <row r="12849" spans="13:13">
      <c r="M12849" s="690"/>
    </row>
    <row r="12850" spans="13:13">
      <c r="M12850" s="690"/>
    </row>
    <row r="12851" spans="13:13">
      <c r="M12851" s="690"/>
    </row>
    <row r="12852" spans="13:13">
      <c r="M12852" s="690"/>
    </row>
    <row r="12853" spans="13:13">
      <c r="M12853" s="690"/>
    </row>
    <row r="12854" spans="13:13">
      <c r="M12854" s="690"/>
    </row>
    <row r="12855" spans="13:13">
      <c r="M12855" s="690"/>
    </row>
    <row r="12856" spans="13:13">
      <c r="M12856" s="690"/>
    </row>
    <row r="12857" spans="13:13">
      <c r="M12857" s="690"/>
    </row>
    <row r="12858" spans="13:13">
      <c r="M12858" s="690"/>
    </row>
    <row r="12859" spans="13:13">
      <c r="M12859" s="690"/>
    </row>
    <row r="12860" spans="13:13">
      <c r="M12860" s="690"/>
    </row>
    <row r="12861" spans="13:13">
      <c r="M12861" s="690"/>
    </row>
    <row r="12862" spans="13:13">
      <c r="M12862" s="690"/>
    </row>
    <row r="12863" spans="13:13">
      <c r="M12863" s="690"/>
    </row>
    <row r="12864" spans="13:13">
      <c r="M12864" s="690"/>
    </row>
    <row r="12865" spans="13:13">
      <c r="M12865" s="690"/>
    </row>
    <row r="12866" spans="13:13">
      <c r="M12866" s="690"/>
    </row>
    <row r="12867" spans="13:13">
      <c r="M12867" s="690"/>
    </row>
    <row r="12868" spans="13:13">
      <c r="M12868" s="690"/>
    </row>
    <row r="12869" spans="13:13">
      <c r="M12869" s="690"/>
    </row>
    <row r="12870" spans="13:13">
      <c r="M12870" s="690"/>
    </row>
    <row r="12871" spans="13:13">
      <c r="M12871" s="690"/>
    </row>
    <row r="12872" spans="13:13">
      <c r="M12872" s="690"/>
    </row>
    <row r="12873" spans="13:13">
      <c r="M12873" s="690"/>
    </row>
    <row r="12874" spans="13:13">
      <c r="M12874" s="690"/>
    </row>
    <row r="12875" spans="13:13">
      <c r="M12875" s="690"/>
    </row>
    <row r="12876" spans="13:13">
      <c r="M12876" s="690"/>
    </row>
    <row r="12877" spans="13:13">
      <c r="M12877" s="690"/>
    </row>
    <row r="12878" spans="13:13">
      <c r="M12878" s="690"/>
    </row>
    <row r="12879" spans="13:13">
      <c r="M12879" s="690"/>
    </row>
    <row r="12880" spans="13:13">
      <c r="M12880" s="690"/>
    </row>
    <row r="12881" spans="13:13">
      <c r="M12881" s="690"/>
    </row>
    <row r="12882" spans="13:13">
      <c r="M12882" s="690"/>
    </row>
    <row r="12883" spans="13:13">
      <c r="M12883" s="690"/>
    </row>
    <row r="12884" spans="13:13">
      <c r="M12884" s="690"/>
    </row>
    <row r="12885" spans="13:13">
      <c r="M12885" s="690"/>
    </row>
    <row r="12886" spans="13:13">
      <c r="M12886" s="690"/>
    </row>
    <row r="12887" spans="13:13">
      <c r="M12887" s="690"/>
    </row>
    <row r="12888" spans="13:13">
      <c r="M12888" s="690"/>
    </row>
    <row r="12889" spans="13:13">
      <c r="M12889" s="690"/>
    </row>
    <row r="12890" spans="13:13">
      <c r="M12890" s="690"/>
    </row>
    <row r="12891" spans="13:13">
      <c r="M12891" s="690"/>
    </row>
    <row r="12892" spans="13:13">
      <c r="M12892" s="690"/>
    </row>
    <row r="12893" spans="13:13">
      <c r="M12893" s="690"/>
    </row>
    <row r="12894" spans="13:13">
      <c r="M12894" s="690"/>
    </row>
    <row r="12895" spans="13:13">
      <c r="M12895" s="690"/>
    </row>
    <row r="12896" spans="13:13">
      <c r="M12896" s="690"/>
    </row>
    <row r="12897" spans="13:13">
      <c r="M12897" s="690"/>
    </row>
    <row r="12898" spans="13:13">
      <c r="M12898" s="690"/>
    </row>
    <row r="12899" spans="13:13">
      <c r="M12899" s="690"/>
    </row>
    <row r="12900" spans="13:13">
      <c r="M12900" s="690"/>
    </row>
    <row r="12901" spans="13:13">
      <c r="M12901" s="690"/>
    </row>
    <row r="12902" spans="13:13">
      <c r="M12902" s="690"/>
    </row>
    <row r="12903" spans="13:13">
      <c r="M12903" s="690"/>
    </row>
    <row r="12904" spans="13:13">
      <c r="M12904" s="690"/>
    </row>
    <row r="12905" spans="13:13">
      <c r="M12905" s="690"/>
    </row>
    <row r="12906" spans="13:13">
      <c r="M12906" s="690"/>
    </row>
    <row r="12907" spans="13:13">
      <c r="M12907" s="690"/>
    </row>
    <row r="12908" spans="13:13">
      <c r="M12908" s="690"/>
    </row>
    <row r="12909" spans="13:13">
      <c r="M12909" s="690"/>
    </row>
    <row r="12910" spans="13:13">
      <c r="M12910" s="690"/>
    </row>
    <row r="12911" spans="13:13">
      <c r="M12911" s="690"/>
    </row>
    <row r="12912" spans="13:13">
      <c r="M12912" s="690"/>
    </row>
    <row r="12913" spans="13:13">
      <c r="M12913" s="690"/>
    </row>
    <row r="12914" spans="13:13">
      <c r="M12914" s="690"/>
    </row>
    <row r="12915" spans="13:13">
      <c r="M12915" s="690"/>
    </row>
    <row r="12916" spans="13:13">
      <c r="M12916" s="690"/>
    </row>
    <row r="12917" spans="13:13">
      <c r="M12917" s="690"/>
    </row>
    <row r="12918" spans="13:13">
      <c r="M12918" s="690"/>
    </row>
    <row r="12919" spans="13:13">
      <c r="M12919" s="690"/>
    </row>
    <row r="12920" spans="13:13">
      <c r="M12920" s="690"/>
    </row>
    <row r="12921" spans="13:13">
      <c r="M12921" s="690"/>
    </row>
    <row r="12922" spans="13:13">
      <c r="M12922" s="690"/>
    </row>
    <row r="12923" spans="13:13">
      <c r="M12923" s="690"/>
    </row>
    <row r="12924" spans="13:13">
      <c r="M12924" s="690"/>
    </row>
    <row r="12925" spans="13:13">
      <c r="M12925" s="690"/>
    </row>
    <row r="12926" spans="13:13">
      <c r="M12926" s="690"/>
    </row>
    <row r="12927" spans="13:13">
      <c r="M12927" s="690"/>
    </row>
    <row r="12928" spans="13:13">
      <c r="M12928" s="690"/>
    </row>
    <row r="12929" spans="13:13">
      <c r="M12929" s="690"/>
    </row>
    <row r="12930" spans="13:13">
      <c r="M12930" s="690"/>
    </row>
    <row r="12931" spans="13:13">
      <c r="M12931" s="690"/>
    </row>
    <row r="12932" spans="13:13">
      <c r="M12932" s="690"/>
    </row>
    <row r="12933" spans="13:13">
      <c r="M12933" s="690"/>
    </row>
    <row r="12934" spans="13:13">
      <c r="M12934" s="690"/>
    </row>
    <row r="12935" spans="13:13">
      <c r="M12935" s="690"/>
    </row>
    <row r="12936" spans="13:13">
      <c r="M12936" s="690"/>
    </row>
    <row r="12937" spans="13:13">
      <c r="M12937" s="690"/>
    </row>
    <row r="12938" spans="13:13">
      <c r="M12938" s="690"/>
    </row>
    <row r="12939" spans="13:13">
      <c r="M12939" s="690"/>
    </row>
    <row r="12940" spans="13:13">
      <c r="M12940" s="690"/>
    </row>
    <row r="12941" spans="13:13">
      <c r="M12941" s="690"/>
    </row>
    <row r="12942" spans="13:13">
      <c r="M12942" s="690"/>
    </row>
    <row r="12943" spans="13:13">
      <c r="M12943" s="690"/>
    </row>
    <row r="12944" spans="13:13">
      <c r="M12944" s="690"/>
    </row>
    <row r="12945" spans="13:13">
      <c r="M12945" s="690"/>
    </row>
    <row r="12946" spans="13:13">
      <c r="M12946" s="690"/>
    </row>
    <row r="12947" spans="13:13">
      <c r="M12947" s="690"/>
    </row>
    <row r="12948" spans="13:13">
      <c r="M12948" s="690"/>
    </row>
    <row r="12949" spans="13:13">
      <c r="M12949" s="690"/>
    </row>
    <row r="12950" spans="13:13">
      <c r="M12950" s="690"/>
    </row>
    <row r="12951" spans="13:13">
      <c r="M12951" s="690"/>
    </row>
    <row r="12952" spans="13:13">
      <c r="M12952" s="690"/>
    </row>
    <row r="12953" spans="13:13">
      <c r="M12953" s="690"/>
    </row>
    <row r="12954" spans="13:13">
      <c r="M12954" s="690"/>
    </row>
    <row r="12955" spans="13:13">
      <c r="M12955" s="690"/>
    </row>
    <row r="12956" spans="13:13">
      <c r="M12956" s="690"/>
    </row>
    <row r="12957" spans="13:13">
      <c r="M12957" s="690"/>
    </row>
    <row r="12958" spans="13:13">
      <c r="M12958" s="690"/>
    </row>
    <row r="12959" spans="13:13">
      <c r="M12959" s="690"/>
    </row>
    <row r="12960" spans="13:13">
      <c r="M12960" s="690"/>
    </row>
    <row r="12961" spans="13:13">
      <c r="M12961" s="690"/>
    </row>
    <row r="12962" spans="13:13">
      <c r="M12962" s="690"/>
    </row>
    <row r="12963" spans="13:13">
      <c r="M12963" s="690"/>
    </row>
    <row r="12964" spans="13:13">
      <c r="M12964" s="690"/>
    </row>
    <row r="12965" spans="13:13">
      <c r="M12965" s="690"/>
    </row>
    <row r="12966" spans="13:13">
      <c r="M12966" s="690"/>
    </row>
    <row r="12967" spans="13:13">
      <c r="M12967" s="690"/>
    </row>
    <row r="12968" spans="13:13">
      <c r="M12968" s="690"/>
    </row>
    <row r="12969" spans="13:13">
      <c r="M12969" s="690"/>
    </row>
    <row r="12970" spans="13:13">
      <c r="M12970" s="690"/>
    </row>
    <row r="12971" spans="13:13">
      <c r="M12971" s="690"/>
    </row>
    <row r="12972" spans="13:13">
      <c r="M12972" s="690"/>
    </row>
    <row r="12973" spans="13:13">
      <c r="M12973" s="690"/>
    </row>
    <row r="12974" spans="13:13">
      <c r="M12974" s="690"/>
    </row>
    <row r="12975" spans="13:13">
      <c r="M12975" s="690"/>
    </row>
    <row r="12976" spans="13:13">
      <c r="M12976" s="690"/>
    </row>
    <row r="12977" spans="13:13">
      <c r="M12977" s="690"/>
    </row>
    <row r="12978" spans="13:13">
      <c r="M12978" s="690"/>
    </row>
    <row r="12979" spans="13:13">
      <c r="M12979" s="690"/>
    </row>
    <row r="12980" spans="13:13">
      <c r="M12980" s="690"/>
    </row>
    <row r="12981" spans="13:13">
      <c r="M12981" s="690"/>
    </row>
    <row r="12982" spans="13:13">
      <c r="M12982" s="690"/>
    </row>
    <row r="12983" spans="13:13">
      <c r="M12983" s="690"/>
    </row>
    <row r="12984" spans="13:13">
      <c r="M12984" s="690"/>
    </row>
    <row r="12985" spans="13:13">
      <c r="M12985" s="690"/>
    </row>
    <row r="12986" spans="13:13">
      <c r="M12986" s="690"/>
    </row>
    <row r="12987" spans="13:13">
      <c r="M12987" s="690"/>
    </row>
    <row r="12988" spans="13:13">
      <c r="M12988" s="690"/>
    </row>
    <row r="12989" spans="13:13">
      <c r="M12989" s="690"/>
    </row>
    <row r="12990" spans="13:13">
      <c r="M12990" s="690"/>
    </row>
    <row r="12991" spans="13:13">
      <c r="M12991" s="690"/>
    </row>
    <row r="12992" spans="13:13">
      <c r="M12992" s="690"/>
    </row>
    <row r="12993" spans="13:13">
      <c r="M12993" s="690"/>
    </row>
    <row r="12994" spans="13:13">
      <c r="M12994" s="690"/>
    </row>
    <row r="12995" spans="13:13">
      <c r="M12995" s="690"/>
    </row>
    <row r="12996" spans="13:13">
      <c r="M12996" s="690"/>
    </row>
    <row r="12997" spans="13:13">
      <c r="M12997" s="690"/>
    </row>
    <row r="12998" spans="13:13">
      <c r="M12998" s="690"/>
    </row>
    <row r="12999" spans="13:13">
      <c r="M12999" s="690"/>
    </row>
    <row r="13000" spans="13:13">
      <c r="M13000" s="690"/>
    </row>
    <row r="13001" spans="13:13">
      <c r="M13001" s="690"/>
    </row>
    <row r="13002" spans="13:13">
      <c r="M13002" s="690"/>
    </row>
    <row r="13003" spans="13:13">
      <c r="M13003" s="690"/>
    </row>
    <row r="13004" spans="13:13">
      <c r="M13004" s="690"/>
    </row>
    <row r="13005" spans="13:13">
      <c r="M13005" s="690"/>
    </row>
    <row r="13006" spans="13:13">
      <c r="M13006" s="690"/>
    </row>
    <row r="13007" spans="13:13">
      <c r="M13007" s="690"/>
    </row>
    <row r="13008" spans="13:13">
      <c r="M13008" s="690"/>
    </row>
    <row r="13009" spans="13:13">
      <c r="M13009" s="690"/>
    </row>
    <row r="13010" spans="13:13">
      <c r="M13010" s="690"/>
    </row>
    <row r="13011" spans="13:13">
      <c r="M13011" s="690"/>
    </row>
    <row r="13012" spans="13:13">
      <c r="M13012" s="690"/>
    </row>
    <row r="13013" spans="13:13">
      <c r="M13013" s="690"/>
    </row>
    <row r="13014" spans="13:13">
      <c r="M13014" s="690"/>
    </row>
    <row r="13015" spans="13:13">
      <c r="M13015" s="690"/>
    </row>
    <row r="13016" spans="13:13">
      <c r="M13016" s="690"/>
    </row>
    <row r="13017" spans="13:13">
      <c r="M13017" s="690"/>
    </row>
    <row r="13018" spans="13:13">
      <c r="M13018" s="690"/>
    </row>
    <row r="13019" spans="13:13">
      <c r="M13019" s="690"/>
    </row>
    <row r="13020" spans="13:13">
      <c r="M13020" s="690"/>
    </row>
    <row r="13021" spans="13:13">
      <c r="M13021" s="690"/>
    </row>
    <row r="13022" spans="13:13">
      <c r="M13022" s="690"/>
    </row>
    <row r="13023" spans="13:13">
      <c r="M13023" s="690"/>
    </row>
    <row r="13024" spans="13:13">
      <c r="M13024" s="690"/>
    </row>
    <row r="13025" spans="13:13">
      <c r="M13025" s="690"/>
    </row>
    <row r="13026" spans="13:13">
      <c r="M13026" s="690"/>
    </row>
    <row r="13027" spans="13:13">
      <c r="M13027" s="690"/>
    </row>
    <row r="13028" spans="13:13">
      <c r="M13028" s="690"/>
    </row>
    <row r="13029" spans="13:13">
      <c r="M13029" s="690"/>
    </row>
    <row r="13030" spans="13:13">
      <c r="M13030" s="690"/>
    </row>
    <row r="13031" spans="13:13">
      <c r="M13031" s="690"/>
    </row>
    <row r="13032" spans="13:13">
      <c r="M13032" s="690"/>
    </row>
    <row r="13033" spans="13:13">
      <c r="M13033" s="690"/>
    </row>
    <row r="13034" spans="13:13">
      <c r="M13034" s="690"/>
    </row>
    <row r="13035" spans="13:13">
      <c r="M13035" s="690"/>
    </row>
    <row r="13036" spans="13:13">
      <c r="M13036" s="690"/>
    </row>
    <row r="13037" spans="13:13">
      <c r="M13037" s="690"/>
    </row>
    <row r="13038" spans="13:13">
      <c r="M13038" s="690"/>
    </row>
    <row r="13039" spans="13:13">
      <c r="M13039" s="690"/>
    </row>
    <row r="13040" spans="13:13">
      <c r="M13040" s="690"/>
    </row>
    <row r="13041" spans="13:13">
      <c r="M13041" s="690"/>
    </row>
    <row r="13042" spans="13:13">
      <c r="M13042" s="690"/>
    </row>
    <row r="13043" spans="13:13">
      <c r="M13043" s="690"/>
    </row>
    <row r="13044" spans="13:13">
      <c r="M13044" s="690"/>
    </row>
    <row r="13045" spans="13:13">
      <c r="M13045" s="690"/>
    </row>
    <row r="13046" spans="13:13">
      <c r="M13046" s="690"/>
    </row>
    <row r="13047" spans="13:13">
      <c r="M13047" s="690"/>
    </row>
    <row r="13048" spans="13:13">
      <c r="M13048" s="690"/>
    </row>
    <row r="13049" spans="13:13">
      <c r="M13049" s="690"/>
    </row>
    <row r="13050" spans="13:13">
      <c r="M13050" s="690"/>
    </row>
    <row r="13051" spans="13:13">
      <c r="M13051" s="690"/>
    </row>
    <row r="13052" spans="13:13">
      <c r="M13052" s="690"/>
    </row>
    <row r="13053" spans="13:13">
      <c r="M13053" s="690"/>
    </row>
    <row r="13054" spans="13:13">
      <c r="M13054" s="690"/>
    </row>
    <row r="13055" spans="13:13">
      <c r="M13055" s="690"/>
    </row>
    <row r="13056" spans="13:13">
      <c r="M13056" s="690"/>
    </row>
    <row r="13057" spans="13:13">
      <c r="M13057" s="690"/>
    </row>
    <row r="13058" spans="13:13">
      <c r="M13058" s="690"/>
    </row>
    <row r="13059" spans="13:13">
      <c r="M13059" s="690"/>
    </row>
    <row r="13060" spans="13:13">
      <c r="M13060" s="690"/>
    </row>
    <row r="13061" spans="13:13">
      <c r="M13061" s="690"/>
    </row>
    <row r="13062" spans="13:13">
      <c r="M13062" s="690"/>
    </row>
    <row r="13063" spans="13:13">
      <c r="M13063" s="690"/>
    </row>
    <row r="13064" spans="13:13">
      <c r="M13064" s="690"/>
    </row>
    <row r="13065" spans="13:13">
      <c r="M13065" s="690"/>
    </row>
    <row r="13066" spans="13:13">
      <c r="M13066" s="690"/>
    </row>
    <row r="13067" spans="13:13">
      <c r="M13067" s="690"/>
    </row>
    <row r="13068" spans="13:13">
      <c r="M13068" s="690"/>
    </row>
    <row r="13069" spans="13:13">
      <c r="M13069" s="690"/>
    </row>
    <row r="13070" spans="13:13">
      <c r="M13070" s="690"/>
    </row>
    <row r="13071" spans="13:13">
      <c r="M13071" s="690"/>
    </row>
    <row r="13072" spans="13:13">
      <c r="M13072" s="690"/>
    </row>
    <row r="13073" spans="13:13">
      <c r="M13073" s="690"/>
    </row>
    <row r="13074" spans="13:13">
      <c r="M13074" s="690"/>
    </row>
    <row r="13075" spans="13:13">
      <c r="M13075" s="690"/>
    </row>
    <row r="13076" spans="13:13">
      <c r="M13076" s="690"/>
    </row>
    <row r="13077" spans="13:13">
      <c r="M13077" s="690"/>
    </row>
    <row r="13078" spans="13:13">
      <c r="M13078" s="690"/>
    </row>
    <row r="13079" spans="13:13">
      <c r="M13079" s="690"/>
    </row>
    <row r="13080" spans="13:13">
      <c r="M13080" s="690"/>
    </row>
    <row r="13081" spans="13:13">
      <c r="M13081" s="690"/>
    </row>
    <row r="13082" spans="13:13">
      <c r="M13082" s="690"/>
    </row>
    <row r="13083" spans="13:13">
      <c r="M13083" s="690"/>
    </row>
    <row r="13084" spans="13:13">
      <c r="M13084" s="690"/>
    </row>
    <row r="13085" spans="13:13">
      <c r="M13085" s="690"/>
    </row>
    <row r="13086" spans="13:13">
      <c r="M13086" s="690"/>
    </row>
    <row r="13087" spans="13:13">
      <c r="M13087" s="690"/>
    </row>
    <row r="13088" spans="13:13">
      <c r="M13088" s="690"/>
    </row>
    <row r="13089" spans="13:13">
      <c r="M13089" s="690"/>
    </row>
    <row r="13090" spans="13:13">
      <c r="M13090" s="690"/>
    </row>
    <row r="13091" spans="13:13">
      <c r="M13091" s="690"/>
    </row>
    <row r="13092" spans="13:13">
      <c r="M13092" s="690"/>
    </row>
    <row r="13093" spans="13:13">
      <c r="M13093" s="690"/>
    </row>
    <row r="13094" spans="13:13">
      <c r="M13094" s="690"/>
    </row>
    <row r="13095" spans="13:13">
      <c r="M13095" s="690"/>
    </row>
    <row r="13096" spans="13:13">
      <c r="M13096" s="690"/>
    </row>
    <row r="13097" spans="13:13">
      <c r="M13097" s="690"/>
    </row>
    <row r="13098" spans="13:13">
      <c r="M13098" s="690"/>
    </row>
    <row r="13099" spans="13:13">
      <c r="M13099" s="690"/>
    </row>
    <row r="13100" spans="13:13">
      <c r="M13100" s="690"/>
    </row>
    <row r="13101" spans="13:13">
      <c r="M13101" s="690"/>
    </row>
    <row r="13102" spans="13:13">
      <c r="M13102" s="690"/>
    </row>
    <row r="13103" spans="13:13">
      <c r="M13103" s="690"/>
    </row>
    <row r="13104" spans="13:13">
      <c r="M13104" s="690"/>
    </row>
    <row r="13105" spans="13:13">
      <c r="M13105" s="690"/>
    </row>
    <row r="13106" spans="13:13">
      <c r="M13106" s="690"/>
    </row>
    <row r="13107" spans="13:13">
      <c r="M13107" s="690"/>
    </row>
    <row r="13108" spans="13:13">
      <c r="M13108" s="690"/>
    </row>
    <row r="13109" spans="13:13">
      <c r="M13109" s="690"/>
    </row>
    <row r="13110" spans="13:13">
      <c r="M13110" s="690"/>
    </row>
    <row r="13111" spans="13:13">
      <c r="M13111" s="690"/>
    </row>
    <row r="13112" spans="13:13">
      <c r="M13112" s="690"/>
    </row>
    <row r="13113" spans="13:13">
      <c r="M13113" s="690"/>
    </row>
    <row r="13114" spans="13:13">
      <c r="M13114" s="690"/>
    </row>
    <row r="13115" spans="13:13">
      <c r="M13115" s="690"/>
    </row>
    <row r="13116" spans="13:13">
      <c r="M13116" s="690"/>
    </row>
    <row r="13117" spans="13:13">
      <c r="M13117" s="690"/>
    </row>
    <row r="13118" spans="13:13">
      <c r="M13118" s="690"/>
    </row>
    <row r="13119" spans="13:13">
      <c r="M13119" s="690"/>
    </row>
    <row r="13120" spans="13:13">
      <c r="M13120" s="690"/>
    </row>
    <row r="13121" spans="13:13">
      <c r="M13121" s="690"/>
    </row>
    <row r="13122" spans="13:13">
      <c r="M13122" s="690"/>
    </row>
    <row r="13123" spans="13:13">
      <c r="M13123" s="690"/>
    </row>
    <row r="13124" spans="13:13">
      <c r="M13124" s="690"/>
    </row>
    <row r="13125" spans="13:13">
      <c r="M13125" s="690"/>
    </row>
    <row r="13126" spans="13:13">
      <c r="M13126" s="690"/>
    </row>
    <row r="13127" spans="13:13">
      <c r="M13127" s="690"/>
    </row>
    <row r="13128" spans="13:13">
      <c r="M13128" s="690"/>
    </row>
    <row r="13129" spans="13:13">
      <c r="M13129" s="690"/>
    </row>
    <row r="13130" spans="13:13">
      <c r="M13130" s="690"/>
    </row>
    <row r="13131" spans="13:13">
      <c r="M13131" s="690"/>
    </row>
    <row r="13132" spans="13:13">
      <c r="M13132" s="690"/>
    </row>
    <row r="13133" spans="13:13">
      <c r="M13133" s="690"/>
    </row>
    <row r="13134" spans="13:13">
      <c r="M13134" s="690"/>
    </row>
    <row r="13135" spans="13:13">
      <c r="M13135" s="690"/>
    </row>
    <row r="13136" spans="13:13">
      <c r="M13136" s="690"/>
    </row>
    <row r="13137" spans="13:13">
      <c r="M13137" s="690"/>
    </row>
    <row r="13138" spans="13:13">
      <c r="M13138" s="690"/>
    </row>
    <row r="13139" spans="13:13">
      <c r="M13139" s="690"/>
    </row>
    <row r="13140" spans="13:13">
      <c r="M13140" s="690"/>
    </row>
    <row r="13141" spans="13:13">
      <c r="M13141" s="690"/>
    </row>
    <row r="13142" spans="13:13">
      <c r="M13142" s="690"/>
    </row>
    <row r="13143" spans="13:13">
      <c r="M13143" s="690"/>
    </row>
    <row r="13144" spans="13:13">
      <c r="M13144" s="690"/>
    </row>
    <row r="13145" spans="13:13">
      <c r="M13145" s="690"/>
    </row>
    <row r="13146" spans="13:13">
      <c r="M13146" s="690"/>
    </row>
    <row r="13147" spans="13:13">
      <c r="M13147" s="690"/>
    </row>
    <row r="13148" spans="13:13">
      <c r="M13148" s="690"/>
    </row>
    <row r="13149" spans="13:13">
      <c r="M13149" s="690"/>
    </row>
    <row r="13150" spans="13:13">
      <c r="M13150" s="690"/>
    </row>
    <row r="13151" spans="13:13">
      <c r="M13151" s="690"/>
    </row>
    <row r="13152" spans="13:13">
      <c r="M13152" s="690"/>
    </row>
    <row r="13153" spans="13:13">
      <c r="M13153" s="690"/>
    </row>
    <row r="13154" spans="13:13">
      <c r="M13154" s="690"/>
    </row>
    <row r="13155" spans="13:13">
      <c r="M13155" s="690"/>
    </row>
    <row r="13156" spans="13:13">
      <c r="M13156" s="690"/>
    </row>
    <row r="13157" spans="13:13">
      <c r="M13157" s="690"/>
    </row>
    <row r="13158" spans="13:13">
      <c r="M13158" s="690"/>
    </row>
    <row r="13159" spans="13:13">
      <c r="M13159" s="690"/>
    </row>
    <row r="13160" spans="13:13">
      <c r="M13160" s="690"/>
    </row>
    <row r="13161" spans="13:13">
      <c r="M13161" s="690"/>
    </row>
    <row r="13162" spans="13:13">
      <c r="M13162" s="690"/>
    </row>
    <row r="13163" spans="13:13">
      <c r="M13163" s="690"/>
    </row>
    <row r="13164" spans="13:13">
      <c r="M13164" s="690"/>
    </row>
    <row r="13165" spans="13:13">
      <c r="M13165" s="690"/>
    </row>
    <row r="13166" spans="13:13">
      <c r="M13166" s="690"/>
    </row>
    <row r="13167" spans="13:13">
      <c r="M13167" s="690"/>
    </row>
    <row r="13168" spans="13:13">
      <c r="M13168" s="690"/>
    </row>
    <row r="13169" spans="13:13">
      <c r="M13169" s="690"/>
    </row>
    <row r="13170" spans="13:13">
      <c r="M13170" s="690"/>
    </row>
    <row r="13171" spans="13:13">
      <c r="M13171" s="690"/>
    </row>
    <row r="13172" spans="13:13">
      <c r="M13172" s="690"/>
    </row>
    <row r="13173" spans="13:13">
      <c r="M13173" s="690"/>
    </row>
    <row r="13174" spans="13:13">
      <c r="M13174" s="690"/>
    </row>
    <row r="13175" spans="13:13">
      <c r="M13175" s="690"/>
    </row>
    <row r="13176" spans="13:13">
      <c r="M13176" s="690"/>
    </row>
    <row r="13177" spans="13:13">
      <c r="M13177" s="690"/>
    </row>
    <row r="13178" spans="13:13">
      <c r="M13178" s="690"/>
    </row>
    <row r="13179" spans="13:13">
      <c r="M13179" s="690"/>
    </row>
    <row r="13180" spans="13:13">
      <c r="M13180" s="690"/>
    </row>
    <row r="13181" spans="13:13">
      <c r="M13181" s="690"/>
    </row>
    <row r="13182" spans="13:13">
      <c r="M13182" s="690"/>
    </row>
    <row r="13183" spans="13:13">
      <c r="M13183" s="690"/>
    </row>
    <row r="13184" spans="13:13">
      <c r="M13184" s="690"/>
    </row>
    <row r="13185" spans="13:13">
      <c r="M13185" s="690"/>
    </row>
    <row r="13186" spans="13:13">
      <c r="M13186" s="690"/>
    </row>
    <row r="13187" spans="13:13">
      <c r="M13187" s="690"/>
    </row>
    <row r="13188" spans="13:13">
      <c r="M13188" s="690"/>
    </row>
    <row r="13189" spans="13:13">
      <c r="M13189" s="690"/>
    </row>
    <row r="13190" spans="13:13">
      <c r="M13190" s="690"/>
    </row>
    <row r="13191" spans="13:13">
      <c r="M13191" s="690"/>
    </row>
    <row r="13192" spans="13:13">
      <c r="M13192" s="690"/>
    </row>
    <row r="13193" spans="13:13">
      <c r="M13193" s="690"/>
    </row>
    <row r="13194" spans="13:13">
      <c r="M13194" s="690"/>
    </row>
    <row r="13195" spans="13:13">
      <c r="M13195" s="690"/>
    </row>
    <row r="13196" spans="13:13">
      <c r="M13196" s="690"/>
    </row>
    <row r="13197" spans="13:13">
      <c r="M13197" s="690"/>
    </row>
    <row r="13198" spans="13:13">
      <c r="M13198" s="690"/>
    </row>
    <row r="13199" spans="13:13">
      <c r="M13199" s="690"/>
    </row>
    <row r="13200" spans="13:13">
      <c r="M13200" s="690"/>
    </row>
    <row r="13201" spans="13:13">
      <c r="M13201" s="690"/>
    </row>
    <row r="13202" spans="13:13">
      <c r="M13202" s="690"/>
    </row>
    <row r="13203" spans="13:13">
      <c r="M13203" s="690"/>
    </row>
    <row r="13204" spans="13:13">
      <c r="M13204" s="690"/>
    </row>
    <row r="13205" spans="13:13">
      <c r="M13205" s="690"/>
    </row>
    <row r="13206" spans="13:13">
      <c r="M13206" s="690"/>
    </row>
    <row r="13207" spans="13:13">
      <c r="M13207" s="690"/>
    </row>
    <row r="13208" spans="13:13">
      <c r="M13208" s="690"/>
    </row>
    <row r="13209" spans="13:13">
      <c r="M13209" s="690"/>
    </row>
    <row r="13210" spans="13:13">
      <c r="M13210" s="690"/>
    </row>
    <row r="13211" spans="13:13">
      <c r="M13211" s="690"/>
    </row>
    <row r="13212" spans="13:13">
      <c r="M13212" s="690"/>
    </row>
    <row r="13213" spans="13:13">
      <c r="M13213" s="690"/>
    </row>
    <row r="13214" spans="13:13">
      <c r="M13214" s="690"/>
    </row>
    <row r="13215" spans="13:13">
      <c r="M13215" s="690"/>
    </row>
    <row r="13216" spans="13:13">
      <c r="M13216" s="690"/>
    </row>
    <row r="13217" spans="13:13">
      <c r="M13217" s="690"/>
    </row>
    <row r="13218" spans="13:13">
      <c r="M13218" s="690"/>
    </row>
    <row r="13219" spans="13:13">
      <c r="M13219" s="690"/>
    </row>
    <row r="13220" spans="13:13">
      <c r="M13220" s="690"/>
    </row>
    <row r="13221" spans="13:13">
      <c r="M13221" s="690"/>
    </row>
    <row r="13222" spans="13:13">
      <c r="M13222" s="690"/>
    </row>
    <row r="13223" spans="13:13">
      <c r="M13223" s="690"/>
    </row>
    <row r="13224" spans="13:13">
      <c r="M13224" s="690"/>
    </row>
    <row r="13225" spans="13:13">
      <c r="M13225" s="690"/>
    </row>
    <row r="13226" spans="13:13">
      <c r="M13226" s="690"/>
    </row>
    <row r="13227" spans="13:13">
      <c r="M13227" s="690"/>
    </row>
    <row r="13228" spans="13:13">
      <c r="M13228" s="690"/>
    </row>
    <row r="13229" spans="13:13">
      <c r="M13229" s="690"/>
    </row>
    <row r="13230" spans="13:13">
      <c r="M13230" s="690"/>
    </row>
    <row r="13231" spans="13:13">
      <c r="M13231" s="690"/>
    </row>
    <row r="13232" spans="13:13">
      <c r="M13232" s="690"/>
    </row>
    <row r="13233" spans="13:13">
      <c r="M13233" s="690"/>
    </row>
    <row r="13234" spans="13:13">
      <c r="M13234" s="690"/>
    </row>
    <row r="13235" spans="13:13">
      <c r="M13235" s="690"/>
    </row>
    <row r="13236" spans="13:13">
      <c r="M13236" s="690"/>
    </row>
    <row r="13237" spans="13:13">
      <c r="M13237" s="690"/>
    </row>
    <row r="13238" spans="13:13">
      <c r="M13238" s="690"/>
    </row>
    <row r="13239" spans="13:13">
      <c r="M13239" s="690"/>
    </row>
    <row r="13240" spans="13:13">
      <c r="M13240" s="690"/>
    </row>
    <row r="13241" spans="13:13">
      <c r="M13241" s="690"/>
    </row>
    <row r="13242" spans="13:13">
      <c r="M13242" s="690"/>
    </row>
    <row r="13243" spans="13:13">
      <c r="M13243" s="690"/>
    </row>
    <row r="13244" spans="13:13">
      <c r="M13244" s="690"/>
    </row>
    <row r="13245" spans="13:13">
      <c r="M13245" s="690"/>
    </row>
    <row r="13246" spans="13:13">
      <c r="M13246" s="690"/>
    </row>
    <row r="13247" spans="13:13">
      <c r="M13247" s="690"/>
    </row>
    <row r="13248" spans="13:13">
      <c r="M13248" s="690"/>
    </row>
    <row r="13249" spans="13:13">
      <c r="M13249" s="690"/>
    </row>
    <row r="13250" spans="13:13">
      <c r="M13250" s="690"/>
    </row>
    <row r="13251" spans="13:13">
      <c r="M13251" s="690"/>
    </row>
    <row r="13252" spans="13:13">
      <c r="M13252" s="690"/>
    </row>
    <row r="13253" spans="13:13">
      <c r="M13253" s="690"/>
    </row>
    <row r="13254" spans="13:13">
      <c r="M13254" s="690"/>
    </row>
    <row r="13255" spans="13:13">
      <c r="M13255" s="690"/>
    </row>
    <row r="13256" spans="13:13">
      <c r="M13256" s="690"/>
    </row>
    <row r="13257" spans="13:13">
      <c r="M13257" s="690"/>
    </row>
    <row r="13258" spans="13:13">
      <c r="M13258" s="690"/>
    </row>
    <row r="13259" spans="13:13">
      <c r="M13259" s="690"/>
    </row>
    <row r="13260" spans="13:13">
      <c r="M13260" s="690"/>
    </row>
    <row r="13261" spans="13:13">
      <c r="M13261" s="690"/>
    </row>
    <row r="13262" spans="13:13">
      <c r="M13262" s="690"/>
    </row>
    <row r="13263" spans="13:13">
      <c r="M13263" s="690"/>
    </row>
    <row r="13264" spans="13:13">
      <c r="M13264" s="690"/>
    </row>
    <row r="13265" spans="13:13">
      <c r="M13265" s="690"/>
    </row>
    <row r="13266" spans="13:13">
      <c r="M13266" s="690"/>
    </row>
    <row r="13267" spans="13:13">
      <c r="M13267" s="690"/>
    </row>
    <row r="13268" spans="13:13">
      <c r="M13268" s="690"/>
    </row>
    <row r="13269" spans="13:13">
      <c r="M13269" s="690"/>
    </row>
    <row r="13270" spans="13:13">
      <c r="M13270" s="690"/>
    </row>
    <row r="13271" spans="13:13">
      <c r="M13271" s="690"/>
    </row>
    <row r="13272" spans="13:13">
      <c r="M13272" s="690"/>
    </row>
    <row r="13273" spans="13:13">
      <c r="M13273" s="690"/>
    </row>
    <row r="13274" spans="13:13">
      <c r="M13274" s="690"/>
    </row>
    <row r="13275" spans="13:13">
      <c r="M13275" s="690"/>
    </row>
    <row r="13276" spans="13:13">
      <c r="M13276" s="690"/>
    </row>
    <row r="13277" spans="13:13">
      <c r="M13277" s="690"/>
    </row>
    <row r="13278" spans="13:13">
      <c r="M13278" s="690"/>
    </row>
    <row r="13279" spans="13:13">
      <c r="M13279" s="690"/>
    </row>
    <row r="13280" spans="13:13">
      <c r="M13280" s="690"/>
    </row>
    <row r="13281" spans="13:13">
      <c r="M13281" s="690"/>
    </row>
    <row r="13282" spans="13:13">
      <c r="M13282" s="690"/>
    </row>
    <row r="13283" spans="13:13">
      <c r="M13283" s="690"/>
    </row>
    <row r="13284" spans="13:13">
      <c r="M13284" s="690"/>
    </row>
    <row r="13285" spans="13:13">
      <c r="M13285" s="690"/>
    </row>
    <row r="13286" spans="13:13">
      <c r="M13286" s="690"/>
    </row>
    <row r="13287" spans="13:13">
      <c r="M13287" s="690"/>
    </row>
    <row r="13288" spans="13:13">
      <c r="M13288" s="690"/>
    </row>
    <row r="13289" spans="13:13">
      <c r="M13289" s="690"/>
    </row>
    <row r="13290" spans="13:13">
      <c r="M13290" s="690"/>
    </row>
    <row r="13291" spans="13:13">
      <c r="M13291" s="690"/>
    </row>
    <row r="13292" spans="13:13">
      <c r="M13292" s="690"/>
    </row>
    <row r="13293" spans="13:13">
      <c r="M13293" s="690"/>
    </row>
    <row r="13294" spans="13:13">
      <c r="M13294" s="690"/>
    </row>
    <row r="13295" spans="13:13">
      <c r="M13295" s="690"/>
    </row>
    <row r="13296" spans="13:13">
      <c r="M13296" s="690"/>
    </row>
    <row r="13297" spans="13:13">
      <c r="M13297" s="690"/>
    </row>
    <row r="13298" spans="13:13">
      <c r="M13298" s="690"/>
    </row>
    <row r="13299" spans="13:13">
      <c r="M13299" s="690"/>
    </row>
    <row r="13300" spans="13:13">
      <c r="M13300" s="690"/>
    </row>
    <row r="13301" spans="13:13">
      <c r="M13301" s="690"/>
    </row>
    <row r="13302" spans="13:13">
      <c r="M13302" s="690"/>
    </row>
    <row r="13303" spans="13:13">
      <c r="M13303" s="690"/>
    </row>
    <row r="13304" spans="13:13">
      <c r="M13304" s="690"/>
    </row>
    <row r="13305" spans="13:13">
      <c r="M13305" s="690"/>
    </row>
    <row r="13306" spans="13:13">
      <c r="M13306" s="690"/>
    </row>
    <row r="13307" spans="13:13">
      <c r="M13307" s="690"/>
    </row>
    <row r="13308" spans="13:13">
      <c r="M13308" s="690"/>
    </row>
    <row r="13309" spans="13:13">
      <c r="M13309" s="690"/>
    </row>
    <row r="13310" spans="13:13">
      <c r="M13310" s="690"/>
    </row>
    <row r="13311" spans="13:13">
      <c r="M13311" s="690"/>
    </row>
    <row r="13312" spans="13:13">
      <c r="M13312" s="690"/>
    </row>
    <row r="13313" spans="13:13">
      <c r="M13313" s="690"/>
    </row>
    <row r="13314" spans="13:13">
      <c r="M13314" s="690"/>
    </row>
    <row r="13315" spans="13:13">
      <c r="M13315" s="690"/>
    </row>
    <row r="13316" spans="13:13">
      <c r="M13316" s="690"/>
    </row>
    <row r="13317" spans="13:13">
      <c r="M13317" s="690"/>
    </row>
    <row r="13318" spans="13:13">
      <c r="M13318" s="690"/>
    </row>
    <row r="13319" spans="13:13">
      <c r="M13319" s="690"/>
    </row>
    <row r="13320" spans="13:13">
      <c r="M13320" s="690"/>
    </row>
    <row r="13321" spans="13:13">
      <c r="M13321" s="690"/>
    </row>
    <row r="13322" spans="13:13">
      <c r="M13322" s="690"/>
    </row>
    <row r="13323" spans="13:13">
      <c r="M13323" s="690"/>
    </row>
    <row r="13324" spans="13:13">
      <c r="M13324" s="690"/>
    </row>
    <row r="13325" spans="13:13">
      <c r="M13325" s="690"/>
    </row>
    <row r="13326" spans="13:13">
      <c r="M13326" s="690"/>
    </row>
    <row r="13327" spans="13:13">
      <c r="M13327" s="690"/>
    </row>
    <row r="13328" spans="13:13">
      <c r="M13328" s="690"/>
    </row>
    <row r="13329" spans="13:13">
      <c r="M13329" s="690"/>
    </row>
    <row r="13330" spans="13:13">
      <c r="M13330" s="690"/>
    </row>
    <row r="13331" spans="13:13">
      <c r="M13331" s="690"/>
    </row>
    <row r="13332" spans="13:13">
      <c r="M13332" s="690"/>
    </row>
    <row r="13333" spans="13:13">
      <c r="M13333" s="690"/>
    </row>
    <row r="13334" spans="13:13">
      <c r="M13334" s="690"/>
    </row>
    <row r="13335" spans="13:13">
      <c r="M13335" s="690"/>
    </row>
    <row r="13336" spans="13:13">
      <c r="M13336" s="690"/>
    </row>
    <row r="13337" spans="13:13">
      <c r="M13337" s="690"/>
    </row>
    <row r="13338" spans="13:13">
      <c r="M13338" s="690"/>
    </row>
    <row r="13339" spans="13:13">
      <c r="M13339" s="690"/>
    </row>
    <row r="13340" spans="13:13">
      <c r="M13340" s="690"/>
    </row>
    <row r="13341" spans="13:13">
      <c r="M13341" s="690"/>
    </row>
    <row r="13342" spans="13:13">
      <c r="M13342" s="690"/>
    </row>
    <row r="13343" spans="13:13">
      <c r="M13343" s="690"/>
    </row>
    <row r="13344" spans="13:13">
      <c r="M13344" s="690"/>
    </row>
    <row r="13345" spans="13:13">
      <c r="M13345" s="690"/>
    </row>
    <row r="13346" spans="13:13">
      <c r="M13346" s="690"/>
    </row>
    <row r="13347" spans="13:13">
      <c r="M13347" s="690"/>
    </row>
    <row r="13348" spans="13:13">
      <c r="M13348" s="690"/>
    </row>
    <row r="13349" spans="13:13">
      <c r="M13349" s="690"/>
    </row>
    <row r="13350" spans="13:13">
      <c r="M13350" s="690"/>
    </row>
    <row r="13351" spans="13:13">
      <c r="M13351" s="690"/>
    </row>
    <row r="13352" spans="13:13">
      <c r="M13352" s="690"/>
    </row>
    <row r="13353" spans="13:13">
      <c r="M13353" s="690"/>
    </row>
    <row r="13354" spans="13:13">
      <c r="M13354" s="690"/>
    </row>
    <row r="13355" spans="13:13">
      <c r="M13355" s="690"/>
    </row>
    <row r="13356" spans="13:13">
      <c r="M13356" s="690"/>
    </row>
    <row r="13357" spans="13:13">
      <c r="M13357" s="690"/>
    </row>
    <row r="13358" spans="13:13">
      <c r="M13358" s="690"/>
    </row>
    <row r="13359" spans="13:13">
      <c r="M13359" s="690"/>
    </row>
    <row r="13360" spans="13:13">
      <c r="M13360" s="690"/>
    </row>
    <row r="13361" spans="13:13">
      <c r="M13361" s="690"/>
    </row>
    <row r="13362" spans="13:13">
      <c r="M13362" s="690"/>
    </row>
    <row r="13363" spans="13:13">
      <c r="M13363" s="690"/>
    </row>
    <row r="13364" spans="13:13">
      <c r="M13364" s="690"/>
    </row>
    <row r="13365" spans="13:13">
      <c r="M13365" s="690"/>
    </row>
    <row r="13366" spans="13:13">
      <c r="M13366" s="690"/>
    </row>
    <row r="13367" spans="13:13">
      <c r="M13367" s="690"/>
    </row>
    <row r="13368" spans="13:13">
      <c r="M13368" s="690"/>
    </row>
    <row r="13369" spans="13:13">
      <c r="M13369" s="690"/>
    </row>
    <row r="13370" spans="13:13">
      <c r="M13370" s="690"/>
    </row>
    <row r="13371" spans="13:13">
      <c r="M13371" s="690"/>
    </row>
    <row r="13372" spans="13:13">
      <c r="M13372" s="690"/>
    </row>
    <row r="13373" spans="13:13">
      <c r="M13373" s="690"/>
    </row>
    <row r="13374" spans="13:13">
      <c r="M13374" s="690"/>
    </row>
    <row r="13375" spans="13:13">
      <c r="M13375" s="690"/>
    </row>
    <row r="13376" spans="13:13">
      <c r="M13376" s="690"/>
    </row>
    <row r="13377" spans="13:13">
      <c r="M13377" s="690"/>
    </row>
    <row r="13378" spans="13:13">
      <c r="M13378" s="690"/>
    </row>
    <row r="13379" spans="13:13">
      <c r="M13379" s="690"/>
    </row>
    <row r="13380" spans="13:13">
      <c r="M13380" s="690"/>
    </row>
    <row r="13381" spans="13:13">
      <c r="M13381" s="690"/>
    </row>
    <row r="13382" spans="13:13">
      <c r="M13382" s="690"/>
    </row>
    <row r="13383" spans="13:13">
      <c r="M13383" s="690"/>
    </row>
    <row r="13384" spans="13:13">
      <c r="M13384" s="690"/>
    </row>
    <row r="13385" spans="13:13">
      <c r="M13385" s="690"/>
    </row>
    <row r="13386" spans="13:13">
      <c r="M13386" s="690"/>
    </row>
    <row r="13387" spans="13:13">
      <c r="M13387" s="690"/>
    </row>
    <row r="13388" spans="13:13">
      <c r="M13388" s="690"/>
    </row>
    <row r="13389" spans="13:13">
      <c r="M13389" s="690"/>
    </row>
    <row r="13390" spans="13:13">
      <c r="M13390" s="690"/>
    </row>
    <row r="13391" spans="13:13">
      <c r="M13391" s="690"/>
    </row>
    <row r="13392" spans="13:13">
      <c r="M13392" s="690"/>
    </row>
    <row r="13393" spans="13:13">
      <c r="M13393" s="690"/>
    </row>
    <row r="13394" spans="13:13">
      <c r="M13394" s="690"/>
    </row>
    <row r="13395" spans="13:13">
      <c r="M13395" s="690"/>
    </row>
    <row r="13396" spans="13:13">
      <c r="M13396" s="690"/>
    </row>
    <row r="13397" spans="13:13">
      <c r="M13397" s="690"/>
    </row>
    <row r="13398" spans="13:13">
      <c r="M13398" s="690"/>
    </row>
    <row r="13399" spans="13:13">
      <c r="M13399" s="690"/>
    </row>
    <row r="13400" spans="13:13">
      <c r="M13400" s="690"/>
    </row>
    <row r="13401" spans="13:13">
      <c r="M13401" s="690"/>
    </row>
    <row r="13402" spans="13:13">
      <c r="M13402" s="690"/>
    </row>
    <row r="13403" spans="13:13">
      <c r="M13403" s="690"/>
    </row>
    <row r="13404" spans="13:13">
      <c r="M13404" s="690"/>
    </row>
    <row r="13405" spans="13:13">
      <c r="M13405" s="690"/>
    </row>
    <row r="13406" spans="13:13">
      <c r="M13406" s="690"/>
    </row>
    <row r="13407" spans="13:13">
      <c r="M13407" s="690"/>
    </row>
    <row r="13408" spans="13:13">
      <c r="M13408" s="690"/>
    </row>
    <row r="13409" spans="13:13">
      <c r="M13409" s="690"/>
    </row>
    <row r="13410" spans="13:13">
      <c r="M13410" s="690"/>
    </row>
    <row r="13411" spans="13:13">
      <c r="M13411" s="690"/>
    </row>
    <row r="13412" spans="13:13">
      <c r="M13412" s="690"/>
    </row>
    <row r="13413" spans="13:13">
      <c r="M13413" s="690"/>
    </row>
    <row r="13414" spans="13:13">
      <c r="M13414" s="690"/>
    </row>
    <row r="13415" spans="13:13">
      <c r="M13415" s="690"/>
    </row>
    <row r="13416" spans="13:13">
      <c r="M13416" s="690"/>
    </row>
    <row r="13417" spans="13:13">
      <c r="M13417" s="690"/>
    </row>
    <row r="13418" spans="13:13">
      <c r="M13418" s="690"/>
    </row>
    <row r="13419" spans="13:13">
      <c r="M13419" s="690"/>
    </row>
    <row r="13420" spans="13:13">
      <c r="M13420" s="690"/>
    </row>
    <row r="13421" spans="13:13">
      <c r="M13421" s="690"/>
    </row>
    <row r="13422" spans="13:13">
      <c r="M13422" s="690"/>
    </row>
    <row r="13423" spans="13:13">
      <c r="M13423" s="690"/>
    </row>
    <row r="13424" spans="13:13">
      <c r="M13424" s="690"/>
    </row>
    <row r="13425" spans="13:13">
      <c r="M13425" s="690"/>
    </row>
    <row r="13426" spans="13:13">
      <c r="M13426" s="690"/>
    </row>
    <row r="13427" spans="13:13">
      <c r="M13427" s="690"/>
    </row>
    <row r="13428" spans="13:13">
      <c r="M13428" s="690"/>
    </row>
    <row r="13429" spans="13:13">
      <c r="M13429" s="690"/>
    </row>
    <row r="13430" spans="13:13">
      <c r="M13430" s="690"/>
    </row>
    <row r="13431" spans="13:13">
      <c r="M13431" s="690"/>
    </row>
    <row r="13432" spans="13:13">
      <c r="M13432" s="690"/>
    </row>
    <row r="13433" spans="13:13">
      <c r="M13433" s="690"/>
    </row>
    <row r="13434" spans="13:13">
      <c r="M13434" s="690"/>
    </row>
    <row r="13435" spans="13:13">
      <c r="M13435" s="690"/>
    </row>
    <row r="13436" spans="13:13">
      <c r="M13436" s="690"/>
    </row>
    <row r="13437" spans="13:13">
      <c r="M13437" s="690"/>
    </row>
    <row r="13438" spans="13:13">
      <c r="M13438" s="690"/>
    </row>
    <row r="13439" spans="13:13">
      <c r="M13439" s="690"/>
    </row>
    <row r="13440" spans="13:13">
      <c r="M13440" s="690"/>
    </row>
    <row r="13441" spans="13:13">
      <c r="M13441" s="690"/>
    </row>
    <row r="13442" spans="13:13">
      <c r="M13442" s="690"/>
    </row>
    <row r="13443" spans="13:13">
      <c r="M13443" s="690"/>
    </row>
    <row r="13444" spans="13:13">
      <c r="M13444" s="690"/>
    </row>
    <row r="13445" spans="13:13">
      <c r="M13445" s="690"/>
    </row>
    <row r="13446" spans="13:13">
      <c r="M13446" s="690"/>
    </row>
    <row r="13447" spans="13:13">
      <c r="M13447" s="690"/>
    </row>
    <row r="13448" spans="13:13">
      <c r="M13448" s="690"/>
    </row>
    <row r="13449" spans="13:13">
      <c r="M13449" s="690"/>
    </row>
    <row r="13450" spans="13:13">
      <c r="M13450" s="690"/>
    </row>
    <row r="13451" spans="13:13">
      <c r="M13451" s="690"/>
    </row>
    <row r="13452" spans="13:13">
      <c r="M13452" s="690"/>
    </row>
    <row r="13453" spans="13:13">
      <c r="M13453" s="690"/>
    </row>
    <row r="13454" spans="13:13">
      <c r="M13454" s="690"/>
    </row>
    <row r="13455" spans="13:13">
      <c r="M13455" s="690"/>
    </row>
    <row r="13456" spans="13:13">
      <c r="M13456" s="690"/>
    </row>
    <row r="13457" spans="13:13">
      <c r="M13457" s="690"/>
    </row>
    <row r="13458" spans="13:13">
      <c r="M13458" s="690"/>
    </row>
    <row r="13459" spans="13:13">
      <c r="M13459" s="690"/>
    </row>
    <row r="13460" spans="13:13">
      <c r="M13460" s="690"/>
    </row>
    <row r="13461" spans="13:13">
      <c r="M13461" s="690"/>
    </row>
    <row r="13462" spans="13:13">
      <c r="M13462" s="690"/>
    </row>
    <row r="13463" spans="13:13">
      <c r="M13463" s="690"/>
    </row>
    <row r="13464" spans="13:13">
      <c r="M13464" s="690"/>
    </row>
    <row r="13465" spans="13:13">
      <c r="M13465" s="690"/>
    </row>
    <row r="13466" spans="13:13">
      <c r="M13466" s="690"/>
    </row>
    <row r="13467" spans="13:13">
      <c r="M13467" s="690"/>
    </row>
    <row r="13468" spans="13:13">
      <c r="M13468" s="690"/>
    </row>
    <row r="13469" spans="13:13">
      <c r="M13469" s="690"/>
    </row>
    <row r="13470" spans="13:13">
      <c r="M13470" s="690"/>
    </row>
    <row r="13471" spans="13:13">
      <c r="M13471" s="690"/>
    </row>
    <row r="13472" spans="13:13">
      <c r="M13472" s="690"/>
    </row>
    <row r="13473" spans="13:13">
      <c r="M13473" s="690"/>
    </row>
    <row r="13474" spans="13:13">
      <c r="M13474" s="690"/>
    </row>
    <row r="13475" spans="13:13">
      <c r="M13475" s="690"/>
    </row>
    <row r="13476" spans="13:13">
      <c r="M13476" s="690"/>
    </row>
    <row r="13477" spans="13:13">
      <c r="M13477" s="690"/>
    </row>
    <row r="13478" spans="13:13">
      <c r="M13478" s="690"/>
    </row>
    <row r="13479" spans="13:13">
      <c r="M13479" s="690"/>
    </row>
    <row r="13480" spans="13:13">
      <c r="M13480" s="690"/>
    </row>
    <row r="13481" spans="13:13">
      <c r="M13481" s="690"/>
    </row>
    <row r="13482" spans="13:13">
      <c r="M13482" s="690"/>
    </row>
    <row r="13483" spans="13:13">
      <c r="M13483" s="690"/>
    </row>
    <row r="13484" spans="13:13">
      <c r="M13484" s="690"/>
    </row>
    <row r="13485" spans="13:13">
      <c r="M13485" s="690"/>
    </row>
    <row r="13486" spans="13:13">
      <c r="M13486" s="690"/>
    </row>
    <row r="13487" spans="13:13">
      <c r="M13487" s="690"/>
    </row>
    <row r="13488" spans="13:13">
      <c r="M13488" s="690"/>
    </row>
    <row r="13489" spans="13:13">
      <c r="M13489" s="690"/>
    </row>
    <row r="13490" spans="13:13">
      <c r="M13490" s="690"/>
    </row>
    <row r="13491" spans="13:13">
      <c r="M13491" s="690"/>
    </row>
    <row r="13492" spans="13:13">
      <c r="M13492" s="690"/>
    </row>
    <row r="13493" spans="13:13">
      <c r="M13493" s="690"/>
    </row>
    <row r="13494" spans="13:13">
      <c r="M13494" s="690"/>
    </row>
    <row r="13495" spans="13:13">
      <c r="M13495" s="690"/>
    </row>
    <row r="13496" spans="13:13">
      <c r="M13496" s="690"/>
    </row>
    <row r="13497" spans="13:13">
      <c r="M13497" s="690"/>
    </row>
    <row r="13498" spans="13:13">
      <c r="M13498" s="690"/>
    </row>
    <row r="13499" spans="13:13">
      <c r="M13499" s="690"/>
    </row>
    <row r="13500" spans="13:13">
      <c r="M13500" s="690"/>
    </row>
    <row r="13501" spans="13:13">
      <c r="M13501" s="690"/>
    </row>
    <row r="13502" spans="13:13">
      <c r="M13502" s="690"/>
    </row>
    <row r="13503" spans="13:13">
      <c r="M13503" s="690"/>
    </row>
    <row r="13504" spans="13:13">
      <c r="M13504" s="690"/>
    </row>
    <row r="13505" spans="13:13">
      <c r="M13505" s="690"/>
    </row>
    <row r="13506" spans="13:13">
      <c r="M13506" s="690"/>
    </row>
    <row r="13507" spans="13:13">
      <c r="M13507" s="690"/>
    </row>
    <row r="13508" spans="13:13">
      <c r="M13508" s="690"/>
    </row>
    <row r="13509" spans="13:13">
      <c r="M13509" s="690"/>
    </row>
    <row r="13510" spans="13:13">
      <c r="M13510" s="690"/>
    </row>
    <row r="13511" spans="13:13">
      <c r="M13511" s="690"/>
    </row>
    <row r="13512" spans="13:13">
      <c r="M13512" s="690"/>
    </row>
    <row r="13513" spans="13:13">
      <c r="M13513" s="690"/>
    </row>
    <row r="13514" spans="13:13">
      <c r="M13514" s="690"/>
    </row>
    <row r="13515" spans="13:13">
      <c r="M13515" s="690"/>
    </row>
    <row r="13516" spans="13:13">
      <c r="M13516" s="690"/>
    </row>
    <row r="13517" spans="13:13">
      <c r="M13517" s="690"/>
    </row>
    <row r="13518" spans="13:13">
      <c r="M13518" s="690"/>
    </row>
    <row r="13519" spans="13:13">
      <c r="M13519" s="690"/>
    </row>
    <row r="13520" spans="13:13">
      <c r="M13520" s="690"/>
    </row>
    <row r="13521" spans="13:13">
      <c r="M13521" s="690"/>
    </row>
    <row r="13522" spans="13:13">
      <c r="M13522" s="690"/>
    </row>
    <row r="13523" spans="13:13">
      <c r="M13523" s="690"/>
    </row>
    <row r="13524" spans="13:13">
      <c r="M13524" s="690"/>
    </row>
    <row r="13525" spans="13:13">
      <c r="M13525" s="690"/>
    </row>
    <row r="13526" spans="13:13">
      <c r="M13526" s="690"/>
    </row>
    <row r="13527" spans="13:13">
      <c r="M13527" s="690"/>
    </row>
    <row r="13528" spans="13:13">
      <c r="M13528" s="690"/>
    </row>
    <row r="13529" spans="13:13">
      <c r="M13529" s="690"/>
    </row>
    <row r="13530" spans="13:13">
      <c r="M13530" s="690"/>
    </row>
    <row r="13531" spans="13:13">
      <c r="M13531" s="690"/>
    </row>
    <row r="13532" spans="13:13">
      <c r="M13532" s="690"/>
    </row>
    <row r="13533" spans="13:13">
      <c r="M13533" s="690"/>
    </row>
    <row r="13534" spans="13:13">
      <c r="M13534" s="690"/>
    </row>
    <row r="13535" spans="13:13">
      <c r="M13535" s="690"/>
    </row>
    <row r="13536" spans="13:13">
      <c r="M13536" s="690"/>
    </row>
    <row r="13537" spans="13:13">
      <c r="M13537" s="690"/>
    </row>
    <row r="13538" spans="13:13">
      <c r="M13538" s="690"/>
    </row>
    <row r="13539" spans="13:13">
      <c r="M13539" s="690"/>
    </row>
    <row r="13540" spans="13:13">
      <c r="M13540" s="690"/>
    </row>
    <row r="13541" spans="13:13">
      <c r="M13541" s="690"/>
    </row>
    <row r="13542" spans="13:13">
      <c r="M13542" s="690"/>
    </row>
    <row r="13543" spans="13:13">
      <c r="M13543" s="690"/>
    </row>
    <row r="13544" spans="13:13">
      <c r="M13544" s="690"/>
    </row>
    <row r="13545" spans="13:13">
      <c r="M13545" s="690"/>
    </row>
    <row r="13546" spans="13:13">
      <c r="M13546" s="690"/>
    </row>
    <row r="13547" spans="13:13">
      <c r="M13547" s="690"/>
    </row>
    <row r="13548" spans="13:13">
      <c r="M13548" s="690"/>
    </row>
    <row r="13549" spans="13:13">
      <c r="M13549" s="690"/>
    </row>
    <row r="13550" spans="13:13">
      <c r="M13550" s="690"/>
    </row>
    <row r="13551" spans="13:13">
      <c r="M13551" s="690"/>
    </row>
    <row r="13552" spans="13:13">
      <c r="M13552" s="690"/>
    </row>
    <row r="13553" spans="13:13">
      <c r="M13553" s="690"/>
    </row>
    <row r="13554" spans="13:13">
      <c r="M13554" s="690"/>
    </row>
    <row r="13555" spans="13:13">
      <c r="M13555" s="690"/>
    </row>
    <row r="13556" spans="13:13">
      <c r="M13556" s="690"/>
    </row>
    <row r="13557" spans="13:13">
      <c r="M13557" s="690"/>
    </row>
    <row r="13558" spans="13:13">
      <c r="M13558" s="690"/>
    </row>
    <row r="13559" spans="13:13">
      <c r="M13559" s="690"/>
    </row>
    <row r="13560" spans="13:13">
      <c r="M13560" s="690"/>
    </row>
    <row r="13561" spans="13:13">
      <c r="M13561" s="690"/>
    </row>
    <row r="13562" spans="13:13">
      <c r="M13562" s="690"/>
    </row>
    <row r="13563" spans="13:13">
      <c r="M13563" s="690"/>
    </row>
    <row r="13564" spans="13:13">
      <c r="M13564" s="690"/>
    </row>
    <row r="13565" spans="13:13">
      <c r="M13565" s="690"/>
    </row>
    <row r="13566" spans="13:13">
      <c r="M13566" s="690"/>
    </row>
    <row r="13567" spans="13:13">
      <c r="M13567" s="690"/>
    </row>
    <row r="13568" spans="13:13">
      <c r="M13568" s="690"/>
    </row>
    <row r="13569" spans="13:13">
      <c r="M13569" s="690"/>
    </row>
    <row r="13570" spans="13:13">
      <c r="M13570" s="690"/>
    </row>
    <row r="13571" spans="13:13">
      <c r="M13571" s="690"/>
    </row>
    <row r="13572" spans="13:13">
      <c r="M13572" s="690"/>
    </row>
    <row r="13573" spans="13:13">
      <c r="M13573" s="690"/>
    </row>
    <row r="13574" spans="13:13">
      <c r="M13574" s="690"/>
    </row>
    <row r="13575" spans="13:13">
      <c r="M13575" s="690"/>
    </row>
    <row r="13576" spans="13:13">
      <c r="M13576" s="690"/>
    </row>
    <row r="13577" spans="13:13">
      <c r="M13577" s="690"/>
    </row>
    <row r="13578" spans="13:13">
      <c r="M13578" s="690"/>
    </row>
    <row r="13579" spans="13:13">
      <c r="M13579" s="690"/>
    </row>
    <row r="13580" spans="13:13">
      <c r="M13580" s="690"/>
    </row>
    <row r="13581" spans="13:13">
      <c r="M13581" s="690"/>
    </row>
    <row r="13582" spans="13:13">
      <c r="M13582" s="690"/>
    </row>
    <row r="13583" spans="13:13">
      <c r="M13583" s="690"/>
    </row>
    <row r="13584" spans="13:13">
      <c r="M13584" s="690"/>
    </row>
    <row r="13585" spans="13:13">
      <c r="M13585" s="690"/>
    </row>
    <row r="13586" spans="13:13">
      <c r="M13586" s="690"/>
    </row>
    <row r="13587" spans="13:13">
      <c r="M13587" s="690"/>
    </row>
    <row r="13588" spans="13:13">
      <c r="M13588" s="690"/>
    </row>
    <row r="13589" spans="13:13">
      <c r="M13589" s="690"/>
    </row>
    <row r="13590" spans="13:13">
      <c r="M13590" s="690"/>
    </row>
    <row r="13591" spans="13:13">
      <c r="M13591" s="690"/>
    </row>
    <row r="13592" spans="13:13">
      <c r="M13592" s="690"/>
    </row>
    <row r="13593" spans="13:13">
      <c r="M13593" s="690"/>
    </row>
    <row r="13594" spans="13:13">
      <c r="M13594" s="690"/>
    </row>
    <row r="13595" spans="13:13">
      <c r="M13595" s="690"/>
    </row>
    <row r="13596" spans="13:13">
      <c r="M13596" s="690"/>
    </row>
    <row r="13597" spans="13:13">
      <c r="M13597" s="690"/>
    </row>
    <row r="13598" spans="13:13">
      <c r="M13598" s="690"/>
    </row>
    <row r="13599" spans="13:13">
      <c r="M13599" s="690"/>
    </row>
    <row r="13600" spans="13:13">
      <c r="M13600" s="690"/>
    </row>
    <row r="13601" spans="13:13">
      <c r="M13601" s="690"/>
    </row>
    <row r="13602" spans="13:13">
      <c r="M13602" s="690"/>
    </row>
    <row r="13603" spans="13:13">
      <c r="M13603" s="690"/>
    </row>
    <row r="13604" spans="13:13">
      <c r="M13604" s="690"/>
    </row>
    <row r="13605" spans="13:13">
      <c r="M13605" s="690"/>
    </row>
    <row r="13606" spans="13:13">
      <c r="M13606" s="690"/>
    </row>
    <row r="13607" spans="13:13">
      <c r="M13607" s="690"/>
    </row>
    <row r="13608" spans="13:13">
      <c r="M13608" s="690"/>
    </row>
    <row r="13609" spans="13:13">
      <c r="M13609" s="690"/>
    </row>
    <row r="13610" spans="13:13">
      <c r="M13610" s="690"/>
    </row>
    <row r="13611" spans="13:13">
      <c r="M13611" s="690"/>
    </row>
    <row r="13612" spans="13:13">
      <c r="M13612" s="690"/>
    </row>
    <row r="13613" spans="13:13">
      <c r="M13613" s="690"/>
    </row>
    <row r="13614" spans="13:13">
      <c r="M13614" s="690"/>
    </row>
    <row r="13615" spans="13:13">
      <c r="M13615" s="690"/>
    </row>
    <row r="13616" spans="13:13">
      <c r="M13616" s="690"/>
    </row>
    <row r="13617" spans="13:13">
      <c r="M13617" s="690"/>
    </row>
    <row r="13618" spans="13:13">
      <c r="M13618" s="690"/>
    </row>
    <row r="13619" spans="13:13">
      <c r="M13619" s="690"/>
    </row>
    <row r="13620" spans="13:13">
      <c r="M13620" s="690"/>
    </row>
    <row r="13621" spans="13:13">
      <c r="M13621" s="690"/>
    </row>
    <row r="13622" spans="13:13">
      <c r="M13622" s="690"/>
    </row>
    <row r="13623" spans="13:13">
      <c r="M13623" s="690"/>
    </row>
    <row r="13624" spans="13:13">
      <c r="M13624" s="690"/>
    </row>
    <row r="13625" spans="13:13">
      <c r="M13625" s="690"/>
    </row>
    <row r="13626" spans="13:13">
      <c r="M13626" s="690"/>
    </row>
    <row r="13627" spans="13:13">
      <c r="M13627" s="690"/>
    </row>
    <row r="13628" spans="13:13">
      <c r="M13628" s="690"/>
    </row>
    <row r="13629" spans="13:13">
      <c r="M13629" s="690"/>
    </row>
    <row r="13630" spans="13:13">
      <c r="M13630" s="690"/>
    </row>
    <row r="13631" spans="13:13">
      <c r="M13631" s="690"/>
    </row>
    <row r="13632" spans="13:13">
      <c r="M13632" s="690"/>
    </row>
    <row r="13633" spans="13:13">
      <c r="M13633" s="690"/>
    </row>
    <row r="13634" spans="13:13">
      <c r="M13634" s="690"/>
    </row>
    <row r="13635" spans="13:13">
      <c r="M13635" s="690"/>
    </row>
    <row r="13636" spans="13:13">
      <c r="M13636" s="690"/>
    </row>
    <row r="13637" spans="13:13">
      <c r="M13637" s="690"/>
    </row>
    <row r="13638" spans="13:13">
      <c r="M13638" s="690"/>
    </row>
    <row r="13639" spans="13:13">
      <c r="M13639" s="690"/>
    </row>
    <row r="13640" spans="13:13">
      <c r="M13640" s="690"/>
    </row>
    <row r="13641" spans="13:13">
      <c r="M13641" s="690"/>
    </row>
    <row r="13642" spans="13:13">
      <c r="M13642" s="690"/>
    </row>
    <row r="13643" spans="13:13">
      <c r="M13643" s="690"/>
    </row>
    <row r="13644" spans="13:13">
      <c r="M13644" s="690"/>
    </row>
    <row r="13645" spans="13:13">
      <c r="M13645" s="690"/>
    </row>
    <row r="13646" spans="13:13">
      <c r="M13646" s="690"/>
    </row>
    <row r="13647" spans="13:13">
      <c r="M13647" s="690"/>
    </row>
    <row r="13648" spans="13:13">
      <c r="M13648" s="690"/>
    </row>
    <row r="13649" spans="13:13">
      <c r="M13649" s="690"/>
    </row>
    <row r="13650" spans="13:13">
      <c r="M13650" s="690"/>
    </row>
    <row r="13651" spans="13:13">
      <c r="M13651" s="690"/>
    </row>
    <row r="13652" spans="13:13">
      <c r="M13652" s="690"/>
    </row>
    <row r="13653" spans="13:13">
      <c r="M13653" s="690"/>
    </row>
    <row r="13654" spans="13:13">
      <c r="M13654" s="690"/>
    </row>
    <row r="13655" spans="13:13">
      <c r="M13655" s="690"/>
    </row>
    <row r="13656" spans="13:13">
      <c r="M13656" s="690"/>
    </row>
    <row r="13657" spans="13:13">
      <c r="M13657" s="690"/>
    </row>
    <row r="13658" spans="13:13">
      <c r="M13658" s="690"/>
    </row>
    <row r="13659" spans="13:13">
      <c r="M13659" s="690"/>
    </row>
    <row r="13660" spans="13:13">
      <c r="M13660" s="690"/>
    </row>
    <row r="13661" spans="13:13">
      <c r="M13661" s="690"/>
    </row>
    <row r="13662" spans="13:13">
      <c r="M13662" s="690"/>
    </row>
    <row r="13663" spans="13:13">
      <c r="M13663" s="690"/>
    </row>
    <row r="13664" spans="13:13">
      <c r="M13664" s="690"/>
    </row>
    <row r="13665" spans="13:13">
      <c r="M13665" s="690"/>
    </row>
    <row r="13666" spans="13:13">
      <c r="M13666" s="690"/>
    </row>
    <row r="13667" spans="13:13">
      <c r="M13667" s="690"/>
    </row>
    <row r="13668" spans="13:13">
      <c r="M13668" s="690"/>
    </row>
    <row r="13669" spans="13:13">
      <c r="M13669" s="690"/>
    </row>
    <row r="13670" spans="13:13">
      <c r="M13670" s="690"/>
    </row>
    <row r="13671" spans="13:13">
      <c r="M13671" s="690"/>
    </row>
    <row r="13672" spans="13:13">
      <c r="M13672" s="690"/>
    </row>
    <row r="13673" spans="13:13">
      <c r="M13673" s="690"/>
    </row>
    <row r="13674" spans="13:13">
      <c r="M13674" s="690"/>
    </row>
    <row r="13675" spans="13:13">
      <c r="M13675" s="690"/>
    </row>
    <row r="13676" spans="13:13">
      <c r="M13676" s="690"/>
    </row>
    <row r="13677" spans="13:13">
      <c r="M13677" s="690"/>
    </row>
    <row r="13678" spans="13:13">
      <c r="M13678" s="690"/>
    </row>
    <row r="13679" spans="13:13">
      <c r="M13679" s="690"/>
    </row>
    <row r="13680" spans="13:13">
      <c r="M13680" s="690"/>
    </row>
    <row r="13681" spans="13:13">
      <c r="M13681" s="690"/>
    </row>
    <row r="13682" spans="13:13">
      <c r="M13682" s="690"/>
    </row>
    <row r="13683" spans="13:13">
      <c r="M13683" s="690"/>
    </row>
    <row r="13684" spans="13:13">
      <c r="M13684" s="690"/>
    </row>
    <row r="13685" spans="13:13">
      <c r="M13685" s="690"/>
    </row>
    <row r="13686" spans="13:13">
      <c r="M13686" s="690"/>
    </row>
    <row r="13687" spans="13:13">
      <c r="M13687" s="690"/>
    </row>
    <row r="13688" spans="13:13">
      <c r="M13688" s="690"/>
    </row>
    <row r="13689" spans="13:13">
      <c r="M13689" s="690"/>
    </row>
    <row r="13690" spans="13:13">
      <c r="M13690" s="690"/>
    </row>
    <row r="13691" spans="13:13">
      <c r="M13691" s="690"/>
    </row>
    <row r="13692" spans="13:13">
      <c r="M13692" s="690"/>
    </row>
    <row r="13693" spans="13:13">
      <c r="M13693" s="690"/>
    </row>
    <row r="13694" spans="13:13">
      <c r="M13694" s="690"/>
    </row>
    <row r="13695" spans="13:13">
      <c r="M13695" s="690"/>
    </row>
    <row r="13696" spans="13:13">
      <c r="M13696" s="690"/>
    </row>
    <row r="13697" spans="13:13">
      <c r="M13697" s="690"/>
    </row>
    <row r="13698" spans="13:13">
      <c r="M13698" s="690"/>
    </row>
    <row r="13699" spans="13:13">
      <c r="M13699" s="690"/>
    </row>
    <row r="13700" spans="13:13">
      <c r="M13700" s="690"/>
    </row>
    <row r="13701" spans="13:13">
      <c r="M13701" s="690"/>
    </row>
    <row r="13702" spans="13:13">
      <c r="M13702" s="690"/>
    </row>
    <row r="13703" spans="13:13">
      <c r="M13703" s="690"/>
    </row>
    <row r="13704" spans="13:13">
      <c r="M13704" s="690"/>
    </row>
    <row r="13705" spans="13:13">
      <c r="M13705" s="690"/>
    </row>
    <row r="13706" spans="13:13">
      <c r="M13706" s="690"/>
    </row>
    <row r="13707" spans="13:13">
      <c r="M13707" s="690"/>
    </row>
    <row r="13708" spans="13:13">
      <c r="M13708" s="690"/>
    </row>
    <row r="13709" spans="13:13">
      <c r="M13709" s="690"/>
    </row>
    <row r="13710" spans="13:13">
      <c r="M13710" s="690"/>
    </row>
    <row r="13711" spans="13:13">
      <c r="M13711" s="690"/>
    </row>
    <row r="13712" spans="13:13">
      <c r="M13712" s="690"/>
    </row>
    <row r="13713" spans="13:13">
      <c r="M13713" s="690"/>
    </row>
    <row r="13714" spans="13:13">
      <c r="M13714" s="690"/>
    </row>
    <row r="13715" spans="13:13">
      <c r="M13715" s="690"/>
    </row>
    <row r="13716" spans="13:13">
      <c r="M13716" s="690"/>
    </row>
    <row r="13717" spans="13:13">
      <c r="M13717" s="690"/>
    </row>
    <row r="13718" spans="13:13">
      <c r="M13718" s="690"/>
    </row>
    <row r="13719" spans="13:13">
      <c r="M13719" s="690"/>
    </row>
    <row r="13720" spans="13:13">
      <c r="M13720" s="690"/>
    </row>
    <row r="13721" spans="13:13">
      <c r="M13721" s="690"/>
    </row>
    <row r="13722" spans="13:13">
      <c r="M13722" s="690"/>
    </row>
    <row r="13723" spans="13:13">
      <c r="M13723" s="690"/>
    </row>
    <row r="13724" spans="13:13">
      <c r="M13724" s="690"/>
    </row>
    <row r="13725" spans="13:13">
      <c r="M13725" s="690"/>
    </row>
    <row r="13726" spans="13:13">
      <c r="M13726" s="690"/>
    </row>
    <row r="13727" spans="13:13">
      <c r="M13727" s="690"/>
    </row>
    <row r="13728" spans="13:13">
      <c r="M13728" s="690"/>
    </row>
    <row r="13729" spans="13:13">
      <c r="M13729" s="690"/>
    </row>
    <row r="13730" spans="13:13">
      <c r="M13730" s="690"/>
    </row>
    <row r="13731" spans="13:13">
      <c r="M13731" s="690"/>
    </row>
    <row r="13732" spans="13:13">
      <c r="M13732" s="690"/>
    </row>
    <row r="13733" spans="13:13">
      <c r="M13733" s="690"/>
    </row>
    <row r="13734" spans="13:13">
      <c r="M13734" s="690"/>
    </row>
    <row r="13735" spans="13:13">
      <c r="M13735" s="690"/>
    </row>
    <row r="13736" spans="13:13">
      <c r="M13736" s="690"/>
    </row>
    <row r="13737" spans="13:13">
      <c r="M13737" s="690"/>
    </row>
    <row r="13738" spans="13:13">
      <c r="M13738" s="690"/>
    </row>
    <row r="13739" spans="13:13">
      <c r="M13739" s="690"/>
    </row>
    <row r="13740" spans="13:13">
      <c r="M13740" s="690"/>
    </row>
    <row r="13741" spans="13:13">
      <c r="M13741" s="690"/>
    </row>
    <row r="13742" spans="13:13">
      <c r="M13742" s="690"/>
    </row>
    <row r="13743" spans="13:13">
      <c r="M13743" s="690"/>
    </row>
    <row r="13744" spans="13:13">
      <c r="M13744" s="690"/>
    </row>
    <row r="13745" spans="13:13">
      <c r="M13745" s="690"/>
    </row>
    <row r="13746" spans="13:13">
      <c r="M13746" s="690"/>
    </row>
    <row r="13747" spans="13:13">
      <c r="M13747" s="690"/>
    </row>
    <row r="13748" spans="13:13">
      <c r="M13748" s="690"/>
    </row>
    <row r="13749" spans="13:13">
      <c r="M13749" s="690"/>
    </row>
    <row r="13750" spans="13:13">
      <c r="M13750" s="690"/>
    </row>
    <row r="13751" spans="13:13">
      <c r="M13751" s="690"/>
    </row>
    <row r="13752" spans="13:13">
      <c r="M13752" s="690"/>
    </row>
    <row r="13753" spans="13:13">
      <c r="M13753" s="690"/>
    </row>
    <row r="13754" spans="13:13">
      <c r="M13754" s="690"/>
    </row>
    <row r="13755" spans="13:13">
      <c r="M13755" s="690"/>
    </row>
    <row r="13756" spans="13:13">
      <c r="M13756" s="690"/>
    </row>
    <row r="13757" spans="13:13">
      <c r="M13757" s="690"/>
    </row>
    <row r="13758" spans="13:13">
      <c r="M13758" s="690"/>
    </row>
    <row r="13759" spans="13:13">
      <c r="M13759" s="690"/>
    </row>
    <row r="13760" spans="13:13">
      <c r="M13760" s="690"/>
    </row>
    <row r="13761" spans="13:13">
      <c r="M13761" s="690"/>
    </row>
    <row r="13762" spans="13:13">
      <c r="M13762" s="690"/>
    </row>
    <row r="13763" spans="13:13">
      <c r="M13763" s="690"/>
    </row>
    <row r="13764" spans="13:13">
      <c r="M13764" s="690"/>
    </row>
    <row r="13765" spans="13:13">
      <c r="M13765" s="690"/>
    </row>
    <row r="13766" spans="13:13">
      <c r="M13766" s="690"/>
    </row>
    <row r="13767" spans="13:13">
      <c r="M13767" s="690"/>
    </row>
    <row r="13768" spans="13:13">
      <c r="M13768" s="690"/>
    </row>
    <row r="13769" spans="13:13">
      <c r="M13769" s="690"/>
    </row>
    <row r="13770" spans="13:13">
      <c r="M13770" s="690"/>
    </row>
    <row r="13771" spans="13:13">
      <c r="M13771" s="690"/>
    </row>
    <row r="13772" spans="13:13">
      <c r="M13772" s="690"/>
    </row>
    <row r="13773" spans="13:13">
      <c r="M13773" s="690"/>
    </row>
    <row r="13774" spans="13:13">
      <c r="M13774" s="690"/>
    </row>
    <row r="13775" spans="13:13">
      <c r="M13775" s="690"/>
    </row>
    <row r="13776" spans="13:13">
      <c r="M13776" s="690"/>
    </row>
    <row r="13777" spans="13:13">
      <c r="M13777" s="690"/>
    </row>
    <row r="13778" spans="13:13">
      <c r="M13778" s="690"/>
    </row>
    <row r="13779" spans="13:13">
      <c r="M13779" s="690"/>
    </row>
    <row r="13780" spans="13:13">
      <c r="M13780" s="690"/>
    </row>
    <row r="13781" spans="13:13">
      <c r="M13781" s="690"/>
    </row>
    <row r="13782" spans="13:13">
      <c r="M13782" s="690"/>
    </row>
    <row r="13783" spans="13:13">
      <c r="M13783" s="690"/>
    </row>
    <row r="13784" spans="13:13">
      <c r="M13784" s="690"/>
    </row>
    <row r="13785" spans="13:13">
      <c r="M13785" s="690"/>
    </row>
    <row r="13786" spans="13:13">
      <c r="M13786" s="690"/>
    </row>
    <row r="13787" spans="13:13">
      <c r="M13787" s="690"/>
    </row>
    <row r="13788" spans="13:13">
      <c r="M13788" s="690"/>
    </row>
    <row r="13789" spans="13:13">
      <c r="M13789" s="690"/>
    </row>
    <row r="13790" spans="13:13">
      <c r="M13790" s="690"/>
    </row>
    <row r="13791" spans="13:13">
      <c r="M13791" s="690"/>
    </row>
    <row r="13792" spans="13:13">
      <c r="M13792" s="690"/>
    </row>
    <row r="13793" spans="13:13">
      <c r="M13793" s="690"/>
    </row>
    <row r="13794" spans="13:13">
      <c r="M13794" s="690"/>
    </row>
    <row r="13795" spans="13:13">
      <c r="M13795" s="690"/>
    </row>
    <row r="13796" spans="13:13">
      <c r="M13796" s="690"/>
    </row>
    <row r="13797" spans="13:13">
      <c r="M13797" s="690"/>
    </row>
    <row r="13798" spans="13:13">
      <c r="M13798" s="690"/>
    </row>
    <row r="13799" spans="13:13">
      <c r="M13799" s="690"/>
    </row>
    <row r="13800" spans="13:13">
      <c r="M13800" s="690"/>
    </row>
    <row r="13801" spans="13:13">
      <c r="M13801" s="690"/>
    </row>
    <row r="13802" spans="13:13">
      <c r="M13802" s="690"/>
    </row>
    <row r="13803" spans="13:13">
      <c r="M13803" s="690"/>
    </row>
    <row r="13804" spans="13:13">
      <c r="M13804" s="690"/>
    </row>
    <row r="13805" spans="13:13">
      <c r="M13805" s="690"/>
    </row>
    <row r="13806" spans="13:13">
      <c r="M13806" s="690"/>
    </row>
    <row r="13807" spans="13:13">
      <c r="M13807" s="690"/>
    </row>
    <row r="13808" spans="13:13">
      <c r="M13808" s="690"/>
    </row>
    <row r="13809" spans="13:13">
      <c r="M13809" s="690"/>
    </row>
    <row r="13810" spans="13:13">
      <c r="M13810" s="690"/>
    </row>
    <row r="13811" spans="13:13">
      <c r="M13811" s="690"/>
    </row>
    <row r="13812" spans="13:13">
      <c r="M13812" s="690"/>
    </row>
    <row r="13813" spans="13:13">
      <c r="M13813" s="690"/>
    </row>
    <row r="13814" spans="13:13">
      <c r="M13814" s="690"/>
    </row>
    <row r="13815" spans="13:13">
      <c r="M13815" s="690"/>
    </row>
    <row r="13816" spans="13:13">
      <c r="M13816" s="690"/>
    </row>
    <row r="13817" spans="13:13">
      <c r="M13817" s="690"/>
    </row>
    <row r="13818" spans="13:13">
      <c r="M13818" s="690"/>
    </row>
    <row r="13819" spans="13:13">
      <c r="M13819" s="690"/>
    </row>
    <row r="13820" spans="13:13">
      <c r="M13820" s="690"/>
    </row>
    <row r="13821" spans="13:13">
      <c r="M13821" s="690"/>
    </row>
    <row r="13822" spans="13:13">
      <c r="M13822" s="690"/>
    </row>
    <row r="13823" spans="13:13">
      <c r="M13823" s="690"/>
    </row>
    <row r="13824" spans="13:13">
      <c r="M13824" s="690"/>
    </row>
    <row r="13825" spans="13:13">
      <c r="M13825" s="690"/>
    </row>
    <row r="13826" spans="13:13">
      <c r="M13826" s="690"/>
    </row>
    <row r="13827" spans="13:13">
      <c r="M13827" s="690"/>
    </row>
    <row r="13828" spans="13:13">
      <c r="M13828" s="690"/>
    </row>
    <row r="13829" spans="13:13">
      <c r="M13829" s="690"/>
    </row>
    <row r="13830" spans="13:13">
      <c r="M13830" s="690"/>
    </row>
    <row r="13831" spans="13:13">
      <c r="M13831" s="690"/>
    </row>
    <row r="13832" spans="13:13">
      <c r="M13832" s="690"/>
    </row>
    <row r="13833" spans="13:13">
      <c r="M13833" s="690"/>
    </row>
    <row r="13834" spans="13:13">
      <c r="M13834" s="690"/>
    </row>
    <row r="13835" spans="13:13">
      <c r="M13835" s="690"/>
    </row>
    <row r="13836" spans="13:13">
      <c r="M13836" s="690"/>
    </row>
    <row r="13837" spans="13:13">
      <c r="M13837" s="690"/>
    </row>
    <row r="13838" spans="13:13">
      <c r="M13838" s="690"/>
    </row>
    <row r="13839" spans="13:13">
      <c r="M13839" s="690"/>
    </row>
    <row r="13840" spans="13:13">
      <c r="M13840" s="690"/>
    </row>
    <row r="13841" spans="13:13">
      <c r="M13841" s="690"/>
    </row>
    <row r="13842" spans="13:13">
      <c r="M13842" s="690"/>
    </row>
    <row r="13843" spans="13:13">
      <c r="M13843" s="690"/>
    </row>
    <row r="13844" spans="13:13">
      <c r="M13844" s="690"/>
    </row>
    <row r="13845" spans="13:13">
      <c r="M13845" s="690"/>
    </row>
    <row r="13846" spans="13:13">
      <c r="M13846" s="690"/>
    </row>
    <row r="13847" spans="13:13">
      <c r="M13847" s="690"/>
    </row>
    <row r="13848" spans="13:13">
      <c r="M13848" s="690"/>
    </row>
    <row r="13849" spans="13:13">
      <c r="M13849" s="690"/>
    </row>
    <row r="13850" spans="13:13">
      <c r="M13850" s="690"/>
    </row>
    <row r="13851" spans="13:13">
      <c r="M13851" s="690"/>
    </row>
    <row r="13852" spans="13:13">
      <c r="M13852" s="690"/>
    </row>
    <row r="13853" spans="13:13">
      <c r="M13853" s="690"/>
    </row>
    <row r="13854" spans="13:13">
      <c r="M13854" s="690"/>
    </row>
    <row r="13855" spans="13:13">
      <c r="M13855" s="690"/>
    </row>
    <row r="13856" spans="13:13">
      <c r="M13856" s="690"/>
    </row>
    <row r="13857" spans="13:13">
      <c r="M13857" s="690"/>
    </row>
    <row r="13858" spans="13:13">
      <c r="M13858" s="690"/>
    </row>
    <row r="13859" spans="13:13">
      <c r="M13859" s="690"/>
    </row>
    <row r="13860" spans="13:13">
      <c r="M13860" s="690"/>
    </row>
    <row r="13861" spans="13:13">
      <c r="M13861" s="690"/>
    </row>
    <row r="13862" spans="13:13">
      <c r="M13862" s="690"/>
    </row>
    <row r="13863" spans="13:13">
      <c r="M13863" s="690"/>
    </row>
    <row r="13864" spans="13:13">
      <c r="M13864" s="690"/>
    </row>
    <row r="13865" spans="13:13">
      <c r="M13865" s="690"/>
    </row>
    <row r="13866" spans="13:13">
      <c r="M13866" s="690"/>
    </row>
    <row r="13867" spans="13:13">
      <c r="M13867" s="690"/>
    </row>
    <row r="13868" spans="13:13">
      <c r="M13868" s="690"/>
    </row>
    <row r="13869" spans="13:13">
      <c r="M13869" s="690"/>
    </row>
    <row r="13870" spans="13:13">
      <c r="M13870" s="690"/>
    </row>
    <row r="13871" spans="13:13">
      <c r="M13871" s="690"/>
    </row>
    <row r="13872" spans="13:13">
      <c r="M13872" s="690"/>
    </row>
    <row r="13873" spans="13:13">
      <c r="M13873" s="690"/>
    </row>
    <row r="13874" spans="13:13">
      <c r="M13874" s="690"/>
    </row>
    <row r="13875" spans="13:13">
      <c r="M13875" s="690"/>
    </row>
    <row r="13876" spans="13:13">
      <c r="M13876" s="690"/>
    </row>
    <row r="13877" spans="13:13">
      <c r="M13877" s="690"/>
    </row>
    <row r="13878" spans="13:13">
      <c r="M13878" s="690"/>
    </row>
    <row r="13879" spans="13:13">
      <c r="M13879" s="690"/>
    </row>
    <row r="13880" spans="13:13">
      <c r="M13880" s="690"/>
    </row>
    <row r="13881" spans="13:13">
      <c r="M13881" s="690"/>
    </row>
    <row r="13882" spans="13:13">
      <c r="M13882" s="690"/>
    </row>
    <row r="13883" spans="13:13">
      <c r="M13883" s="690"/>
    </row>
    <row r="13884" spans="13:13">
      <c r="M13884" s="690"/>
    </row>
    <row r="13885" spans="13:13">
      <c r="M13885" s="690"/>
    </row>
    <row r="13886" spans="13:13">
      <c r="M13886" s="690"/>
    </row>
    <row r="13887" spans="13:13">
      <c r="M13887" s="690"/>
    </row>
    <row r="13888" spans="13:13">
      <c r="M13888" s="690"/>
    </row>
    <row r="13889" spans="13:13">
      <c r="M13889" s="690"/>
    </row>
    <row r="13890" spans="13:13">
      <c r="M13890" s="690"/>
    </row>
    <row r="13891" spans="13:13">
      <c r="M13891" s="690"/>
    </row>
    <row r="13892" spans="13:13">
      <c r="M13892" s="690"/>
    </row>
    <row r="13893" spans="13:13">
      <c r="M13893" s="690"/>
    </row>
    <row r="13894" spans="13:13">
      <c r="M13894" s="690"/>
    </row>
    <row r="13895" spans="13:13">
      <c r="M13895" s="690"/>
    </row>
    <row r="13896" spans="13:13">
      <c r="M13896" s="690"/>
    </row>
    <row r="13897" spans="13:13">
      <c r="M13897" s="690"/>
    </row>
    <row r="13898" spans="13:13">
      <c r="M13898" s="690"/>
    </row>
    <row r="13899" spans="13:13">
      <c r="M13899" s="690"/>
    </row>
    <row r="13900" spans="13:13">
      <c r="M13900" s="690"/>
    </row>
    <row r="13901" spans="13:13">
      <c r="M13901" s="690"/>
    </row>
    <row r="13902" spans="13:13">
      <c r="M13902" s="690"/>
    </row>
    <row r="13903" spans="13:13">
      <c r="M13903" s="690"/>
    </row>
    <row r="13904" spans="13:13">
      <c r="M13904" s="690"/>
    </row>
    <row r="13905" spans="13:13">
      <c r="M13905" s="690"/>
    </row>
    <row r="13906" spans="13:13">
      <c r="M13906" s="690"/>
    </row>
    <row r="13907" spans="13:13">
      <c r="M13907" s="690"/>
    </row>
    <row r="13908" spans="13:13">
      <c r="M13908" s="690"/>
    </row>
    <row r="13909" spans="13:13">
      <c r="M13909" s="690"/>
    </row>
    <row r="13910" spans="13:13">
      <c r="M13910" s="690"/>
    </row>
    <row r="13911" spans="13:13">
      <c r="M13911" s="690"/>
    </row>
    <row r="13912" spans="13:13">
      <c r="M13912" s="690"/>
    </row>
    <row r="13913" spans="13:13">
      <c r="M13913" s="690"/>
    </row>
    <row r="13914" spans="13:13">
      <c r="M13914" s="690"/>
    </row>
    <row r="13915" spans="13:13">
      <c r="M13915" s="690"/>
    </row>
    <row r="13916" spans="13:13">
      <c r="M13916" s="690"/>
    </row>
    <row r="13917" spans="13:13">
      <c r="M13917" s="690"/>
    </row>
    <row r="13918" spans="13:13">
      <c r="M13918" s="690"/>
    </row>
    <row r="13919" spans="13:13">
      <c r="M13919" s="690"/>
    </row>
    <row r="13920" spans="13:13">
      <c r="M13920" s="690"/>
    </row>
    <row r="13921" spans="13:13">
      <c r="M13921" s="690"/>
    </row>
    <row r="13922" spans="13:13">
      <c r="M13922" s="690"/>
    </row>
    <row r="13923" spans="13:13">
      <c r="M13923" s="690"/>
    </row>
    <row r="13924" spans="13:13">
      <c r="M13924" s="690"/>
    </row>
    <row r="13925" spans="13:13">
      <c r="M13925" s="690"/>
    </row>
    <row r="13926" spans="13:13">
      <c r="M13926" s="690"/>
    </row>
    <row r="13927" spans="13:13">
      <c r="M13927" s="690"/>
    </row>
    <row r="13928" spans="13:13">
      <c r="M13928" s="690"/>
    </row>
    <row r="13929" spans="13:13">
      <c r="M13929" s="690"/>
    </row>
    <row r="13930" spans="13:13">
      <c r="M13930" s="690"/>
    </row>
    <row r="13931" spans="13:13">
      <c r="M13931" s="690"/>
    </row>
    <row r="13932" spans="13:13">
      <c r="M13932" s="690"/>
    </row>
    <row r="13933" spans="13:13">
      <c r="M13933" s="690"/>
    </row>
    <row r="13934" spans="13:13">
      <c r="M13934" s="690"/>
    </row>
    <row r="13935" spans="13:13">
      <c r="M13935" s="690"/>
    </row>
    <row r="13936" spans="13:13">
      <c r="M13936" s="690"/>
    </row>
    <row r="13937" spans="13:13">
      <c r="M13937" s="690"/>
    </row>
    <row r="13938" spans="13:13">
      <c r="M13938" s="690"/>
    </row>
    <row r="13939" spans="13:13">
      <c r="M13939" s="690"/>
    </row>
    <row r="13940" spans="13:13">
      <c r="M13940" s="690"/>
    </row>
    <row r="13941" spans="13:13">
      <c r="M13941" s="690"/>
    </row>
    <row r="13942" spans="13:13">
      <c r="M13942" s="690"/>
    </row>
    <row r="13943" spans="13:13">
      <c r="M13943" s="690"/>
    </row>
    <row r="13944" spans="13:13">
      <c r="M13944" s="690"/>
    </row>
    <row r="13945" spans="13:13">
      <c r="M13945" s="690"/>
    </row>
    <row r="13946" spans="13:13">
      <c r="M13946" s="690"/>
    </row>
    <row r="13947" spans="13:13">
      <c r="M13947" s="690"/>
    </row>
    <row r="13948" spans="13:13">
      <c r="M13948" s="690"/>
    </row>
    <row r="13949" spans="13:13">
      <c r="M13949" s="690"/>
    </row>
    <row r="13950" spans="13:13">
      <c r="M13950" s="690"/>
    </row>
    <row r="13951" spans="13:13">
      <c r="M13951" s="690"/>
    </row>
    <row r="13952" spans="13:13">
      <c r="M13952" s="690"/>
    </row>
    <row r="13953" spans="13:13">
      <c r="M13953" s="690"/>
    </row>
    <row r="13954" spans="13:13">
      <c r="M13954" s="690"/>
    </row>
    <row r="13955" spans="13:13">
      <c r="M13955" s="690"/>
    </row>
    <row r="13956" spans="13:13">
      <c r="M13956" s="690"/>
    </row>
    <row r="13957" spans="13:13">
      <c r="M13957" s="690"/>
    </row>
    <row r="13958" spans="13:13">
      <c r="M13958" s="690"/>
    </row>
    <row r="13959" spans="13:13">
      <c r="M13959" s="690"/>
    </row>
    <row r="13960" spans="13:13">
      <c r="M13960" s="690"/>
    </row>
    <row r="13961" spans="13:13">
      <c r="M13961" s="690"/>
    </row>
    <row r="13962" spans="13:13">
      <c r="M13962" s="690"/>
    </row>
    <row r="13963" spans="13:13">
      <c r="M13963" s="690"/>
    </row>
    <row r="13964" spans="13:13">
      <c r="M13964" s="690"/>
    </row>
    <row r="13965" spans="13:13">
      <c r="M13965" s="690"/>
    </row>
    <row r="13966" spans="13:13">
      <c r="M13966" s="690"/>
    </row>
    <row r="13967" spans="13:13">
      <c r="M13967" s="690"/>
    </row>
    <row r="13968" spans="13:13">
      <c r="M13968" s="690"/>
    </row>
    <row r="13969" spans="13:13">
      <c r="M13969" s="690"/>
    </row>
    <row r="13970" spans="13:13">
      <c r="M13970" s="690"/>
    </row>
    <row r="13971" spans="13:13">
      <c r="M13971" s="690"/>
    </row>
    <row r="13972" spans="13:13">
      <c r="M13972" s="690"/>
    </row>
    <row r="13973" spans="13:13">
      <c r="M13973" s="690"/>
    </row>
    <row r="13974" spans="13:13">
      <c r="M13974" s="690"/>
    </row>
    <row r="13975" spans="13:13">
      <c r="M13975" s="690"/>
    </row>
    <row r="13976" spans="13:13">
      <c r="M13976" s="690"/>
    </row>
    <row r="13977" spans="13:13">
      <c r="M13977" s="690"/>
    </row>
    <row r="13978" spans="13:13">
      <c r="M13978" s="690"/>
    </row>
    <row r="13979" spans="13:13">
      <c r="M13979" s="690"/>
    </row>
    <row r="13980" spans="13:13">
      <c r="M13980" s="690"/>
    </row>
    <row r="13981" spans="13:13">
      <c r="M13981" s="690"/>
    </row>
    <row r="13982" spans="13:13">
      <c r="M13982" s="690"/>
    </row>
    <row r="13983" spans="13:13">
      <c r="M13983" s="690"/>
    </row>
    <row r="13984" spans="13:13">
      <c r="M13984" s="690"/>
    </row>
    <row r="13985" spans="13:13">
      <c r="M13985" s="690"/>
    </row>
    <row r="13986" spans="13:13">
      <c r="M13986" s="690"/>
    </row>
    <row r="13987" spans="13:13">
      <c r="M13987" s="690"/>
    </row>
    <row r="13988" spans="13:13">
      <c r="M13988" s="690"/>
    </row>
    <row r="13989" spans="13:13">
      <c r="M13989" s="690"/>
    </row>
    <row r="13990" spans="13:13">
      <c r="M13990" s="690"/>
    </row>
    <row r="13991" spans="13:13">
      <c r="M13991" s="690"/>
    </row>
    <row r="13992" spans="13:13">
      <c r="M13992" s="690"/>
    </row>
    <row r="13993" spans="13:13">
      <c r="M13993" s="690"/>
    </row>
    <row r="13994" spans="13:13">
      <c r="M13994" s="690"/>
    </row>
    <row r="13995" spans="13:13">
      <c r="M13995" s="690"/>
    </row>
    <row r="13996" spans="13:13">
      <c r="M13996" s="690"/>
    </row>
    <row r="13997" spans="13:13">
      <c r="M13997" s="690"/>
    </row>
    <row r="13998" spans="13:13">
      <c r="M13998" s="690"/>
    </row>
    <row r="13999" spans="13:13">
      <c r="M13999" s="690"/>
    </row>
    <row r="14000" spans="13:13">
      <c r="M14000" s="690"/>
    </row>
    <row r="14001" spans="13:13">
      <c r="M14001" s="690"/>
    </row>
    <row r="14002" spans="13:13">
      <c r="M14002" s="690"/>
    </row>
    <row r="14003" spans="13:13">
      <c r="M14003" s="690"/>
    </row>
    <row r="14004" spans="13:13">
      <c r="M14004" s="690"/>
    </row>
    <row r="14005" spans="13:13">
      <c r="M14005" s="690"/>
    </row>
    <row r="14006" spans="13:13">
      <c r="M14006" s="690"/>
    </row>
    <row r="14007" spans="13:13">
      <c r="M14007" s="690"/>
    </row>
    <row r="14008" spans="13:13">
      <c r="M14008" s="690"/>
    </row>
    <row r="14009" spans="13:13">
      <c r="M14009" s="690"/>
    </row>
    <row r="14010" spans="13:13">
      <c r="M14010" s="690"/>
    </row>
    <row r="14011" spans="13:13">
      <c r="M14011" s="690"/>
    </row>
    <row r="14012" spans="13:13">
      <c r="M14012" s="690"/>
    </row>
    <row r="14013" spans="13:13">
      <c r="M14013" s="690"/>
    </row>
    <row r="14014" spans="13:13">
      <c r="M14014" s="690"/>
    </row>
    <row r="14015" spans="13:13">
      <c r="M14015" s="690"/>
    </row>
    <row r="14016" spans="13:13">
      <c r="M14016" s="690"/>
    </row>
    <row r="14017" spans="13:13">
      <c r="M14017" s="690"/>
    </row>
    <row r="14018" spans="13:13">
      <c r="M14018" s="690"/>
    </row>
    <row r="14019" spans="13:13">
      <c r="M14019" s="690"/>
    </row>
    <row r="14020" spans="13:13">
      <c r="M14020" s="690"/>
    </row>
    <row r="14021" spans="13:13">
      <c r="M14021" s="690"/>
    </row>
    <row r="14022" spans="13:13">
      <c r="M14022" s="690"/>
    </row>
    <row r="14023" spans="13:13">
      <c r="M14023" s="690"/>
    </row>
    <row r="14024" spans="13:13">
      <c r="M14024" s="690"/>
    </row>
    <row r="14025" spans="13:13">
      <c r="M14025" s="690"/>
    </row>
    <row r="14026" spans="13:13">
      <c r="M14026" s="690"/>
    </row>
    <row r="14027" spans="13:13">
      <c r="M14027" s="690"/>
    </row>
    <row r="14028" spans="13:13">
      <c r="M14028" s="690"/>
    </row>
    <row r="14029" spans="13:13">
      <c r="M14029" s="690"/>
    </row>
    <row r="14030" spans="13:13">
      <c r="M14030" s="690"/>
    </row>
    <row r="14031" spans="13:13">
      <c r="M14031" s="690"/>
    </row>
    <row r="14032" spans="13:13">
      <c r="M14032" s="690"/>
    </row>
    <row r="14033" spans="13:13">
      <c r="M14033" s="690"/>
    </row>
    <row r="14034" spans="13:13">
      <c r="M14034" s="690"/>
    </row>
    <row r="14035" spans="13:13">
      <c r="M14035" s="690"/>
    </row>
    <row r="14036" spans="13:13">
      <c r="M14036" s="690"/>
    </row>
    <row r="14037" spans="13:13">
      <c r="M14037" s="690"/>
    </row>
    <row r="14038" spans="13:13">
      <c r="M14038" s="690"/>
    </row>
    <row r="14039" spans="13:13">
      <c r="M14039" s="690"/>
    </row>
    <row r="14040" spans="13:13">
      <c r="M14040" s="690"/>
    </row>
    <row r="14041" spans="13:13">
      <c r="M14041" s="690"/>
    </row>
    <row r="14042" spans="13:13">
      <c r="M14042" s="690"/>
    </row>
    <row r="14043" spans="13:13">
      <c r="M14043" s="690"/>
    </row>
    <row r="14044" spans="13:13">
      <c r="M14044" s="690"/>
    </row>
    <row r="14045" spans="13:13">
      <c r="M14045" s="690"/>
    </row>
    <row r="14046" spans="13:13">
      <c r="M14046" s="690"/>
    </row>
    <row r="14047" spans="13:13">
      <c r="M14047" s="690"/>
    </row>
    <row r="14048" spans="13:13">
      <c r="M14048" s="690"/>
    </row>
    <row r="14049" spans="13:13">
      <c r="M14049" s="690"/>
    </row>
    <row r="14050" spans="13:13">
      <c r="M14050" s="690"/>
    </row>
    <row r="14051" spans="13:13">
      <c r="M14051" s="690"/>
    </row>
    <row r="14052" spans="13:13">
      <c r="M14052" s="690"/>
    </row>
    <row r="14053" spans="13:13">
      <c r="M14053" s="690"/>
    </row>
    <row r="14054" spans="13:13">
      <c r="M14054" s="690"/>
    </row>
    <row r="14055" spans="13:13">
      <c r="M14055" s="690"/>
    </row>
    <row r="14056" spans="13:13">
      <c r="M14056" s="690"/>
    </row>
    <row r="14057" spans="13:13">
      <c r="M14057" s="690"/>
    </row>
    <row r="14058" spans="13:13">
      <c r="M14058" s="690"/>
    </row>
    <row r="14059" spans="13:13">
      <c r="M14059" s="690"/>
    </row>
    <row r="14060" spans="13:13">
      <c r="M14060" s="690"/>
    </row>
    <row r="14061" spans="13:13">
      <c r="M14061" s="690"/>
    </row>
    <row r="14062" spans="13:13">
      <c r="M14062" s="690"/>
    </row>
    <row r="14063" spans="13:13">
      <c r="M14063" s="690"/>
    </row>
    <row r="14064" spans="13:13">
      <c r="M14064" s="690"/>
    </row>
    <row r="14065" spans="13:13">
      <c r="M14065" s="690"/>
    </row>
    <row r="14066" spans="13:13">
      <c r="M14066" s="690"/>
    </row>
    <row r="14067" spans="13:13">
      <c r="M14067" s="690"/>
    </row>
    <row r="14068" spans="13:13">
      <c r="M14068" s="690"/>
    </row>
    <row r="14069" spans="13:13">
      <c r="M14069" s="690"/>
    </row>
    <row r="14070" spans="13:13">
      <c r="M14070" s="690"/>
    </row>
    <row r="14071" spans="13:13">
      <c r="M14071" s="690"/>
    </row>
    <row r="14072" spans="13:13">
      <c r="M14072" s="690"/>
    </row>
    <row r="14073" spans="13:13">
      <c r="M14073" s="690"/>
    </row>
    <row r="14074" spans="13:13">
      <c r="M14074" s="690"/>
    </row>
    <row r="14075" spans="13:13">
      <c r="M14075" s="690"/>
    </row>
    <row r="14076" spans="13:13">
      <c r="M14076" s="690"/>
    </row>
    <row r="14077" spans="13:13">
      <c r="M14077" s="690"/>
    </row>
    <row r="14078" spans="13:13">
      <c r="M14078" s="690"/>
    </row>
    <row r="14079" spans="13:13">
      <c r="M14079" s="690"/>
    </row>
    <row r="14080" spans="13:13">
      <c r="M14080" s="690"/>
    </row>
    <row r="14081" spans="13:13">
      <c r="M14081" s="690"/>
    </row>
    <row r="14082" spans="13:13">
      <c r="M14082" s="690"/>
    </row>
    <row r="14083" spans="13:13">
      <c r="M14083" s="690"/>
    </row>
    <row r="14084" spans="13:13">
      <c r="M14084" s="690"/>
    </row>
    <row r="14085" spans="13:13">
      <c r="M14085" s="690"/>
    </row>
    <row r="14086" spans="13:13">
      <c r="M14086" s="690"/>
    </row>
    <row r="14087" spans="13:13">
      <c r="M14087" s="690"/>
    </row>
    <row r="14088" spans="13:13">
      <c r="M14088" s="690"/>
    </row>
    <row r="14089" spans="13:13">
      <c r="M14089" s="690"/>
    </row>
    <row r="14090" spans="13:13">
      <c r="M14090" s="690"/>
    </row>
    <row r="14091" spans="13:13">
      <c r="M14091" s="690"/>
    </row>
    <row r="14092" spans="13:13">
      <c r="M14092" s="690"/>
    </row>
    <row r="14093" spans="13:13">
      <c r="M14093" s="690"/>
    </row>
    <row r="14094" spans="13:13">
      <c r="M14094" s="690"/>
    </row>
    <row r="14095" spans="13:13">
      <c r="M14095" s="690"/>
    </row>
    <row r="14096" spans="13:13">
      <c r="M14096" s="690"/>
    </row>
    <row r="14097" spans="13:13">
      <c r="M14097" s="690"/>
    </row>
    <row r="14098" spans="13:13">
      <c r="M14098" s="690"/>
    </row>
    <row r="14099" spans="13:13">
      <c r="M14099" s="690"/>
    </row>
    <row r="14100" spans="13:13">
      <c r="M14100" s="690"/>
    </row>
    <row r="14101" spans="13:13">
      <c r="M14101" s="690"/>
    </row>
    <row r="14102" spans="13:13">
      <c r="M14102" s="690"/>
    </row>
    <row r="14103" spans="13:13">
      <c r="M14103" s="690"/>
    </row>
    <row r="14104" spans="13:13">
      <c r="M14104" s="690"/>
    </row>
    <row r="14105" spans="13:13">
      <c r="M14105" s="690"/>
    </row>
    <row r="14106" spans="13:13">
      <c r="M14106" s="690"/>
    </row>
    <row r="14107" spans="13:13">
      <c r="M14107" s="690"/>
    </row>
    <row r="14108" spans="13:13">
      <c r="M14108" s="690"/>
    </row>
    <row r="14109" spans="13:13">
      <c r="M14109" s="690"/>
    </row>
    <row r="14110" spans="13:13">
      <c r="M14110" s="690"/>
    </row>
    <row r="14111" spans="13:13">
      <c r="M14111" s="690"/>
    </row>
    <row r="14112" spans="13:13">
      <c r="M14112" s="690"/>
    </row>
    <row r="14113" spans="13:13">
      <c r="M14113" s="690"/>
    </row>
    <row r="14114" spans="13:13">
      <c r="M14114" s="690"/>
    </row>
    <row r="14115" spans="13:13">
      <c r="M14115" s="690"/>
    </row>
    <row r="14116" spans="13:13">
      <c r="M14116" s="690"/>
    </row>
    <row r="14117" spans="13:13">
      <c r="M14117" s="690"/>
    </row>
    <row r="14118" spans="13:13">
      <c r="M14118" s="690"/>
    </row>
    <row r="14119" spans="13:13">
      <c r="M14119" s="690"/>
    </row>
    <row r="14120" spans="13:13">
      <c r="M14120" s="690"/>
    </row>
    <row r="14121" spans="13:13">
      <c r="M14121" s="690"/>
    </row>
    <row r="14122" spans="13:13">
      <c r="M14122" s="690"/>
    </row>
    <row r="14123" spans="13:13">
      <c r="M14123" s="690"/>
    </row>
    <row r="14124" spans="13:13">
      <c r="M14124" s="690"/>
    </row>
    <row r="14125" spans="13:13">
      <c r="M14125" s="690"/>
    </row>
    <row r="14126" spans="13:13">
      <c r="M14126" s="690"/>
    </row>
    <row r="14127" spans="13:13">
      <c r="M14127" s="690"/>
    </row>
    <row r="14128" spans="13:13">
      <c r="M14128" s="690"/>
    </row>
    <row r="14129" spans="13:13">
      <c r="M14129" s="690"/>
    </row>
    <row r="14130" spans="13:13">
      <c r="M14130" s="690"/>
    </row>
    <row r="14131" spans="13:13">
      <c r="M14131" s="690"/>
    </row>
    <row r="14132" spans="13:13">
      <c r="M14132" s="690"/>
    </row>
    <row r="14133" spans="13:13">
      <c r="M14133" s="690"/>
    </row>
    <row r="14134" spans="13:13">
      <c r="M14134" s="690"/>
    </row>
    <row r="14135" spans="13:13">
      <c r="M14135" s="690"/>
    </row>
    <row r="14136" spans="13:13">
      <c r="M14136" s="690"/>
    </row>
    <row r="14137" spans="13:13">
      <c r="M14137" s="690"/>
    </row>
    <row r="14138" spans="13:13">
      <c r="M14138" s="690"/>
    </row>
    <row r="14139" spans="13:13">
      <c r="M14139" s="690"/>
    </row>
    <row r="14140" spans="13:13">
      <c r="M14140" s="690"/>
    </row>
    <row r="14141" spans="13:13">
      <c r="M14141" s="690"/>
    </row>
    <row r="14142" spans="13:13">
      <c r="M14142" s="690"/>
    </row>
    <row r="14143" spans="13:13">
      <c r="M14143" s="690"/>
    </row>
    <row r="14144" spans="13:13">
      <c r="M14144" s="690"/>
    </row>
    <row r="14145" spans="13:13">
      <c r="M14145" s="690"/>
    </row>
    <row r="14146" spans="13:13">
      <c r="M14146" s="690"/>
    </row>
    <row r="14147" spans="13:13">
      <c r="M14147" s="690"/>
    </row>
    <row r="14148" spans="13:13">
      <c r="M14148" s="690"/>
    </row>
    <row r="14149" spans="13:13">
      <c r="M14149" s="690"/>
    </row>
    <row r="14150" spans="13:13">
      <c r="M14150" s="690"/>
    </row>
    <row r="14151" spans="13:13">
      <c r="M14151" s="690"/>
    </row>
    <row r="14152" spans="13:13">
      <c r="M14152" s="690"/>
    </row>
    <row r="14153" spans="13:13">
      <c r="M14153" s="690"/>
    </row>
    <row r="14154" spans="13:13">
      <c r="M14154" s="690"/>
    </row>
    <row r="14155" spans="13:13">
      <c r="M14155" s="690"/>
    </row>
    <row r="14156" spans="13:13">
      <c r="M14156" s="690"/>
    </row>
    <row r="14157" spans="13:13">
      <c r="M14157" s="690"/>
    </row>
    <row r="14158" spans="13:13">
      <c r="M14158" s="690"/>
    </row>
    <row r="14159" spans="13:13">
      <c r="M14159" s="690"/>
    </row>
    <row r="14160" spans="13:13">
      <c r="M14160" s="690"/>
    </row>
    <row r="14161" spans="13:13">
      <c r="M14161" s="690"/>
    </row>
    <row r="14162" spans="13:13">
      <c r="M14162" s="690"/>
    </row>
    <row r="14163" spans="13:13">
      <c r="M14163" s="690"/>
    </row>
    <row r="14164" spans="13:13">
      <c r="M14164" s="690"/>
    </row>
    <row r="14165" spans="13:13">
      <c r="M14165" s="690"/>
    </row>
    <row r="14166" spans="13:13">
      <c r="M14166" s="690"/>
    </row>
    <row r="14167" spans="13:13">
      <c r="M14167" s="690"/>
    </row>
    <row r="14168" spans="13:13">
      <c r="M14168" s="690"/>
    </row>
    <row r="14169" spans="13:13">
      <c r="M14169" s="690"/>
    </row>
    <row r="14170" spans="13:13">
      <c r="M14170" s="690"/>
    </row>
    <row r="14171" spans="13:13">
      <c r="M14171" s="690"/>
    </row>
    <row r="14172" spans="13:13">
      <c r="M14172" s="690"/>
    </row>
    <row r="14173" spans="13:13">
      <c r="M14173" s="690"/>
    </row>
    <row r="14174" spans="13:13">
      <c r="M14174" s="690"/>
    </row>
    <row r="14175" spans="13:13">
      <c r="M14175" s="690"/>
    </row>
    <row r="14176" spans="13:13">
      <c r="M14176" s="690"/>
    </row>
    <row r="14177" spans="13:13">
      <c r="M14177" s="690"/>
    </row>
    <row r="14178" spans="13:13">
      <c r="M14178" s="690"/>
    </row>
    <row r="14179" spans="13:13">
      <c r="M14179" s="690"/>
    </row>
    <row r="14180" spans="13:13">
      <c r="M14180" s="690"/>
    </row>
    <row r="14181" spans="13:13">
      <c r="M14181" s="690"/>
    </row>
    <row r="14182" spans="13:13">
      <c r="M14182" s="690"/>
    </row>
    <row r="14183" spans="13:13">
      <c r="M14183" s="690"/>
    </row>
    <row r="14184" spans="13:13">
      <c r="M14184" s="690"/>
    </row>
    <row r="14185" spans="13:13">
      <c r="M14185" s="690"/>
    </row>
    <row r="14186" spans="13:13">
      <c r="M14186" s="690"/>
    </row>
    <row r="14187" spans="13:13">
      <c r="M14187" s="690"/>
    </row>
    <row r="14188" spans="13:13">
      <c r="M14188" s="690"/>
    </row>
    <row r="14189" spans="13:13">
      <c r="M14189" s="690"/>
    </row>
    <row r="14190" spans="13:13">
      <c r="M14190" s="690"/>
    </row>
    <row r="14191" spans="13:13">
      <c r="M14191" s="690"/>
    </row>
    <row r="14192" spans="13:13">
      <c r="M14192" s="690"/>
    </row>
    <row r="14193" spans="13:13">
      <c r="M14193" s="690"/>
    </row>
    <row r="14194" spans="13:13">
      <c r="M14194" s="690"/>
    </row>
    <row r="14195" spans="13:13">
      <c r="M14195" s="690"/>
    </row>
    <row r="14196" spans="13:13">
      <c r="M14196" s="690"/>
    </row>
    <row r="14197" spans="13:13">
      <c r="M14197" s="690"/>
    </row>
    <row r="14198" spans="13:13">
      <c r="M14198" s="690"/>
    </row>
    <row r="14199" spans="13:13">
      <c r="M14199" s="690"/>
    </row>
    <row r="14200" spans="13:13">
      <c r="M14200" s="690"/>
    </row>
    <row r="14201" spans="13:13">
      <c r="M14201" s="690"/>
    </row>
    <row r="14202" spans="13:13">
      <c r="M14202" s="690"/>
    </row>
    <row r="14203" spans="13:13">
      <c r="M14203" s="690"/>
    </row>
    <row r="14204" spans="13:13">
      <c r="M14204" s="690"/>
    </row>
    <row r="14205" spans="13:13">
      <c r="M14205" s="690"/>
    </row>
    <row r="14206" spans="13:13">
      <c r="M14206" s="690"/>
    </row>
    <row r="14207" spans="13:13">
      <c r="M14207" s="690"/>
    </row>
    <row r="14208" spans="13:13">
      <c r="M14208" s="690"/>
    </row>
    <row r="14209" spans="13:13">
      <c r="M14209" s="690"/>
    </row>
    <row r="14210" spans="13:13">
      <c r="M14210" s="690"/>
    </row>
    <row r="14211" spans="13:13">
      <c r="M14211" s="690"/>
    </row>
    <row r="14212" spans="13:13">
      <c r="M14212" s="690"/>
    </row>
    <row r="14213" spans="13:13">
      <c r="M14213" s="690"/>
    </row>
    <row r="14214" spans="13:13">
      <c r="M14214" s="690"/>
    </row>
    <row r="14215" spans="13:13">
      <c r="M14215" s="690"/>
    </row>
    <row r="14216" spans="13:13">
      <c r="M14216" s="690"/>
    </row>
    <row r="14217" spans="13:13">
      <c r="M14217" s="690"/>
    </row>
    <row r="14218" spans="13:13">
      <c r="M14218" s="690"/>
    </row>
    <row r="14219" spans="13:13">
      <c r="M14219" s="690"/>
    </row>
    <row r="14220" spans="13:13">
      <c r="M14220" s="690"/>
    </row>
    <row r="14221" spans="13:13">
      <c r="M14221" s="690"/>
    </row>
    <row r="14222" spans="13:13">
      <c r="M14222" s="690"/>
    </row>
    <row r="14223" spans="13:13">
      <c r="M14223" s="690"/>
    </row>
    <row r="14224" spans="13:13">
      <c r="M14224" s="690"/>
    </row>
    <row r="14225" spans="13:13">
      <c r="M14225" s="690"/>
    </row>
    <row r="14226" spans="13:13">
      <c r="M14226" s="690"/>
    </row>
    <row r="14227" spans="13:13">
      <c r="M14227" s="690"/>
    </row>
    <row r="14228" spans="13:13">
      <c r="M14228" s="690"/>
    </row>
    <row r="14229" spans="13:13">
      <c r="M14229" s="690"/>
    </row>
    <row r="14230" spans="13:13">
      <c r="M14230" s="690"/>
    </row>
    <row r="14231" spans="13:13">
      <c r="M14231" s="690"/>
    </row>
    <row r="14232" spans="13:13">
      <c r="M14232" s="690"/>
    </row>
    <row r="14233" spans="13:13">
      <c r="M14233" s="690"/>
    </row>
    <row r="14234" spans="13:13">
      <c r="M14234" s="690"/>
    </row>
    <row r="14235" spans="13:13">
      <c r="M14235" s="690"/>
    </row>
    <row r="14236" spans="13:13">
      <c r="M14236" s="690"/>
    </row>
    <row r="14237" spans="13:13">
      <c r="M14237" s="690"/>
    </row>
    <row r="14238" spans="13:13">
      <c r="M14238" s="690"/>
    </row>
    <row r="14239" spans="13:13">
      <c r="M14239" s="690"/>
    </row>
    <row r="14240" spans="13:13">
      <c r="M14240" s="690"/>
    </row>
    <row r="14241" spans="13:13">
      <c r="M14241" s="690"/>
    </row>
    <row r="14242" spans="13:13">
      <c r="M14242" s="690"/>
    </row>
    <row r="14243" spans="13:13">
      <c r="M14243" s="690"/>
    </row>
    <row r="14244" spans="13:13">
      <c r="M14244" s="690"/>
    </row>
    <row r="14245" spans="13:13">
      <c r="M14245" s="690"/>
    </row>
    <row r="14246" spans="13:13">
      <c r="M14246" s="690"/>
    </row>
    <row r="14247" spans="13:13">
      <c r="M14247" s="690"/>
    </row>
    <row r="14248" spans="13:13">
      <c r="M14248" s="690"/>
    </row>
    <row r="14249" spans="13:13">
      <c r="M14249" s="690"/>
    </row>
    <row r="14250" spans="13:13">
      <c r="M14250" s="690"/>
    </row>
    <row r="14251" spans="13:13">
      <c r="M14251" s="690"/>
    </row>
    <row r="14252" spans="13:13">
      <c r="M14252" s="690"/>
    </row>
    <row r="14253" spans="13:13">
      <c r="M14253" s="690"/>
    </row>
    <row r="14254" spans="13:13">
      <c r="M14254" s="690"/>
    </row>
    <row r="14255" spans="13:13">
      <c r="M14255" s="690"/>
    </row>
    <row r="14256" spans="13:13">
      <c r="M14256" s="690"/>
    </row>
    <row r="14257" spans="13:13">
      <c r="M14257" s="690"/>
    </row>
    <row r="14258" spans="13:13">
      <c r="M14258" s="690"/>
    </row>
    <row r="14259" spans="13:13">
      <c r="M14259" s="690"/>
    </row>
    <row r="14260" spans="13:13">
      <c r="M14260" s="690"/>
    </row>
    <row r="14261" spans="13:13">
      <c r="M14261" s="690"/>
    </row>
    <row r="14262" spans="13:13">
      <c r="M14262" s="690"/>
    </row>
    <row r="14263" spans="13:13">
      <c r="M14263" s="690"/>
    </row>
    <row r="14264" spans="13:13">
      <c r="M14264" s="690"/>
    </row>
    <row r="14265" spans="13:13">
      <c r="M14265" s="690"/>
    </row>
    <row r="14266" spans="13:13">
      <c r="M14266" s="690"/>
    </row>
    <row r="14267" spans="13:13">
      <c r="M14267" s="690"/>
    </row>
    <row r="14268" spans="13:13">
      <c r="M14268" s="690"/>
    </row>
    <row r="14269" spans="13:13">
      <c r="M14269" s="690"/>
    </row>
    <row r="14270" spans="13:13">
      <c r="M14270" s="690"/>
    </row>
    <row r="14271" spans="13:13">
      <c r="M14271" s="690"/>
    </row>
    <row r="14272" spans="13:13">
      <c r="M14272" s="690"/>
    </row>
    <row r="14273" spans="13:13">
      <c r="M14273" s="690"/>
    </row>
    <row r="14274" spans="13:13">
      <c r="M14274" s="690"/>
    </row>
    <row r="14275" spans="13:13">
      <c r="M14275" s="690"/>
    </row>
    <row r="14276" spans="13:13">
      <c r="M14276" s="690"/>
    </row>
    <row r="14277" spans="13:13">
      <c r="M14277" s="690"/>
    </row>
    <row r="14278" spans="13:13">
      <c r="M14278" s="690"/>
    </row>
    <row r="14279" spans="13:13">
      <c r="M14279" s="690"/>
    </row>
    <row r="14280" spans="13:13">
      <c r="M14280" s="690"/>
    </row>
    <row r="14281" spans="13:13">
      <c r="M14281" s="690"/>
    </row>
    <row r="14282" spans="13:13">
      <c r="M14282" s="690"/>
    </row>
    <row r="14283" spans="13:13">
      <c r="M14283" s="690"/>
    </row>
    <row r="14284" spans="13:13">
      <c r="M14284" s="690"/>
    </row>
    <row r="14285" spans="13:13">
      <c r="M14285" s="690"/>
    </row>
    <row r="14286" spans="13:13">
      <c r="M14286" s="690"/>
    </row>
    <row r="14287" spans="13:13">
      <c r="M14287" s="690"/>
    </row>
    <row r="14288" spans="13:13">
      <c r="M14288" s="690"/>
    </row>
    <row r="14289" spans="13:13">
      <c r="M14289" s="690"/>
    </row>
    <row r="14290" spans="13:13">
      <c r="M14290" s="690"/>
    </row>
    <row r="14291" spans="13:13">
      <c r="M14291" s="690"/>
    </row>
    <row r="14292" spans="13:13">
      <c r="M14292" s="690"/>
    </row>
    <row r="14293" spans="13:13">
      <c r="M14293" s="690"/>
    </row>
    <row r="14294" spans="13:13">
      <c r="M14294" s="690"/>
    </row>
    <row r="14295" spans="13:13">
      <c r="M14295" s="690"/>
    </row>
    <row r="14296" spans="13:13">
      <c r="M14296" s="690"/>
    </row>
    <row r="14297" spans="13:13">
      <c r="M14297" s="690"/>
    </row>
    <row r="14298" spans="13:13">
      <c r="M14298" s="690"/>
    </row>
    <row r="14299" spans="13:13">
      <c r="M14299" s="690"/>
    </row>
    <row r="14300" spans="13:13">
      <c r="M14300" s="690"/>
    </row>
    <row r="14301" spans="13:13">
      <c r="M14301" s="690"/>
    </row>
    <row r="14302" spans="13:13">
      <c r="M14302" s="690"/>
    </row>
    <row r="14303" spans="13:13">
      <c r="M14303" s="690"/>
    </row>
    <row r="14304" spans="13:13">
      <c r="M14304" s="690"/>
    </row>
    <row r="14305" spans="13:13">
      <c r="M14305" s="690"/>
    </row>
    <row r="14306" spans="13:13">
      <c r="M14306" s="690"/>
    </row>
    <row r="14307" spans="13:13">
      <c r="M14307" s="690"/>
    </row>
    <row r="14308" spans="13:13">
      <c r="M14308" s="690"/>
    </row>
    <row r="14309" spans="13:13">
      <c r="M14309" s="690"/>
    </row>
    <row r="14310" spans="13:13">
      <c r="M14310" s="690"/>
    </row>
    <row r="14311" spans="13:13">
      <c r="M14311" s="690"/>
    </row>
    <row r="14312" spans="13:13">
      <c r="M14312" s="690"/>
    </row>
    <row r="14313" spans="13:13">
      <c r="M14313" s="690"/>
    </row>
    <row r="14314" spans="13:13">
      <c r="M14314" s="690"/>
    </row>
    <row r="14315" spans="13:13">
      <c r="M14315" s="690"/>
    </row>
    <row r="14316" spans="13:13">
      <c r="M14316" s="690"/>
    </row>
    <row r="14317" spans="13:13">
      <c r="M14317" s="690"/>
    </row>
    <row r="14318" spans="13:13">
      <c r="M14318" s="690"/>
    </row>
    <row r="14319" spans="13:13">
      <c r="M14319" s="690"/>
    </row>
    <row r="14320" spans="13:13">
      <c r="M14320" s="690"/>
    </row>
    <row r="14321" spans="13:13">
      <c r="M14321" s="690"/>
    </row>
    <row r="14322" spans="13:13">
      <c r="M14322" s="690"/>
    </row>
    <row r="14323" spans="13:13">
      <c r="M14323" s="690"/>
    </row>
    <row r="14324" spans="13:13">
      <c r="M14324" s="690"/>
    </row>
    <row r="14325" spans="13:13">
      <c r="M14325" s="690"/>
    </row>
    <row r="14326" spans="13:13">
      <c r="M14326" s="690"/>
    </row>
    <row r="14327" spans="13:13">
      <c r="M14327" s="690"/>
    </row>
    <row r="14328" spans="13:13">
      <c r="M14328" s="690"/>
    </row>
    <row r="14329" spans="13:13">
      <c r="M14329" s="690"/>
    </row>
    <row r="14330" spans="13:13">
      <c r="M14330" s="690"/>
    </row>
    <row r="14331" spans="13:13">
      <c r="M14331" s="690"/>
    </row>
    <row r="14332" spans="13:13">
      <c r="M14332" s="690"/>
    </row>
    <row r="14333" spans="13:13">
      <c r="M14333" s="690"/>
    </row>
    <row r="14334" spans="13:13">
      <c r="M14334" s="690"/>
    </row>
    <row r="14335" spans="13:13">
      <c r="M14335" s="690"/>
    </row>
    <row r="14336" spans="13:13">
      <c r="M14336" s="690"/>
    </row>
    <row r="14337" spans="13:13">
      <c r="M14337" s="690"/>
    </row>
    <row r="14338" spans="13:13">
      <c r="M14338" s="690"/>
    </row>
    <row r="14339" spans="13:13">
      <c r="M14339" s="690"/>
    </row>
    <row r="14340" spans="13:13">
      <c r="M14340" s="690"/>
    </row>
    <row r="14341" spans="13:13">
      <c r="M14341" s="690"/>
    </row>
    <row r="14342" spans="13:13">
      <c r="M14342" s="690"/>
    </row>
    <row r="14343" spans="13:13">
      <c r="M14343" s="690"/>
    </row>
    <row r="14344" spans="13:13">
      <c r="M14344" s="690"/>
    </row>
    <row r="14345" spans="13:13">
      <c r="M14345" s="690"/>
    </row>
    <row r="14346" spans="13:13">
      <c r="M14346" s="690"/>
    </row>
    <row r="14347" spans="13:13">
      <c r="M14347" s="690"/>
    </row>
    <row r="14348" spans="13:13">
      <c r="M14348" s="690"/>
    </row>
    <row r="14349" spans="13:13">
      <c r="M14349" s="690"/>
    </row>
    <row r="14350" spans="13:13">
      <c r="M14350" s="690"/>
    </row>
    <row r="14351" spans="13:13">
      <c r="M14351" s="690"/>
    </row>
    <row r="14352" spans="13:13">
      <c r="M14352" s="690"/>
    </row>
    <row r="14353" spans="13:13">
      <c r="M14353" s="690"/>
    </row>
    <row r="14354" spans="13:13">
      <c r="M14354" s="690"/>
    </row>
    <row r="14355" spans="13:13">
      <c r="M14355" s="690"/>
    </row>
    <row r="14356" spans="13:13">
      <c r="M14356" s="690"/>
    </row>
    <row r="14357" spans="13:13">
      <c r="M14357" s="690"/>
    </row>
    <row r="14358" spans="13:13">
      <c r="M14358" s="690"/>
    </row>
    <row r="14359" spans="13:13">
      <c r="M14359" s="690"/>
    </row>
    <row r="14360" spans="13:13">
      <c r="M14360" s="690"/>
    </row>
    <row r="14361" spans="13:13">
      <c r="M14361" s="690"/>
    </row>
    <row r="14362" spans="13:13">
      <c r="M14362" s="690"/>
    </row>
    <row r="14363" spans="13:13">
      <c r="M14363" s="690"/>
    </row>
    <row r="14364" spans="13:13">
      <c r="M14364" s="690"/>
    </row>
    <row r="14365" spans="13:13">
      <c r="M14365" s="690"/>
    </row>
    <row r="14366" spans="13:13">
      <c r="M14366" s="690"/>
    </row>
    <row r="14367" spans="13:13">
      <c r="M14367" s="690"/>
    </row>
    <row r="14368" spans="13:13">
      <c r="M14368" s="690"/>
    </row>
    <row r="14369" spans="13:13">
      <c r="M14369" s="690"/>
    </row>
    <row r="14370" spans="13:13">
      <c r="M14370" s="690"/>
    </row>
    <row r="14371" spans="13:13">
      <c r="M14371" s="690"/>
    </row>
    <row r="14372" spans="13:13">
      <c r="M14372" s="690"/>
    </row>
    <row r="14373" spans="13:13">
      <c r="M14373" s="690"/>
    </row>
    <row r="14374" spans="13:13">
      <c r="M14374" s="690"/>
    </row>
    <row r="14375" spans="13:13">
      <c r="M14375" s="690"/>
    </row>
    <row r="14376" spans="13:13">
      <c r="M14376" s="690"/>
    </row>
    <row r="14377" spans="13:13">
      <c r="M14377" s="690"/>
    </row>
    <row r="14378" spans="13:13">
      <c r="M14378" s="690"/>
    </row>
    <row r="14379" spans="13:13">
      <c r="M14379" s="690"/>
    </row>
    <row r="14380" spans="13:13">
      <c r="M14380" s="690"/>
    </row>
    <row r="14381" spans="13:13">
      <c r="M14381" s="690"/>
    </row>
    <row r="14382" spans="13:13">
      <c r="M14382" s="690"/>
    </row>
    <row r="14383" spans="13:13">
      <c r="M14383" s="690"/>
    </row>
    <row r="14384" spans="13:13">
      <c r="M14384" s="690"/>
    </row>
    <row r="14385" spans="13:13">
      <c r="M14385" s="690"/>
    </row>
    <row r="14386" spans="13:13">
      <c r="M14386" s="690"/>
    </row>
    <row r="14387" spans="13:13">
      <c r="M14387" s="690"/>
    </row>
    <row r="14388" spans="13:13">
      <c r="M14388" s="690"/>
    </row>
    <row r="14389" spans="13:13">
      <c r="M14389" s="690"/>
    </row>
    <row r="14390" spans="13:13">
      <c r="M14390" s="690"/>
    </row>
    <row r="14391" spans="13:13">
      <c r="M14391" s="690"/>
    </row>
    <row r="14392" spans="13:13">
      <c r="M14392" s="690"/>
    </row>
    <row r="14393" spans="13:13">
      <c r="M14393" s="690"/>
    </row>
    <row r="14394" spans="13:13">
      <c r="M14394" s="690"/>
    </row>
    <row r="14395" spans="13:13">
      <c r="M14395" s="690"/>
    </row>
    <row r="14396" spans="13:13">
      <c r="M14396" s="690"/>
    </row>
    <row r="14397" spans="13:13">
      <c r="M14397" s="690"/>
    </row>
    <row r="14398" spans="13:13">
      <c r="M14398" s="690"/>
    </row>
    <row r="14399" spans="13:13">
      <c r="M14399" s="690"/>
    </row>
    <row r="14400" spans="13:13">
      <c r="M14400" s="690"/>
    </row>
    <row r="14401" spans="13:13">
      <c r="M14401" s="690"/>
    </row>
    <row r="14402" spans="13:13">
      <c r="M14402" s="690"/>
    </row>
    <row r="14403" spans="13:13">
      <c r="M14403" s="690"/>
    </row>
    <row r="14404" spans="13:13">
      <c r="M14404" s="690"/>
    </row>
    <row r="14405" spans="13:13">
      <c r="M14405" s="690"/>
    </row>
    <row r="14406" spans="13:13">
      <c r="M14406" s="690"/>
    </row>
    <row r="14407" spans="13:13">
      <c r="M14407" s="690"/>
    </row>
    <row r="14408" spans="13:13">
      <c r="M14408" s="690"/>
    </row>
    <row r="14409" spans="13:13">
      <c r="M14409" s="690"/>
    </row>
    <row r="14410" spans="13:13">
      <c r="M14410" s="690"/>
    </row>
    <row r="14411" spans="13:13">
      <c r="M14411" s="690"/>
    </row>
    <row r="14412" spans="13:13">
      <c r="M14412" s="690"/>
    </row>
    <row r="14413" spans="13:13">
      <c r="M14413" s="690"/>
    </row>
    <row r="14414" spans="13:13">
      <c r="M14414" s="690"/>
    </row>
    <row r="14415" spans="13:13">
      <c r="M14415" s="690"/>
    </row>
    <row r="14416" spans="13:13">
      <c r="M14416" s="690"/>
    </row>
    <row r="14417" spans="13:13">
      <c r="M14417" s="690"/>
    </row>
    <row r="14418" spans="13:13">
      <c r="M14418" s="690"/>
    </row>
    <row r="14419" spans="13:13">
      <c r="M14419" s="690"/>
    </row>
    <row r="14420" spans="13:13">
      <c r="M14420" s="690"/>
    </row>
    <row r="14421" spans="13:13">
      <c r="M14421" s="690"/>
    </row>
    <row r="14422" spans="13:13">
      <c r="M14422" s="690"/>
    </row>
    <row r="14423" spans="13:13">
      <c r="M14423" s="690"/>
    </row>
    <row r="14424" spans="13:13">
      <c r="M14424" s="690"/>
    </row>
    <row r="14425" spans="13:13">
      <c r="M14425" s="690"/>
    </row>
    <row r="14426" spans="13:13">
      <c r="M14426" s="690"/>
    </row>
    <row r="14427" spans="13:13">
      <c r="M14427" s="690"/>
    </row>
    <row r="14428" spans="13:13">
      <c r="M14428" s="690"/>
    </row>
    <row r="14429" spans="13:13">
      <c r="M14429" s="690"/>
    </row>
    <row r="14430" spans="13:13">
      <c r="M14430" s="690"/>
    </row>
    <row r="14431" spans="13:13">
      <c r="M14431" s="690"/>
    </row>
    <row r="14432" spans="13:13">
      <c r="M14432" s="690"/>
    </row>
    <row r="14433" spans="13:13">
      <c r="M14433" s="690"/>
    </row>
    <row r="14434" spans="13:13">
      <c r="M14434" s="690"/>
    </row>
    <row r="14435" spans="13:13">
      <c r="M14435" s="690"/>
    </row>
    <row r="14436" spans="13:13">
      <c r="M14436" s="690"/>
    </row>
    <row r="14437" spans="13:13">
      <c r="M14437" s="690"/>
    </row>
    <row r="14438" spans="13:13">
      <c r="M14438" s="690"/>
    </row>
    <row r="14439" spans="13:13">
      <c r="M14439" s="690"/>
    </row>
    <row r="14440" spans="13:13">
      <c r="M14440" s="690"/>
    </row>
    <row r="14441" spans="13:13">
      <c r="M14441" s="690"/>
    </row>
    <row r="14442" spans="13:13">
      <c r="M14442" s="690"/>
    </row>
    <row r="14443" spans="13:13">
      <c r="M14443" s="690"/>
    </row>
    <row r="14444" spans="13:13">
      <c r="M14444" s="690"/>
    </row>
    <row r="14445" spans="13:13">
      <c r="M14445" s="690"/>
    </row>
    <row r="14446" spans="13:13">
      <c r="M14446" s="690"/>
    </row>
    <row r="14447" spans="13:13">
      <c r="M14447" s="690"/>
    </row>
    <row r="14448" spans="13:13">
      <c r="M14448" s="690"/>
    </row>
    <row r="14449" spans="13:13">
      <c r="M14449" s="690"/>
    </row>
    <row r="14450" spans="13:13">
      <c r="M14450" s="690"/>
    </row>
    <row r="14451" spans="13:13">
      <c r="M14451" s="690"/>
    </row>
    <row r="14452" spans="13:13">
      <c r="M14452" s="690"/>
    </row>
    <row r="14453" spans="13:13">
      <c r="M14453" s="690"/>
    </row>
    <row r="14454" spans="13:13">
      <c r="M14454" s="690"/>
    </row>
    <row r="14455" spans="13:13">
      <c r="M14455" s="690"/>
    </row>
    <row r="14456" spans="13:13">
      <c r="M14456" s="690"/>
    </row>
    <row r="14457" spans="13:13">
      <c r="M14457" s="690"/>
    </row>
    <row r="14458" spans="13:13">
      <c r="M14458" s="690"/>
    </row>
    <row r="14459" spans="13:13">
      <c r="M14459" s="690"/>
    </row>
    <row r="14460" spans="13:13">
      <c r="M14460" s="690"/>
    </row>
    <row r="14461" spans="13:13">
      <c r="M14461" s="690"/>
    </row>
    <row r="14462" spans="13:13">
      <c r="M14462" s="690"/>
    </row>
    <row r="14463" spans="13:13">
      <c r="M14463" s="690"/>
    </row>
    <row r="14464" spans="13:13">
      <c r="M14464" s="690"/>
    </row>
    <row r="14465" spans="13:13">
      <c r="M14465" s="690"/>
    </row>
    <row r="14466" spans="13:13">
      <c r="M14466" s="690"/>
    </row>
    <row r="14467" spans="13:13">
      <c r="M14467" s="690"/>
    </row>
    <row r="14468" spans="13:13">
      <c r="M14468" s="690"/>
    </row>
    <row r="14469" spans="13:13">
      <c r="M14469" s="690"/>
    </row>
    <row r="14470" spans="13:13">
      <c r="M14470" s="690"/>
    </row>
    <row r="14471" spans="13:13">
      <c r="M14471" s="690"/>
    </row>
    <row r="14472" spans="13:13">
      <c r="M14472" s="690"/>
    </row>
    <row r="14473" spans="13:13">
      <c r="M14473" s="690"/>
    </row>
    <row r="14474" spans="13:13">
      <c r="M14474" s="690"/>
    </row>
    <row r="14475" spans="13:13">
      <c r="M14475" s="690"/>
    </row>
    <row r="14476" spans="13:13">
      <c r="M14476" s="690"/>
    </row>
    <row r="14477" spans="13:13">
      <c r="M14477" s="690"/>
    </row>
    <row r="14478" spans="13:13">
      <c r="M14478" s="690"/>
    </row>
    <row r="14479" spans="13:13">
      <c r="M14479" s="690"/>
    </row>
    <row r="14480" spans="13:13">
      <c r="M14480" s="690"/>
    </row>
    <row r="14481" spans="13:13">
      <c r="M14481" s="690"/>
    </row>
    <row r="14482" spans="13:13">
      <c r="M14482" s="690"/>
    </row>
    <row r="14483" spans="13:13">
      <c r="M14483" s="690"/>
    </row>
    <row r="14484" spans="13:13">
      <c r="M14484" s="690"/>
    </row>
    <row r="14485" spans="13:13">
      <c r="M14485" s="690"/>
    </row>
    <row r="14486" spans="13:13">
      <c r="M14486" s="690"/>
    </row>
    <row r="14487" spans="13:13">
      <c r="M14487" s="690"/>
    </row>
    <row r="14488" spans="13:13">
      <c r="M14488" s="690"/>
    </row>
    <row r="14489" spans="13:13">
      <c r="M14489" s="690"/>
    </row>
    <row r="14490" spans="13:13">
      <c r="M14490" s="690"/>
    </row>
    <row r="14491" spans="13:13">
      <c r="M14491" s="690"/>
    </row>
    <row r="14492" spans="13:13">
      <c r="M14492" s="690"/>
    </row>
    <row r="14493" spans="13:13">
      <c r="M14493" s="690"/>
    </row>
    <row r="14494" spans="13:13">
      <c r="M14494" s="690"/>
    </row>
    <row r="14495" spans="13:13">
      <c r="M14495" s="690"/>
    </row>
    <row r="14496" spans="13:13">
      <c r="M14496" s="690"/>
    </row>
    <row r="14497" spans="13:13">
      <c r="M14497" s="690"/>
    </row>
    <row r="14498" spans="13:13">
      <c r="M14498" s="690"/>
    </row>
    <row r="14499" spans="13:13">
      <c r="M14499" s="690"/>
    </row>
    <row r="14500" spans="13:13">
      <c r="M14500" s="690"/>
    </row>
    <row r="14501" spans="13:13">
      <c r="M14501" s="690"/>
    </row>
    <row r="14502" spans="13:13">
      <c r="M14502" s="690"/>
    </row>
    <row r="14503" spans="13:13">
      <c r="M14503" s="690"/>
    </row>
    <row r="14504" spans="13:13">
      <c r="M14504" s="690"/>
    </row>
    <row r="14505" spans="13:13">
      <c r="M14505" s="690"/>
    </row>
    <row r="14506" spans="13:13">
      <c r="M14506" s="690"/>
    </row>
    <row r="14507" spans="13:13">
      <c r="M14507" s="690"/>
    </row>
    <row r="14508" spans="13:13">
      <c r="M14508" s="690"/>
    </row>
    <row r="14509" spans="13:13">
      <c r="M14509" s="690"/>
    </row>
    <row r="14510" spans="13:13">
      <c r="M14510" s="690"/>
    </row>
    <row r="14511" spans="13:13">
      <c r="M14511" s="690"/>
    </row>
    <row r="14512" spans="13:13">
      <c r="M14512" s="690"/>
    </row>
    <row r="14513" spans="13:13">
      <c r="M14513" s="690"/>
    </row>
    <row r="14514" spans="13:13">
      <c r="M14514" s="690"/>
    </row>
    <row r="14515" spans="13:13">
      <c r="M14515" s="690"/>
    </row>
    <row r="14516" spans="13:13">
      <c r="M14516" s="690"/>
    </row>
    <row r="14517" spans="13:13">
      <c r="M14517" s="690"/>
    </row>
    <row r="14518" spans="13:13">
      <c r="M14518" s="690"/>
    </row>
    <row r="14519" spans="13:13">
      <c r="M14519" s="690"/>
    </row>
    <row r="14520" spans="13:13">
      <c r="M14520" s="690"/>
    </row>
    <row r="14521" spans="13:13">
      <c r="M14521" s="690"/>
    </row>
    <row r="14522" spans="13:13">
      <c r="M14522" s="690"/>
    </row>
    <row r="14523" spans="13:13">
      <c r="M14523" s="690"/>
    </row>
    <row r="14524" spans="13:13">
      <c r="M14524" s="690"/>
    </row>
    <row r="14525" spans="13:13">
      <c r="M14525" s="690"/>
    </row>
    <row r="14526" spans="13:13">
      <c r="M14526" s="690"/>
    </row>
    <row r="14527" spans="13:13">
      <c r="M14527" s="690"/>
    </row>
    <row r="14528" spans="13:13">
      <c r="M14528" s="690"/>
    </row>
    <row r="14529" spans="13:13">
      <c r="M14529" s="690"/>
    </row>
    <row r="14530" spans="13:13">
      <c r="M14530" s="690"/>
    </row>
    <row r="14531" spans="13:13">
      <c r="M14531" s="690"/>
    </row>
    <row r="14532" spans="13:13">
      <c r="M14532" s="690"/>
    </row>
    <row r="14533" spans="13:13">
      <c r="M14533" s="690"/>
    </row>
    <row r="14534" spans="13:13">
      <c r="M14534" s="690"/>
    </row>
    <row r="14535" spans="13:13">
      <c r="M14535" s="690"/>
    </row>
    <row r="14536" spans="13:13">
      <c r="M14536" s="690"/>
    </row>
    <row r="14537" spans="13:13">
      <c r="M14537" s="690"/>
    </row>
    <row r="14538" spans="13:13">
      <c r="M14538" s="690"/>
    </row>
    <row r="14539" spans="13:13">
      <c r="M14539" s="690"/>
    </row>
    <row r="14540" spans="13:13">
      <c r="M14540" s="690"/>
    </row>
    <row r="14541" spans="13:13">
      <c r="M14541" s="690"/>
    </row>
    <row r="14542" spans="13:13">
      <c r="M14542" s="690"/>
    </row>
    <row r="14543" spans="13:13">
      <c r="M14543" s="690"/>
    </row>
    <row r="14544" spans="13:13">
      <c r="M14544" s="690"/>
    </row>
    <row r="14545" spans="13:13">
      <c r="M14545" s="690"/>
    </row>
    <row r="14546" spans="13:13">
      <c r="M14546" s="690"/>
    </row>
    <row r="14547" spans="13:13">
      <c r="M14547" s="690"/>
    </row>
    <row r="14548" spans="13:13">
      <c r="M14548" s="690"/>
    </row>
    <row r="14549" spans="13:13">
      <c r="M14549" s="690"/>
    </row>
    <row r="14550" spans="13:13">
      <c r="M14550" s="690"/>
    </row>
    <row r="14551" spans="13:13">
      <c r="M14551" s="690"/>
    </row>
    <row r="14552" spans="13:13">
      <c r="M14552" s="690"/>
    </row>
    <row r="14553" spans="13:13">
      <c r="M14553" s="690"/>
    </row>
    <row r="14554" spans="13:13">
      <c r="M14554" s="690"/>
    </row>
    <row r="14555" spans="13:13">
      <c r="M14555" s="690"/>
    </row>
    <row r="14556" spans="13:13">
      <c r="M14556" s="690"/>
    </row>
    <row r="14557" spans="13:13">
      <c r="M14557" s="690"/>
    </row>
    <row r="14558" spans="13:13">
      <c r="M14558" s="690"/>
    </row>
    <row r="14559" spans="13:13">
      <c r="M14559" s="690"/>
    </row>
    <row r="14560" spans="13:13">
      <c r="M14560" s="690"/>
    </row>
    <row r="14561" spans="13:13">
      <c r="M14561" s="690"/>
    </row>
    <row r="14562" spans="13:13">
      <c r="M14562" s="690"/>
    </row>
    <row r="14563" spans="13:13">
      <c r="M14563" s="690"/>
    </row>
    <row r="14564" spans="13:13">
      <c r="M14564" s="690"/>
    </row>
    <row r="14565" spans="13:13">
      <c r="M14565" s="690"/>
    </row>
    <row r="14566" spans="13:13">
      <c r="M14566" s="690"/>
    </row>
    <row r="14567" spans="13:13">
      <c r="M14567" s="690"/>
    </row>
    <row r="14568" spans="13:13">
      <c r="M14568" s="690"/>
    </row>
    <row r="14569" spans="13:13">
      <c r="M14569" s="690"/>
    </row>
    <row r="14570" spans="13:13">
      <c r="M14570" s="690"/>
    </row>
    <row r="14571" spans="13:13">
      <c r="M14571" s="690"/>
    </row>
    <row r="14572" spans="13:13">
      <c r="M14572" s="690"/>
    </row>
    <row r="14573" spans="13:13">
      <c r="M14573" s="690"/>
    </row>
    <row r="14574" spans="13:13">
      <c r="M14574" s="690"/>
    </row>
    <row r="14575" spans="13:13">
      <c r="M14575" s="690"/>
    </row>
    <row r="14576" spans="13:13">
      <c r="M14576" s="690"/>
    </row>
    <row r="14577" spans="13:13">
      <c r="M14577" s="690"/>
    </row>
    <row r="14578" spans="13:13">
      <c r="M14578" s="690"/>
    </row>
    <row r="14579" spans="13:13">
      <c r="M14579" s="690"/>
    </row>
    <row r="14580" spans="13:13">
      <c r="M14580" s="690"/>
    </row>
    <row r="14581" spans="13:13">
      <c r="M14581" s="690"/>
    </row>
    <row r="14582" spans="13:13">
      <c r="M14582" s="690"/>
    </row>
    <row r="14583" spans="13:13">
      <c r="M14583" s="690"/>
    </row>
    <row r="14584" spans="13:13">
      <c r="M14584" s="690"/>
    </row>
    <row r="14585" spans="13:13">
      <c r="M14585" s="690"/>
    </row>
    <row r="14586" spans="13:13">
      <c r="M14586" s="690"/>
    </row>
    <row r="14587" spans="13:13">
      <c r="M14587" s="690"/>
    </row>
    <row r="14588" spans="13:13">
      <c r="M14588" s="690"/>
    </row>
    <row r="14589" spans="13:13">
      <c r="M14589" s="690"/>
    </row>
    <row r="14590" spans="13:13">
      <c r="M14590" s="690"/>
    </row>
    <row r="14591" spans="13:13">
      <c r="M14591" s="690"/>
    </row>
    <row r="14592" spans="13:13">
      <c r="M14592" s="690"/>
    </row>
    <row r="14593" spans="13:13">
      <c r="M14593" s="690"/>
    </row>
    <row r="14594" spans="13:13">
      <c r="M14594" s="690"/>
    </row>
    <row r="14595" spans="13:13">
      <c r="M14595" s="690"/>
    </row>
    <row r="14596" spans="13:13">
      <c r="M14596" s="690"/>
    </row>
    <row r="14597" spans="13:13">
      <c r="M14597" s="690"/>
    </row>
    <row r="14598" spans="13:13">
      <c r="M14598" s="690"/>
    </row>
    <row r="14599" spans="13:13">
      <c r="M14599" s="690"/>
    </row>
    <row r="14600" spans="13:13">
      <c r="M14600" s="690"/>
    </row>
    <row r="14601" spans="13:13">
      <c r="M14601" s="690"/>
    </row>
    <row r="14602" spans="13:13">
      <c r="M14602" s="690"/>
    </row>
    <row r="14603" spans="13:13">
      <c r="M14603" s="690"/>
    </row>
    <row r="14604" spans="13:13">
      <c r="M14604" s="690"/>
    </row>
    <row r="14605" spans="13:13">
      <c r="M14605" s="690"/>
    </row>
    <row r="14606" spans="13:13">
      <c r="M14606" s="690"/>
    </row>
    <row r="14607" spans="13:13">
      <c r="M14607" s="690"/>
    </row>
    <row r="14608" spans="13:13">
      <c r="M14608" s="690"/>
    </row>
    <row r="14609" spans="13:13">
      <c r="M14609" s="690"/>
    </row>
    <row r="14610" spans="13:13">
      <c r="M14610" s="690"/>
    </row>
    <row r="14611" spans="13:13">
      <c r="M14611" s="690"/>
    </row>
    <row r="14612" spans="13:13">
      <c r="M14612" s="690"/>
    </row>
    <row r="14613" spans="13:13">
      <c r="M14613" s="690"/>
    </row>
    <row r="14614" spans="13:13">
      <c r="M14614" s="690"/>
    </row>
    <row r="14615" spans="13:13">
      <c r="M14615" s="690"/>
    </row>
    <row r="14616" spans="13:13">
      <c r="M14616" s="690"/>
    </row>
    <row r="14617" spans="13:13">
      <c r="M14617" s="690"/>
    </row>
    <row r="14618" spans="13:13">
      <c r="M14618" s="690"/>
    </row>
    <row r="14619" spans="13:13">
      <c r="M14619" s="690"/>
    </row>
    <row r="14620" spans="13:13">
      <c r="M14620" s="690"/>
    </row>
    <row r="14621" spans="13:13">
      <c r="M14621" s="690"/>
    </row>
    <row r="14622" spans="13:13">
      <c r="M14622" s="690"/>
    </row>
    <row r="14623" spans="13:13">
      <c r="M14623" s="690"/>
    </row>
    <row r="14624" spans="13:13">
      <c r="M14624" s="690"/>
    </row>
    <row r="14625" spans="13:13">
      <c r="M14625" s="690"/>
    </row>
    <row r="14626" spans="13:13">
      <c r="M14626" s="690"/>
    </row>
    <row r="14627" spans="13:13">
      <c r="M14627" s="690"/>
    </row>
    <row r="14628" spans="13:13">
      <c r="M14628" s="690"/>
    </row>
    <row r="14629" spans="13:13">
      <c r="M14629" s="690"/>
    </row>
    <row r="14630" spans="13:13">
      <c r="M14630" s="690"/>
    </row>
    <row r="14631" spans="13:13">
      <c r="M14631" s="690"/>
    </row>
    <row r="14632" spans="13:13">
      <c r="M14632" s="690"/>
    </row>
    <row r="14633" spans="13:13">
      <c r="M14633" s="690"/>
    </row>
    <row r="14634" spans="13:13">
      <c r="M14634" s="690"/>
    </row>
    <row r="14635" spans="13:13">
      <c r="M14635" s="690"/>
    </row>
    <row r="14636" spans="13:13">
      <c r="M14636" s="690"/>
    </row>
    <row r="14637" spans="13:13">
      <c r="M14637" s="690"/>
    </row>
    <row r="14638" spans="13:13">
      <c r="M14638" s="690"/>
    </row>
    <row r="14639" spans="13:13">
      <c r="M14639" s="690"/>
    </row>
    <row r="14640" spans="13:13">
      <c r="M14640" s="690"/>
    </row>
    <row r="14641" spans="13:13">
      <c r="M14641" s="690"/>
    </row>
    <row r="14642" spans="13:13">
      <c r="M14642" s="690"/>
    </row>
    <row r="14643" spans="13:13">
      <c r="M14643" s="690"/>
    </row>
    <row r="14644" spans="13:13">
      <c r="M14644" s="690"/>
    </row>
    <row r="14645" spans="13:13">
      <c r="M14645" s="690"/>
    </row>
    <row r="14646" spans="13:13">
      <c r="M14646" s="690"/>
    </row>
    <row r="14647" spans="13:13">
      <c r="M14647" s="690"/>
    </row>
    <row r="14648" spans="13:13">
      <c r="M14648" s="690"/>
    </row>
    <row r="14649" spans="13:13">
      <c r="M14649" s="690"/>
    </row>
    <row r="14650" spans="13:13">
      <c r="M14650" s="690"/>
    </row>
    <row r="14651" spans="13:13">
      <c r="M14651" s="690"/>
    </row>
    <row r="14652" spans="13:13">
      <c r="M14652" s="690"/>
    </row>
    <row r="14653" spans="13:13">
      <c r="M14653" s="690"/>
    </row>
    <row r="14654" spans="13:13">
      <c r="M14654" s="690"/>
    </row>
    <row r="14655" spans="13:13">
      <c r="M14655" s="690"/>
    </row>
    <row r="14656" spans="13:13">
      <c r="M14656" s="690"/>
    </row>
    <row r="14657" spans="13:13">
      <c r="M14657" s="690"/>
    </row>
    <row r="14658" spans="13:13">
      <c r="M14658" s="690"/>
    </row>
    <row r="14659" spans="13:13">
      <c r="M14659" s="690"/>
    </row>
    <row r="14660" spans="13:13">
      <c r="M14660" s="690"/>
    </row>
    <row r="14661" spans="13:13">
      <c r="M14661" s="690"/>
    </row>
    <row r="14662" spans="13:13">
      <c r="M14662" s="690"/>
    </row>
    <row r="14663" spans="13:13">
      <c r="M14663" s="690"/>
    </row>
    <row r="14664" spans="13:13">
      <c r="M14664" s="690"/>
    </row>
    <row r="14665" spans="13:13">
      <c r="M14665" s="690"/>
    </row>
    <row r="14666" spans="13:13">
      <c r="M14666" s="690"/>
    </row>
    <row r="14667" spans="13:13">
      <c r="M14667" s="690"/>
    </row>
    <row r="14668" spans="13:13">
      <c r="M14668" s="690"/>
    </row>
    <row r="14669" spans="13:13">
      <c r="M14669" s="690"/>
    </row>
    <row r="14670" spans="13:13">
      <c r="M14670" s="690"/>
    </row>
    <row r="14671" spans="13:13">
      <c r="M14671" s="690"/>
    </row>
    <row r="14672" spans="13:13">
      <c r="M14672" s="690"/>
    </row>
    <row r="14673" spans="13:13">
      <c r="M14673" s="690"/>
    </row>
    <row r="14674" spans="13:13">
      <c r="M14674" s="690"/>
    </row>
    <row r="14675" spans="13:13">
      <c r="M14675" s="690"/>
    </row>
    <row r="14676" spans="13:13">
      <c r="M14676" s="690"/>
    </row>
    <row r="14677" spans="13:13">
      <c r="M14677" s="690"/>
    </row>
    <row r="14678" spans="13:13">
      <c r="M14678" s="690"/>
    </row>
    <row r="14679" spans="13:13">
      <c r="M14679" s="690"/>
    </row>
    <row r="14680" spans="13:13">
      <c r="M14680" s="690"/>
    </row>
    <row r="14681" spans="13:13">
      <c r="M14681" s="690"/>
    </row>
    <row r="14682" spans="13:13">
      <c r="M14682" s="690"/>
    </row>
    <row r="14683" spans="13:13">
      <c r="M14683" s="690"/>
    </row>
    <row r="14684" spans="13:13">
      <c r="M14684" s="690"/>
    </row>
    <row r="14685" spans="13:13">
      <c r="M14685" s="690"/>
    </row>
    <row r="14686" spans="13:13">
      <c r="M14686" s="690"/>
    </row>
    <row r="14687" spans="13:13">
      <c r="M14687" s="690"/>
    </row>
    <row r="14688" spans="13:13">
      <c r="M14688" s="690"/>
    </row>
    <row r="14689" spans="13:13">
      <c r="M14689" s="690"/>
    </row>
    <row r="14690" spans="13:13">
      <c r="M14690" s="690"/>
    </row>
    <row r="14691" spans="13:13">
      <c r="M14691" s="690"/>
    </row>
    <row r="14692" spans="13:13">
      <c r="M14692" s="690"/>
    </row>
    <row r="14693" spans="13:13">
      <c r="M14693" s="690"/>
    </row>
    <row r="14694" spans="13:13">
      <c r="M14694" s="690"/>
    </row>
    <row r="14695" spans="13:13">
      <c r="M14695" s="690"/>
    </row>
    <row r="14696" spans="13:13">
      <c r="M14696" s="690"/>
    </row>
    <row r="14697" spans="13:13">
      <c r="M14697" s="690"/>
    </row>
    <row r="14698" spans="13:13">
      <c r="M14698" s="690"/>
    </row>
    <row r="14699" spans="13:13">
      <c r="M14699" s="690"/>
    </row>
    <row r="14700" spans="13:13">
      <c r="M14700" s="690"/>
    </row>
    <row r="14701" spans="13:13">
      <c r="M14701" s="690"/>
    </row>
    <row r="14702" spans="13:13">
      <c r="M14702" s="690"/>
    </row>
    <row r="14703" spans="13:13">
      <c r="M14703" s="690"/>
    </row>
    <row r="14704" spans="13:13">
      <c r="M14704" s="690"/>
    </row>
    <row r="14705" spans="13:13">
      <c r="M14705" s="690"/>
    </row>
    <row r="14706" spans="13:13">
      <c r="M14706" s="690"/>
    </row>
    <row r="14707" spans="13:13">
      <c r="M14707" s="690"/>
    </row>
    <row r="14708" spans="13:13">
      <c r="M14708" s="690"/>
    </row>
    <row r="14709" spans="13:13">
      <c r="M14709" s="690"/>
    </row>
    <row r="14710" spans="13:13">
      <c r="M14710" s="690"/>
    </row>
    <row r="14711" spans="13:13">
      <c r="M14711" s="690"/>
    </row>
    <row r="14712" spans="13:13">
      <c r="M14712" s="690"/>
    </row>
    <row r="14713" spans="13:13">
      <c r="M14713" s="690"/>
    </row>
    <row r="14714" spans="13:13">
      <c r="M14714" s="690"/>
    </row>
    <row r="14715" spans="13:13">
      <c r="M14715" s="690"/>
    </row>
    <row r="14716" spans="13:13">
      <c r="M14716" s="690"/>
    </row>
    <row r="14717" spans="13:13">
      <c r="M14717" s="690"/>
    </row>
    <row r="14718" spans="13:13">
      <c r="M14718" s="690"/>
    </row>
    <row r="14719" spans="13:13">
      <c r="M14719" s="690"/>
    </row>
    <row r="14720" spans="13:13">
      <c r="M14720" s="690"/>
    </row>
    <row r="14721" spans="13:13">
      <c r="M14721" s="690"/>
    </row>
    <row r="14722" spans="13:13">
      <c r="M14722" s="690"/>
    </row>
    <row r="14723" spans="13:13">
      <c r="M14723" s="690"/>
    </row>
    <row r="14724" spans="13:13">
      <c r="M14724" s="690"/>
    </row>
    <row r="14725" spans="13:13">
      <c r="M14725" s="690"/>
    </row>
    <row r="14726" spans="13:13">
      <c r="M14726" s="690"/>
    </row>
    <row r="14727" spans="13:13">
      <c r="M14727" s="690"/>
    </row>
    <row r="14728" spans="13:13">
      <c r="M14728" s="690"/>
    </row>
    <row r="14729" spans="13:13">
      <c r="M14729" s="690"/>
    </row>
    <row r="14730" spans="13:13">
      <c r="M14730" s="690"/>
    </row>
    <row r="14731" spans="13:13">
      <c r="M14731" s="690"/>
    </row>
    <row r="14732" spans="13:13">
      <c r="M14732" s="690"/>
    </row>
    <row r="14733" spans="13:13">
      <c r="M14733" s="690"/>
    </row>
    <row r="14734" spans="13:13">
      <c r="M14734" s="690"/>
    </row>
    <row r="14735" spans="13:13">
      <c r="M14735" s="690"/>
    </row>
    <row r="14736" spans="13:13">
      <c r="M14736" s="690"/>
    </row>
    <row r="14737" spans="13:13">
      <c r="M14737" s="690"/>
    </row>
    <row r="14738" spans="13:13">
      <c r="M14738" s="690"/>
    </row>
    <row r="14739" spans="13:13">
      <c r="M14739" s="690"/>
    </row>
    <row r="14740" spans="13:13">
      <c r="M14740" s="690"/>
    </row>
    <row r="14741" spans="13:13">
      <c r="M14741" s="690"/>
    </row>
    <row r="14742" spans="13:13">
      <c r="M14742" s="690"/>
    </row>
    <row r="14743" spans="13:13">
      <c r="M14743" s="690"/>
    </row>
    <row r="14744" spans="13:13">
      <c r="M14744" s="690"/>
    </row>
    <row r="14745" spans="13:13">
      <c r="M14745" s="690"/>
    </row>
    <row r="14746" spans="13:13">
      <c r="M14746" s="690"/>
    </row>
    <row r="14747" spans="13:13">
      <c r="M14747" s="690"/>
    </row>
    <row r="14748" spans="13:13">
      <c r="M14748" s="690"/>
    </row>
    <row r="14749" spans="13:13">
      <c r="M14749" s="690"/>
    </row>
    <row r="14750" spans="13:13">
      <c r="M14750" s="690"/>
    </row>
    <row r="14751" spans="13:13">
      <c r="M14751" s="690"/>
    </row>
    <row r="14752" spans="13:13">
      <c r="M14752" s="690"/>
    </row>
    <row r="14753" spans="13:13">
      <c r="M14753" s="690"/>
    </row>
    <row r="14754" spans="13:13">
      <c r="M14754" s="690"/>
    </row>
    <row r="14755" spans="13:13">
      <c r="M14755" s="690"/>
    </row>
    <row r="14756" spans="13:13">
      <c r="M14756" s="690"/>
    </row>
    <row r="14757" spans="13:13">
      <c r="M14757" s="690"/>
    </row>
    <row r="14758" spans="13:13">
      <c r="M14758" s="690"/>
    </row>
    <row r="14759" spans="13:13">
      <c r="M14759" s="690"/>
    </row>
    <row r="14760" spans="13:13">
      <c r="M14760" s="690"/>
    </row>
    <row r="14761" spans="13:13">
      <c r="M14761" s="690"/>
    </row>
    <row r="14762" spans="13:13">
      <c r="M14762" s="690"/>
    </row>
    <row r="14763" spans="13:13">
      <c r="M14763" s="690"/>
    </row>
    <row r="14764" spans="13:13">
      <c r="M14764" s="690"/>
    </row>
    <row r="14765" spans="13:13">
      <c r="M14765" s="690"/>
    </row>
    <row r="14766" spans="13:13">
      <c r="M14766" s="690"/>
    </row>
    <row r="14767" spans="13:13">
      <c r="M14767" s="690"/>
    </row>
    <row r="14768" spans="13:13">
      <c r="M14768" s="690"/>
    </row>
    <row r="14769" spans="13:13">
      <c r="M14769" s="690"/>
    </row>
    <row r="14770" spans="13:13">
      <c r="M14770" s="690"/>
    </row>
    <row r="14771" spans="13:13">
      <c r="M14771" s="690"/>
    </row>
    <row r="14772" spans="13:13">
      <c r="M14772" s="690"/>
    </row>
    <row r="14773" spans="13:13">
      <c r="M14773" s="690"/>
    </row>
    <row r="14774" spans="13:13">
      <c r="M14774" s="690"/>
    </row>
    <row r="14775" spans="13:13">
      <c r="M14775" s="690"/>
    </row>
    <row r="14776" spans="13:13">
      <c r="M14776" s="690"/>
    </row>
    <row r="14777" spans="13:13">
      <c r="M14777" s="690"/>
    </row>
    <row r="14778" spans="13:13">
      <c r="M14778" s="690"/>
    </row>
    <row r="14779" spans="13:13">
      <c r="M14779" s="690"/>
    </row>
    <row r="14780" spans="13:13">
      <c r="M14780" s="690"/>
    </row>
    <row r="14781" spans="13:13">
      <c r="M14781" s="690"/>
    </row>
    <row r="14782" spans="13:13">
      <c r="M14782" s="690"/>
    </row>
    <row r="14783" spans="13:13">
      <c r="M14783" s="690"/>
    </row>
    <row r="14784" spans="13:13">
      <c r="M14784" s="690"/>
    </row>
    <row r="14785" spans="13:13">
      <c r="M14785" s="690"/>
    </row>
    <row r="14786" spans="13:13">
      <c r="M14786" s="690"/>
    </row>
    <row r="14787" spans="13:13">
      <c r="M14787" s="690"/>
    </row>
    <row r="14788" spans="13:13">
      <c r="M14788" s="690"/>
    </row>
    <row r="14789" spans="13:13">
      <c r="M14789" s="690"/>
    </row>
    <row r="14790" spans="13:13">
      <c r="M14790" s="690"/>
    </row>
    <row r="14791" spans="13:13">
      <c r="M14791" s="690"/>
    </row>
    <row r="14792" spans="13:13">
      <c r="M14792" s="690"/>
    </row>
    <row r="14793" spans="13:13">
      <c r="M14793" s="690"/>
    </row>
    <row r="14794" spans="13:13">
      <c r="M14794" s="690"/>
    </row>
    <row r="14795" spans="13:13">
      <c r="M14795" s="690"/>
    </row>
    <row r="14796" spans="13:13">
      <c r="M14796" s="690"/>
    </row>
    <row r="14797" spans="13:13">
      <c r="M14797" s="690"/>
    </row>
    <row r="14798" spans="13:13">
      <c r="M14798" s="690"/>
    </row>
    <row r="14799" spans="13:13">
      <c r="M14799" s="690"/>
    </row>
    <row r="14800" spans="13:13">
      <c r="M14800" s="690"/>
    </row>
    <row r="14801" spans="13:13">
      <c r="M14801" s="690"/>
    </row>
    <row r="14802" spans="13:13">
      <c r="M14802" s="690"/>
    </row>
    <row r="14803" spans="13:13">
      <c r="M14803" s="690"/>
    </row>
    <row r="14804" spans="13:13">
      <c r="M14804" s="690"/>
    </row>
    <row r="14805" spans="13:13">
      <c r="M14805" s="690"/>
    </row>
    <row r="14806" spans="13:13">
      <c r="M14806" s="690"/>
    </row>
    <row r="14807" spans="13:13">
      <c r="M14807" s="690"/>
    </row>
    <row r="14808" spans="13:13">
      <c r="M14808" s="690"/>
    </row>
    <row r="14809" spans="13:13">
      <c r="M14809" s="690"/>
    </row>
    <row r="14810" spans="13:13">
      <c r="M14810" s="690"/>
    </row>
    <row r="14811" spans="13:13">
      <c r="M14811" s="690"/>
    </row>
    <row r="14812" spans="13:13">
      <c r="M14812" s="690"/>
    </row>
    <row r="14813" spans="13:13">
      <c r="M14813" s="690"/>
    </row>
    <row r="14814" spans="13:13">
      <c r="M14814" s="690"/>
    </row>
    <row r="14815" spans="13:13">
      <c r="M14815" s="690"/>
    </row>
    <row r="14816" spans="13:13">
      <c r="M14816" s="690"/>
    </row>
    <row r="14817" spans="13:13">
      <c r="M14817" s="690"/>
    </row>
    <row r="14818" spans="13:13">
      <c r="M14818" s="690"/>
    </row>
    <row r="14819" spans="13:13">
      <c r="M14819" s="690"/>
    </row>
    <row r="14820" spans="13:13">
      <c r="M14820" s="690"/>
    </row>
    <row r="14821" spans="13:13">
      <c r="M14821" s="690"/>
    </row>
    <row r="14822" spans="13:13">
      <c r="M14822" s="690"/>
    </row>
    <row r="14823" spans="13:13">
      <c r="M14823" s="690"/>
    </row>
    <row r="14824" spans="13:13">
      <c r="M14824" s="690"/>
    </row>
    <row r="14825" spans="13:13">
      <c r="M14825" s="690"/>
    </row>
    <row r="14826" spans="13:13">
      <c r="M14826" s="690"/>
    </row>
    <row r="14827" spans="13:13">
      <c r="M14827" s="690"/>
    </row>
    <row r="14828" spans="13:13">
      <c r="M14828" s="690"/>
    </row>
    <row r="14829" spans="13:13">
      <c r="M14829" s="690"/>
    </row>
    <row r="14830" spans="13:13">
      <c r="M14830" s="690"/>
    </row>
    <row r="14831" spans="13:13">
      <c r="M14831" s="690"/>
    </row>
    <row r="14832" spans="13:13">
      <c r="M14832" s="690"/>
    </row>
    <row r="14833" spans="13:13">
      <c r="M14833" s="690"/>
    </row>
    <row r="14834" spans="13:13">
      <c r="M14834" s="690"/>
    </row>
    <row r="14835" spans="13:13">
      <c r="M14835" s="690"/>
    </row>
    <row r="14836" spans="13:13">
      <c r="M14836" s="690"/>
    </row>
    <row r="14837" spans="13:13">
      <c r="M14837" s="690"/>
    </row>
    <row r="14838" spans="13:13">
      <c r="M14838" s="690"/>
    </row>
    <row r="14839" spans="13:13">
      <c r="M14839" s="690"/>
    </row>
    <row r="14840" spans="13:13">
      <c r="M14840" s="690"/>
    </row>
    <row r="14841" spans="13:13">
      <c r="M14841" s="690"/>
    </row>
    <row r="14842" spans="13:13">
      <c r="M14842" s="690"/>
    </row>
    <row r="14843" spans="13:13">
      <c r="M14843" s="690"/>
    </row>
    <row r="14844" spans="13:13">
      <c r="M14844" s="690"/>
    </row>
    <row r="14845" spans="13:13">
      <c r="M14845" s="690"/>
    </row>
    <row r="14846" spans="13:13">
      <c r="M14846" s="690"/>
    </row>
    <row r="14847" spans="13:13">
      <c r="M14847" s="690"/>
    </row>
    <row r="14848" spans="13:13">
      <c r="M14848" s="690"/>
    </row>
    <row r="14849" spans="13:13">
      <c r="M14849" s="690"/>
    </row>
    <row r="14850" spans="13:13">
      <c r="M14850" s="690"/>
    </row>
    <row r="14851" spans="13:13">
      <c r="M14851" s="690"/>
    </row>
    <row r="14852" spans="13:13">
      <c r="M14852" s="690"/>
    </row>
    <row r="14853" spans="13:13">
      <c r="M14853" s="690"/>
    </row>
    <row r="14854" spans="13:13">
      <c r="M14854" s="690"/>
    </row>
    <row r="14855" spans="13:13">
      <c r="M14855" s="690"/>
    </row>
    <row r="14856" spans="13:13">
      <c r="M14856" s="690"/>
    </row>
    <row r="14857" spans="13:13">
      <c r="M14857" s="690"/>
    </row>
    <row r="14858" spans="13:13">
      <c r="M14858" s="690"/>
    </row>
    <row r="14859" spans="13:13">
      <c r="M14859" s="690"/>
    </row>
    <row r="14860" spans="13:13">
      <c r="M14860" s="690"/>
    </row>
    <row r="14861" spans="13:13">
      <c r="M14861" s="690"/>
    </row>
    <row r="14862" spans="13:13">
      <c r="M14862" s="690"/>
    </row>
    <row r="14863" spans="13:13">
      <c r="M14863" s="690"/>
    </row>
    <row r="14864" spans="13:13">
      <c r="M14864" s="690"/>
    </row>
    <row r="14865" spans="13:13">
      <c r="M14865" s="690"/>
    </row>
    <row r="14866" spans="13:13">
      <c r="M14866" s="690"/>
    </row>
    <row r="14867" spans="13:13">
      <c r="M14867" s="690"/>
    </row>
    <row r="14868" spans="13:13">
      <c r="M14868" s="690"/>
    </row>
    <row r="14869" spans="13:13">
      <c r="M14869" s="690"/>
    </row>
    <row r="14870" spans="13:13">
      <c r="M14870" s="690"/>
    </row>
    <row r="14871" spans="13:13">
      <c r="M14871" s="690"/>
    </row>
    <row r="14872" spans="13:13">
      <c r="M14872" s="690"/>
    </row>
    <row r="14873" spans="13:13">
      <c r="M14873" s="690"/>
    </row>
    <row r="14874" spans="13:13">
      <c r="M14874" s="690"/>
    </row>
    <row r="14875" spans="13:13">
      <c r="M14875" s="690"/>
    </row>
    <row r="14876" spans="13:13">
      <c r="M14876" s="690"/>
    </row>
    <row r="14877" spans="13:13">
      <c r="M14877" s="690"/>
    </row>
    <row r="14878" spans="13:13">
      <c r="M14878" s="690"/>
    </row>
    <row r="14879" spans="13:13">
      <c r="M14879" s="690"/>
    </row>
    <row r="14880" spans="13:13">
      <c r="M14880" s="690"/>
    </row>
    <row r="14881" spans="13:13">
      <c r="M14881" s="690"/>
    </row>
    <row r="14882" spans="13:13">
      <c r="M14882" s="690"/>
    </row>
    <row r="14883" spans="13:13">
      <c r="M14883" s="690"/>
    </row>
    <row r="14884" spans="13:13">
      <c r="M14884" s="690"/>
    </row>
    <row r="14885" spans="13:13">
      <c r="M14885" s="690"/>
    </row>
    <row r="14886" spans="13:13">
      <c r="M14886" s="690"/>
    </row>
    <row r="14887" spans="13:13">
      <c r="M14887" s="690"/>
    </row>
    <row r="14888" spans="13:13">
      <c r="M14888" s="690"/>
    </row>
    <row r="14889" spans="13:13">
      <c r="M14889" s="690"/>
    </row>
    <row r="14890" spans="13:13">
      <c r="M14890" s="690"/>
    </row>
    <row r="14891" spans="13:13">
      <c r="M14891" s="690"/>
    </row>
    <row r="14892" spans="13:13">
      <c r="M14892" s="690"/>
    </row>
    <row r="14893" spans="13:13">
      <c r="M14893" s="690"/>
    </row>
    <row r="14894" spans="13:13">
      <c r="M14894" s="690"/>
    </row>
    <row r="14895" spans="13:13">
      <c r="M14895" s="690"/>
    </row>
    <row r="14896" spans="13:13">
      <c r="M14896" s="690"/>
    </row>
    <row r="14897" spans="13:13">
      <c r="M14897" s="690"/>
    </row>
    <row r="14898" spans="13:13">
      <c r="M14898" s="690"/>
    </row>
    <row r="14899" spans="13:13">
      <c r="M14899" s="690"/>
    </row>
    <row r="14900" spans="13:13">
      <c r="M14900" s="690"/>
    </row>
    <row r="14901" spans="13:13">
      <c r="M14901" s="690"/>
    </row>
    <row r="14902" spans="13:13">
      <c r="M14902" s="690"/>
    </row>
    <row r="14903" spans="13:13">
      <c r="M14903" s="690"/>
    </row>
    <row r="14904" spans="13:13">
      <c r="M14904" s="690"/>
    </row>
    <row r="14905" spans="13:13">
      <c r="M14905" s="690"/>
    </row>
    <row r="14906" spans="13:13">
      <c r="M14906" s="690"/>
    </row>
    <row r="14907" spans="13:13">
      <c r="M14907" s="690"/>
    </row>
    <row r="14908" spans="13:13">
      <c r="M14908" s="690"/>
    </row>
    <row r="14909" spans="13:13">
      <c r="M14909" s="690"/>
    </row>
    <row r="14910" spans="13:13">
      <c r="M14910" s="690"/>
    </row>
    <row r="14911" spans="13:13">
      <c r="M14911" s="690"/>
    </row>
    <row r="14912" spans="13:13">
      <c r="M14912" s="690"/>
    </row>
    <row r="14913" spans="13:13">
      <c r="M14913" s="690"/>
    </row>
    <row r="14914" spans="13:13">
      <c r="M14914" s="690"/>
    </row>
    <row r="14915" spans="13:13">
      <c r="M14915" s="690"/>
    </row>
    <row r="14916" spans="13:13">
      <c r="M14916" s="690"/>
    </row>
    <row r="14917" spans="13:13">
      <c r="M14917" s="690"/>
    </row>
    <row r="14918" spans="13:13">
      <c r="M14918" s="690"/>
    </row>
    <row r="14919" spans="13:13">
      <c r="M14919" s="690"/>
    </row>
    <row r="14920" spans="13:13">
      <c r="M14920" s="690"/>
    </row>
    <row r="14921" spans="13:13">
      <c r="M14921" s="690"/>
    </row>
    <row r="14922" spans="13:13">
      <c r="M14922" s="690"/>
    </row>
    <row r="14923" spans="13:13">
      <c r="M14923" s="690"/>
    </row>
    <row r="14924" spans="13:13">
      <c r="M14924" s="690"/>
    </row>
    <row r="14925" spans="13:13">
      <c r="M14925" s="690"/>
    </row>
    <row r="14926" spans="13:13">
      <c r="M14926" s="690"/>
    </row>
    <row r="14927" spans="13:13">
      <c r="M14927" s="690"/>
    </row>
    <row r="14928" spans="13:13">
      <c r="M14928" s="690"/>
    </row>
    <row r="14929" spans="13:13">
      <c r="M14929" s="690"/>
    </row>
    <row r="14930" spans="13:13">
      <c r="M14930" s="690"/>
    </row>
    <row r="14931" spans="13:13">
      <c r="M14931" s="690"/>
    </row>
    <row r="14932" spans="13:13">
      <c r="M14932" s="690"/>
    </row>
    <row r="14933" spans="13:13">
      <c r="M14933" s="690"/>
    </row>
    <row r="14934" spans="13:13">
      <c r="M14934" s="690"/>
    </row>
    <row r="14935" spans="13:13">
      <c r="M14935" s="690"/>
    </row>
    <row r="14936" spans="13:13">
      <c r="M14936" s="690"/>
    </row>
    <row r="14937" spans="13:13">
      <c r="M14937" s="690"/>
    </row>
    <row r="14938" spans="13:13">
      <c r="M14938" s="690"/>
    </row>
    <row r="14939" spans="13:13">
      <c r="M14939" s="690"/>
    </row>
    <row r="14940" spans="13:13">
      <c r="M14940" s="690"/>
    </row>
    <row r="14941" spans="13:13">
      <c r="M14941" s="690"/>
    </row>
    <row r="14942" spans="13:13">
      <c r="M14942" s="690"/>
    </row>
    <row r="14943" spans="13:13">
      <c r="M14943" s="690"/>
    </row>
    <row r="14944" spans="13:13">
      <c r="M14944" s="690"/>
    </row>
    <row r="14945" spans="13:13">
      <c r="M14945" s="690"/>
    </row>
    <row r="14946" spans="13:13">
      <c r="M14946" s="690"/>
    </row>
    <row r="14947" spans="13:13">
      <c r="M14947" s="690"/>
    </row>
    <row r="14948" spans="13:13">
      <c r="M14948" s="690"/>
    </row>
    <row r="14949" spans="13:13">
      <c r="M14949" s="690"/>
    </row>
    <row r="14950" spans="13:13">
      <c r="M14950" s="690"/>
    </row>
    <row r="14951" spans="13:13">
      <c r="M14951" s="690"/>
    </row>
    <row r="14952" spans="13:13">
      <c r="M14952" s="690"/>
    </row>
    <row r="14953" spans="13:13">
      <c r="M14953" s="690"/>
    </row>
    <row r="14954" spans="13:13">
      <c r="M14954" s="690"/>
    </row>
    <row r="14955" spans="13:13">
      <c r="M14955" s="690"/>
    </row>
    <row r="14956" spans="13:13">
      <c r="M14956" s="690"/>
    </row>
    <row r="14957" spans="13:13">
      <c r="M14957" s="690"/>
    </row>
    <row r="14958" spans="13:13">
      <c r="M14958" s="690"/>
    </row>
    <row r="14959" spans="13:13">
      <c r="M14959" s="690"/>
    </row>
    <row r="14960" spans="13:13">
      <c r="M14960" s="690"/>
    </row>
    <row r="14961" spans="13:13">
      <c r="M14961" s="690"/>
    </row>
    <row r="14962" spans="13:13">
      <c r="M14962" s="690"/>
    </row>
    <row r="14963" spans="13:13">
      <c r="M14963" s="690"/>
    </row>
    <row r="14964" spans="13:13">
      <c r="M14964" s="690"/>
    </row>
    <row r="14965" spans="13:13">
      <c r="M14965" s="690"/>
    </row>
    <row r="14966" spans="13:13">
      <c r="M14966" s="690"/>
    </row>
    <row r="14967" spans="13:13">
      <c r="M14967" s="690"/>
    </row>
    <row r="14968" spans="13:13">
      <c r="M14968" s="690"/>
    </row>
    <row r="14969" spans="13:13">
      <c r="M14969" s="690"/>
    </row>
    <row r="14970" spans="13:13">
      <c r="M14970" s="690"/>
    </row>
    <row r="14971" spans="13:13">
      <c r="M14971" s="690"/>
    </row>
    <row r="14972" spans="13:13">
      <c r="M14972" s="690"/>
    </row>
    <row r="14973" spans="13:13">
      <c r="M14973" s="690"/>
    </row>
    <row r="14974" spans="13:13">
      <c r="M14974" s="690"/>
    </row>
    <row r="14975" spans="13:13">
      <c r="M14975" s="690"/>
    </row>
    <row r="14976" spans="13:13">
      <c r="M14976" s="690"/>
    </row>
    <row r="14977" spans="13:13">
      <c r="M14977" s="690"/>
    </row>
    <row r="14978" spans="13:13">
      <c r="M14978" s="690"/>
    </row>
    <row r="14979" spans="13:13">
      <c r="M14979" s="690"/>
    </row>
    <row r="14980" spans="13:13">
      <c r="M14980" s="690"/>
    </row>
    <row r="14981" spans="13:13">
      <c r="M14981" s="690"/>
    </row>
    <row r="14982" spans="13:13">
      <c r="M14982" s="690"/>
    </row>
    <row r="14983" spans="13:13">
      <c r="M14983" s="690"/>
    </row>
    <row r="14984" spans="13:13">
      <c r="M14984" s="690"/>
    </row>
    <row r="14985" spans="13:13">
      <c r="M14985" s="690"/>
    </row>
    <row r="14986" spans="13:13">
      <c r="M14986" s="690"/>
    </row>
    <row r="14987" spans="13:13">
      <c r="M14987" s="690"/>
    </row>
    <row r="14988" spans="13:13">
      <c r="M14988" s="690"/>
    </row>
    <row r="14989" spans="13:13">
      <c r="M14989" s="690"/>
    </row>
    <row r="14990" spans="13:13">
      <c r="M14990" s="690"/>
    </row>
    <row r="14991" spans="13:13">
      <c r="M14991" s="690"/>
    </row>
    <row r="14992" spans="13:13">
      <c r="M14992" s="690"/>
    </row>
    <row r="14993" spans="13:13">
      <c r="M14993" s="690"/>
    </row>
    <row r="14994" spans="13:13">
      <c r="M14994" s="690"/>
    </row>
    <row r="14995" spans="13:13">
      <c r="M14995" s="690"/>
    </row>
    <row r="14996" spans="13:13">
      <c r="M14996" s="690"/>
    </row>
    <row r="14997" spans="13:13">
      <c r="M14997" s="690"/>
    </row>
    <row r="14998" spans="13:13">
      <c r="M14998" s="690"/>
    </row>
    <row r="14999" spans="13:13">
      <c r="M14999" s="690"/>
    </row>
    <row r="15000" spans="13:13">
      <c r="M15000" s="690"/>
    </row>
    <row r="15001" spans="13:13">
      <c r="M15001" s="690"/>
    </row>
    <row r="15002" spans="13:13">
      <c r="M15002" s="690"/>
    </row>
    <row r="15003" spans="13:13">
      <c r="M15003" s="690"/>
    </row>
    <row r="15004" spans="13:13">
      <c r="M15004" s="690"/>
    </row>
    <row r="15005" spans="13:13">
      <c r="M15005" s="690"/>
    </row>
    <row r="15006" spans="13:13">
      <c r="M15006" s="690"/>
    </row>
    <row r="15007" spans="13:13">
      <c r="M15007" s="690"/>
    </row>
    <row r="15008" spans="13:13">
      <c r="M15008" s="690"/>
    </row>
    <row r="15009" spans="13:13">
      <c r="M15009" s="690"/>
    </row>
    <row r="15010" spans="13:13">
      <c r="M15010" s="690"/>
    </row>
    <row r="15011" spans="13:13">
      <c r="M15011" s="690"/>
    </row>
    <row r="15012" spans="13:13">
      <c r="M15012" s="690"/>
    </row>
    <row r="15013" spans="13:13">
      <c r="M15013" s="690"/>
    </row>
    <row r="15014" spans="13:13">
      <c r="M15014" s="690"/>
    </row>
    <row r="15015" spans="13:13">
      <c r="M15015" s="690"/>
    </row>
    <row r="15016" spans="13:13">
      <c r="M15016" s="690"/>
    </row>
    <row r="15017" spans="13:13">
      <c r="M15017" s="690"/>
    </row>
    <row r="15018" spans="13:13">
      <c r="M15018" s="690"/>
    </row>
    <row r="15019" spans="13:13">
      <c r="M15019" s="690"/>
    </row>
    <row r="15020" spans="13:13">
      <c r="M15020" s="690"/>
    </row>
    <row r="15021" spans="13:13">
      <c r="M15021" s="690"/>
    </row>
    <row r="15022" spans="13:13">
      <c r="M15022" s="690"/>
    </row>
    <row r="15023" spans="13:13">
      <c r="M15023" s="690"/>
    </row>
    <row r="15024" spans="13:13">
      <c r="M15024" s="690"/>
    </row>
    <row r="15025" spans="13:13">
      <c r="M15025" s="690"/>
    </row>
    <row r="15026" spans="13:13">
      <c r="M15026" s="690"/>
    </row>
    <row r="15027" spans="13:13">
      <c r="M15027" s="690"/>
    </row>
    <row r="15028" spans="13:13">
      <c r="M15028" s="690"/>
    </row>
    <row r="15029" spans="13:13">
      <c r="M15029" s="690"/>
    </row>
    <row r="15030" spans="13:13">
      <c r="M15030" s="690"/>
    </row>
    <row r="15031" spans="13:13">
      <c r="M15031" s="690"/>
    </row>
    <row r="15032" spans="13:13">
      <c r="M15032" s="690"/>
    </row>
    <row r="15033" spans="13:13">
      <c r="M15033" s="690"/>
    </row>
    <row r="15034" spans="13:13">
      <c r="M15034" s="690"/>
    </row>
    <row r="15035" spans="13:13">
      <c r="M15035" s="690"/>
    </row>
    <row r="15036" spans="13:13">
      <c r="M15036" s="690"/>
    </row>
    <row r="15037" spans="13:13">
      <c r="M15037" s="690"/>
    </row>
    <row r="15038" spans="13:13">
      <c r="M15038" s="690"/>
    </row>
    <row r="15039" spans="13:13">
      <c r="M15039" s="690"/>
    </row>
    <row r="15040" spans="13:13">
      <c r="M15040" s="690"/>
    </row>
    <row r="15041" spans="13:13">
      <c r="M15041" s="690"/>
    </row>
    <row r="15042" spans="13:13">
      <c r="M15042" s="690"/>
    </row>
    <row r="15043" spans="13:13">
      <c r="M15043" s="690"/>
    </row>
    <row r="15044" spans="13:13">
      <c r="M15044" s="690"/>
    </row>
    <row r="15045" spans="13:13">
      <c r="M15045" s="690"/>
    </row>
    <row r="15046" spans="13:13">
      <c r="M15046" s="690"/>
    </row>
    <row r="15047" spans="13:13">
      <c r="M15047" s="690"/>
    </row>
    <row r="15048" spans="13:13">
      <c r="M15048" s="690"/>
    </row>
    <row r="15049" spans="13:13">
      <c r="M15049" s="690"/>
    </row>
    <row r="15050" spans="13:13">
      <c r="M15050" s="690"/>
    </row>
    <row r="15051" spans="13:13">
      <c r="M15051" s="690"/>
    </row>
    <row r="15052" spans="13:13">
      <c r="M15052" s="690"/>
    </row>
    <row r="15053" spans="13:13">
      <c r="M15053" s="690"/>
    </row>
    <row r="15054" spans="13:13">
      <c r="M15054" s="690"/>
    </row>
    <row r="15055" spans="13:13">
      <c r="M15055" s="690"/>
    </row>
    <row r="15056" spans="13:13">
      <c r="M15056" s="690"/>
    </row>
    <row r="15057" spans="13:13">
      <c r="M15057" s="690"/>
    </row>
    <row r="15058" spans="13:13">
      <c r="M15058" s="690"/>
    </row>
    <row r="15059" spans="13:13">
      <c r="M15059" s="690"/>
    </row>
    <row r="15060" spans="13:13">
      <c r="M15060" s="690"/>
    </row>
    <row r="15061" spans="13:13">
      <c r="M15061" s="690"/>
    </row>
    <row r="15062" spans="13:13">
      <c r="M15062" s="690"/>
    </row>
    <row r="15063" spans="13:13">
      <c r="M15063" s="690"/>
    </row>
    <row r="15064" spans="13:13">
      <c r="M15064" s="690"/>
    </row>
    <row r="15065" spans="13:13">
      <c r="M15065" s="690"/>
    </row>
    <row r="15066" spans="13:13">
      <c r="M15066" s="690"/>
    </row>
    <row r="15067" spans="13:13">
      <c r="M15067" s="690"/>
    </row>
    <row r="15068" spans="13:13">
      <c r="M15068" s="690"/>
    </row>
    <row r="15069" spans="13:13">
      <c r="M15069" s="690"/>
    </row>
    <row r="15070" spans="13:13">
      <c r="M15070" s="690"/>
    </row>
    <row r="15071" spans="13:13">
      <c r="M15071" s="690"/>
    </row>
    <row r="15072" spans="13:13">
      <c r="M15072" s="690"/>
    </row>
    <row r="15073" spans="13:13">
      <c r="M15073" s="690"/>
    </row>
    <row r="15074" spans="13:13">
      <c r="M15074" s="690"/>
    </row>
    <row r="15075" spans="13:13">
      <c r="M15075" s="690"/>
    </row>
    <row r="15076" spans="13:13">
      <c r="M15076" s="690"/>
    </row>
    <row r="15077" spans="13:13">
      <c r="M15077" s="690"/>
    </row>
    <row r="15078" spans="13:13">
      <c r="M15078" s="690"/>
    </row>
    <row r="15079" spans="13:13">
      <c r="M15079" s="690"/>
    </row>
    <row r="15080" spans="13:13">
      <c r="M15080" s="690"/>
    </row>
    <row r="15081" spans="13:13">
      <c r="M15081" s="690"/>
    </row>
    <row r="15082" spans="13:13">
      <c r="M15082" s="690"/>
    </row>
    <row r="15083" spans="13:13">
      <c r="M15083" s="690"/>
    </row>
    <row r="15084" spans="13:13">
      <c r="M15084" s="690"/>
    </row>
    <row r="15085" spans="13:13">
      <c r="M15085" s="690"/>
    </row>
    <row r="15086" spans="13:13">
      <c r="M15086" s="690"/>
    </row>
    <row r="15087" spans="13:13">
      <c r="M15087" s="690"/>
    </row>
    <row r="15088" spans="13:13">
      <c r="M15088" s="690"/>
    </row>
    <row r="15089" spans="13:13">
      <c r="M15089" s="690"/>
    </row>
    <row r="15090" spans="13:13">
      <c r="M15090" s="690"/>
    </row>
    <row r="15091" spans="13:13">
      <c r="M15091" s="690"/>
    </row>
    <row r="15092" spans="13:13">
      <c r="M15092" s="690"/>
    </row>
    <row r="15093" spans="13:13">
      <c r="M15093" s="690"/>
    </row>
    <row r="15094" spans="13:13">
      <c r="M15094" s="690"/>
    </row>
    <row r="15095" spans="13:13">
      <c r="M15095" s="690"/>
    </row>
    <row r="15096" spans="13:13">
      <c r="M15096" s="690"/>
    </row>
    <row r="15097" spans="13:13">
      <c r="M15097" s="690"/>
    </row>
    <row r="15098" spans="13:13">
      <c r="M15098" s="690"/>
    </row>
    <row r="15099" spans="13:13">
      <c r="M15099" s="690"/>
    </row>
    <row r="15100" spans="13:13">
      <c r="M15100" s="690"/>
    </row>
    <row r="15101" spans="13:13">
      <c r="M15101" s="690"/>
    </row>
    <row r="15102" spans="13:13">
      <c r="M15102" s="690"/>
    </row>
    <row r="15103" spans="13:13">
      <c r="M15103" s="690"/>
    </row>
    <row r="15104" spans="13:13">
      <c r="M15104" s="690"/>
    </row>
    <row r="15105" spans="13:13">
      <c r="M15105" s="690"/>
    </row>
    <row r="15106" spans="13:13">
      <c r="M15106" s="690"/>
    </row>
    <row r="15107" spans="13:13">
      <c r="M15107" s="690"/>
    </row>
    <row r="15108" spans="13:13">
      <c r="M15108" s="690"/>
    </row>
    <row r="15109" spans="13:13">
      <c r="M15109" s="690"/>
    </row>
    <row r="15110" spans="13:13">
      <c r="M15110" s="690"/>
    </row>
    <row r="15111" spans="13:13">
      <c r="M15111" s="690"/>
    </row>
    <row r="15112" spans="13:13">
      <c r="M15112" s="690"/>
    </row>
    <row r="15113" spans="13:13">
      <c r="M15113" s="690"/>
    </row>
    <row r="15114" spans="13:13">
      <c r="M15114" s="690"/>
    </row>
    <row r="15115" spans="13:13">
      <c r="M15115" s="690"/>
    </row>
    <row r="15116" spans="13:13">
      <c r="M15116" s="690"/>
    </row>
    <row r="15117" spans="13:13">
      <c r="M15117" s="690"/>
    </row>
    <row r="15118" spans="13:13">
      <c r="M15118" s="690"/>
    </row>
    <row r="15119" spans="13:13">
      <c r="M15119" s="690"/>
    </row>
    <row r="15120" spans="13:13">
      <c r="M15120" s="690"/>
    </row>
    <row r="15121" spans="13:13">
      <c r="M15121" s="690"/>
    </row>
    <row r="15122" spans="13:13">
      <c r="M15122" s="690"/>
    </row>
    <row r="15123" spans="13:13">
      <c r="M15123" s="690"/>
    </row>
    <row r="15124" spans="13:13">
      <c r="M15124" s="690"/>
    </row>
    <row r="15125" spans="13:13">
      <c r="M15125" s="690"/>
    </row>
    <row r="15126" spans="13:13">
      <c r="M15126" s="690"/>
    </row>
    <row r="15127" spans="13:13">
      <c r="M15127" s="690"/>
    </row>
    <row r="15128" spans="13:13">
      <c r="M15128" s="690"/>
    </row>
    <row r="15129" spans="13:13">
      <c r="M15129" s="690"/>
    </row>
    <row r="15130" spans="13:13">
      <c r="M15130" s="690"/>
    </row>
    <row r="15131" spans="13:13">
      <c r="M15131" s="690"/>
    </row>
    <row r="15132" spans="13:13">
      <c r="M15132" s="690"/>
    </row>
    <row r="15133" spans="13:13">
      <c r="M15133" s="690"/>
    </row>
    <row r="15134" spans="13:13">
      <c r="M15134" s="690"/>
    </row>
    <row r="15135" spans="13:13">
      <c r="M15135" s="690"/>
    </row>
    <row r="15136" spans="13:13">
      <c r="M15136" s="690"/>
    </row>
    <row r="15137" spans="13:13">
      <c r="M15137" s="690"/>
    </row>
    <row r="15138" spans="13:13">
      <c r="M15138" s="690"/>
    </row>
    <row r="15139" spans="13:13">
      <c r="M15139" s="690"/>
    </row>
    <row r="15140" spans="13:13">
      <c r="M15140" s="690"/>
    </row>
    <row r="15141" spans="13:13">
      <c r="M15141" s="690"/>
    </row>
    <row r="15142" spans="13:13">
      <c r="M15142" s="690"/>
    </row>
    <row r="15143" spans="13:13">
      <c r="M15143" s="690"/>
    </row>
    <row r="15144" spans="13:13">
      <c r="M15144" s="690"/>
    </row>
    <row r="15145" spans="13:13">
      <c r="M15145" s="690"/>
    </row>
    <row r="15146" spans="13:13">
      <c r="M15146" s="690"/>
    </row>
    <row r="15147" spans="13:13">
      <c r="M15147" s="690"/>
    </row>
    <row r="15148" spans="13:13">
      <c r="M15148" s="690"/>
    </row>
    <row r="15149" spans="13:13">
      <c r="M15149" s="690"/>
    </row>
    <row r="15150" spans="13:13">
      <c r="M15150" s="690"/>
    </row>
    <row r="15151" spans="13:13">
      <c r="M15151" s="690"/>
    </row>
    <row r="15152" spans="13:13">
      <c r="M15152" s="690"/>
    </row>
    <row r="15153" spans="13:13">
      <c r="M15153" s="690"/>
    </row>
    <row r="15154" spans="13:13">
      <c r="M15154" s="690"/>
    </row>
    <row r="15155" spans="13:13">
      <c r="M15155" s="690"/>
    </row>
    <row r="15156" spans="13:13">
      <c r="M15156" s="690"/>
    </row>
    <row r="15157" spans="13:13">
      <c r="M15157" s="690"/>
    </row>
    <row r="15158" spans="13:13">
      <c r="M15158" s="690"/>
    </row>
    <row r="15159" spans="13:13">
      <c r="M15159" s="690"/>
    </row>
    <row r="15160" spans="13:13">
      <c r="M15160" s="690"/>
    </row>
    <row r="15161" spans="13:13">
      <c r="M15161" s="690"/>
    </row>
    <row r="15162" spans="13:13">
      <c r="M15162" s="690"/>
    </row>
    <row r="15163" spans="13:13">
      <c r="M15163" s="690"/>
    </row>
    <row r="15164" spans="13:13">
      <c r="M15164" s="690"/>
    </row>
    <row r="15165" spans="13:13">
      <c r="M15165" s="690"/>
    </row>
    <row r="15166" spans="13:13">
      <c r="M15166" s="690"/>
    </row>
    <row r="15167" spans="13:13">
      <c r="M15167" s="690"/>
    </row>
    <row r="15168" spans="13:13">
      <c r="M15168" s="690"/>
    </row>
    <row r="15169" spans="13:13">
      <c r="M15169" s="690"/>
    </row>
    <row r="15170" spans="13:13">
      <c r="M15170" s="690"/>
    </row>
    <row r="15171" spans="13:13">
      <c r="M15171" s="690"/>
    </row>
    <row r="15172" spans="13:13">
      <c r="M15172" s="690"/>
    </row>
    <row r="15173" spans="13:13">
      <c r="M15173" s="690"/>
    </row>
    <row r="15174" spans="13:13">
      <c r="M15174" s="690"/>
    </row>
    <row r="15175" spans="13:13">
      <c r="M15175" s="690"/>
    </row>
    <row r="15176" spans="13:13">
      <c r="M15176" s="690"/>
    </row>
    <row r="15177" spans="13:13">
      <c r="M15177" s="690"/>
    </row>
    <row r="15178" spans="13:13">
      <c r="M15178" s="690"/>
    </row>
    <row r="15179" spans="13:13">
      <c r="M15179" s="690"/>
    </row>
    <row r="15180" spans="13:13">
      <c r="M15180" s="690"/>
    </row>
    <row r="15181" spans="13:13">
      <c r="M15181" s="690"/>
    </row>
    <row r="15182" spans="13:13">
      <c r="M15182" s="690"/>
    </row>
    <row r="15183" spans="13:13">
      <c r="M15183" s="690"/>
    </row>
    <row r="15184" spans="13:13">
      <c r="M15184" s="690"/>
    </row>
    <row r="15185" spans="13:13">
      <c r="M15185" s="690"/>
    </row>
    <row r="15186" spans="13:13">
      <c r="M15186" s="690"/>
    </row>
    <row r="15187" spans="13:13">
      <c r="M15187" s="690"/>
    </row>
    <row r="15188" spans="13:13">
      <c r="M15188" s="690"/>
    </row>
    <row r="15189" spans="13:13">
      <c r="M15189" s="690"/>
    </row>
    <row r="15190" spans="13:13">
      <c r="M15190" s="690"/>
    </row>
    <row r="15191" spans="13:13">
      <c r="M15191" s="690"/>
    </row>
    <row r="15192" spans="13:13">
      <c r="M15192" s="690"/>
    </row>
    <row r="15193" spans="13:13">
      <c r="M15193" s="690"/>
    </row>
    <row r="15194" spans="13:13">
      <c r="M15194" s="690"/>
    </row>
    <row r="15195" spans="13:13">
      <c r="M15195" s="690"/>
    </row>
    <row r="15196" spans="13:13">
      <c r="M15196" s="690"/>
    </row>
    <row r="15197" spans="13:13">
      <c r="M15197" s="690"/>
    </row>
    <row r="15198" spans="13:13">
      <c r="M15198" s="690"/>
    </row>
    <row r="15199" spans="13:13">
      <c r="M15199" s="690"/>
    </row>
    <row r="15200" spans="13:13">
      <c r="M15200" s="690"/>
    </row>
    <row r="15201" spans="13:13">
      <c r="M15201" s="690"/>
    </row>
    <row r="15202" spans="13:13">
      <c r="M15202" s="690"/>
    </row>
    <row r="15203" spans="13:13">
      <c r="M15203" s="690"/>
    </row>
    <row r="15204" spans="13:13">
      <c r="M15204" s="690"/>
    </row>
    <row r="15205" spans="13:13">
      <c r="M15205" s="690"/>
    </row>
    <row r="15206" spans="13:13">
      <c r="M15206" s="690"/>
    </row>
    <row r="15207" spans="13:13">
      <c r="M15207" s="690"/>
    </row>
    <row r="15208" spans="13:13">
      <c r="M15208" s="690"/>
    </row>
    <row r="15209" spans="13:13">
      <c r="M15209" s="690"/>
    </row>
    <row r="15210" spans="13:13">
      <c r="M15210" s="690"/>
    </row>
    <row r="15211" spans="13:13">
      <c r="M15211" s="690"/>
    </row>
    <row r="15212" spans="13:13">
      <c r="M15212" s="690"/>
    </row>
    <row r="15213" spans="13:13">
      <c r="M15213" s="690"/>
    </row>
    <row r="15214" spans="13:13">
      <c r="M15214" s="690"/>
    </row>
    <row r="15215" spans="13:13">
      <c r="M15215" s="690"/>
    </row>
    <row r="15216" spans="13:13">
      <c r="M15216" s="690"/>
    </row>
    <row r="15217" spans="13:13">
      <c r="M15217" s="690"/>
    </row>
    <row r="15218" spans="13:13">
      <c r="M15218" s="690"/>
    </row>
    <row r="15219" spans="13:13">
      <c r="M15219" s="690"/>
    </row>
    <row r="15220" spans="13:13">
      <c r="M15220" s="690"/>
    </row>
    <row r="15221" spans="13:13">
      <c r="M15221" s="690"/>
    </row>
    <row r="15222" spans="13:13">
      <c r="M15222" s="690"/>
    </row>
    <row r="15223" spans="13:13">
      <c r="M15223" s="690"/>
    </row>
    <row r="15224" spans="13:13">
      <c r="M15224" s="690"/>
    </row>
    <row r="15225" spans="13:13">
      <c r="M15225" s="690"/>
    </row>
    <row r="15226" spans="13:13">
      <c r="M15226" s="690"/>
    </row>
    <row r="15227" spans="13:13">
      <c r="M15227" s="690"/>
    </row>
    <row r="15228" spans="13:13">
      <c r="M15228" s="690"/>
    </row>
    <row r="15229" spans="13:13">
      <c r="M15229" s="690"/>
    </row>
    <row r="15230" spans="13:13">
      <c r="M15230" s="690"/>
    </row>
    <row r="15231" spans="13:13">
      <c r="M15231" s="690"/>
    </row>
    <row r="15232" spans="13:13">
      <c r="M15232" s="690"/>
    </row>
    <row r="15233" spans="13:13">
      <c r="M15233" s="690"/>
    </row>
    <row r="15234" spans="13:13">
      <c r="M15234" s="690"/>
    </row>
    <row r="15235" spans="13:13">
      <c r="M15235" s="690"/>
    </row>
    <row r="15236" spans="13:13">
      <c r="M15236" s="690"/>
    </row>
    <row r="15237" spans="13:13">
      <c r="M15237" s="690"/>
    </row>
    <row r="15238" spans="13:13">
      <c r="M15238" s="690"/>
    </row>
    <row r="15239" spans="13:13">
      <c r="M15239" s="690"/>
    </row>
    <row r="15240" spans="13:13">
      <c r="M15240" s="690"/>
    </row>
    <row r="15241" spans="13:13">
      <c r="M15241" s="690"/>
    </row>
    <row r="15242" spans="13:13">
      <c r="M15242" s="690"/>
    </row>
    <row r="15243" spans="13:13">
      <c r="M15243" s="690"/>
    </row>
    <row r="15244" spans="13:13">
      <c r="M15244" s="690"/>
    </row>
    <row r="15245" spans="13:13">
      <c r="M15245" s="690"/>
    </row>
    <row r="15246" spans="13:13">
      <c r="M15246" s="690"/>
    </row>
    <row r="15247" spans="13:13">
      <c r="M15247" s="690"/>
    </row>
    <row r="15248" spans="13:13">
      <c r="M15248" s="690"/>
    </row>
    <row r="15249" spans="13:13">
      <c r="M15249" s="690"/>
    </row>
    <row r="15250" spans="13:13">
      <c r="M15250" s="690"/>
    </row>
    <row r="15251" spans="13:13">
      <c r="M15251" s="690"/>
    </row>
    <row r="15252" spans="13:13">
      <c r="M15252" s="690"/>
    </row>
    <row r="15253" spans="13:13">
      <c r="M15253" s="690"/>
    </row>
    <row r="15254" spans="13:13">
      <c r="M15254" s="690"/>
    </row>
    <row r="15255" spans="13:13">
      <c r="M15255" s="690"/>
    </row>
    <row r="15256" spans="13:13">
      <c r="M15256" s="690"/>
    </row>
    <row r="15257" spans="13:13">
      <c r="M15257" s="690"/>
    </row>
    <row r="15258" spans="13:13">
      <c r="M15258" s="690"/>
    </row>
    <row r="15259" spans="13:13">
      <c r="M15259" s="690"/>
    </row>
    <row r="15260" spans="13:13">
      <c r="M15260" s="690"/>
    </row>
    <row r="15261" spans="13:13">
      <c r="M15261" s="690"/>
    </row>
    <row r="15262" spans="13:13">
      <c r="M15262" s="690"/>
    </row>
    <row r="15263" spans="13:13">
      <c r="M15263" s="690"/>
    </row>
    <row r="15264" spans="13:13">
      <c r="M15264" s="690"/>
    </row>
    <row r="15265" spans="13:13">
      <c r="M15265" s="690"/>
    </row>
    <row r="15266" spans="13:13">
      <c r="M15266" s="690"/>
    </row>
    <row r="15267" spans="13:13">
      <c r="M15267" s="690"/>
    </row>
    <row r="15268" spans="13:13">
      <c r="M15268" s="690"/>
    </row>
    <row r="15269" spans="13:13">
      <c r="M15269" s="690"/>
    </row>
    <row r="15270" spans="13:13">
      <c r="M15270" s="690"/>
    </row>
    <row r="15271" spans="13:13">
      <c r="M15271" s="690"/>
    </row>
    <row r="15272" spans="13:13">
      <c r="M15272" s="690"/>
    </row>
    <row r="15273" spans="13:13">
      <c r="M15273" s="690"/>
    </row>
    <row r="15274" spans="13:13">
      <c r="M15274" s="690"/>
    </row>
    <row r="15275" spans="13:13">
      <c r="M15275" s="690"/>
    </row>
    <row r="15276" spans="13:13">
      <c r="M15276" s="690"/>
    </row>
    <row r="15277" spans="13:13">
      <c r="M15277" s="690"/>
    </row>
    <row r="15278" spans="13:13">
      <c r="M15278" s="690"/>
    </row>
    <row r="15279" spans="13:13">
      <c r="M15279" s="690"/>
    </row>
    <row r="15280" spans="13:13">
      <c r="M15280" s="690"/>
    </row>
    <row r="15281" spans="13:13">
      <c r="M15281" s="690"/>
    </row>
    <row r="15282" spans="13:13">
      <c r="M15282" s="690"/>
    </row>
    <row r="15283" spans="13:13">
      <c r="M15283" s="690"/>
    </row>
    <row r="15284" spans="13:13">
      <c r="M15284" s="690"/>
    </row>
    <row r="15285" spans="13:13">
      <c r="M15285" s="690"/>
    </row>
    <row r="15286" spans="13:13">
      <c r="M15286" s="690"/>
    </row>
    <row r="15287" spans="13:13">
      <c r="M15287" s="690"/>
    </row>
    <row r="15288" spans="13:13">
      <c r="M15288" s="690"/>
    </row>
    <row r="15289" spans="13:13">
      <c r="M15289" s="690"/>
    </row>
    <row r="15290" spans="13:13">
      <c r="M15290" s="690"/>
    </row>
    <row r="15291" spans="13:13">
      <c r="M15291" s="690"/>
    </row>
    <row r="15292" spans="13:13">
      <c r="M15292" s="690"/>
    </row>
    <row r="15293" spans="13:13">
      <c r="M15293" s="690"/>
    </row>
    <row r="15294" spans="13:13">
      <c r="M15294" s="690"/>
    </row>
    <row r="15295" spans="13:13">
      <c r="M15295" s="690"/>
    </row>
    <row r="15296" spans="13:13">
      <c r="M15296" s="690"/>
    </row>
    <row r="15297" spans="13:13">
      <c r="M15297" s="690"/>
    </row>
    <row r="15298" spans="13:13">
      <c r="M15298" s="690"/>
    </row>
    <row r="15299" spans="13:13">
      <c r="M15299" s="690"/>
    </row>
    <row r="15300" spans="13:13">
      <c r="M15300" s="690"/>
    </row>
    <row r="15301" spans="13:13">
      <c r="M15301" s="690"/>
    </row>
    <row r="15302" spans="13:13">
      <c r="M15302" s="690"/>
    </row>
    <row r="15303" spans="13:13">
      <c r="M15303" s="690"/>
    </row>
    <row r="15304" spans="13:13">
      <c r="M15304" s="690"/>
    </row>
    <row r="15305" spans="13:13">
      <c r="M15305" s="690"/>
    </row>
    <row r="15306" spans="13:13">
      <c r="M15306" s="690"/>
    </row>
    <row r="15307" spans="13:13">
      <c r="M15307" s="690"/>
    </row>
    <row r="15308" spans="13:13">
      <c r="M15308" s="690"/>
    </row>
    <row r="15309" spans="13:13">
      <c r="M15309" s="690"/>
    </row>
    <row r="15310" spans="13:13">
      <c r="M15310" s="690"/>
    </row>
    <row r="15311" spans="13:13">
      <c r="M15311" s="690"/>
    </row>
    <row r="15312" spans="13:13">
      <c r="M15312" s="690"/>
    </row>
    <row r="15313" spans="13:13">
      <c r="M15313" s="690"/>
    </row>
    <row r="15314" spans="13:13">
      <c r="M15314" s="690"/>
    </row>
    <row r="15315" spans="13:13">
      <c r="M15315" s="690"/>
    </row>
    <row r="15316" spans="13:13">
      <c r="M15316" s="690"/>
    </row>
    <row r="15317" spans="13:13">
      <c r="M15317" s="690"/>
    </row>
    <row r="15318" spans="13:13">
      <c r="M15318" s="690"/>
    </row>
    <row r="15319" spans="13:13">
      <c r="M15319" s="690"/>
    </row>
    <row r="15320" spans="13:13">
      <c r="M15320" s="690"/>
    </row>
    <row r="15321" spans="13:13">
      <c r="M15321" s="690"/>
    </row>
    <row r="15322" spans="13:13">
      <c r="M15322" s="690"/>
    </row>
    <row r="15323" spans="13:13">
      <c r="M15323" s="690"/>
    </row>
    <row r="15324" spans="13:13">
      <c r="M15324" s="690"/>
    </row>
    <row r="15325" spans="13:13">
      <c r="M15325" s="690"/>
    </row>
    <row r="15326" spans="13:13">
      <c r="M15326" s="690"/>
    </row>
    <row r="15327" spans="13:13">
      <c r="M15327" s="690"/>
    </row>
    <row r="15328" spans="13:13">
      <c r="M15328" s="690"/>
    </row>
    <row r="15329" spans="13:13">
      <c r="M15329" s="690"/>
    </row>
    <row r="15330" spans="13:13">
      <c r="M15330" s="690"/>
    </row>
    <row r="15331" spans="13:13">
      <c r="M15331" s="690"/>
    </row>
    <row r="15332" spans="13:13">
      <c r="M15332" s="690"/>
    </row>
    <row r="15333" spans="13:13">
      <c r="M15333" s="690"/>
    </row>
    <row r="15334" spans="13:13">
      <c r="M15334" s="690"/>
    </row>
    <row r="15335" spans="13:13">
      <c r="M15335" s="690"/>
    </row>
    <row r="15336" spans="13:13">
      <c r="M15336" s="690"/>
    </row>
    <row r="15337" spans="13:13">
      <c r="M15337" s="690"/>
    </row>
    <row r="15338" spans="13:13">
      <c r="M15338" s="690"/>
    </row>
    <row r="15339" spans="13:13">
      <c r="M15339" s="690"/>
    </row>
    <row r="15340" spans="13:13">
      <c r="M15340" s="690"/>
    </row>
    <row r="15341" spans="13:13">
      <c r="M15341" s="690"/>
    </row>
    <row r="15342" spans="13:13">
      <c r="M15342" s="690"/>
    </row>
    <row r="15343" spans="13:13">
      <c r="M15343" s="690"/>
    </row>
    <row r="15344" spans="13:13">
      <c r="M15344" s="690"/>
    </row>
    <row r="15345" spans="13:13">
      <c r="M15345" s="690"/>
    </row>
    <row r="15346" spans="13:13">
      <c r="M15346" s="690"/>
    </row>
    <row r="15347" spans="13:13">
      <c r="M15347" s="690"/>
    </row>
    <row r="15348" spans="13:13">
      <c r="M15348" s="690"/>
    </row>
    <row r="15349" spans="13:13">
      <c r="M15349" s="690"/>
    </row>
    <row r="15350" spans="13:13">
      <c r="M15350" s="690"/>
    </row>
    <row r="15351" spans="13:13">
      <c r="M15351" s="690"/>
    </row>
    <row r="15352" spans="13:13">
      <c r="M15352" s="690"/>
    </row>
    <row r="15353" spans="13:13">
      <c r="M15353" s="690"/>
    </row>
    <row r="15354" spans="13:13">
      <c r="M15354" s="690"/>
    </row>
    <row r="15355" spans="13:13">
      <c r="M15355" s="690"/>
    </row>
    <row r="15356" spans="13:13">
      <c r="M15356" s="690"/>
    </row>
    <row r="15357" spans="13:13">
      <c r="M15357" s="690"/>
    </row>
    <row r="15358" spans="13:13">
      <c r="M15358" s="690"/>
    </row>
    <row r="15359" spans="13:13">
      <c r="M15359" s="690"/>
    </row>
    <row r="15360" spans="13:13">
      <c r="M15360" s="690"/>
    </row>
    <row r="15361" spans="13:13">
      <c r="M15361" s="690"/>
    </row>
    <row r="15362" spans="13:13">
      <c r="M15362" s="690"/>
    </row>
    <row r="15363" spans="13:13">
      <c r="M15363" s="690"/>
    </row>
    <row r="15364" spans="13:13">
      <c r="M15364" s="690"/>
    </row>
    <row r="15365" spans="13:13">
      <c r="M15365" s="690"/>
    </row>
    <row r="15366" spans="13:13">
      <c r="M15366" s="690"/>
    </row>
    <row r="15367" spans="13:13">
      <c r="M15367" s="690"/>
    </row>
    <row r="15368" spans="13:13">
      <c r="M15368" s="690"/>
    </row>
    <row r="15369" spans="13:13">
      <c r="M15369" s="690"/>
    </row>
    <row r="15370" spans="13:13">
      <c r="M15370" s="690"/>
    </row>
    <row r="15371" spans="13:13">
      <c r="M15371" s="690"/>
    </row>
    <row r="15372" spans="13:13">
      <c r="M15372" s="690"/>
    </row>
    <row r="15373" spans="13:13">
      <c r="M15373" s="690"/>
    </row>
    <row r="15374" spans="13:13">
      <c r="M15374" s="690"/>
    </row>
    <row r="15375" spans="13:13">
      <c r="M15375" s="690"/>
    </row>
    <row r="15376" spans="13:13">
      <c r="M15376" s="690"/>
    </row>
    <row r="15377" spans="13:13">
      <c r="M15377" s="690"/>
    </row>
    <row r="15378" spans="13:13">
      <c r="M15378" s="690"/>
    </row>
    <row r="15379" spans="13:13">
      <c r="M15379" s="690"/>
    </row>
    <row r="15380" spans="13:13">
      <c r="M15380" s="690"/>
    </row>
    <row r="15381" spans="13:13">
      <c r="M15381" s="690"/>
    </row>
    <row r="15382" spans="13:13">
      <c r="M15382" s="690"/>
    </row>
    <row r="15383" spans="13:13">
      <c r="M15383" s="690"/>
    </row>
    <row r="15384" spans="13:13">
      <c r="M15384" s="690"/>
    </row>
    <row r="15385" spans="13:13">
      <c r="M15385" s="690"/>
    </row>
    <row r="15386" spans="13:13">
      <c r="M15386" s="690"/>
    </row>
    <row r="15387" spans="13:13">
      <c r="M15387" s="690"/>
    </row>
    <row r="15388" spans="13:13">
      <c r="M15388" s="690"/>
    </row>
    <row r="15389" spans="13:13">
      <c r="M15389" s="690"/>
    </row>
    <row r="15390" spans="13:13">
      <c r="M15390" s="690"/>
    </row>
    <row r="15391" spans="13:13">
      <c r="M15391" s="690"/>
    </row>
    <row r="15392" spans="13:13">
      <c r="M15392" s="690"/>
    </row>
    <row r="15393" spans="13:13">
      <c r="M15393" s="690"/>
    </row>
    <row r="15394" spans="13:13">
      <c r="M15394" s="690"/>
    </row>
    <row r="15395" spans="13:13">
      <c r="M15395" s="690"/>
    </row>
    <row r="15396" spans="13:13">
      <c r="M15396" s="690"/>
    </row>
    <row r="15397" spans="13:13">
      <c r="M15397" s="690"/>
    </row>
    <row r="15398" spans="13:13">
      <c r="M15398" s="690"/>
    </row>
    <row r="15399" spans="13:13">
      <c r="M15399" s="690"/>
    </row>
    <row r="15400" spans="13:13">
      <c r="M15400" s="690"/>
    </row>
    <row r="15401" spans="13:13">
      <c r="M15401" s="690"/>
    </row>
    <row r="15402" spans="13:13">
      <c r="M15402" s="690"/>
    </row>
    <row r="15403" spans="13:13">
      <c r="M15403" s="690"/>
    </row>
    <row r="15404" spans="13:13">
      <c r="M15404" s="690"/>
    </row>
    <row r="15405" spans="13:13">
      <c r="M15405" s="690"/>
    </row>
    <row r="15406" spans="13:13">
      <c r="M15406" s="690"/>
    </row>
    <row r="15407" spans="13:13">
      <c r="M15407" s="690"/>
    </row>
    <row r="15408" spans="13:13">
      <c r="M15408" s="690"/>
    </row>
    <row r="15409" spans="13:13">
      <c r="M15409" s="690"/>
    </row>
    <row r="15410" spans="13:13">
      <c r="M15410" s="690"/>
    </row>
    <row r="15411" spans="13:13">
      <c r="M15411" s="690"/>
    </row>
    <row r="15412" spans="13:13">
      <c r="M15412" s="690"/>
    </row>
    <row r="15413" spans="13:13">
      <c r="M15413" s="690"/>
    </row>
    <row r="15414" spans="13:13">
      <c r="M15414" s="690"/>
    </row>
    <row r="15415" spans="13:13">
      <c r="M15415" s="690"/>
    </row>
    <row r="15416" spans="13:13">
      <c r="M15416" s="690"/>
    </row>
    <row r="15417" spans="13:13">
      <c r="M15417" s="690"/>
    </row>
    <row r="15418" spans="13:13">
      <c r="M15418" s="690"/>
    </row>
    <row r="15419" spans="13:13">
      <c r="M15419" s="690"/>
    </row>
    <row r="15420" spans="13:13">
      <c r="M15420" s="690"/>
    </row>
    <row r="15421" spans="13:13">
      <c r="M15421" s="690"/>
    </row>
    <row r="15422" spans="13:13">
      <c r="M15422" s="690"/>
    </row>
    <row r="15423" spans="13:13">
      <c r="M15423" s="690"/>
    </row>
    <row r="15424" spans="13:13">
      <c r="M15424" s="690"/>
    </row>
    <row r="15425" spans="13:13">
      <c r="M15425" s="690"/>
    </row>
    <row r="15426" spans="13:13">
      <c r="M15426" s="690"/>
    </row>
    <row r="15427" spans="13:13">
      <c r="M15427" s="690"/>
    </row>
    <row r="15428" spans="13:13">
      <c r="M15428" s="690"/>
    </row>
    <row r="15429" spans="13:13">
      <c r="M15429" s="690"/>
    </row>
    <row r="15430" spans="13:13">
      <c r="M15430" s="690"/>
    </row>
    <row r="15431" spans="13:13">
      <c r="M15431" s="690"/>
    </row>
    <row r="15432" spans="13:13">
      <c r="M15432" s="690"/>
    </row>
    <row r="15433" spans="13:13">
      <c r="M15433" s="690"/>
    </row>
    <row r="15434" spans="13:13">
      <c r="M15434" s="690"/>
    </row>
    <row r="15435" spans="13:13">
      <c r="M15435" s="690"/>
    </row>
    <row r="15436" spans="13:13">
      <c r="M15436" s="690"/>
    </row>
    <row r="15437" spans="13:13">
      <c r="M15437" s="690"/>
    </row>
    <row r="15438" spans="13:13">
      <c r="M15438" s="690"/>
    </row>
    <row r="15439" spans="13:13">
      <c r="M15439" s="690"/>
    </row>
    <row r="15440" spans="13:13">
      <c r="M15440" s="690"/>
    </row>
    <row r="15441" spans="13:13">
      <c r="M15441" s="690"/>
    </row>
    <row r="15442" spans="13:13">
      <c r="M15442" s="690"/>
    </row>
    <row r="15443" spans="13:13">
      <c r="M15443" s="690"/>
    </row>
    <row r="15444" spans="13:13">
      <c r="M15444" s="690"/>
    </row>
    <row r="15445" spans="13:13">
      <c r="M15445" s="690"/>
    </row>
    <row r="15446" spans="13:13">
      <c r="M15446" s="690"/>
    </row>
    <row r="15447" spans="13:13">
      <c r="M15447" s="690"/>
    </row>
    <row r="15448" spans="13:13">
      <c r="M15448" s="690"/>
    </row>
    <row r="15449" spans="13:13">
      <c r="M15449" s="690"/>
    </row>
    <row r="15450" spans="13:13">
      <c r="M15450" s="690"/>
    </row>
    <row r="15451" spans="13:13">
      <c r="M15451" s="690"/>
    </row>
    <row r="15452" spans="13:13">
      <c r="M15452" s="690"/>
    </row>
    <row r="15453" spans="13:13">
      <c r="M15453" s="690"/>
    </row>
    <row r="15454" spans="13:13">
      <c r="M15454" s="690"/>
    </row>
    <row r="15455" spans="13:13">
      <c r="M15455" s="690"/>
    </row>
    <row r="15456" spans="13:13">
      <c r="M15456" s="690"/>
    </row>
    <row r="15457" spans="13:13">
      <c r="M15457" s="690"/>
    </row>
    <row r="15458" spans="13:13">
      <c r="M15458" s="690"/>
    </row>
    <row r="15459" spans="13:13">
      <c r="M15459" s="690"/>
    </row>
    <row r="15460" spans="13:13">
      <c r="M15460" s="690"/>
    </row>
    <row r="15461" spans="13:13">
      <c r="M15461" s="690"/>
    </row>
    <row r="15462" spans="13:13">
      <c r="M15462" s="690"/>
    </row>
    <row r="15463" spans="13:13">
      <c r="M15463" s="690"/>
    </row>
    <row r="15464" spans="13:13">
      <c r="M15464" s="690"/>
    </row>
    <row r="15465" spans="13:13">
      <c r="M15465" s="690"/>
    </row>
    <row r="15466" spans="13:13">
      <c r="M15466" s="690"/>
    </row>
    <row r="15467" spans="13:13">
      <c r="M15467" s="690"/>
    </row>
    <row r="15468" spans="13:13">
      <c r="M15468" s="690"/>
    </row>
    <row r="15469" spans="13:13">
      <c r="M15469" s="690"/>
    </row>
    <row r="15470" spans="13:13">
      <c r="M15470" s="690"/>
    </row>
    <row r="15471" spans="13:13">
      <c r="M15471" s="690"/>
    </row>
    <row r="15472" spans="13:13">
      <c r="M15472" s="690"/>
    </row>
    <row r="15473" spans="13:13">
      <c r="M15473" s="690"/>
    </row>
    <row r="15474" spans="13:13">
      <c r="M15474" s="690"/>
    </row>
    <row r="15475" spans="13:13">
      <c r="M15475" s="690"/>
    </row>
    <row r="15476" spans="13:13">
      <c r="M15476" s="690"/>
    </row>
    <row r="15477" spans="13:13">
      <c r="M15477" s="690"/>
    </row>
    <row r="15478" spans="13:13">
      <c r="M15478" s="690"/>
    </row>
    <row r="15479" spans="13:13">
      <c r="M15479" s="690"/>
    </row>
    <row r="15480" spans="13:13">
      <c r="M15480" s="690"/>
    </row>
    <row r="15481" spans="13:13">
      <c r="M15481" s="690"/>
    </row>
    <row r="15482" spans="13:13">
      <c r="M15482" s="690"/>
    </row>
    <row r="15483" spans="13:13">
      <c r="M15483" s="690"/>
    </row>
    <row r="15484" spans="13:13">
      <c r="M15484" s="690"/>
    </row>
    <row r="15485" spans="13:13">
      <c r="M15485" s="690"/>
    </row>
    <row r="15486" spans="13:13">
      <c r="M15486" s="690"/>
    </row>
    <row r="15487" spans="13:13">
      <c r="M15487" s="690"/>
    </row>
    <row r="15488" spans="13:13">
      <c r="M15488" s="690"/>
    </row>
    <row r="15489" spans="13:13">
      <c r="M15489" s="690"/>
    </row>
    <row r="15490" spans="13:13">
      <c r="M15490" s="690"/>
    </row>
    <row r="15491" spans="13:13">
      <c r="M15491" s="690"/>
    </row>
    <row r="15492" spans="13:13">
      <c r="M15492" s="690"/>
    </row>
    <row r="15493" spans="13:13">
      <c r="M15493" s="690"/>
    </row>
    <row r="15494" spans="13:13">
      <c r="M15494" s="690"/>
    </row>
    <row r="15495" spans="13:13">
      <c r="M15495" s="690"/>
    </row>
    <row r="15496" spans="13:13">
      <c r="M15496" s="690"/>
    </row>
    <row r="15497" spans="13:13">
      <c r="M15497" s="690"/>
    </row>
    <row r="15498" spans="13:13">
      <c r="M15498" s="690"/>
    </row>
    <row r="15499" spans="13:13">
      <c r="M15499" s="690"/>
    </row>
    <row r="15500" spans="13:13">
      <c r="M15500" s="690"/>
    </row>
    <row r="15501" spans="13:13">
      <c r="M15501" s="690"/>
    </row>
    <row r="15502" spans="13:13">
      <c r="M15502" s="690"/>
    </row>
    <row r="15503" spans="13:13">
      <c r="M15503" s="690"/>
    </row>
    <row r="15504" spans="13:13">
      <c r="M15504" s="690"/>
    </row>
    <row r="15505" spans="13:13">
      <c r="M15505" s="690"/>
    </row>
    <row r="15506" spans="13:13">
      <c r="M15506" s="690"/>
    </row>
    <row r="15507" spans="13:13">
      <c r="M15507" s="690"/>
    </row>
    <row r="15508" spans="13:13">
      <c r="M15508" s="690"/>
    </row>
    <row r="15509" spans="13:13">
      <c r="M15509" s="690"/>
    </row>
    <row r="15510" spans="13:13">
      <c r="M15510" s="690"/>
    </row>
    <row r="15511" spans="13:13">
      <c r="M15511" s="690"/>
    </row>
    <row r="15512" spans="13:13">
      <c r="M15512" s="690"/>
    </row>
    <row r="15513" spans="13:13">
      <c r="M15513" s="690"/>
    </row>
    <row r="15514" spans="13:13">
      <c r="M15514" s="690"/>
    </row>
    <row r="15515" spans="13:13">
      <c r="M15515" s="690"/>
    </row>
    <row r="15516" spans="13:13">
      <c r="M15516" s="690"/>
    </row>
    <row r="15517" spans="13:13">
      <c r="M15517" s="690"/>
    </row>
    <row r="15518" spans="13:13">
      <c r="M15518" s="690"/>
    </row>
    <row r="15519" spans="13:13">
      <c r="M15519" s="690"/>
    </row>
    <row r="15520" spans="13:13">
      <c r="M15520" s="690"/>
    </row>
    <row r="15521" spans="13:13">
      <c r="M15521" s="690"/>
    </row>
    <row r="15522" spans="13:13">
      <c r="M15522" s="690"/>
    </row>
    <row r="15523" spans="13:13">
      <c r="M15523" s="690"/>
    </row>
    <row r="15524" spans="13:13">
      <c r="M15524" s="690"/>
    </row>
    <row r="15525" spans="13:13">
      <c r="M15525" s="690"/>
    </row>
    <row r="15526" spans="13:13">
      <c r="M15526" s="690"/>
    </row>
    <row r="15527" spans="13:13">
      <c r="M15527" s="690"/>
    </row>
    <row r="15528" spans="13:13">
      <c r="M15528" s="690"/>
    </row>
    <row r="15529" spans="13:13">
      <c r="M15529" s="690"/>
    </row>
    <row r="15530" spans="13:13">
      <c r="M15530" s="690"/>
    </row>
    <row r="15531" spans="13:13">
      <c r="M15531" s="690"/>
    </row>
    <row r="15532" spans="13:13">
      <c r="M15532" s="690"/>
    </row>
    <row r="15533" spans="13:13">
      <c r="M15533" s="690"/>
    </row>
    <row r="15534" spans="13:13">
      <c r="M15534" s="690"/>
    </row>
    <row r="15535" spans="13:13">
      <c r="M15535" s="690"/>
    </row>
    <row r="15536" spans="13:13">
      <c r="M15536" s="690"/>
    </row>
    <row r="15537" spans="13:13">
      <c r="M15537" s="690"/>
    </row>
    <row r="15538" spans="13:13">
      <c r="M15538" s="690"/>
    </row>
    <row r="15539" spans="13:13">
      <c r="M15539" s="690"/>
    </row>
    <row r="15540" spans="13:13">
      <c r="M15540" s="690"/>
    </row>
    <row r="15541" spans="13:13">
      <c r="M15541" s="690"/>
    </row>
    <row r="15542" spans="13:13">
      <c r="M15542" s="690"/>
    </row>
    <row r="15543" spans="13:13">
      <c r="M15543" s="690"/>
    </row>
    <row r="15544" spans="13:13">
      <c r="M15544" s="690"/>
    </row>
    <row r="15545" spans="13:13">
      <c r="M15545" s="690"/>
    </row>
    <row r="15546" spans="13:13">
      <c r="M15546" s="690"/>
    </row>
    <row r="15547" spans="13:13">
      <c r="M15547" s="690"/>
    </row>
    <row r="15548" spans="13:13">
      <c r="M15548" s="690"/>
    </row>
    <row r="15549" spans="13:13">
      <c r="M15549" s="690"/>
    </row>
    <row r="15550" spans="13:13">
      <c r="M15550" s="690"/>
    </row>
    <row r="15551" spans="13:13">
      <c r="M15551" s="690"/>
    </row>
    <row r="15552" spans="13:13">
      <c r="M15552" s="690"/>
    </row>
    <row r="15553" spans="13:13">
      <c r="M15553" s="690"/>
    </row>
    <row r="15554" spans="13:13">
      <c r="M15554" s="690"/>
    </row>
    <row r="15555" spans="13:13">
      <c r="M15555" s="690"/>
    </row>
    <row r="15556" spans="13:13">
      <c r="M15556" s="690"/>
    </row>
    <row r="15557" spans="13:13">
      <c r="M15557" s="690"/>
    </row>
    <row r="15558" spans="13:13">
      <c r="M15558" s="690"/>
    </row>
    <row r="15559" spans="13:13">
      <c r="M15559" s="690"/>
    </row>
    <row r="15560" spans="13:13">
      <c r="M15560" s="690"/>
    </row>
    <row r="15561" spans="13:13">
      <c r="M15561" s="690"/>
    </row>
    <row r="15562" spans="13:13">
      <c r="M15562" s="690"/>
    </row>
    <row r="15563" spans="13:13">
      <c r="M15563" s="690"/>
    </row>
    <row r="15564" spans="13:13">
      <c r="M15564" s="690"/>
    </row>
    <row r="15565" spans="13:13">
      <c r="M15565" s="690"/>
    </row>
    <row r="15566" spans="13:13">
      <c r="M15566" s="690"/>
    </row>
    <row r="15567" spans="13:13">
      <c r="M15567" s="690"/>
    </row>
    <row r="15568" spans="13:13">
      <c r="M15568" s="690"/>
    </row>
    <row r="15569" spans="13:13">
      <c r="M15569" s="690"/>
    </row>
    <row r="15570" spans="13:13">
      <c r="M15570" s="690"/>
    </row>
    <row r="15571" spans="13:13">
      <c r="M15571" s="690"/>
    </row>
    <row r="15572" spans="13:13">
      <c r="M15572" s="690"/>
    </row>
    <row r="15573" spans="13:13">
      <c r="M15573" s="690"/>
    </row>
    <row r="15574" spans="13:13">
      <c r="M15574" s="690"/>
    </row>
    <row r="15575" spans="13:13">
      <c r="M15575" s="690"/>
    </row>
    <row r="15576" spans="13:13">
      <c r="M15576" s="690"/>
    </row>
    <row r="15577" spans="13:13">
      <c r="M15577" s="690"/>
    </row>
    <row r="15578" spans="13:13">
      <c r="M15578" s="690"/>
    </row>
    <row r="15579" spans="13:13">
      <c r="M15579" s="690"/>
    </row>
    <row r="15580" spans="13:13">
      <c r="M15580" s="690"/>
    </row>
    <row r="15581" spans="13:13">
      <c r="M15581" s="690"/>
    </row>
    <row r="15582" spans="13:13">
      <c r="M15582" s="690"/>
    </row>
    <row r="15583" spans="13:13">
      <c r="M15583" s="690"/>
    </row>
    <row r="15584" spans="13:13">
      <c r="M15584" s="690"/>
    </row>
    <row r="15585" spans="13:13">
      <c r="M15585" s="690"/>
    </row>
    <row r="15586" spans="13:13">
      <c r="M15586" s="690"/>
    </row>
    <row r="15587" spans="13:13">
      <c r="M15587" s="690"/>
    </row>
    <row r="15588" spans="13:13">
      <c r="M15588" s="690"/>
    </row>
    <row r="15589" spans="13:13">
      <c r="M15589" s="690"/>
    </row>
    <row r="15590" spans="13:13">
      <c r="M15590" s="690"/>
    </row>
    <row r="15591" spans="13:13">
      <c r="M15591" s="690"/>
    </row>
    <row r="15592" spans="13:13">
      <c r="M15592" s="690"/>
    </row>
    <row r="15593" spans="13:13">
      <c r="M15593" s="690"/>
    </row>
    <row r="15594" spans="13:13">
      <c r="M15594" s="690"/>
    </row>
    <row r="15595" spans="13:13">
      <c r="M15595" s="690"/>
    </row>
    <row r="15596" spans="13:13">
      <c r="M15596" s="690"/>
    </row>
    <row r="15597" spans="13:13">
      <c r="M15597" s="690"/>
    </row>
    <row r="15598" spans="13:13">
      <c r="M15598" s="690"/>
    </row>
    <row r="15599" spans="13:13">
      <c r="M15599" s="690"/>
    </row>
    <row r="15600" spans="13:13">
      <c r="M15600" s="690"/>
    </row>
    <row r="15601" spans="13:13">
      <c r="M15601" s="690"/>
    </row>
    <row r="15602" spans="13:13">
      <c r="M15602" s="690"/>
    </row>
    <row r="15603" spans="13:13">
      <c r="M15603" s="690"/>
    </row>
    <row r="15604" spans="13:13">
      <c r="M15604" s="690"/>
    </row>
    <row r="15605" spans="13:13">
      <c r="M15605" s="690"/>
    </row>
    <row r="15606" spans="13:13">
      <c r="M15606" s="690"/>
    </row>
    <row r="15607" spans="13:13">
      <c r="M15607" s="690"/>
    </row>
    <row r="15608" spans="13:13">
      <c r="M15608" s="690"/>
    </row>
    <row r="15609" spans="13:13">
      <c r="M15609" s="690"/>
    </row>
    <row r="15610" spans="13:13">
      <c r="M15610" s="690"/>
    </row>
    <row r="15611" spans="13:13">
      <c r="M15611" s="690"/>
    </row>
    <row r="15612" spans="13:13">
      <c r="M15612" s="690"/>
    </row>
    <row r="15613" spans="13:13">
      <c r="M15613" s="690"/>
    </row>
    <row r="15614" spans="13:13">
      <c r="M15614" s="690"/>
    </row>
    <row r="15615" spans="13:13">
      <c r="M15615" s="690"/>
    </row>
    <row r="15616" spans="13:13">
      <c r="M15616" s="690"/>
    </row>
    <row r="15617" spans="13:13">
      <c r="M15617" s="690"/>
    </row>
    <row r="15618" spans="13:13">
      <c r="M15618" s="690"/>
    </row>
    <row r="15619" spans="13:13">
      <c r="M15619" s="690"/>
    </row>
    <row r="15620" spans="13:13">
      <c r="M15620" s="690"/>
    </row>
    <row r="15621" spans="13:13">
      <c r="M15621" s="690"/>
    </row>
    <row r="15622" spans="13:13">
      <c r="M15622" s="690"/>
    </row>
    <row r="15623" spans="13:13">
      <c r="M15623" s="690"/>
    </row>
    <row r="15624" spans="13:13">
      <c r="M15624" s="690"/>
    </row>
    <row r="15625" spans="13:13">
      <c r="M15625" s="690"/>
    </row>
    <row r="15626" spans="13:13">
      <c r="M15626" s="690"/>
    </row>
    <row r="15627" spans="13:13">
      <c r="M15627" s="690"/>
    </row>
    <row r="15628" spans="13:13">
      <c r="M15628" s="690"/>
    </row>
    <row r="15629" spans="13:13">
      <c r="M15629" s="690"/>
    </row>
    <row r="15630" spans="13:13">
      <c r="M15630" s="690"/>
    </row>
    <row r="15631" spans="13:13">
      <c r="M15631" s="690"/>
    </row>
    <row r="15632" spans="13:13">
      <c r="M15632" s="690"/>
    </row>
    <row r="15633" spans="13:13">
      <c r="M15633" s="690"/>
    </row>
    <row r="15634" spans="13:13">
      <c r="M15634" s="690"/>
    </row>
    <row r="15635" spans="13:13">
      <c r="M15635" s="690"/>
    </row>
    <row r="15636" spans="13:13">
      <c r="M15636" s="690"/>
    </row>
    <row r="15637" spans="13:13">
      <c r="M15637" s="690"/>
    </row>
    <row r="15638" spans="13:13">
      <c r="M15638" s="690"/>
    </row>
    <row r="15639" spans="13:13">
      <c r="M15639" s="690"/>
    </row>
    <row r="15640" spans="13:13">
      <c r="M15640" s="690"/>
    </row>
    <row r="15641" spans="13:13">
      <c r="M15641" s="690"/>
    </row>
    <row r="15642" spans="13:13">
      <c r="M15642" s="690"/>
    </row>
    <row r="15643" spans="13:13">
      <c r="M15643" s="690"/>
    </row>
    <row r="15644" spans="13:13">
      <c r="M15644" s="690"/>
    </row>
    <row r="15645" spans="13:13">
      <c r="M15645" s="690"/>
    </row>
    <row r="15646" spans="13:13">
      <c r="M15646" s="690"/>
    </row>
    <row r="15647" spans="13:13">
      <c r="M15647" s="690"/>
    </row>
    <row r="15648" spans="13:13">
      <c r="M15648" s="690"/>
    </row>
    <row r="15649" spans="13:13">
      <c r="M15649" s="690"/>
    </row>
    <row r="15650" spans="13:13">
      <c r="M15650" s="690"/>
    </row>
    <row r="15651" spans="13:13">
      <c r="M15651" s="690"/>
    </row>
    <row r="15652" spans="13:13">
      <c r="M15652" s="690"/>
    </row>
    <row r="15653" spans="13:13">
      <c r="M15653" s="690"/>
    </row>
    <row r="15654" spans="13:13">
      <c r="M15654" s="690"/>
    </row>
    <row r="15655" spans="13:13">
      <c r="M15655" s="690"/>
    </row>
    <row r="15656" spans="13:13">
      <c r="M15656" s="690"/>
    </row>
    <row r="15657" spans="13:13">
      <c r="M15657" s="690"/>
    </row>
    <row r="15658" spans="13:13">
      <c r="M15658" s="690"/>
    </row>
    <row r="15659" spans="13:13">
      <c r="M15659" s="690"/>
    </row>
    <row r="15660" spans="13:13">
      <c r="M15660" s="690"/>
    </row>
    <row r="15661" spans="13:13">
      <c r="M15661" s="690"/>
    </row>
    <row r="15662" spans="13:13">
      <c r="M15662" s="690"/>
    </row>
    <row r="15663" spans="13:13">
      <c r="M15663" s="690"/>
    </row>
    <row r="15664" spans="13:13">
      <c r="M15664" s="690"/>
    </row>
    <row r="15665" spans="13:13">
      <c r="M15665" s="690"/>
    </row>
    <row r="15666" spans="13:13">
      <c r="M15666" s="690"/>
    </row>
    <row r="15667" spans="13:13">
      <c r="M15667" s="690"/>
    </row>
    <row r="15668" spans="13:13">
      <c r="M15668" s="690"/>
    </row>
    <row r="15669" spans="13:13">
      <c r="M15669" s="690"/>
    </row>
    <row r="15670" spans="13:13">
      <c r="M15670" s="690"/>
    </row>
    <row r="15671" spans="13:13">
      <c r="M15671" s="690"/>
    </row>
    <row r="15672" spans="13:13">
      <c r="M15672" s="690"/>
    </row>
    <row r="15673" spans="13:13">
      <c r="M15673" s="690"/>
    </row>
    <row r="15674" spans="13:13">
      <c r="M15674" s="690"/>
    </row>
    <row r="15675" spans="13:13">
      <c r="M15675" s="690"/>
    </row>
    <row r="15676" spans="13:13">
      <c r="M15676" s="690"/>
    </row>
    <row r="15677" spans="13:13">
      <c r="M15677" s="690"/>
    </row>
    <row r="15678" spans="13:13">
      <c r="M15678" s="690"/>
    </row>
    <row r="15679" spans="13:13">
      <c r="M15679" s="690"/>
    </row>
    <row r="15680" spans="13:13">
      <c r="M15680" s="690"/>
    </row>
    <row r="15681" spans="13:13">
      <c r="M15681" s="690"/>
    </row>
    <row r="15682" spans="13:13">
      <c r="M15682" s="690"/>
    </row>
    <row r="15683" spans="13:13">
      <c r="M15683" s="690"/>
    </row>
    <row r="15684" spans="13:13">
      <c r="M15684" s="690"/>
    </row>
    <row r="15685" spans="13:13">
      <c r="M15685" s="690"/>
    </row>
    <row r="15686" spans="13:13">
      <c r="M15686" s="690"/>
    </row>
    <row r="15687" spans="13:13">
      <c r="M15687" s="690"/>
    </row>
    <row r="15688" spans="13:13">
      <c r="M15688" s="690"/>
    </row>
    <row r="15689" spans="13:13">
      <c r="M15689" s="690"/>
    </row>
    <row r="15690" spans="13:13">
      <c r="M15690" s="690"/>
    </row>
    <row r="15691" spans="13:13">
      <c r="M15691" s="690"/>
    </row>
    <row r="15692" spans="13:13">
      <c r="M15692" s="690"/>
    </row>
    <row r="15693" spans="13:13">
      <c r="M15693" s="690"/>
    </row>
    <row r="15694" spans="13:13">
      <c r="M15694" s="690"/>
    </row>
    <row r="15695" spans="13:13">
      <c r="M15695" s="690"/>
    </row>
    <row r="15696" spans="13:13">
      <c r="M15696" s="690"/>
    </row>
    <row r="15697" spans="13:13">
      <c r="M15697" s="690"/>
    </row>
    <row r="15698" spans="13:13">
      <c r="M15698" s="690"/>
    </row>
    <row r="15699" spans="13:13">
      <c r="M15699" s="690"/>
    </row>
    <row r="15700" spans="13:13">
      <c r="M15700" s="690"/>
    </row>
    <row r="15701" spans="13:13">
      <c r="M15701" s="690"/>
    </row>
    <row r="15702" spans="13:13">
      <c r="M15702" s="690"/>
    </row>
    <row r="15703" spans="13:13">
      <c r="M15703" s="690"/>
    </row>
    <row r="15704" spans="13:13">
      <c r="M15704" s="690"/>
    </row>
    <row r="15705" spans="13:13">
      <c r="M15705" s="690"/>
    </row>
    <row r="15706" spans="13:13">
      <c r="M15706" s="690"/>
    </row>
    <row r="15707" spans="13:13">
      <c r="M15707" s="690"/>
    </row>
    <row r="15708" spans="13:13">
      <c r="M15708" s="690"/>
    </row>
    <row r="15709" spans="13:13">
      <c r="M15709" s="690"/>
    </row>
    <row r="15710" spans="13:13">
      <c r="M15710" s="690"/>
    </row>
    <row r="15711" spans="13:13">
      <c r="M15711" s="690"/>
    </row>
    <row r="15712" spans="13:13">
      <c r="M15712" s="690"/>
    </row>
    <row r="15713" spans="13:13">
      <c r="M15713" s="690"/>
    </row>
    <row r="15714" spans="13:13">
      <c r="M15714" s="690"/>
    </row>
    <row r="15715" spans="13:13">
      <c r="M15715" s="690"/>
    </row>
    <row r="15716" spans="13:13">
      <c r="M15716" s="690"/>
    </row>
    <row r="15717" spans="13:13">
      <c r="M15717" s="690"/>
    </row>
    <row r="15718" spans="13:13">
      <c r="M15718" s="690"/>
    </row>
    <row r="15719" spans="13:13">
      <c r="M15719" s="690"/>
    </row>
    <row r="15720" spans="13:13">
      <c r="M15720" s="690"/>
    </row>
    <row r="15721" spans="13:13">
      <c r="M15721" s="690"/>
    </row>
    <row r="15722" spans="13:13">
      <c r="M15722" s="690"/>
    </row>
    <row r="15723" spans="13:13">
      <c r="M15723" s="690"/>
    </row>
    <row r="15724" spans="13:13">
      <c r="M15724" s="690"/>
    </row>
    <row r="15725" spans="13:13">
      <c r="M15725" s="690"/>
    </row>
    <row r="15726" spans="13:13">
      <c r="M15726" s="690"/>
    </row>
    <row r="15727" spans="13:13">
      <c r="M15727" s="690"/>
    </row>
    <row r="15728" spans="13:13">
      <c r="M15728" s="690"/>
    </row>
    <row r="15729" spans="13:13">
      <c r="M15729" s="690"/>
    </row>
    <row r="15730" spans="13:13">
      <c r="M15730" s="690"/>
    </row>
    <row r="15731" spans="13:13">
      <c r="M15731" s="690"/>
    </row>
    <row r="15732" spans="13:13">
      <c r="M15732" s="690"/>
    </row>
    <row r="15733" spans="13:13">
      <c r="M15733" s="690"/>
    </row>
    <row r="15734" spans="13:13">
      <c r="M15734" s="690"/>
    </row>
    <row r="15735" spans="13:13">
      <c r="M15735" s="690"/>
    </row>
    <row r="15736" spans="13:13">
      <c r="M15736" s="690"/>
    </row>
    <row r="15737" spans="13:13">
      <c r="M15737" s="690"/>
    </row>
    <row r="15738" spans="13:13">
      <c r="M15738" s="690"/>
    </row>
    <row r="15739" spans="13:13">
      <c r="M15739" s="690"/>
    </row>
    <row r="15740" spans="13:13">
      <c r="M15740" s="690"/>
    </row>
    <row r="15741" spans="13:13">
      <c r="M15741" s="690"/>
    </row>
    <row r="15742" spans="13:13">
      <c r="M15742" s="690"/>
    </row>
    <row r="15743" spans="13:13">
      <c r="M15743" s="690"/>
    </row>
    <row r="15744" spans="13:13">
      <c r="M15744" s="690"/>
    </row>
    <row r="15745" spans="13:13">
      <c r="M15745" s="690"/>
    </row>
    <row r="15746" spans="13:13">
      <c r="M15746" s="690"/>
    </row>
    <row r="15747" spans="13:13">
      <c r="M15747" s="690"/>
    </row>
    <row r="15748" spans="13:13">
      <c r="M15748" s="690"/>
    </row>
    <row r="15749" spans="13:13">
      <c r="M15749" s="690"/>
    </row>
    <row r="15750" spans="13:13">
      <c r="M15750" s="690"/>
    </row>
    <row r="15751" spans="13:13">
      <c r="M15751" s="690"/>
    </row>
    <row r="15752" spans="13:13">
      <c r="M15752" s="690"/>
    </row>
    <row r="15753" spans="13:13">
      <c r="M15753" s="690"/>
    </row>
    <row r="15754" spans="13:13">
      <c r="M15754" s="690"/>
    </row>
    <row r="15755" spans="13:13">
      <c r="M15755" s="690"/>
    </row>
    <row r="15756" spans="13:13">
      <c r="M15756" s="690"/>
    </row>
    <row r="15757" spans="13:13">
      <c r="M15757" s="690"/>
    </row>
    <row r="15758" spans="13:13">
      <c r="M15758" s="690"/>
    </row>
    <row r="15759" spans="13:13">
      <c r="M15759" s="690"/>
    </row>
    <row r="15760" spans="13:13">
      <c r="M15760" s="690"/>
    </row>
    <row r="15761" spans="13:13">
      <c r="M15761" s="690"/>
    </row>
    <row r="15762" spans="13:13">
      <c r="M15762" s="690"/>
    </row>
    <row r="15763" spans="13:13">
      <c r="M15763" s="690"/>
    </row>
    <row r="15764" spans="13:13">
      <c r="M15764" s="690"/>
    </row>
    <row r="15765" spans="13:13">
      <c r="M15765" s="690"/>
    </row>
    <row r="15766" spans="13:13">
      <c r="M15766" s="690"/>
    </row>
    <row r="15767" spans="13:13">
      <c r="M15767" s="690"/>
    </row>
    <row r="15768" spans="13:13">
      <c r="M15768" s="690"/>
    </row>
    <row r="15769" spans="13:13">
      <c r="M15769" s="690"/>
    </row>
    <row r="15770" spans="13:13">
      <c r="M15770" s="690"/>
    </row>
    <row r="15771" spans="13:13">
      <c r="M15771" s="690"/>
    </row>
    <row r="15772" spans="13:13">
      <c r="M15772" s="690"/>
    </row>
    <row r="15773" spans="13:13">
      <c r="M15773" s="690"/>
    </row>
    <row r="15774" spans="13:13">
      <c r="M15774" s="690"/>
    </row>
    <row r="15775" spans="13:13">
      <c r="M15775" s="690"/>
    </row>
    <row r="15776" spans="13:13">
      <c r="M15776" s="690"/>
    </row>
    <row r="15777" spans="13:13">
      <c r="M15777" s="690"/>
    </row>
    <row r="15778" spans="13:13">
      <c r="M15778" s="690"/>
    </row>
    <row r="15779" spans="13:13">
      <c r="M15779" s="690"/>
    </row>
    <row r="15780" spans="13:13">
      <c r="M15780" s="690"/>
    </row>
    <row r="15781" spans="13:13">
      <c r="M15781" s="690"/>
    </row>
    <row r="15782" spans="13:13">
      <c r="M15782" s="690"/>
    </row>
    <row r="15783" spans="13:13">
      <c r="M15783" s="690"/>
    </row>
    <row r="15784" spans="13:13">
      <c r="M15784" s="690"/>
    </row>
    <row r="15785" spans="13:13">
      <c r="M15785" s="690"/>
    </row>
    <row r="15786" spans="13:13">
      <c r="M15786" s="690"/>
    </row>
    <row r="15787" spans="13:13">
      <c r="M15787" s="690"/>
    </row>
    <row r="15788" spans="13:13">
      <c r="M15788" s="690"/>
    </row>
    <row r="15789" spans="13:13">
      <c r="M15789" s="690"/>
    </row>
    <row r="15790" spans="13:13">
      <c r="M15790" s="690"/>
    </row>
    <row r="15791" spans="13:13">
      <c r="M15791" s="690"/>
    </row>
    <row r="15792" spans="13:13">
      <c r="M15792" s="690"/>
    </row>
    <row r="15793" spans="13:13">
      <c r="M15793" s="690"/>
    </row>
    <row r="15794" spans="13:13">
      <c r="M15794" s="690"/>
    </row>
    <row r="15795" spans="13:13">
      <c r="M15795" s="690"/>
    </row>
    <row r="15796" spans="13:13">
      <c r="M15796" s="690"/>
    </row>
    <row r="15797" spans="13:13">
      <c r="M15797" s="690"/>
    </row>
    <row r="15798" spans="13:13">
      <c r="M15798" s="690"/>
    </row>
    <row r="15799" spans="13:13">
      <c r="M15799" s="690"/>
    </row>
    <row r="15800" spans="13:13">
      <c r="M15800" s="690"/>
    </row>
    <row r="15801" spans="13:13">
      <c r="M15801" s="690"/>
    </row>
    <row r="15802" spans="13:13">
      <c r="M15802" s="690"/>
    </row>
    <row r="15803" spans="13:13">
      <c r="M15803" s="690"/>
    </row>
    <row r="15804" spans="13:13">
      <c r="M15804" s="690"/>
    </row>
    <row r="15805" spans="13:13">
      <c r="M15805" s="690"/>
    </row>
    <row r="15806" spans="13:13">
      <c r="M15806" s="690"/>
    </row>
    <row r="15807" spans="13:13">
      <c r="M15807" s="690"/>
    </row>
    <row r="15808" spans="13:13">
      <c r="M15808" s="690"/>
    </row>
    <row r="15809" spans="13:13">
      <c r="M15809" s="690"/>
    </row>
    <row r="15810" spans="13:13">
      <c r="M15810" s="690"/>
    </row>
    <row r="15811" spans="13:13">
      <c r="M15811" s="690"/>
    </row>
    <row r="15812" spans="13:13">
      <c r="M15812" s="690"/>
    </row>
    <row r="15813" spans="13:13">
      <c r="M15813" s="690"/>
    </row>
    <row r="15814" spans="13:13">
      <c r="M15814" s="690"/>
    </row>
    <row r="15815" spans="13:13">
      <c r="M15815" s="690"/>
    </row>
    <row r="15816" spans="13:13">
      <c r="M15816" s="690"/>
    </row>
    <row r="15817" spans="13:13">
      <c r="M15817" s="690"/>
    </row>
    <row r="15818" spans="13:13">
      <c r="M15818" s="690"/>
    </row>
    <row r="15819" spans="13:13">
      <c r="M15819" s="690"/>
    </row>
    <row r="15820" spans="13:13">
      <c r="M15820" s="690"/>
    </row>
    <row r="15821" spans="13:13">
      <c r="M15821" s="690"/>
    </row>
    <row r="15822" spans="13:13">
      <c r="M15822" s="690"/>
    </row>
    <row r="15823" spans="13:13">
      <c r="M15823" s="690"/>
    </row>
    <row r="15824" spans="13:13">
      <c r="M15824" s="690"/>
    </row>
    <row r="15825" spans="13:13">
      <c r="M15825" s="690"/>
    </row>
    <row r="15826" spans="13:13">
      <c r="M15826" s="690"/>
    </row>
    <row r="15827" spans="13:13">
      <c r="M15827" s="690"/>
    </row>
    <row r="15828" spans="13:13">
      <c r="M15828" s="690"/>
    </row>
    <row r="15829" spans="13:13">
      <c r="M15829" s="690"/>
    </row>
    <row r="15830" spans="13:13">
      <c r="M15830" s="690"/>
    </row>
    <row r="15831" spans="13:13">
      <c r="M15831" s="690"/>
    </row>
    <row r="15832" spans="13:13">
      <c r="M15832" s="690"/>
    </row>
    <row r="15833" spans="13:13">
      <c r="M15833" s="690"/>
    </row>
    <row r="15834" spans="13:13">
      <c r="M15834" s="690"/>
    </row>
    <row r="15835" spans="13:13">
      <c r="M15835" s="690"/>
    </row>
    <row r="15836" spans="13:13">
      <c r="M15836" s="690"/>
    </row>
    <row r="15837" spans="13:13">
      <c r="M15837" s="690"/>
    </row>
    <row r="15838" spans="13:13">
      <c r="M15838" s="690"/>
    </row>
    <row r="15839" spans="13:13">
      <c r="M15839" s="690"/>
    </row>
    <row r="15840" spans="13:13">
      <c r="M15840" s="690"/>
    </row>
    <row r="15841" spans="13:13">
      <c r="M15841" s="690"/>
    </row>
    <row r="15842" spans="13:13">
      <c r="M15842" s="690"/>
    </row>
    <row r="15843" spans="13:13">
      <c r="M15843" s="690"/>
    </row>
    <row r="15844" spans="13:13">
      <c r="M15844" s="690"/>
    </row>
    <row r="15845" spans="13:13">
      <c r="M15845" s="690"/>
    </row>
    <row r="15846" spans="13:13">
      <c r="M15846" s="690"/>
    </row>
    <row r="15847" spans="13:13">
      <c r="M15847" s="690"/>
    </row>
    <row r="15848" spans="13:13">
      <c r="M15848" s="690"/>
    </row>
    <row r="15849" spans="13:13">
      <c r="M15849" s="690"/>
    </row>
    <row r="15850" spans="13:13">
      <c r="M15850" s="690"/>
    </row>
    <row r="15851" spans="13:13">
      <c r="M15851" s="690"/>
    </row>
    <row r="15852" spans="13:13">
      <c r="M15852" s="690"/>
    </row>
    <row r="15853" spans="13:13">
      <c r="M15853" s="690"/>
    </row>
    <row r="15854" spans="13:13">
      <c r="M15854" s="690"/>
    </row>
    <row r="15855" spans="13:13">
      <c r="M15855" s="690"/>
    </row>
    <row r="15856" spans="13:13">
      <c r="M15856" s="690"/>
    </row>
    <row r="15857" spans="13:13">
      <c r="M15857" s="690"/>
    </row>
    <row r="15858" spans="13:13">
      <c r="M15858" s="690"/>
    </row>
    <row r="15859" spans="13:13">
      <c r="M15859" s="690"/>
    </row>
    <row r="15860" spans="13:13">
      <c r="M15860" s="690"/>
    </row>
    <row r="15861" spans="13:13">
      <c r="M15861" s="690"/>
    </row>
    <row r="15862" spans="13:13">
      <c r="M15862" s="690"/>
    </row>
    <row r="15863" spans="13:13">
      <c r="M15863" s="690"/>
    </row>
    <row r="15864" spans="13:13">
      <c r="M15864" s="690"/>
    </row>
    <row r="15865" spans="13:13">
      <c r="M15865" s="690"/>
    </row>
    <row r="15866" spans="13:13">
      <c r="M15866" s="690"/>
    </row>
    <row r="15867" spans="13:13">
      <c r="M15867" s="690"/>
    </row>
    <row r="15868" spans="13:13">
      <c r="M15868" s="690"/>
    </row>
    <row r="15869" spans="13:13">
      <c r="M15869" s="690"/>
    </row>
    <row r="15870" spans="13:13">
      <c r="M15870" s="690"/>
    </row>
    <row r="15871" spans="13:13">
      <c r="M15871" s="690"/>
    </row>
    <row r="15872" spans="13:13">
      <c r="M15872" s="690"/>
    </row>
    <row r="15873" spans="13:13">
      <c r="M15873" s="690"/>
    </row>
    <row r="15874" spans="13:13">
      <c r="M15874" s="690"/>
    </row>
    <row r="15875" spans="13:13">
      <c r="M15875" s="690"/>
    </row>
    <row r="15876" spans="13:13">
      <c r="M15876" s="690"/>
    </row>
    <row r="15877" spans="13:13">
      <c r="M15877" s="690"/>
    </row>
    <row r="15878" spans="13:13">
      <c r="M15878" s="690"/>
    </row>
    <row r="15879" spans="13:13">
      <c r="M15879" s="690"/>
    </row>
    <row r="15880" spans="13:13">
      <c r="M15880" s="690"/>
    </row>
    <row r="15881" spans="13:13">
      <c r="M15881" s="690"/>
    </row>
    <row r="15882" spans="13:13">
      <c r="M15882" s="690"/>
    </row>
    <row r="15883" spans="13:13">
      <c r="M15883" s="690"/>
    </row>
    <row r="15884" spans="13:13">
      <c r="M15884" s="690"/>
    </row>
    <row r="15885" spans="13:13">
      <c r="M15885" s="690"/>
    </row>
    <row r="15886" spans="13:13">
      <c r="M15886" s="690"/>
    </row>
    <row r="15887" spans="13:13">
      <c r="M15887" s="690"/>
    </row>
    <row r="15888" spans="13:13">
      <c r="M15888" s="690"/>
    </row>
    <row r="15889" spans="13:13">
      <c r="M15889" s="690"/>
    </row>
    <row r="15890" spans="13:13">
      <c r="M15890" s="690"/>
    </row>
    <row r="15891" spans="13:13">
      <c r="M15891" s="690"/>
    </row>
    <row r="15892" spans="13:13">
      <c r="M15892" s="690"/>
    </row>
    <row r="15893" spans="13:13">
      <c r="M15893" s="690"/>
    </row>
    <row r="15894" spans="13:13">
      <c r="M15894" s="690"/>
    </row>
    <row r="15895" spans="13:13">
      <c r="M15895" s="690"/>
    </row>
    <row r="15896" spans="13:13">
      <c r="M15896" s="690"/>
    </row>
    <row r="15897" spans="13:13">
      <c r="M15897" s="690"/>
    </row>
    <row r="15898" spans="13:13">
      <c r="M15898" s="690"/>
    </row>
    <row r="15899" spans="13:13">
      <c r="M15899" s="690"/>
    </row>
    <row r="15900" spans="13:13">
      <c r="M15900" s="690"/>
    </row>
    <row r="15901" spans="13:13">
      <c r="M15901" s="690"/>
    </row>
    <row r="15902" spans="13:13">
      <c r="M15902" s="690"/>
    </row>
    <row r="15903" spans="13:13">
      <c r="M15903" s="690"/>
    </row>
    <row r="15904" spans="13:13">
      <c r="M15904" s="690"/>
    </row>
    <row r="15905" spans="13:13">
      <c r="M15905" s="690"/>
    </row>
    <row r="15906" spans="13:13">
      <c r="M15906" s="690"/>
    </row>
    <row r="15907" spans="13:13">
      <c r="M15907" s="690"/>
    </row>
    <row r="15908" spans="13:13">
      <c r="M15908" s="690"/>
    </row>
    <row r="15909" spans="13:13">
      <c r="M15909" s="690"/>
    </row>
    <row r="15910" spans="13:13">
      <c r="M15910" s="690"/>
    </row>
    <row r="15911" spans="13:13">
      <c r="M15911" s="690"/>
    </row>
    <row r="15912" spans="13:13">
      <c r="M15912" s="690"/>
    </row>
    <row r="15913" spans="13:13">
      <c r="M15913" s="690"/>
    </row>
    <row r="15914" spans="13:13">
      <c r="M15914" s="690"/>
    </row>
    <row r="15915" spans="13:13">
      <c r="M15915" s="690"/>
    </row>
    <row r="15916" spans="13:13">
      <c r="M15916" s="690"/>
    </row>
    <row r="15917" spans="13:13">
      <c r="M15917" s="690"/>
    </row>
    <row r="15918" spans="13:13">
      <c r="M15918" s="690"/>
    </row>
    <row r="15919" spans="13:13">
      <c r="M15919" s="690"/>
    </row>
    <row r="15920" spans="13:13">
      <c r="M15920" s="690"/>
    </row>
    <row r="15921" spans="13:13">
      <c r="M15921" s="690"/>
    </row>
    <row r="15922" spans="13:13">
      <c r="M15922" s="690"/>
    </row>
    <row r="15923" spans="13:13">
      <c r="M15923" s="690"/>
    </row>
    <row r="15924" spans="13:13">
      <c r="M15924" s="690"/>
    </row>
    <row r="15925" spans="13:13">
      <c r="M15925" s="690"/>
    </row>
    <row r="15926" spans="13:13">
      <c r="M15926" s="690"/>
    </row>
    <row r="15927" spans="13:13">
      <c r="M15927" s="690"/>
    </row>
    <row r="15928" spans="13:13">
      <c r="M15928" s="690"/>
    </row>
    <row r="15929" spans="13:13">
      <c r="M15929" s="690"/>
    </row>
    <row r="15930" spans="13:13">
      <c r="M15930" s="690"/>
    </row>
    <row r="15931" spans="13:13">
      <c r="M15931" s="690"/>
    </row>
    <row r="15932" spans="13:13">
      <c r="M15932" s="690"/>
    </row>
    <row r="15933" spans="13:13">
      <c r="M15933" s="690"/>
    </row>
    <row r="15934" spans="13:13">
      <c r="M15934" s="690"/>
    </row>
    <row r="15935" spans="13:13">
      <c r="M15935" s="690"/>
    </row>
    <row r="15936" spans="13:13">
      <c r="M15936" s="690"/>
    </row>
    <row r="15937" spans="13:13">
      <c r="M15937" s="690"/>
    </row>
    <row r="15938" spans="13:13">
      <c r="M15938" s="690"/>
    </row>
    <row r="15939" spans="13:13">
      <c r="M15939" s="690"/>
    </row>
    <row r="15940" spans="13:13">
      <c r="M15940" s="690"/>
    </row>
    <row r="15941" spans="13:13">
      <c r="M15941" s="690"/>
    </row>
    <row r="15942" spans="13:13">
      <c r="M15942" s="690"/>
    </row>
    <row r="15943" spans="13:13">
      <c r="M15943" s="690"/>
    </row>
    <row r="15944" spans="13:13">
      <c r="M15944" s="690"/>
    </row>
    <row r="15945" spans="13:13">
      <c r="M15945" s="690"/>
    </row>
    <row r="15946" spans="13:13">
      <c r="M15946" s="690"/>
    </row>
    <row r="15947" spans="13:13">
      <c r="M15947" s="690"/>
    </row>
    <row r="15948" spans="13:13">
      <c r="M15948" s="690"/>
    </row>
    <row r="15949" spans="13:13">
      <c r="M15949" s="690"/>
    </row>
    <row r="15950" spans="13:13">
      <c r="M15950" s="690"/>
    </row>
    <row r="15951" spans="13:13">
      <c r="M15951" s="690"/>
    </row>
    <row r="15952" spans="13:13">
      <c r="M15952" s="690"/>
    </row>
    <row r="15953" spans="13:13">
      <c r="M15953" s="690"/>
    </row>
    <row r="15954" spans="13:13">
      <c r="M15954" s="690"/>
    </row>
    <row r="15955" spans="13:13">
      <c r="M15955" s="690"/>
    </row>
    <row r="15956" spans="13:13">
      <c r="M15956" s="690"/>
    </row>
    <row r="15957" spans="13:13">
      <c r="M15957" s="690"/>
    </row>
    <row r="15958" spans="13:13">
      <c r="M15958" s="690"/>
    </row>
    <row r="15959" spans="13:13">
      <c r="M15959" s="690"/>
    </row>
    <row r="15960" spans="13:13">
      <c r="M15960" s="690"/>
    </row>
    <row r="15961" spans="13:13">
      <c r="M15961" s="690"/>
    </row>
    <row r="15962" spans="13:13">
      <c r="M15962" s="690"/>
    </row>
    <row r="15963" spans="13:13">
      <c r="M15963" s="690"/>
    </row>
    <row r="15964" spans="13:13">
      <c r="M15964" s="690"/>
    </row>
    <row r="15965" spans="13:13">
      <c r="M15965" s="690"/>
    </row>
    <row r="15966" spans="13:13">
      <c r="M15966" s="690"/>
    </row>
    <row r="15967" spans="13:13">
      <c r="M15967" s="690"/>
    </row>
    <row r="15968" spans="13:13">
      <c r="M15968" s="690"/>
    </row>
    <row r="15969" spans="13:13">
      <c r="M15969" s="690"/>
    </row>
    <row r="15970" spans="13:13">
      <c r="M15970" s="690"/>
    </row>
    <row r="15971" spans="13:13">
      <c r="M15971" s="690"/>
    </row>
    <row r="15972" spans="13:13">
      <c r="M15972" s="690"/>
    </row>
    <row r="15973" spans="13:13">
      <c r="M15973" s="690"/>
    </row>
    <row r="15974" spans="13:13">
      <c r="M15974" s="690"/>
    </row>
    <row r="15975" spans="13:13">
      <c r="M15975" s="690"/>
    </row>
    <row r="15976" spans="13:13">
      <c r="M15976" s="690"/>
    </row>
    <row r="15977" spans="13:13">
      <c r="M15977" s="690"/>
    </row>
    <row r="15978" spans="13:13">
      <c r="M15978" s="690"/>
    </row>
    <row r="15979" spans="13:13">
      <c r="M15979" s="690"/>
    </row>
    <row r="15980" spans="13:13">
      <c r="M15980" s="690"/>
    </row>
    <row r="15981" spans="13:13">
      <c r="M15981" s="690"/>
    </row>
    <row r="15982" spans="13:13">
      <c r="M15982" s="690"/>
    </row>
    <row r="15983" spans="13:13">
      <c r="M15983" s="690"/>
    </row>
    <row r="15984" spans="13:13">
      <c r="M15984" s="690"/>
    </row>
    <row r="15985" spans="13:13">
      <c r="M15985" s="690"/>
    </row>
    <row r="15986" spans="13:13">
      <c r="M15986" s="690"/>
    </row>
    <row r="15987" spans="13:13">
      <c r="M15987" s="690"/>
    </row>
    <row r="15988" spans="13:13">
      <c r="M15988" s="690"/>
    </row>
    <row r="15989" spans="13:13">
      <c r="M15989" s="690"/>
    </row>
    <row r="15990" spans="13:13">
      <c r="M15990" s="690"/>
    </row>
    <row r="15991" spans="13:13">
      <c r="M15991" s="690"/>
    </row>
    <row r="15992" spans="13:13">
      <c r="M15992" s="690"/>
    </row>
    <row r="15993" spans="13:13">
      <c r="M15993" s="690"/>
    </row>
    <row r="15994" spans="13:13">
      <c r="M15994" s="690"/>
    </row>
    <row r="15995" spans="13:13">
      <c r="M15995" s="690"/>
    </row>
    <row r="15996" spans="13:13">
      <c r="M15996" s="690"/>
    </row>
    <row r="15997" spans="13:13">
      <c r="M15997" s="690"/>
    </row>
    <row r="15998" spans="13:13">
      <c r="M15998" s="690"/>
    </row>
    <row r="15999" spans="13:13">
      <c r="M15999" s="690"/>
    </row>
    <row r="16000" spans="13:13">
      <c r="M16000" s="690"/>
    </row>
    <row r="16001" spans="13:13">
      <c r="M16001" s="690"/>
    </row>
    <row r="16002" spans="13:13">
      <c r="M16002" s="690"/>
    </row>
    <row r="16003" spans="13:13">
      <c r="M16003" s="690"/>
    </row>
    <row r="16004" spans="13:13">
      <c r="M16004" s="690"/>
    </row>
    <row r="16005" spans="13:13">
      <c r="M16005" s="690"/>
    </row>
    <row r="16006" spans="13:13">
      <c r="M16006" s="690"/>
    </row>
    <row r="16007" spans="13:13">
      <c r="M16007" s="690"/>
    </row>
    <row r="16008" spans="13:13">
      <c r="M16008" s="690"/>
    </row>
    <row r="16009" spans="13:13">
      <c r="M16009" s="690"/>
    </row>
    <row r="16010" spans="13:13">
      <c r="M16010" s="690"/>
    </row>
    <row r="16011" spans="13:13">
      <c r="M16011" s="690"/>
    </row>
    <row r="16012" spans="13:13">
      <c r="M16012" s="690"/>
    </row>
    <row r="16013" spans="13:13">
      <c r="M16013" s="690"/>
    </row>
    <row r="16014" spans="13:13">
      <c r="M16014" s="690"/>
    </row>
    <row r="16015" spans="13:13">
      <c r="M16015" s="690"/>
    </row>
    <row r="16016" spans="13:13">
      <c r="M16016" s="690"/>
    </row>
    <row r="16017" spans="13:13">
      <c r="M16017" s="690"/>
    </row>
    <row r="16018" spans="13:13">
      <c r="M16018" s="690"/>
    </row>
    <row r="16019" spans="13:13">
      <c r="M16019" s="690"/>
    </row>
    <row r="16020" spans="13:13">
      <c r="M16020" s="690"/>
    </row>
    <row r="16021" spans="13:13">
      <c r="M16021" s="690"/>
    </row>
    <row r="16022" spans="13:13">
      <c r="M16022" s="690"/>
    </row>
    <row r="16023" spans="13:13">
      <c r="M16023" s="690"/>
    </row>
    <row r="16024" spans="13:13">
      <c r="M16024" s="690"/>
    </row>
    <row r="16025" spans="13:13">
      <c r="M16025" s="690"/>
    </row>
    <row r="16026" spans="13:13">
      <c r="M16026" s="690"/>
    </row>
    <row r="16027" spans="13:13">
      <c r="M16027" s="690"/>
    </row>
    <row r="16028" spans="13:13">
      <c r="M16028" s="690"/>
    </row>
    <row r="16029" spans="13:13">
      <c r="M16029" s="690"/>
    </row>
    <row r="16030" spans="13:13">
      <c r="M16030" s="690"/>
    </row>
    <row r="16031" spans="13:13">
      <c r="M16031" s="690"/>
    </row>
    <row r="16032" spans="13:13">
      <c r="M16032" s="690"/>
    </row>
    <row r="16033" spans="13:13">
      <c r="M16033" s="690"/>
    </row>
    <row r="16034" spans="13:13">
      <c r="M16034" s="690"/>
    </row>
    <row r="16035" spans="13:13">
      <c r="M16035" s="690"/>
    </row>
    <row r="16036" spans="13:13">
      <c r="M16036" s="690"/>
    </row>
    <row r="16037" spans="13:13">
      <c r="M16037" s="690"/>
    </row>
    <row r="16038" spans="13:13">
      <c r="M16038" s="690"/>
    </row>
    <row r="16039" spans="13:13">
      <c r="M16039" s="690"/>
    </row>
    <row r="16040" spans="13:13">
      <c r="M16040" s="690"/>
    </row>
    <row r="16041" spans="13:13">
      <c r="M16041" s="690"/>
    </row>
    <row r="16042" spans="13:13">
      <c r="M16042" s="690"/>
    </row>
    <row r="16043" spans="13:13">
      <c r="M16043" s="690"/>
    </row>
    <row r="16044" spans="13:13">
      <c r="M16044" s="690"/>
    </row>
    <row r="16045" spans="13:13">
      <c r="M16045" s="690"/>
    </row>
    <row r="16046" spans="13:13">
      <c r="M16046" s="690"/>
    </row>
    <row r="16047" spans="13:13">
      <c r="M16047" s="690"/>
    </row>
    <row r="16048" spans="13:13">
      <c r="M16048" s="690"/>
    </row>
    <row r="16049" spans="13:13">
      <c r="M16049" s="690"/>
    </row>
    <row r="16050" spans="13:13">
      <c r="M16050" s="690"/>
    </row>
    <row r="16051" spans="13:13">
      <c r="M16051" s="690"/>
    </row>
    <row r="16052" spans="13:13">
      <c r="M16052" s="690"/>
    </row>
    <row r="16053" spans="13:13">
      <c r="M16053" s="690"/>
    </row>
    <row r="16054" spans="13:13">
      <c r="M16054" s="690"/>
    </row>
    <row r="16055" spans="13:13">
      <c r="M16055" s="690"/>
    </row>
    <row r="16056" spans="13:13">
      <c r="M16056" s="690"/>
    </row>
    <row r="16057" spans="13:13">
      <c r="M16057" s="690"/>
    </row>
    <row r="16058" spans="13:13">
      <c r="M16058" s="690"/>
    </row>
    <row r="16059" spans="13:13">
      <c r="M16059" s="690"/>
    </row>
    <row r="16060" spans="13:13">
      <c r="M16060" s="690"/>
    </row>
    <row r="16061" spans="13:13">
      <c r="M16061" s="690"/>
    </row>
    <row r="16062" spans="13:13">
      <c r="M16062" s="690"/>
    </row>
    <row r="16063" spans="13:13">
      <c r="M16063" s="690"/>
    </row>
    <row r="16064" spans="13:13">
      <c r="M16064" s="690"/>
    </row>
    <row r="16065" spans="13:13">
      <c r="M16065" s="690"/>
    </row>
    <row r="16066" spans="13:13">
      <c r="M16066" s="690"/>
    </row>
    <row r="16067" spans="13:13">
      <c r="M16067" s="690"/>
    </row>
    <row r="16068" spans="13:13">
      <c r="M16068" s="690"/>
    </row>
    <row r="16069" spans="13:13">
      <c r="M16069" s="690"/>
    </row>
    <row r="16070" spans="13:13">
      <c r="M16070" s="690"/>
    </row>
    <row r="16071" spans="13:13">
      <c r="M16071" s="690"/>
    </row>
    <row r="16072" spans="13:13">
      <c r="M16072" s="690"/>
    </row>
    <row r="16073" spans="13:13">
      <c r="M16073" s="690"/>
    </row>
    <row r="16074" spans="13:13">
      <c r="M16074" s="690"/>
    </row>
    <row r="16075" spans="13:13">
      <c r="M16075" s="690"/>
    </row>
    <row r="16076" spans="13:13">
      <c r="M16076" s="690"/>
    </row>
    <row r="16077" spans="13:13">
      <c r="M16077" s="690"/>
    </row>
    <row r="16078" spans="13:13">
      <c r="M16078" s="690"/>
    </row>
    <row r="16079" spans="13:13">
      <c r="M16079" s="690"/>
    </row>
    <row r="16080" spans="13:13">
      <c r="M16080" s="690"/>
    </row>
    <row r="16081" spans="13:13">
      <c r="M16081" s="690"/>
    </row>
    <row r="16082" spans="13:13">
      <c r="M16082" s="690"/>
    </row>
    <row r="16083" spans="13:13">
      <c r="M16083" s="690"/>
    </row>
    <row r="16084" spans="13:13">
      <c r="M16084" s="690"/>
    </row>
    <row r="16085" spans="13:13">
      <c r="M16085" s="690"/>
    </row>
    <row r="16086" spans="13:13">
      <c r="M16086" s="690"/>
    </row>
    <row r="16087" spans="13:13">
      <c r="M16087" s="690"/>
    </row>
    <row r="16088" spans="13:13">
      <c r="M16088" s="690"/>
    </row>
    <row r="16089" spans="13:13">
      <c r="M16089" s="690"/>
    </row>
    <row r="16090" spans="13:13">
      <c r="M16090" s="690"/>
    </row>
    <row r="16091" spans="13:13">
      <c r="M16091" s="690"/>
    </row>
    <row r="16092" spans="13:13">
      <c r="M16092" s="690"/>
    </row>
    <row r="16093" spans="13:13">
      <c r="M16093" s="690"/>
    </row>
    <row r="16094" spans="13:13">
      <c r="M16094" s="690"/>
    </row>
    <row r="16095" spans="13:13">
      <c r="M16095" s="690"/>
    </row>
    <row r="16096" spans="13:13">
      <c r="M16096" s="690"/>
    </row>
    <row r="16097" spans="13:13">
      <c r="M16097" s="690"/>
    </row>
    <row r="16098" spans="13:13">
      <c r="M16098" s="690"/>
    </row>
    <row r="16099" spans="13:13">
      <c r="M16099" s="690"/>
    </row>
    <row r="16100" spans="13:13">
      <c r="M16100" s="690"/>
    </row>
    <row r="16101" spans="13:13">
      <c r="M16101" s="690"/>
    </row>
    <row r="16102" spans="13:13">
      <c r="M16102" s="690"/>
    </row>
    <row r="16103" spans="13:13">
      <c r="M16103" s="690"/>
    </row>
    <row r="16104" spans="13:13">
      <c r="M16104" s="690"/>
    </row>
    <row r="16105" spans="13:13">
      <c r="M16105" s="690"/>
    </row>
    <row r="16106" spans="13:13">
      <c r="M16106" s="690"/>
    </row>
    <row r="16107" spans="13:13">
      <c r="M16107" s="690"/>
    </row>
    <row r="16108" spans="13:13">
      <c r="M16108" s="690"/>
    </row>
    <row r="16109" spans="13:13">
      <c r="M16109" s="690"/>
    </row>
    <row r="16110" spans="13:13">
      <c r="M16110" s="690"/>
    </row>
    <row r="16111" spans="13:13">
      <c r="M16111" s="690"/>
    </row>
    <row r="16112" spans="13:13">
      <c r="M16112" s="690"/>
    </row>
    <row r="16113" spans="13:13">
      <c r="M16113" s="690"/>
    </row>
    <row r="16114" spans="13:13">
      <c r="M16114" s="690"/>
    </row>
    <row r="16115" spans="13:13">
      <c r="M16115" s="690"/>
    </row>
    <row r="16116" spans="13:13">
      <c r="M16116" s="690"/>
    </row>
    <row r="16117" spans="13:13">
      <c r="M16117" s="690"/>
    </row>
    <row r="16118" spans="13:13">
      <c r="M16118" s="690"/>
    </row>
    <row r="16119" spans="13:13">
      <c r="M16119" s="690"/>
    </row>
    <row r="16120" spans="13:13">
      <c r="M16120" s="690"/>
    </row>
    <row r="16121" spans="13:13">
      <c r="M16121" s="690"/>
    </row>
    <row r="16122" spans="13:13">
      <c r="M16122" s="690"/>
    </row>
    <row r="16123" spans="13:13">
      <c r="M16123" s="690"/>
    </row>
    <row r="16124" spans="13:13">
      <c r="M16124" s="690"/>
    </row>
    <row r="16125" spans="13:13">
      <c r="M16125" s="690"/>
    </row>
    <row r="16126" spans="13:13">
      <c r="M16126" s="690"/>
    </row>
    <row r="16127" spans="13:13">
      <c r="M16127" s="690"/>
    </row>
    <row r="16128" spans="13:13">
      <c r="M16128" s="690"/>
    </row>
    <row r="16129" spans="13:13">
      <c r="M16129" s="690"/>
    </row>
    <row r="16130" spans="13:13">
      <c r="M16130" s="690"/>
    </row>
    <row r="16131" spans="13:13">
      <c r="M16131" s="690"/>
    </row>
    <row r="16132" spans="13:13">
      <c r="M16132" s="690"/>
    </row>
    <row r="16133" spans="13:13">
      <c r="M16133" s="690"/>
    </row>
    <row r="16134" spans="13:13">
      <c r="M16134" s="690"/>
    </row>
    <row r="16135" spans="13:13">
      <c r="M16135" s="690"/>
    </row>
    <row r="16136" spans="13:13">
      <c r="M16136" s="690"/>
    </row>
    <row r="16137" spans="13:13">
      <c r="M16137" s="690"/>
    </row>
    <row r="16138" spans="13:13">
      <c r="M16138" s="690"/>
    </row>
    <row r="16139" spans="13:13">
      <c r="M16139" s="690"/>
    </row>
    <row r="16140" spans="13:13">
      <c r="M16140" s="690"/>
    </row>
    <row r="16141" spans="13:13">
      <c r="M16141" s="690"/>
    </row>
    <row r="16142" spans="13:13">
      <c r="M16142" s="690"/>
    </row>
    <row r="16143" spans="13:13">
      <c r="M16143" s="690"/>
    </row>
    <row r="16144" spans="13:13">
      <c r="M16144" s="690"/>
    </row>
    <row r="16145" spans="13:13">
      <c r="M16145" s="690"/>
    </row>
    <row r="16146" spans="13:13">
      <c r="M16146" s="690"/>
    </row>
    <row r="16147" spans="13:13">
      <c r="M16147" s="690"/>
    </row>
    <row r="16148" spans="13:13">
      <c r="M16148" s="690"/>
    </row>
    <row r="16149" spans="13:13">
      <c r="M16149" s="690"/>
    </row>
    <row r="16150" spans="13:13">
      <c r="M16150" s="690"/>
    </row>
    <row r="16151" spans="13:13">
      <c r="M16151" s="690"/>
    </row>
    <row r="16152" spans="13:13">
      <c r="M16152" s="690"/>
    </row>
    <row r="16153" spans="13:13">
      <c r="M16153" s="690"/>
    </row>
    <row r="16154" spans="13:13">
      <c r="M16154" s="690"/>
    </row>
    <row r="16155" spans="13:13">
      <c r="M16155" s="690"/>
    </row>
    <row r="16156" spans="13:13">
      <c r="M16156" s="690"/>
    </row>
    <row r="16157" spans="13:13">
      <c r="M16157" s="690"/>
    </row>
    <row r="16158" spans="13:13">
      <c r="M16158" s="690"/>
    </row>
    <row r="16159" spans="13:13">
      <c r="M16159" s="690"/>
    </row>
    <row r="16160" spans="13:13">
      <c r="M16160" s="690"/>
    </row>
    <row r="16161" spans="13:13">
      <c r="M16161" s="690"/>
    </row>
    <row r="16162" spans="13:13">
      <c r="M16162" s="690"/>
    </row>
    <row r="16163" spans="13:13">
      <c r="M16163" s="690"/>
    </row>
    <row r="16164" spans="13:13">
      <c r="M16164" s="690"/>
    </row>
    <row r="16165" spans="13:13">
      <c r="M16165" s="690"/>
    </row>
    <row r="16166" spans="13:13">
      <c r="M16166" s="690"/>
    </row>
    <row r="16167" spans="13:13">
      <c r="M16167" s="690"/>
    </row>
    <row r="16168" spans="13:13">
      <c r="M16168" s="690"/>
    </row>
    <row r="16169" spans="13:13">
      <c r="M16169" s="690"/>
    </row>
    <row r="16170" spans="13:13">
      <c r="M16170" s="690"/>
    </row>
    <row r="16171" spans="13:13">
      <c r="M16171" s="690"/>
    </row>
    <row r="16172" spans="13:13">
      <c r="M16172" s="690"/>
    </row>
    <row r="16173" spans="13:13">
      <c r="M16173" s="690"/>
    </row>
    <row r="16174" spans="13:13">
      <c r="M16174" s="690"/>
    </row>
    <row r="16175" spans="13:13">
      <c r="M16175" s="690"/>
    </row>
    <row r="16176" spans="13:13">
      <c r="M16176" s="690"/>
    </row>
    <row r="16177" spans="13:13">
      <c r="M16177" s="690"/>
    </row>
    <row r="16178" spans="13:13">
      <c r="M16178" s="690"/>
    </row>
    <row r="16179" spans="13:13">
      <c r="M16179" s="690"/>
    </row>
    <row r="16180" spans="13:13">
      <c r="M16180" s="690"/>
    </row>
    <row r="16181" spans="13:13">
      <c r="M16181" s="690"/>
    </row>
    <row r="16182" spans="13:13">
      <c r="M16182" s="690"/>
    </row>
    <row r="16183" spans="13:13">
      <c r="M16183" s="690"/>
    </row>
    <row r="16184" spans="13:13">
      <c r="M16184" s="690"/>
    </row>
    <row r="16185" spans="13:13">
      <c r="M16185" s="690"/>
    </row>
    <row r="16186" spans="13:13">
      <c r="M16186" s="690"/>
    </row>
    <row r="16187" spans="13:13">
      <c r="M16187" s="690"/>
    </row>
    <row r="16188" spans="13:13">
      <c r="M16188" s="690"/>
    </row>
    <row r="16189" spans="13:13">
      <c r="M16189" s="690"/>
    </row>
    <row r="16190" spans="13:13">
      <c r="M16190" s="690"/>
    </row>
    <row r="16191" spans="13:13">
      <c r="M16191" s="690"/>
    </row>
    <row r="16192" spans="13:13">
      <c r="M16192" s="690"/>
    </row>
    <row r="16193" spans="13:13">
      <c r="M16193" s="690"/>
    </row>
    <row r="16194" spans="13:13">
      <c r="M16194" s="690"/>
    </row>
    <row r="16195" spans="13:13">
      <c r="M16195" s="690"/>
    </row>
    <row r="16196" spans="13:13">
      <c r="M16196" s="690"/>
    </row>
    <row r="16197" spans="13:13">
      <c r="M16197" s="690"/>
    </row>
    <row r="16198" spans="13:13">
      <c r="M16198" s="690"/>
    </row>
    <row r="16199" spans="13:13">
      <c r="M16199" s="690"/>
    </row>
    <row r="16200" spans="13:13">
      <c r="M16200" s="690"/>
    </row>
    <row r="16201" spans="13:13">
      <c r="M16201" s="690"/>
    </row>
    <row r="16202" spans="13:13">
      <c r="M16202" s="690"/>
    </row>
    <row r="16203" spans="13:13">
      <c r="M16203" s="690"/>
    </row>
    <row r="16204" spans="13:13">
      <c r="M16204" s="690"/>
    </row>
    <row r="16205" spans="13:13">
      <c r="M16205" s="690"/>
    </row>
    <row r="16206" spans="13:13">
      <c r="M16206" s="690"/>
    </row>
    <row r="16207" spans="13:13">
      <c r="M16207" s="690"/>
    </row>
    <row r="16208" spans="13:13">
      <c r="M16208" s="690"/>
    </row>
    <row r="16209" spans="13:13">
      <c r="M16209" s="690"/>
    </row>
    <row r="16210" spans="13:13">
      <c r="M16210" s="690"/>
    </row>
    <row r="16211" spans="13:13">
      <c r="M16211" s="690"/>
    </row>
    <row r="16212" spans="13:13">
      <c r="M16212" s="690"/>
    </row>
    <row r="16213" spans="13:13">
      <c r="M16213" s="690"/>
    </row>
    <row r="16214" spans="13:13">
      <c r="M16214" s="690"/>
    </row>
    <row r="16215" spans="13:13">
      <c r="M16215" s="690"/>
    </row>
    <row r="16216" spans="13:13">
      <c r="M16216" s="690"/>
    </row>
    <row r="16217" spans="13:13">
      <c r="M16217" s="690"/>
    </row>
    <row r="16218" spans="13:13">
      <c r="M16218" s="690"/>
    </row>
    <row r="16219" spans="13:13">
      <c r="M16219" s="690"/>
    </row>
    <row r="16220" spans="13:13">
      <c r="M16220" s="690"/>
    </row>
    <row r="16221" spans="13:13">
      <c r="M16221" s="690"/>
    </row>
    <row r="16222" spans="13:13">
      <c r="M16222" s="690"/>
    </row>
    <row r="16223" spans="13:13">
      <c r="M16223" s="690"/>
    </row>
    <row r="16224" spans="13:13">
      <c r="M16224" s="690"/>
    </row>
    <row r="16225" spans="13:13">
      <c r="M16225" s="690"/>
    </row>
    <row r="16226" spans="13:13">
      <c r="M16226" s="690"/>
    </row>
    <row r="16227" spans="13:13">
      <c r="M16227" s="690"/>
    </row>
    <row r="16228" spans="13:13">
      <c r="M16228" s="690"/>
    </row>
    <row r="16229" spans="13:13">
      <c r="M16229" s="690"/>
    </row>
    <row r="16230" spans="13:13">
      <c r="M16230" s="690"/>
    </row>
    <row r="16231" spans="13:13">
      <c r="M16231" s="690"/>
    </row>
    <row r="16232" spans="13:13">
      <c r="M16232" s="690"/>
    </row>
    <row r="16233" spans="13:13">
      <c r="M16233" s="690"/>
    </row>
    <row r="16234" spans="13:13">
      <c r="M16234" s="690"/>
    </row>
    <row r="16235" spans="13:13">
      <c r="M16235" s="690"/>
    </row>
    <row r="16236" spans="13:13">
      <c r="M16236" s="690"/>
    </row>
    <row r="16237" spans="13:13">
      <c r="M16237" s="690"/>
    </row>
    <row r="16238" spans="13:13">
      <c r="M16238" s="690"/>
    </row>
    <row r="16239" spans="13:13">
      <c r="M16239" s="690"/>
    </row>
    <row r="16240" spans="13:13">
      <c r="M16240" s="690"/>
    </row>
    <row r="16241" spans="13:13">
      <c r="M16241" s="690"/>
    </row>
    <row r="16242" spans="13:13">
      <c r="M16242" s="690"/>
    </row>
    <row r="16243" spans="13:13">
      <c r="M16243" s="690"/>
    </row>
    <row r="16244" spans="13:13">
      <c r="M16244" s="690"/>
    </row>
    <row r="16245" spans="13:13">
      <c r="M16245" s="690"/>
    </row>
    <row r="16246" spans="13:13">
      <c r="M16246" s="690"/>
    </row>
    <row r="16247" spans="13:13">
      <c r="M16247" s="690"/>
    </row>
    <row r="16248" spans="13:13">
      <c r="M16248" s="690"/>
    </row>
    <row r="16249" spans="13:13">
      <c r="M16249" s="690"/>
    </row>
    <row r="16250" spans="13:13">
      <c r="M16250" s="690"/>
    </row>
    <row r="16251" spans="13:13">
      <c r="M16251" s="690"/>
    </row>
    <row r="16252" spans="13:13">
      <c r="M16252" s="690"/>
    </row>
    <row r="16253" spans="13:13">
      <c r="M16253" s="690"/>
    </row>
    <row r="16254" spans="13:13">
      <c r="M16254" s="690"/>
    </row>
    <row r="16255" spans="13:13">
      <c r="M16255" s="690"/>
    </row>
    <row r="16256" spans="13:13">
      <c r="M16256" s="690"/>
    </row>
    <row r="16257" spans="13:13">
      <c r="M16257" s="690"/>
    </row>
    <row r="16258" spans="13:13">
      <c r="M16258" s="690"/>
    </row>
    <row r="16259" spans="13:13">
      <c r="M16259" s="690"/>
    </row>
    <row r="16260" spans="13:13">
      <c r="M16260" s="690"/>
    </row>
    <row r="16261" spans="13:13">
      <c r="M16261" s="690"/>
    </row>
    <row r="16262" spans="13:13">
      <c r="M16262" s="690"/>
    </row>
    <row r="16263" spans="13:13">
      <c r="M16263" s="690"/>
    </row>
    <row r="16264" spans="13:13">
      <c r="M16264" s="690"/>
    </row>
    <row r="16265" spans="13:13">
      <c r="M16265" s="690"/>
    </row>
    <row r="16266" spans="13:13">
      <c r="M16266" s="690"/>
    </row>
    <row r="16267" spans="13:13">
      <c r="M16267" s="690"/>
    </row>
    <row r="16268" spans="13:13">
      <c r="M16268" s="690"/>
    </row>
    <row r="16269" spans="13:13">
      <c r="M16269" s="690"/>
    </row>
    <row r="16270" spans="13:13">
      <c r="M16270" s="690"/>
    </row>
    <row r="16271" spans="13:13">
      <c r="M16271" s="690"/>
    </row>
    <row r="16272" spans="13:13">
      <c r="M16272" s="690"/>
    </row>
    <row r="16273" spans="13:13">
      <c r="M16273" s="690"/>
    </row>
    <row r="16274" spans="13:13">
      <c r="M16274" s="690"/>
    </row>
    <row r="16275" spans="13:13">
      <c r="M16275" s="690"/>
    </row>
    <row r="16276" spans="13:13">
      <c r="M16276" s="690"/>
    </row>
    <row r="16277" spans="13:13">
      <c r="M16277" s="690"/>
    </row>
    <row r="16278" spans="13:13">
      <c r="M16278" s="690"/>
    </row>
    <row r="16279" spans="13:13">
      <c r="M16279" s="690"/>
    </row>
    <row r="16280" spans="13:13">
      <c r="M16280" s="690"/>
    </row>
    <row r="16281" spans="13:13">
      <c r="M16281" s="690"/>
    </row>
    <row r="16282" spans="13:13">
      <c r="M16282" s="690"/>
    </row>
    <row r="16283" spans="13:13">
      <c r="M16283" s="690"/>
    </row>
    <row r="16284" spans="13:13">
      <c r="M16284" s="690"/>
    </row>
    <row r="16285" spans="13:13">
      <c r="M16285" s="690"/>
    </row>
    <row r="16286" spans="13:13">
      <c r="M16286" s="690"/>
    </row>
    <row r="16287" spans="13:13">
      <c r="M16287" s="690"/>
    </row>
    <row r="16288" spans="13:13">
      <c r="M16288" s="690"/>
    </row>
    <row r="16289" spans="13:13">
      <c r="M16289" s="690"/>
    </row>
    <row r="16290" spans="13:13">
      <c r="M16290" s="690"/>
    </row>
    <row r="16291" spans="13:13">
      <c r="M16291" s="690"/>
    </row>
    <row r="16292" spans="13:13">
      <c r="M16292" s="690"/>
    </row>
    <row r="16293" spans="13:13">
      <c r="M16293" s="690"/>
    </row>
    <row r="16294" spans="13:13">
      <c r="M16294" s="690"/>
    </row>
    <row r="16295" spans="13:13">
      <c r="M16295" s="690"/>
    </row>
    <row r="16296" spans="13:13">
      <c r="M16296" s="690"/>
    </row>
    <row r="16297" spans="13:13">
      <c r="M16297" s="690"/>
    </row>
    <row r="16298" spans="13:13">
      <c r="M16298" s="690"/>
    </row>
    <row r="16299" spans="13:13">
      <c r="M16299" s="690"/>
    </row>
    <row r="16300" spans="13:13">
      <c r="M16300" s="690"/>
    </row>
    <row r="16301" spans="13:13">
      <c r="M16301" s="690"/>
    </row>
    <row r="16302" spans="13:13">
      <c r="M16302" s="690"/>
    </row>
    <row r="16303" spans="13:13">
      <c r="M16303" s="690"/>
    </row>
    <row r="16304" spans="13:13">
      <c r="M16304" s="690"/>
    </row>
    <row r="16305" spans="13:13">
      <c r="M16305" s="690"/>
    </row>
    <row r="16306" spans="13:13">
      <c r="M16306" s="690"/>
    </row>
    <row r="16307" spans="13:13">
      <c r="M16307" s="690"/>
    </row>
    <row r="16308" spans="13:13">
      <c r="M16308" s="690"/>
    </row>
    <row r="16309" spans="13:13">
      <c r="M16309" s="690"/>
    </row>
    <row r="16310" spans="13:13">
      <c r="M16310" s="690"/>
    </row>
    <row r="16311" spans="13:13">
      <c r="M16311" s="690"/>
    </row>
    <row r="16312" spans="13:13">
      <c r="M16312" s="690"/>
    </row>
    <row r="16313" spans="13:13">
      <c r="M16313" s="690"/>
    </row>
    <row r="16314" spans="13:13">
      <c r="M16314" s="690"/>
    </row>
    <row r="16315" spans="13:13">
      <c r="M16315" s="690"/>
    </row>
    <row r="16316" spans="13:13">
      <c r="M16316" s="690"/>
    </row>
    <row r="16317" spans="13:13">
      <c r="M16317" s="690"/>
    </row>
    <row r="16318" spans="13:13">
      <c r="M16318" s="690"/>
    </row>
    <row r="16319" spans="13:13">
      <c r="M16319" s="690"/>
    </row>
    <row r="16320" spans="13:13">
      <c r="M16320" s="690"/>
    </row>
    <row r="16321" spans="13:13">
      <c r="M16321" s="690"/>
    </row>
    <row r="16322" spans="13:13">
      <c r="M16322" s="690"/>
    </row>
    <row r="16323" spans="13:13">
      <c r="M16323" s="690"/>
    </row>
    <row r="16324" spans="13:13">
      <c r="M16324" s="690"/>
    </row>
    <row r="16325" spans="13:13">
      <c r="M16325" s="690"/>
    </row>
    <row r="16326" spans="13:13">
      <c r="M16326" s="690"/>
    </row>
    <row r="16327" spans="13:13">
      <c r="M16327" s="690"/>
    </row>
    <row r="16328" spans="13:13">
      <c r="M16328" s="690"/>
    </row>
    <row r="16329" spans="13:13">
      <c r="M16329" s="690"/>
    </row>
    <row r="16330" spans="13:13">
      <c r="M16330" s="690"/>
    </row>
    <row r="16331" spans="13:13">
      <c r="M16331" s="690"/>
    </row>
    <row r="16332" spans="13:13">
      <c r="M16332" s="690"/>
    </row>
    <row r="16333" spans="13:13">
      <c r="M16333" s="690"/>
    </row>
    <row r="16334" spans="13:13">
      <c r="M16334" s="690"/>
    </row>
    <row r="16335" spans="13:13">
      <c r="M16335" s="690"/>
    </row>
    <row r="16336" spans="13:13">
      <c r="M16336" s="690"/>
    </row>
    <row r="16337" spans="13:13">
      <c r="M16337" s="690"/>
    </row>
    <row r="16338" spans="13:13">
      <c r="M16338" s="690"/>
    </row>
    <row r="16339" spans="13:13">
      <c r="M16339" s="690"/>
    </row>
    <row r="16340" spans="13:13">
      <c r="M16340" s="690"/>
    </row>
    <row r="16341" spans="13:13">
      <c r="M16341" s="690"/>
    </row>
    <row r="16342" spans="13:13">
      <c r="M16342" s="690"/>
    </row>
    <row r="16343" spans="13:13">
      <c r="M16343" s="690"/>
    </row>
    <row r="16344" spans="13:13">
      <c r="M16344" s="690"/>
    </row>
    <row r="16345" spans="13:13">
      <c r="M16345" s="690"/>
    </row>
    <row r="16346" spans="13:13">
      <c r="M16346" s="690"/>
    </row>
    <row r="16347" spans="13:13">
      <c r="M16347" s="690"/>
    </row>
    <row r="16348" spans="13:13">
      <c r="M16348" s="690"/>
    </row>
    <row r="16349" spans="13:13">
      <c r="M16349" s="690"/>
    </row>
    <row r="16350" spans="13:13">
      <c r="M16350" s="690"/>
    </row>
    <row r="16351" spans="13:13">
      <c r="M16351" s="690"/>
    </row>
    <row r="16352" spans="13:13">
      <c r="M16352" s="690"/>
    </row>
    <row r="16353" spans="13:13">
      <c r="M16353" s="690"/>
    </row>
    <row r="16354" spans="13:13">
      <c r="M16354" s="690"/>
    </row>
    <row r="16355" spans="13:13">
      <c r="M16355" s="690"/>
    </row>
    <row r="16356" spans="13:13">
      <c r="M16356" s="690"/>
    </row>
    <row r="16357" spans="13:13">
      <c r="M16357" s="690"/>
    </row>
    <row r="16358" spans="13:13">
      <c r="M16358" s="690"/>
    </row>
    <row r="16359" spans="13:13">
      <c r="M16359" s="690"/>
    </row>
    <row r="16360" spans="13:13">
      <c r="M16360" s="690"/>
    </row>
    <row r="16361" spans="13:13">
      <c r="M16361" s="690"/>
    </row>
    <row r="16362" spans="13:13">
      <c r="M16362" s="690"/>
    </row>
    <row r="16363" spans="13:13">
      <c r="M16363" s="690"/>
    </row>
    <row r="16364" spans="13:13">
      <c r="M16364" s="690"/>
    </row>
    <row r="16365" spans="13:13">
      <c r="M16365" s="690"/>
    </row>
    <row r="16366" spans="13:13">
      <c r="M16366" s="690"/>
    </row>
    <row r="16367" spans="13:13">
      <c r="M16367" s="690"/>
    </row>
    <row r="16368" spans="13:13">
      <c r="M16368" s="690"/>
    </row>
    <row r="16369" spans="13:13">
      <c r="M16369" s="690"/>
    </row>
    <row r="16370" spans="13:13">
      <c r="M16370" s="690"/>
    </row>
    <row r="16371" spans="13:13">
      <c r="M16371" s="690"/>
    </row>
    <row r="16372" spans="13:13">
      <c r="M16372" s="690"/>
    </row>
    <row r="16373" spans="13:13">
      <c r="M16373" s="690"/>
    </row>
    <row r="16374" spans="13:13">
      <c r="M16374" s="690"/>
    </row>
    <row r="16375" spans="13:13">
      <c r="M16375" s="690"/>
    </row>
    <row r="16376" spans="13:13">
      <c r="M16376" s="690"/>
    </row>
    <row r="16377" spans="13:13">
      <c r="M16377" s="690"/>
    </row>
    <row r="16378" spans="13:13">
      <c r="M16378" s="690"/>
    </row>
    <row r="16379" spans="13:13">
      <c r="M16379" s="690"/>
    </row>
    <row r="16380" spans="13:13">
      <c r="M16380" s="690"/>
    </row>
    <row r="16381" spans="13:13">
      <c r="M16381" s="690"/>
    </row>
    <row r="16382" spans="13:13">
      <c r="M16382" s="690"/>
    </row>
    <row r="16383" spans="13:13">
      <c r="M16383" s="690"/>
    </row>
    <row r="16384" spans="13:13">
      <c r="M16384" s="690"/>
    </row>
    <row r="16385" spans="13:13">
      <c r="M16385" s="690"/>
    </row>
    <row r="16386" spans="13:13">
      <c r="M16386" s="690"/>
    </row>
    <row r="16387" spans="13:13">
      <c r="M16387" s="690"/>
    </row>
    <row r="16388" spans="13:13">
      <c r="M16388" s="690"/>
    </row>
    <row r="16389" spans="13:13">
      <c r="M16389" s="690"/>
    </row>
    <row r="16390" spans="13:13">
      <c r="M16390" s="690"/>
    </row>
    <row r="16391" spans="13:13">
      <c r="M16391" s="690"/>
    </row>
    <row r="16392" spans="13:13">
      <c r="M16392" s="690"/>
    </row>
    <row r="16393" spans="13:13">
      <c r="M16393" s="690"/>
    </row>
    <row r="16394" spans="13:13">
      <c r="M16394" s="690"/>
    </row>
    <row r="16395" spans="13:13">
      <c r="M16395" s="690"/>
    </row>
    <row r="16396" spans="13:13">
      <c r="M16396" s="690"/>
    </row>
    <row r="16397" spans="13:13">
      <c r="M16397" s="690"/>
    </row>
    <row r="16398" spans="13:13">
      <c r="M16398" s="690"/>
    </row>
    <row r="16399" spans="13:13">
      <c r="M16399" s="690"/>
    </row>
    <row r="16400" spans="13:13">
      <c r="M16400" s="690"/>
    </row>
    <row r="16401" spans="13:13">
      <c r="M16401" s="690"/>
    </row>
    <row r="16402" spans="13:13">
      <c r="M16402" s="690"/>
    </row>
    <row r="16403" spans="13:13">
      <c r="M16403" s="690"/>
    </row>
    <row r="16404" spans="13:13">
      <c r="M16404" s="690"/>
    </row>
    <row r="16405" spans="13:13">
      <c r="M16405" s="690"/>
    </row>
    <row r="16406" spans="13:13">
      <c r="M16406" s="690"/>
    </row>
    <row r="16407" spans="13:13">
      <c r="M16407" s="690"/>
    </row>
    <row r="16408" spans="13:13">
      <c r="M16408" s="690"/>
    </row>
    <row r="16409" spans="13:13">
      <c r="M16409" s="690"/>
    </row>
    <row r="16410" spans="13:13">
      <c r="M16410" s="690"/>
    </row>
    <row r="16411" spans="13:13">
      <c r="M16411" s="690"/>
    </row>
    <row r="16412" spans="13:13">
      <c r="M16412" s="690"/>
    </row>
    <row r="16413" spans="13:13">
      <c r="M16413" s="690"/>
    </row>
    <row r="16414" spans="13:13">
      <c r="M16414" s="690"/>
    </row>
    <row r="16415" spans="13:13">
      <c r="M16415" s="690"/>
    </row>
    <row r="16416" spans="13:13">
      <c r="M16416" s="690"/>
    </row>
    <row r="16417" spans="13:13">
      <c r="M16417" s="690"/>
    </row>
    <row r="16418" spans="13:13">
      <c r="M16418" s="690"/>
    </row>
    <row r="16419" spans="13:13">
      <c r="M16419" s="690"/>
    </row>
    <row r="16420" spans="13:13">
      <c r="M16420" s="690"/>
    </row>
    <row r="16421" spans="13:13">
      <c r="M16421" s="690"/>
    </row>
    <row r="16422" spans="13:13">
      <c r="M16422" s="690"/>
    </row>
    <row r="16423" spans="13:13">
      <c r="M16423" s="690"/>
    </row>
    <row r="16424" spans="13:13">
      <c r="M16424" s="690"/>
    </row>
    <row r="16425" spans="13:13">
      <c r="M16425" s="690"/>
    </row>
    <row r="16426" spans="13:13">
      <c r="M16426" s="690"/>
    </row>
    <row r="16427" spans="13:13">
      <c r="M16427" s="690"/>
    </row>
    <row r="16428" spans="13:13">
      <c r="M16428" s="690"/>
    </row>
    <row r="16429" spans="13:13">
      <c r="M16429" s="690"/>
    </row>
    <row r="16430" spans="13:13">
      <c r="M16430" s="690"/>
    </row>
    <row r="16431" spans="13:13">
      <c r="M16431" s="690"/>
    </row>
    <row r="16432" spans="13:13">
      <c r="M16432" s="690"/>
    </row>
    <row r="16433" spans="13:13">
      <c r="M16433" s="690"/>
    </row>
    <row r="16434" spans="13:13">
      <c r="M16434" s="690"/>
    </row>
    <row r="16435" spans="13:13">
      <c r="M16435" s="690"/>
    </row>
    <row r="16436" spans="13:13">
      <c r="M16436" s="690"/>
    </row>
    <row r="16437" spans="13:13">
      <c r="M16437" s="690"/>
    </row>
    <row r="16438" spans="13:13">
      <c r="M16438" s="690"/>
    </row>
    <row r="16439" spans="13:13">
      <c r="M16439" s="690"/>
    </row>
    <row r="16440" spans="13:13">
      <c r="M16440" s="690"/>
    </row>
    <row r="16441" spans="13:13">
      <c r="M16441" s="690"/>
    </row>
    <row r="16442" spans="13:13">
      <c r="M16442" s="690"/>
    </row>
    <row r="16443" spans="13:13">
      <c r="M16443" s="690"/>
    </row>
    <row r="16444" spans="13:13">
      <c r="M16444" s="690"/>
    </row>
    <row r="16445" spans="13:13">
      <c r="M16445" s="690"/>
    </row>
    <row r="16446" spans="13:13">
      <c r="M16446" s="690"/>
    </row>
    <row r="16447" spans="13:13">
      <c r="M16447" s="690"/>
    </row>
    <row r="16448" spans="13:13">
      <c r="M16448" s="690"/>
    </row>
    <row r="16449" spans="13:13">
      <c r="M16449" s="690"/>
    </row>
    <row r="16450" spans="13:13">
      <c r="M16450" s="690"/>
    </row>
    <row r="16451" spans="13:13">
      <c r="M16451" s="690"/>
    </row>
    <row r="16452" spans="13:13">
      <c r="M16452" s="690"/>
    </row>
    <row r="16453" spans="13:13">
      <c r="M16453" s="690"/>
    </row>
    <row r="16454" spans="13:13">
      <c r="M16454" s="690"/>
    </row>
    <row r="16455" spans="13:13">
      <c r="M16455" s="690"/>
    </row>
    <row r="16456" spans="13:13">
      <c r="M16456" s="690"/>
    </row>
    <row r="16457" spans="13:13">
      <c r="M16457" s="690"/>
    </row>
    <row r="16458" spans="13:13">
      <c r="M16458" s="690"/>
    </row>
    <row r="16459" spans="13:13">
      <c r="M16459" s="690"/>
    </row>
    <row r="16460" spans="13:13">
      <c r="M16460" s="690"/>
    </row>
    <row r="16461" spans="13:13">
      <c r="M16461" s="690"/>
    </row>
    <row r="16462" spans="13:13">
      <c r="M16462" s="690"/>
    </row>
    <row r="16463" spans="13:13">
      <c r="M16463" s="690"/>
    </row>
    <row r="16464" spans="13:13">
      <c r="M16464" s="690"/>
    </row>
    <row r="16465" spans="13:13">
      <c r="M16465" s="690"/>
    </row>
    <row r="16466" spans="13:13">
      <c r="M16466" s="690"/>
    </row>
    <row r="16467" spans="13:13">
      <c r="M16467" s="690"/>
    </row>
    <row r="16468" spans="13:13">
      <c r="M16468" s="690"/>
    </row>
    <row r="16469" spans="13:13">
      <c r="M16469" s="690"/>
    </row>
    <row r="16470" spans="13:13">
      <c r="M16470" s="690"/>
    </row>
    <row r="16471" spans="13:13">
      <c r="M16471" s="690"/>
    </row>
    <row r="16472" spans="13:13">
      <c r="M16472" s="690"/>
    </row>
    <row r="16473" spans="13:13">
      <c r="M16473" s="690"/>
    </row>
    <row r="16474" spans="13:13">
      <c r="M16474" s="690"/>
    </row>
    <row r="16475" spans="13:13">
      <c r="M16475" s="690"/>
    </row>
    <row r="16476" spans="13:13">
      <c r="M16476" s="690"/>
    </row>
    <row r="16477" spans="13:13">
      <c r="M16477" s="690"/>
    </row>
    <row r="16478" spans="13:13">
      <c r="M16478" s="690"/>
    </row>
    <row r="16479" spans="13:13">
      <c r="M16479" s="690"/>
    </row>
    <row r="16480" spans="13:13">
      <c r="M16480" s="690"/>
    </row>
    <row r="16481" spans="13:13">
      <c r="M16481" s="690"/>
    </row>
    <row r="16482" spans="13:13">
      <c r="M16482" s="690"/>
    </row>
    <row r="16483" spans="13:13">
      <c r="M16483" s="690"/>
    </row>
    <row r="16484" spans="13:13">
      <c r="M16484" s="690"/>
    </row>
    <row r="16485" spans="13:13">
      <c r="M16485" s="690"/>
    </row>
    <row r="16486" spans="13:13">
      <c r="M16486" s="690"/>
    </row>
    <row r="16487" spans="13:13">
      <c r="M16487" s="690"/>
    </row>
    <row r="16488" spans="13:13">
      <c r="M16488" s="690"/>
    </row>
    <row r="16489" spans="13:13">
      <c r="M16489" s="690"/>
    </row>
    <row r="16490" spans="13:13">
      <c r="M16490" s="690"/>
    </row>
    <row r="16491" spans="13:13">
      <c r="M16491" s="690"/>
    </row>
    <row r="16492" spans="13:13">
      <c r="M16492" s="690"/>
    </row>
    <row r="16493" spans="13:13">
      <c r="M16493" s="690"/>
    </row>
    <row r="16494" spans="13:13">
      <c r="M16494" s="690"/>
    </row>
    <row r="16495" spans="13:13">
      <c r="M16495" s="690"/>
    </row>
    <row r="16496" spans="13:13">
      <c r="M16496" s="690"/>
    </row>
    <row r="16497" spans="13:13">
      <c r="M16497" s="690"/>
    </row>
    <row r="16498" spans="13:13">
      <c r="M16498" s="690"/>
    </row>
    <row r="16499" spans="13:13">
      <c r="M16499" s="690"/>
    </row>
    <row r="16500" spans="13:13">
      <c r="M16500" s="690"/>
    </row>
    <row r="16501" spans="13:13">
      <c r="M16501" s="690"/>
    </row>
    <row r="16502" spans="13:13">
      <c r="M16502" s="690"/>
    </row>
    <row r="16503" spans="13:13">
      <c r="M16503" s="690"/>
    </row>
    <row r="16504" spans="13:13">
      <c r="M16504" s="690"/>
    </row>
    <row r="16505" spans="13:13">
      <c r="M16505" s="690"/>
    </row>
    <row r="16506" spans="13:13">
      <c r="M16506" s="690"/>
    </row>
    <row r="16507" spans="13:13">
      <c r="M16507" s="690"/>
    </row>
    <row r="16508" spans="13:13">
      <c r="M16508" s="690"/>
    </row>
    <row r="16509" spans="13:13">
      <c r="M16509" s="690"/>
    </row>
    <row r="16510" spans="13:13">
      <c r="M16510" s="690"/>
    </row>
    <row r="16511" spans="13:13">
      <c r="M16511" s="690"/>
    </row>
    <row r="16512" spans="13:13">
      <c r="M16512" s="690"/>
    </row>
    <row r="16513" spans="13:13">
      <c r="M16513" s="690"/>
    </row>
    <row r="16514" spans="13:13">
      <c r="M16514" s="690"/>
    </row>
    <row r="16515" spans="13:13">
      <c r="M16515" s="690"/>
    </row>
    <row r="16516" spans="13:13">
      <c r="M16516" s="690"/>
    </row>
    <row r="16517" spans="13:13">
      <c r="M16517" s="690"/>
    </row>
    <row r="16518" spans="13:13">
      <c r="M16518" s="690"/>
    </row>
    <row r="16519" spans="13:13">
      <c r="M16519" s="690"/>
    </row>
    <row r="16520" spans="13:13">
      <c r="M16520" s="690"/>
    </row>
    <row r="16521" spans="13:13">
      <c r="M16521" s="690"/>
    </row>
    <row r="16522" spans="13:13">
      <c r="M16522" s="690"/>
    </row>
    <row r="16523" spans="13:13">
      <c r="M16523" s="690"/>
    </row>
    <row r="16524" spans="13:13">
      <c r="M16524" s="690"/>
    </row>
    <row r="16525" spans="13:13">
      <c r="M16525" s="690"/>
    </row>
    <row r="16526" spans="13:13">
      <c r="M16526" s="690"/>
    </row>
    <row r="16527" spans="13:13">
      <c r="M16527" s="690"/>
    </row>
    <row r="16528" spans="13:13">
      <c r="M16528" s="690"/>
    </row>
    <row r="16529" spans="13:13">
      <c r="M16529" s="690"/>
    </row>
    <row r="16530" spans="13:13">
      <c r="M16530" s="690"/>
    </row>
    <row r="16531" spans="13:13">
      <c r="M16531" s="690"/>
    </row>
    <row r="16532" spans="13:13">
      <c r="M16532" s="690"/>
    </row>
    <row r="16533" spans="13:13">
      <c r="M16533" s="690"/>
    </row>
    <row r="16534" spans="13:13">
      <c r="M16534" s="690"/>
    </row>
    <row r="16535" spans="13:13">
      <c r="M16535" s="690"/>
    </row>
    <row r="16536" spans="13:13">
      <c r="M16536" s="690"/>
    </row>
    <row r="16537" spans="13:13">
      <c r="M16537" s="690"/>
    </row>
    <row r="16538" spans="13:13">
      <c r="M16538" s="690"/>
    </row>
    <row r="16539" spans="13:13">
      <c r="M16539" s="690"/>
    </row>
    <row r="16540" spans="13:13">
      <c r="M16540" s="690"/>
    </row>
    <row r="16541" spans="13:13">
      <c r="M16541" s="690"/>
    </row>
    <row r="16542" spans="13:13">
      <c r="M16542" s="690"/>
    </row>
    <row r="16543" spans="13:13">
      <c r="M16543" s="690"/>
    </row>
    <row r="16544" spans="13:13">
      <c r="M16544" s="690"/>
    </row>
    <row r="16545" spans="13:13">
      <c r="M16545" s="690"/>
    </row>
    <row r="16546" spans="13:13">
      <c r="M16546" s="690"/>
    </row>
    <row r="16547" spans="13:13">
      <c r="M16547" s="690"/>
    </row>
    <row r="16548" spans="13:13">
      <c r="M16548" s="690"/>
    </row>
    <row r="16549" spans="13:13">
      <c r="M16549" s="690"/>
    </row>
    <row r="16550" spans="13:13">
      <c r="M16550" s="690"/>
    </row>
    <row r="16551" spans="13:13">
      <c r="M16551" s="690"/>
    </row>
    <row r="16552" spans="13:13">
      <c r="M16552" s="690"/>
    </row>
    <row r="16553" spans="13:13">
      <c r="M16553" s="690"/>
    </row>
    <row r="16554" spans="13:13">
      <c r="M16554" s="690"/>
    </row>
    <row r="16555" spans="13:13">
      <c r="M16555" s="690"/>
    </row>
    <row r="16556" spans="13:13">
      <c r="M16556" s="690"/>
    </row>
    <row r="16557" spans="13:13">
      <c r="M16557" s="690"/>
    </row>
    <row r="16558" spans="13:13">
      <c r="M16558" s="690"/>
    </row>
    <row r="16559" spans="13:13">
      <c r="M16559" s="690"/>
    </row>
    <row r="16560" spans="13:13">
      <c r="M16560" s="690"/>
    </row>
    <row r="16561" spans="13:13">
      <c r="M16561" s="690"/>
    </row>
    <row r="16562" spans="13:13">
      <c r="M16562" s="690"/>
    </row>
    <row r="16563" spans="13:13">
      <c r="M16563" s="690"/>
    </row>
    <row r="16564" spans="13:13">
      <c r="M16564" s="690"/>
    </row>
    <row r="16565" spans="13:13">
      <c r="M16565" s="690"/>
    </row>
    <row r="16566" spans="13:13">
      <c r="M16566" s="690"/>
    </row>
    <row r="16567" spans="13:13">
      <c r="M16567" s="690"/>
    </row>
    <row r="16568" spans="13:13">
      <c r="M16568" s="690"/>
    </row>
    <row r="16569" spans="13:13">
      <c r="M16569" s="690"/>
    </row>
    <row r="16570" spans="13:13">
      <c r="M16570" s="690"/>
    </row>
    <row r="16571" spans="13:13">
      <c r="M16571" s="690"/>
    </row>
    <row r="16572" spans="13:13">
      <c r="M16572" s="690"/>
    </row>
    <row r="16573" spans="13:13">
      <c r="M16573" s="690"/>
    </row>
    <row r="16574" spans="13:13">
      <c r="M16574" s="690"/>
    </row>
    <row r="16575" spans="13:13">
      <c r="M16575" s="690"/>
    </row>
    <row r="16576" spans="13:13">
      <c r="M16576" s="690"/>
    </row>
    <row r="16577" spans="13:13">
      <c r="M16577" s="690"/>
    </row>
    <row r="16578" spans="13:13">
      <c r="M16578" s="690"/>
    </row>
    <row r="16579" spans="13:13">
      <c r="M16579" s="690"/>
    </row>
    <row r="16580" spans="13:13">
      <c r="M16580" s="690"/>
    </row>
    <row r="16581" spans="13:13">
      <c r="M16581" s="690"/>
    </row>
    <row r="16582" spans="13:13">
      <c r="M16582" s="690"/>
    </row>
    <row r="16583" spans="13:13">
      <c r="M16583" s="690"/>
    </row>
    <row r="16584" spans="13:13">
      <c r="M16584" s="690"/>
    </row>
    <row r="16585" spans="13:13">
      <c r="M16585" s="690"/>
    </row>
    <row r="16586" spans="13:13">
      <c r="M16586" s="690"/>
    </row>
    <row r="16587" spans="13:13">
      <c r="M16587" s="690"/>
    </row>
    <row r="16588" spans="13:13">
      <c r="M16588" s="690"/>
    </row>
    <row r="16589" spans="13:13">
      <c r="M16589" s="690"/>
    </row>
    <row r="16590" spans="13:13">
      <c r="M16590" s="690"/>
    </row>
    <row r="16591" spans="13:13">
      <c r="M16591" s="690"/>
    </row>
    <row r="16592" spans="13:13">
      <c r="M16592" s="690"/>
    </row>
    <row r="16593" spans="13:13">
      <c r="M16593" s="690"/>
    </row>
    <row r="16594" spans="13:13">
      <c r="M16594" s="690"/>
    </row>
    <row r="16595" spans="13:13">
      <c r="M16595" s="690"/>
    </row>
    <row r="16596" spans="13:13">
      <c r="M16596" s="690"/>
    </row>
    <row r="16597" spans="13:13">
      <c r="M16597" s="690"/>
    </row>
    <row r="16598" spans="13:13">
      <c r="M16598" s="690"/>
    </row>
    <row r="16599" spans="13:13">
      <c r="M16599" s="690"/>
    </row>
    <row r="16600" spans="13:13">
      <c r="M16600" s="690"/>
    </row>
    <row r="16601" spans="13:13">
      <c r="M16601" s="690"/>
    </row>
    <row r="16602" spans="13:13">
      <c r="M16602" s="690"/>
    </row>
    <row r="16603" spans="13:13">
      <c r="M16603" s="690"/>
    </row>
    <row r="16604" spans="13:13">
      <c r="M16604" s="690"/>
    </row>
    <row r="16605" spans="13:13">
      <c r="M16605" s="690"/>
    </row>
    <row r="16606" spans="13:13">
      <c r="M16606" s="690"/>
    </row>
    <row r="16607" spans="13:13">
      <c r="M16607" s="690"/>
    </row>
    <row r="16608" spans="13:13">
      <c r="M16608" s="690"/>
    </row>
    <row r="16609" spans="13:13">
      <c r="M16609" s="690"/>
    </row>
    <row r="16610" spans="13:13">
      <c r="M16610" s="690"/>
    </row>
    <row r="16611" spans="13:13">
      <c r="M16611" s="690"/>
    </row>
    <row r="16612" spans="13:13">
      <c r="M16612" s="690"/>
    </row>
    <row r="16613" spans="13:13">
      <c r="M16613" s="690"/>
    </row>
    <row r="16614" spans="13:13">
      <c r="M16614" s="690"/>
    </row>
    <row r="16615" spans="13:13">
      <c r="M16615" s="690"/>
    </row>
    <row r="16616" spans="13:13">
      <c r="M16616" s="690"/>
    </row>
    <row r="16617" spans="13:13">
      <c r="M16617" s="690"/>
    </row>
    <row r="16618" spans="13:13">
      <c r="M16618" s="690"/>
    </row>
    <row r="16619" spans="13:13">
      <c r="M16619" s="690"/>
    </row>
    <row r="16620" spans="13:13">
      <c r="M16620" s="690"/>
    </row>
    <row r="16621" spans="13:13">
      <c r="M16621" s="690"/>
    </row>
    <row r="16622" spans="13:13">
      <c r="M16622" s="690"/>
    </row>
    <row r="16623" spans="13:13">
      <c r="M16623" s="690"/>
    </row>
    <row r="16624" spans="13:13">
      <c r="M16624" s="690"/>
    </row>
    <row r="16625" spans="13:13">
      <c r="M16625" s="690"/>
    </row>
    <row r="16626" spans="13:13">
      <c r="M16626" s="690"/>
    </row>
    <row r="16627" spans="13:13">
      <c r="M16627" s="690"/>
    </row>
    <row r="16628" spans="13:13">
      <c r="M16628" s="690"/>
    </row>
    <row r="16629" spans="13:13">
      <c r="M16629" s="690"/>
    </row>
    <row r="16630" spans="13:13">
      <c r="M16630" s="690"/>
    </row>
    <row r="16631" spans="13:13">
      <c r="M16631" s="690"/>
    </row>
    <row r="16632" spans="13:13">
      <c r="M16632" s="690"/>
    </row>
    <row r="16633" spans="13:13">
      <c r="M16633" s="690"/>
    </row>
    <row r="16634" spans="13:13">
      <c r="M16634" s="690"/>
    </row>
    <row r="16635" spans="13:13">
      <c r="M16635" s="690"/>
    </row>
    <row r="16636" spans="13:13">
      <c r="M16636" s="690"/>
    </row>
    <row r="16637" spans="13:13">
      <c r="M16637" s="690"/>
    </row>
    <row r="16638" spans="13:13">
      <c r="M16638" s="690"/>
    </row>
    <row r="16639" spans="13:13">
      <c r="M16639" s="690"/>
    </row>
    <row r="16640" spans="13:13">
      <c r="M16640" s="690"/>
    </row>
    <row r="16641" spans="13:13">
      <c r="M16641" s="690"/>
    </row>
    <row r="16642" spans="13:13">
      <c r="M16642" s="690"/>
    </row>
    <row r="16643" spans="13:13">
      <c r="M16643" s="690"/>
    </row>
    <row r="16644" spans="13:13">
      <c r="M16644" s="690"/>
    </row>
    <row r="16645" spans="13:13">
      <c r="M16645" s="690"/>
    </row>
    <row r="16646" spans="13:13">
      <c r="M16646" s="690"/>
    </row>
    <row r="16647" spans="13:13">
      <c r="M16647" s="690"/>
    </row>
    <row r="16648" spans="13:13">
      <c r="M16648" s="690"/>
    </row>
    <row r="16649" spans="13:13">
      <c r="M16649" s="690"/>
    </row>
    <row r="16650" spans="13:13">
      <c r="M16650" s="690"/>
    </row>
    <row r="16651" spans="13:13">
      <c r="M16651" s="690"/>
    </row>
    <row r="16652" spans="13:13">
      <c r="M16652" s="690"/>
    </row>
    <row r="16653" spans="13:13">
      <c r="M16653" s="690"/>
    </row>
    <row r="16654" spans="13:13">
      <c r="M16654" s="690"/>
    </row>
    <row r="16655" spans="13:13">
      <c r="M16655" s="690"/>
    </row>
    <row r="16656" spans="13:13">
      <c r="M16656" s="690"/>
    </row>
    <row r="16657" spans="13:13">
      <c r="M16657" s="690"/>
    </row>
    <row r="16658" spans="13:13">
      <c r="M16658" s="690"/>
    </row>
    <row r="16659" spans="13:13">
      <c r="M16659" s="690"/>
    </row>
    <row r="16660" spans="13:13">
      <c r="M16660" s="690"/>
    </row>
    <row r="16661" spans="13:13">
      <c r="M16661" s="690"/>
    </row>
    <row r="16662" spans="13:13">
      <c r="M16662" s="690"/>
    </row>
    <row r="16663" spans="13:13">
      <c r="M16663" s="690"/>
    </row>
    <row r="16664" spans="13:13">
      <c r="M16664" s="690"/>
    </row>
    <row r="16665" spans="13:13">
      <c r="M16665" s="690"/>
    </row>
    <row r="16666" spans="13:13">
      <c r="M16666" s="690"/>
    </row>
    <row r="16667" spans="13:13">
      <c r="M16667" s="690"/>
    </row>
    <row r="16668" spans="13:13">
      <c r="M16668" s="690"/>
    </row>
    <row r="16669" spans="13:13">
      <c r="M16669" s="690"/>
    </row>
    <row r="16670" spans="13:13">
      <c r="M16670" s="690"/>
    </row>
    <row r="16671" spans="13:13">
      <c r="M16671" s="690"/>
    </row>
    <row r="16672" spans="13:13">
      <c r="M16672" s="690"/>
    </row>
    <row r="16673" spans="13:13">
      <c r="M16673" s="690"/>
    </row>
    <row r="16674" spans="13:13">
      <c r="M16674" s="690"/>
    </row>
    <row r="16675" spans="13:13">
      <c r="M16675" s="690"/>
    </row>
    <row r="16676" spans="13:13">
      <c r="M16676" s="690"/>
    </row>
    <row r="16677" spans="13:13">
      <c r="M16677" s="690"/>
    </row>
    <row r="16678" spans="13:13">
      <c r="M16678" s="690"/>
    </row>
    <row r="16679" spans="13:13">
      <c r="M16679" s="690"/>
    </row>
    <row r="16680" spans="13:13">
      <c r="M16680" s="690"/>
    </row>
    <row r="16681" spans="13:13">
      <c r="M16681" s="690"/>
    </row>
    <row r="16682" spans="13:13">
      <c r="M16682" s="690"/>
    </row>
    <row r="16683" spans="13:13">
      <c r="M16683" s="690"/>
    </row>
    <row r="16684" spans="13:13">
      <c r="M16684" s="690"/>
    </row>
    <row r="16685" spans="13:13">
      <c r="M16685" s="690"/>
    </row>
    <row r="16686" spans="13:13">
      <c r="M16686" s="690"/>
    </row>
    <row r="16687" spans="13:13">
      <c r="M16687" s="690"/>
    </row>
    <row r="16688" spans="13:13">
      <c r="M16688" s="690"/>
    </row>
    <row r="16689" spans="13:13">
      <c r="M16689" s="690"/>
    </row>
    <row r="16690" spans="13:13">
      <c r="M16690" s="690"/>
    </row>
    <row r="16691" spans="13:13">
      <c r="M16691" s="690"/>
    </row>
    <row r="16692" spans="13:13">
      <c r="M16692" s="690"/>
    </row>
    <row r="16693" spans="13:13">
      <c r="M16693" s="690"/>
    </row>
    <row r="16694" spans="13:13">
      <c r="M16694" s="690"/>
    </row>
    <row r="16695" spans="13:13">
      <c r="M16695" s="690"/>
    </row>
    <row r="16696" spans="13:13">
      <c r="M16696" s="690"/>
    </row>
    <row r="16697" spans="13:13">
      <c r="M16697" s="690"/>
    </row>
    <row r="16698" spans="13:13">
      <c r="M16698" s="690"/>
    </row>
    <row r="16699" spans="13:13">
      <c r="M16699" s="690"/>
    </row>
    <row r="16700" spans="13:13">
      <c r="M16700" s="690"/>
    </row>
    <row r="16701" spans="13:13">
      <c r="M16701" s="690"/>
    </row>
    <row r="16702" spans="13:13">
      <c r="M16702" s="690"/>
    </row>
    <row r="16703" spans="13:13">
      <c r="M16703" s="690"/>
    </row>
    <row r="16704" spans="13:13">
      <c r="M16704" s="690"/>
    </row>
    <row r="16705" spans="13:13">
      <c r="M16705" s="690"/>
    </row>
    <row r="16706" spans="13:13">
      <c r="M16706" s="690"/>
    </row>
    <row r="16707" spans="13:13">
      <c r="M16707" s="690"/>
    </row>
    <row r="16708" spans="13:13">
      <c r="M16708" s="690"/>
    </row>
    <row r="16709" spans="13:13">
      <c r="M16709" s="690"/>
    </row>
    <row r="16710" spans="13:13">
      <c r="M16710" s="690"/>
    </row>
    <row r="16711" spans="13:13">
      <c r="M16711" s="690"/>
    </row>
    <row r="16712" spans="13:13">
      <c r="M16712" s="690"/>
    </row>
    <row r="16713" spans="13:13">
      <c r="M16713" s="690"/>
    </row>
    <row r="16714" spans="13:13">
      <c r="M16714" s="690"/>
    </row>
    <row r="16715" spans="13:13">
      <c r="M16715" s="690"/>
    </row>
    <row r="16716" spans="13:13">
      <c r="M16716" s="690"/>
    </row>
    <row r="16717" spans="13:13">
      <c r="M16717" s="690"/>
    </row>
    <row r="16718" spans="13:13">
      <c r="M16718" s="690"/>
    </row>
    <row r="16719" spans="13:13">
      <c r="M16719" s="690"/>
    </row>
    <row r="16720" spans="13:13">
      <c r="M16720" s="690"/>
    </row>
    <row r="16721" spans="13:13">
      <c r="M16721" s="690"/>
    </row>
    <row r="16722" spans="13:13">
      <c r="M16722" s="690"/>
    </row>
    <row r="16723" spans="13:13">
      <c r="M16723" s="690"/>
    </row>
    <row r="16724" spans="13:13">
      <c r="M16724" s="690"/>
    </row>
    <row r="16725" spans="13:13">
      <c r="M16725" s="690"/>
    </row>
    <row r="16726" spans="13:13">
      <c r="M16726" s="690"/>
    </row>
    <row r="16727" spans="13:13">
      <c r="M16727" s="690"/>
    </row>
    <row r="16728" spans="13:13">
      <c r="M16728" s="690"/>
    </row>
    <row r="16729" spans="13:13">
      <c r="M16729" s="690"/>
    </row>
    <row r="16730" spans="13:13">
      <c r="M16730" s="690"/>
    </row>
    <row r="16731" spans="13:13">
      <c r="M16731" s="690"/>
    </row>
    <row r="16732" spans="13:13">
      <c r="M16732" s="690"/>
    </row>
    <row r="16733" spans="13:13">
      <c r="M16733" s="690"/>
    </row>
    <row r="16734" spans="13:13">
      <c r="M16734" s="690"/>
    </row>
    <row r="16735" spans="13:13">
      <c r="M16735" s="690"/>
    </row>
    <row r="16736" spans="13:13">
      <c r="M16736" s="690"/>
    </row>
    <row r="16737" spans="13:13">
      <c r="M16737" s="690"/>
    </row>
    <row r="16738" spans="13:13">
      <c r="M16738" s="690"/>
    </row>
    <row r="16739" spans="13:13">
      <c r="M16739" s="690"/>
    </row>
    <row r="16740" spans="13:13">
      <c r="M16740" s="690"/>
    </row>
    <row r="16741" spans="13:13">
      <c r="M16741" s="690"/>
    </row>
    <row r="16742" spans="13:13">
      <c r="M16742" s="690"/>
    </row>
    <row r="16743" spans="13:13">
      <c r="M16743" s="690"/>
    </row>
    <row r="16744" spans="13:13">
      <c r="M16744" s="690"/>
    </row>
    <row r="16745" spans="13:13">
      <c r="M16745" s="690"/>
    </row>
    <row r="16746" spans="13:13">
      <c r="M16746" s="690"/>
    </row>
    <row r="16747" spans="13:13">
      <c r="M16747" s="690"/>
    </row>
    <row r="16748" spans="13:13">
      <c r="M16748" s="690"/>
    </row>
    <row r="16749" spans="13:13">
      <c r="M16749" s="690"/>
    </row>
    <row r="16750" spans="13:13">
      <c r="M16750" s="690"/>
    </row>
    <row r="16751" spans="13:13">
      <c r="M16751" s="690"/>
    </row>
    <row r="16752" spans="13:13">
      <c r="M16752" s="690"/>
    </row>
    <row r="16753" spans="13:13">
      <c r="M16753" s="690"/>
    </row>
    <row r="16754" spans="13:13">
      <c r="M16754" s="690"/>
    </row>
    <row r="16755" spans="13:13">
      <c r="M16755" s="690"/>
    </row>
    <row r="16756" spans="13:13">
      <c r="M16756" s="690"/>
    </row>
    <row r="16757" spans="13:13">
      <c r="M16757" s="690"/>
    </row>
    <row r="16758" spans="13:13">
      <c r="M16758" s="690"/>
    </row>
    <row r="16759" spans="13:13">
      <c r="M16759" s="690"/>
    </row>
    <row r="16760" spans="13:13">
      <c r="M16760" s="690"/>
    </row>
    <row r="16761" spans="13:13">
      <c r="M16761" s="690"/>
    </row>
    <row r="16762" spans="13:13">
      <c r="M16762" s="690"/>
    </row>
    <row r="16763" spans="13:13">
      <c r="M16763" s="690"/>
    </row>
    <row r="16764" spans="13:13">
      <c r="M16764" s="690"/>
    </row>
    <row r="16765" spans="13:13">
      <c r="M16765" s="690"/>
    </row>
    <row r="16766" spans="13:13">
      <c r="M16766" s="690"/>
    </row>
    <row r="16767" spans="13:13">
      <c r="M16767" s="690"/>
    </row>
    <row r="16768" spans="13:13">
      <c r="M16768" s="690"/>
    </row>
    <row r="16769" spans="13:13">
      <c r="M16769" s="690"/>
    </row>
    <row r="16770" spans="13:13">
      <c r="M16770" s="690"/>
    </row>
    <row r="16771" spans="13:13">
      <c r="M16771" s="690"/>
    </row>
    <row r="16772" spans="13:13">
      <c r="M16772" s="690"/>
    </row>
    <row r="16773" spans="13:13">
      <c r="M16773" s="690"/>
    </row>
    <row r="16774" spans="13:13">
      <c r="M16774" s="690"/>
    </row>
    <row r="16775" spans="13:13">
      <c r="M16775" s="690"/>
    </row>
    <row r="16776" spans="13:13">
      <c r="M16776" s="690"/>
    </row>
    <row r="16777" spans="13:13">
      <c r="M16777" s="690"/>
    </row>
    <row r="16778" spans="13:13">
      <c r="M16778" s="690"/>
    </row>
    <row r="16779" spans="13:13">
      <c r="M16779" s="690"/>
    </row>
    <row r="16780" spans="13:13">
      <c r="M16780" s="690"/>
    </row>
    <row r="16781" spans="13:13">
      <c r="M16781" s="690"/>
    </row>
    <row r="16782" spans="13:13">
      <c r="M16782" s="690"/>
    </row>
    <row r="16783" spans="13:13">
      <c r="M16783" s="690"/>
    </row>
    <row r="16784" spans="13:13">
      <c r="M16784" s="690"/>
    </row>
    <row r="16785" spans="13:13">
      <c r="M16785" s="690"/>
    </row>
    <row r="16786" spans="13:13">
      <c r="M16786" s="690"/>
    </row>
    <row r="16787" spans="13:13">
      <c r="M16787" s="690"/>
    </row>
    <row r="16788" spans="13:13">
      <c r="M16788" s="690"/>
    </row>
    <row r="16789" spans="13:13">
      <c r="M16789" s="690"/>
    </row>
    <row r="16790" spans="13:13">
      <c r="M16790" s="690"/>
    </row>
    <row r="16791" spans="13:13">
      <c r="M16791" s="690"/>
    </row>
    <row r="16792" spans="13:13">
      <c r="M16792" s="690"/>
    </row>
    <row r="16793" spans="13:13">
      <c r="M16793" s="690"/>
    </row>
    <row r="16794" spans="13:13">
      <c r="M16794" s="690"/>
    </row>
    <row r="16795" spans="13:13">
      <c r="M16795" s="690"/>
    </row>
    <row r="16796" spans="13:13">
      <c r="M16796" s="690"/>
    </row>
    <row r="16797" spans="13:13">
      <c r="M16797" s="690"/>
    </row>
    <row r="16798" spans="13:13">
      <c r="M16798" s="690"/>
    </row>
    <row r="16799" spans="13:13">
      <c r="M16799" s="690"/>
    </row>
    <row r="16800" spans="13:13">
      <c r="M16800" s="690"/>
    </row>
    <row r="16801" spans="13:13">
      <c r="M16801" s="690"/>
    </row>
    <row r="16802" spans="13:13">
      <c r="M16802" s="690"/>
    </row>
    <row r="16803" spans="13:13">
      <c r="M16803" s="690"/>
    </row>
    <row r="16804" spans="13:13">
      <c r="M16804" s="690"/>
    </row>
    <row r="16805" spans="13:13">
      <c r="M16805" s="690"/>
    </row>
    <row r="16806" spans="13:13">
      <c r="M16806" s="690"/>
    </row>
    <row r="16807" spans="13:13">
      <c r="M16807" s="690"/>
    </row>
    <row r="16808" spans="13:13">
      <c r="M16808" s="690"/>
    </row>
    <row r="16809" spans="13:13">
      <c r="M16809" s="690"/>
    </row>
    <row r="16810" spans="13:13">
      <c r="M16810" s="690"/>
    </row>
    <row r="16811" spans="13:13">
      <c r="M16811" s="690"/>
    </row>
    <row r="16812" spans="13:13">
      <c r="M16812" s="690"/>
    </row>
    <row r="16813" spans="13:13">
      <c r="M16813" s="690"/>
    </row>
    <row r="16814" spans="13:13">
      <c r="M16814" s="690"/>
    </row>
    <row r="16815" spans="13:13">
      <c r="M16815" s="690"/>
    </row>
    <row r="16816" spans="13:13">
      <c r="M16816" s="690"/>
    </row>
    <row r="16817" spans="13:13">
      <c r="M16817" s="690"/>
    </row>
    <row r="16818" spans="13:13">
      <c r="M16818" s="690"/>
    </row>
    <row r="16819" spans="13:13">
      <c r="M16819" s="690"/>
    </row>
    <row r="16820" spans="13:13">
      <c r="M16820" s="690"/>
    </row>
    <row r="16821" spans="13:13">
      <c r="M16821" s="690"/>
    </row>
    <row r="16822" spans="13:13">
      <c r="M16822" s="690"/>
    </row>
    <row r="16823" spans="13:13">
      <c r="M16823" s="690"/>
    </row>
    <row r="16824" spans="13:13">
      <c r="M16824" s="690"/>
    </row>
    <row r="16825" spans="13:13">
      <c r="M16825" s="690"/>
    </row>
    <row r="16826" spans="13:13">
      <c r="M16826" s="690"/>
    </row>
    <row r="16827" spans="13:13">
      <c r="M16827" s="690"/>
    </row>
    <row r="16828" spans="13:13">
      <c r="M16828" s="690"/>
    </row>
    <row r="16829" spans="13:13">
      <c r="M16829" s="690"/>
    </row>
    <row r="16830" spans="13:13">
      <c r="M16830" s="690"/>
    </row>
    <row r="16831" spans="13:13">
      <c r="M16831" s="690"/>
    </row>
    <row r="16832" spans="13:13">
      <c r="M16832" s="690"/>
    </row>
    <row r="16833" spans="13:13">
      <c r="M16833" s="690"/>
    </row>
    <row r="16834" spans="13:13">
      <c r="M16834" s="690"/>
    </row>
    <row r="16835" spans="13:13">
      <c r="M16835" s="690"/>
    </row>
    <row r="16836" spans="13:13">
      <c r="M16836" s="690"/>
    </row>
    <row r="16837" spans="13:13">
      <c r="M16837" s="690"/>
    </row>
    <row r="16838" spans="13:13">
      <c r="M16838" s="690"/>
    </row>
    <row r="16839" spans="13:13">
      <c r="M16839" s="690"/>
    </row>
    <row r="16840" spans="13:13">
      <c r="M16840" s="690"/>
    </row>
    <row r="16841" spans="13:13">
      <c r="M16841" s="690"/>
    </row>
    <row r="16842" spans="13:13">
      <c r="M16842" s="690"/>
    </row>
    <row r="16843" spans="13:13">
      <c r="M16843" s="690"/>
    </row>
    <row r="16844" spans="13:13">
      <c r="M16844" s="690"/>
    </row>
    <row r="16845" spans="13:13">
      <c r="M16845" s="690"/>
    </row>
    <row r="16846" spans="13:13">
      <c r="M16846" s="690"/>
    </row>
    <row r="16847" spans="13:13">
      <c r="M16847" s="690"/>
    </row>
    <row r="16848" spans="13:13">
      <c r="M16848" s="690"/>
    </row>
    <row r="16849" spans="13:13">
      <c r="M16849" s="690"/>
    </row>
    <row r="16850" spans="13:13">
      <c r="M16850" s="690"/>
    </row>
    <row r="16851" spans="13:13">
      <c r="M16851" s="690"/>
    </row>
    <row r="16852" spans="13:13">
      <c r="M16852" s="690"/>
    </row>
    <row r="16853" spans="13:13">
      <c r="M16853" s="690"/>
    </row>
    <row r="16854" spans="13:13">
      <c r="M16854" s="690"/>
    </row>
    <row r="16855" spans="13:13">
      <c r="M16855" s="690"/>
    </row>
    <row r="16856" spans="13:13">
      <c r="M16856" s="690"/>
    </row>
    <row r="16857" spans="13:13">
      <c r="M16857" s="690"/>
    </row>
    <row r="16858" spans="13:13">
      <c r="M16858" s="690"/>
    </row>
    <row r="16859" spans="13:13">
      <c r="M16859" s="690"/>
    </row>
    <row r="16860" spans="13:13">
      <c r="M16860" s="690"/>
    </row>
    <row r="16861" spans="13:13">
      <c r="M16861" s="690"/>
    </row>
    <row r="16862" spans="13:13">
      <c r="M16862" s="690"/>
    </row>
    <row r="16863" spans="13:13">
      <c r="M16863" s="690"/>
    </row>
    <row r="16864" spans="13:13">
      <c r="M16864" s="690"/>
    </row>
    <row r="16865" spans="13:13">
      <c r="M16865" s="690"/>
    </row>
    <row r="16866" spans="13:13">
      <c r="M16866" s="690"/>
    </row>
    <row r="16867" spans="13:13">
      <c r="M16867" s="690"/>
    </row>
    <row r="16868" spans="13:13">
      <c r="M16868" s="690"/>
    </row>
    <row r="16869" spans="13:13">
      <c r="M16869" s="690"/>
    </row>
    <row r="16870" spans="13:13">
      <c r="M16870" s="690"/>
    </row>
    <row r="16871" spans="13:13">
      <c r="M16871" s="690"/>
    </row>
    <row r="16872" spans="13:13">
      <c r="M16872" s="690"/>
    </row>
    <row r="16873" spans="13:13">
      <c r="M16873" s="690"/>
    </row>
    <row r="16874" spans="13:13">
      <c r="M16874" s="690"/>
    </row>
    <row r="16875" spans="13:13">
      <c r="M16875" s="690"/>
    </row>
    <row r="16876" spans="13:13">
      <c r="M16876" s="690"/>
    </row>
    <row r="16877" spans="13:13">
      <c r="M16877" s="690"/>
    </row>
    <row r="16878" spans="13:13">
      <c r="M16878" s="690"/>
    </row>
    <row r="16879" spans="13:13">
      <c r="M16879" s="690"/>
    </row>
    <row r="16880" spans="13:13">
      <c r="M16880" s="690"/>
    </row>
    <row r="16881" spans="13:13">
      <c r="M16881" s="690"/>
    </row>
    <row r="16882" spans="13:13">
      <c r="M16882" s="690"/>
    </row>
    <row r="16883" spans="13:13">
      <c r="M16883" s="690"/>
    </row>
    <row r="16884" spans="13:13">
      <c r="M16884" s="690"/>
    </row>
    <row r="16885" spans="13:13">
      <c r="M16885" s="690"/>
    </row>
    <row r="16886" spans="13:13">
      <c r="M16886" s="690"/>
    </row>
    <row r="16887" spans="13:13">
      <c r="M16887" s="690"/>
    </row>
    <row r="16888" spans="13:13">
      <c r="M16888" s="690"/>
    </row>
    <row r="16889" spans="13:13">
      <c r="M16889" s="690"/>
    </row>
    <row r="16890" spans="13:13">
      <c r="M16890" s="690"/>
    </row>
    <row r="16891" spans="13:13">
      <c r="M16891" s="690"/>
    </row>
    <row r="16892" spans="13:13">
      <c r="M16892" s="690"/>
    </row>
    <row r="16893" spans="13:13">
      <c r="M16893" s="690"/>
    </row>
    <row r="16894" spans="13:13">
      <c r="M16894" s="690"/>
    </row>
    <row r="16895" spans="13:13">
      <c r="M16895" s="690"/>
    </row>
    <row r="16896" spans="13:13">
      <c r="M16896" s="690"/>
    </row>
    <row r="16897" spans="13:13">
      <c r="M16897" s="690"/>
    </row>
    <row r="16898" spans="13:13">
      <c r="M16898" s="690"/>
    </row>
    <row r="16899" spans="13:13">
      <c r="M16899" s="690"/>
    </row>
    <row r="16900" spans="13:13">
      <c r="M16900" s="690"/>
    </row>
    <row r="16901" spans="13:13">
      <c r="M16901" s="690"/>
    </row>
    <row r="16902" spans="13:13">
      <c r="M16902" s="690"/>
    </row>
    <row r="16903" spans="13:13">
      <c r="M16903" s="690"/>
    </row>
    <row r="16904" spans="13:13">
      <c r="M16904" s="690"/>
    </row>
    <row r="16905" spans="13:13">
      <c r="M16905" s="690"/>
    </row>
    <row r="16906" spans="13:13">
      <c r="M16906" s="690"/>
    </row>
    <row r="16907" spans="13:13">
      <c r="M16907" s="690"/>
    </row>
    <row r="16908" spans="13:13">
      <c r="M16908" s="690"/>
    </row>
    <row r="16909" spans="13:13">
      <c r="M16909" s="690"/>
    </row>
    <row r="16910" spans="13:13">
      <c r="M16910" s="690"/>
    </row>
    <row r="16911" spans="13:13">
      <c r="M16911" s="690"/>
    </row>
    <row r="16912" spans="13:13">
      <c r="M16912" s="690"/>
    </row>
    <row r="16913" spans="13:13">
      <c r="M16913" s="690"/>
    </row>
    <row r="16914" spans="13:13">
      <c r="M16914" s="690"/>
    </row>
    <row r="16915" spans="13:13">
      <c r="M16915" s="690"/>
    </row>
    <row r="16916" spans="13:13">
      <c r="M16916" s="690"/>
    </row>
    <row r="16917" spans="13:13">
      <c r="M16917" s="690"/>
    </row>
    <row r="16918" spans="13:13">
      <c r="M16918" s="690"/>
    </row>
    <row r="16919" spans="13:13">
      <c r="M16919" s="690"/>
    </row>
    <row r="16920" spans="13:13">
      <c r="M16920" s="690"/>
    </row>
    <row r="16921" spans="13:13">
      <c r="M16921" s="690"/>
    </row>
    <row r="16922" spans="13:13">
      <c r="M16922" s="690"/>
    </row>
    <row r="16923" spans="13:13">
      <c r="M16923" s="690"/>
    </row>
    <row r="16924" spans="13:13">
      <c r="M16924" s="690"/>
    </row>
    <row r="16925" spans="13:13">
      <c r="M16925" s="690"/>
    </row>
    <row r="16926" spans="13:13">
      <c r="M16926" s="690"/>
    </row>
    <row r="16927" spans="13:13">
      <c r="M16927" s="690"/>
    </row>
    <row r="16928" spans="13:13">
      <c r="M16928" s="690"/>
    </row>
    <row r="16929" spans="13:13">
      <c r="M16929" s="690"/>
    </row>
    <row r="16930" spans="13:13">
      <c r="M16930" s="690"/>
    </row>
    <row r="16931" spans="13:13">
      <c r="M16931" s="690"/>
    </row>
    <row r="16932" spans="13:13">
      <c r="M16932" s="690"/>
    </row>
    <row r="16933" spans="13:13">
      <c r="M16933" s="690"/>
    </row>
    <row r="16934" spans="13:13">
      <c r="M16934" s="690"/>
    </row>
    <row r="16935" spans="13:13">
      <c r="M16935" s="690"/>
    </row>
    <row r="16936" spans="13:13">
      <c r="M16936" s="690"/>
    </row>
    <row r="16937" spans="13:13">
      <c r="M16937" s="690"/>
    </row>
    <row r="16938" spans="13:13">
      <c r="M16938" s="690"/>
    </row>
    <row r="16939" spans="13:13">
      <c r="M16939" s="690"/>
    </row>
    <row r="16940" spans="13:13">
      <c r="M16940" s="690"/>
    </row>
    <row r="16941" spans="13:13">
      <c r="M16941" s="690"/>
    </row>
    <row r="16942" spans="13:13">
      <c r="M16942" s="690"/>
    </row>
    <row r="16943" spans="13:13">
      <c r="M16943" s="690"/>
    </row>
    <row r="16944" spans="13:13">
      <c r="M16944" s="690"/>
    </row>
    <row r="16945" spans="13:13">
      <c r="M16945" s="690"/>
    </row>
    <row r="16946" spans="13:13">
      <c r="M16946" s="690"/>
    </row>
    <row r="16947" spans="13:13">
      <c r="M16947" s="690"/>
    </row>
    <row r="16948" spans="13:13">
      <c r="M16948" s="690"/>
    </row>
    <row r="16949" spans="13:13">
      <c r="M16949" s="690"/>
    </row>
    <row r="16950" spans="13:13">
      <c r="M16950" s="690"/>
    </row>
    <row r="16951" spans="13:13">
      <c r="M16951" s="690"/>
    </row>
    <row r="16952" spans="13:13">
      <c r="M16952" s="690"/>
    </row>
    <row r="16953" spans="13:13">
      <c r="M16953" s="690"/>
    </row>
    <row r="16954" spans="13:13">
      <c r="M16954" s="690"/>
    </row>
    <row r="16955" spans="13:13">
      <c r="M16955" s="690"/>
    </row>
    <row r="16956" spans="13:13">
      <c r="M16956" s="690"/>
    </row>
    <row r="16957" spans="13:13">
      <c r="M16957" s="690"/>
    </row>
    <row r="16958" spans="13:13">
      <c r="M16958" s="690"/>
    </row>
    <row r="16959" spans="13:13">
      <c r="M16959" s="690"/>
    </row>
    <row r="16960" spans="13:13">
      <c r="M16960" s="690"/>
    </row>
    <row r="16961" spans="13:13">
      <c r="M16961" s="690"/>
    </row>
    <row r="16962" spans="13:13">
      <c r="M16962" s="690"/>
    </row>
    <row r="16963" spans="13:13">
      <c r="M16963" s="690"/>
    </row>
    <row r="16964" spans="13:13">
      <c r="M16964" s="690"/>
    </row>
    <row r="16965" spans="13:13">
      <c r="M16965" s="690"/>
    </row>
    <row r="16966" spans="13:13">
      <c r="M16966" s="690"/>
    </row>
    <row r="16967" spans="13:13">
      <c r="M16967" s="690"/>
    </row>
    <row r="16968" spans="13:13">
      <c r="M16968" s="690"/>
    </row>
    <row r="16969" spans="13:13">
      <c r="M16969" s="690"/>
    </row>
    <row r="16970" spans="13:13">
      <c r="M16970" s="690"/>
    </row>
    <row r="16971" spans="13:13">
      <c r="M16971" s="690"/>
    </row>
    <row r="16972" spans="13:13">
      <c r="M16972" s="690"/>
    </row>
    <row r="16973" spans="13:13">
      <c r="M16973" s="690"/>
    </row>
    <row r="16974" spans="13:13">
      <c r="M16974" s="690"/>
    </row>
    <row r="16975" spans="13:13">
      <c r="M16975" s="690"/>
    </row>
    <row r="16976" spans="13:13">
      <c r="M16976" s="690"/>
    </row>
    <row r="16977" spans="13:13">
      <c r="M16977" s="690"/>
    </row>
    <row r="16978" spans="13:13">
      <c r="M16978" s="690"/>
    </row>
    <row r="16979" spans="13:13">
      <c r="M16979" s="690"/>
    </row>
    <row r="16980" spans="13:13">
      <c r="M16980" s="690"/>
    </row>
    <row r="16981" spans="13:13">
      <c r="M16981" s="690"/>
    </row>
    <row r="16982" spans="13:13">
      <c r="M16982" s="690"/>
    </row>
    <row r="16983" spans="13:13">
      <c r="M16983" s="690"/>
    </row>
    <row r="16984" spans="13:13">
      <c r="M16984" s="690"/>
    </row>
    <row r="16985" spans="13:13">
      <c r="M16985" s="690"/>
    </row>
    <row r="16986" spans="13:13">
      <c r="M16986" s="690"/>
    </row>
    <row r="16987" spans="13:13">
      <c r="M16987" s="690"/>
    </row>
    <row r="16988" spans="13:13">
      <c r="M16988" s="690"/>
    </row>
    <row r="16989" spans="13:13">
      <c r="M16989" s="690"/>
    </row>
    <row r="16990" spans="13:13">
      <c r="M16990" s="690"/>
    </row>
    <row r="16991" spans="13:13">
      <c r="M16991" s="690"/>
    </row>
    <row r="16992" spans="13:13">
      <c r="M16992" s="690"/>
    </row>
    <row r="16993" spans="13:13">
      <c r="M16993" s="690"/>
    </row>
    <row r="16994" spans="13:13">
      <c r="M16994" s="690"/>
    </row>
    <row r="16995" spans="13:13">
      <c r="M16995" s="690"/>
    </row>
    <row r="16996" spans="13:13">
      <c r="M16996" s="690"/>
    </row>
    <row r="16997" spans="13:13">
      <c r="M16997" s="690"/>
    </row>
    <row r="16998" spans="13:13">
      <c r="M16998" s="690"/>
    </row>
    <row r="16999" spans="13:13">
      <c r="M16999" s="690"/>
    </row>
    <row r="17000" spans="13:13">
      <c r="M17000" s="690"/>
    </row>
    <row r="17001" spans="13:13">
      <c r="M17001" s="690"/>
    </row>
    <row r="17002" spans="13:13">
      <c r="M17002" s="690"/>
    </row>
    <row r="17003" spans="13:13">
      <c r="M17003" s="690"/>
    </row>
    <row r="17004" spans="13:13">
      <c r="M17004" s="690"/>
    </row>
    <row r="17005" spans="13:13">
      <c r="M17005" s="690"/>
    </row>
    <row r="17006" spans="13:13">
      <c r="M17006" s="690"/>
    </row>
    <row r="17007" spans="13:13">
      <c r="M17007" s="690"/>
    </row>
    <row r="17008" spans="13:13">
      <c r="M17008" s="690"/>
    </row>
    <row r="17009" spans="13:13">
      <c r="M17009" s="690"/>
    </row>
    <row r="17010" spans="13:13">
      <c r="M17010" s="690"/>
    </row>
    <row r="17011" spans="13:13">
      <c r="M17011" s="690"/>
    </row>
    <row r="17012" spans="13:13">
      <c r="M17012" s="690"/>
    </row>
    <row r="17013" spans="13:13">
      <c r="M17013" s="690"/>
    </row>
    <row r="17014" spans="13:13">
      <c r="M17014" s="690"/>
    </row>
    <row r="17015" spans="13:13">
      <c r="M17015" s="690"/>
    </row>
    <row r="17016" spans="13:13">
      <c r="M17016" s="690"/>
    </row>
    <row r="17017" spans="13:13">
      <c r="M17017" s="690"/>
    </row>
    <row r="17018" spans="13:13">
      <c r="M17018" s="690"/>
    </row>
    <row r="17019" spans="13:13">
      <c r="M17019" s="690"/>
    </row>
    <row r="17020" spans="13:13">
      <c r="M17020" s="690"/>
    </row>
    <row r="17021" spans="13:13">
      <c r="M17021" s="690"/>
    </row>
    <row r="17022" spans="13:13">
      <c r="M17022" s="690"/>
    </row>
    <row r="17023" spans="13:13">
      <c r="M17023" s="690"/>
    </row>
    <row r="17024" spans="13:13">
      <c r="M17024" s="690"/>
    </row>
    <row r="17025" spans="13:13">
      <c r="M17025" s="690"/>
    </row>
    <row r="17026" spans="13:13">
      <c r="M17026" s="690"/>
    </row>
    <row r="17027" spans="13:13">
      <c r="M17027" s="690"/>
    </row>
    <row r="17028" spans="13:13">
      <c r="M17028" s="690"/>
    </row>
    <row r="17029" spans="13:13">
      <c r="M17029" s="690"/>
    </row>
    <row r="17030" spans="13:13">
      <c r="M17030" s="690"/>
    </row>
    <row r="17031" spans="13:13">
      <c r="M17031" s="690"/>
    </row>
    <row r="17032" spans="13:13">
      <c r="M17032" s="690"/>
    </row>
    <row r="17033" spans="13:13">
      <c r="M17033" s="690"/>
    </row>
    <row r="17034" spans="13:13">
      <c r="M17034" s="690"/>
    </row>
    <row r="17035" spans="13:13">
      <c r="M17035" s="690"/>
    </row>
    <row r="17036" spans="13:13">
      <c r="M17036" s="690"/>
    </row>
    <row r="17037" spans="13:13">
      <c r="M17037" s="690"/>
    </row>
    <row r="17038" spans="13:13">
      <c r="M17038" s="690"/>
    </row>
    <row r="17039" spans="13:13">
      <c r="M17039" s="690"/>
    </row>
    <row r="17040" spans="13:13">
      <c r="M17040" s="690"/>
    </row>
    <row r="17041" spans="13:13">
      <c r="M17041" s="690"/>
    </row>
    <row r="17042" spans="13:13">
      <c r="M17042" s="690"/>
    </row>
    <row r="17043" spans="13:13">
      <c r="M17043" s="690"/>
    </row>
    <row r="17044" spans="13:13">
      <c r="M17044" s="690"/>
    </row>
    <row r="17045" spans="13:13">
      <c r="M17045" s="690"/>
    </row>
    <row r="17046" spans="13:13">
      <c r="M17046" s="690"/>
    </row>
    <row r="17047" spans="13:13">
      <c r="M17047" s="690"/>
    </row>
    <row r="17048" spans="13:13">
      <c r="M17048" s="690"/>
    </row>
    <row r="17049" spans="13:13">
      <c r="M17049" s="690"/>
    </row>
    <row r="17050" spans="13:13">
      <c r="M17050" s="690"/>
    </row>
    <row r="17051" spans="13:13">
      <c r="M17051" s="690"/>
    </row>
    <row r="17052" spans="13:13">
      <c r="M17052" s="690"/>
    </row>
    <row r="17053" spans="13:13">
      <c r="M17053" s="690"/>
    </row>
    <row r="17054" spans="13:13">
      <c r="M17054" s="690"/>
    </row>
    <row r="17055" spans="13:13">
      <c r="M17055" s="690"/>
    </row>
    <row r="17056" spans="13:13">
      <c r="M17056" s="690"/>
    </row>
    <row r="17057" spans="13:13">
      <c r="M17057" s="690"/>
    </row>
    <row r="17058" spans="13:13">
      <c r="M17058" s="690"/>
    </row>
    <row r="17059" spans="13:13">
      <c r="M17059" s="690"/>
    </row>
    <row r="17060" spans="13:13">
      <c r="M17060" s="690"/>
    </row>
    <row r="17061" spans="13:13">
      <c r="M17061" s="690"/>
    </row>
    <row r="17062" spans="13:13">
      <c r="M17062" s="690"/>
    </row>
    <row r="17063" spans="13:13">
      <c r="M17063" s="690"/>
    </row>
    <row r="17064" spans="13:13">
      <c r="M17064" s="690"/>
    </row>
    <row r="17065" spans="13:13">
      <c r="M17065" s="690"/>
    </row>
    <row r="17066" spans="13:13">
      <c r="M17066" s="690"/>
    </row>
    <row r="17067" spans="13:13">
      <c r="M17067" s="690"/>
    </row>
    <row r="17068" spans="13:13">
      <c r="M17068" s="690"/>
    </row>
    <row r="17069" spans="13:13">
      <c r="M17069" s="690"/>
    </row>
    <row r="17070" spans="13:13">
      <c r="M17070" s="690"/>
    </row>
    <row r="17071" spans="13:13">
      <c r="M17071" s="690"/>
    </row>
    <row r="17072" spans="13:13">
      <c r="M17072" s="690"/>
    </row>
    <row r="17073" spans="13:13">
      <c r="M17073" s="690"/>
    </row>
    <row r="17074" spans="13:13">
      <c r="M17074" s="690"/>
    </row>
    <row r="17075" spans="13:13">
      <c r="M17075" s="690"/>
    </row>
    <row r="17076" spans="13:13">
      <c r="M17076" s="690"/>
    </row>
    <row r="17077" spans="13:13">
      <c r="M17077" s="690"/>
    </row>
    <row r="17078" spans="13:13">
      <c r="M17078" s="690"/>
    </row>
    <row r="17079" spans="13:13">
      <c r="M17079" s="690"/>
    </row>
    <row r="17080" spans="13:13">
      <c r="M17080" s="690"/>
    </row>
    <row r="17081" spans="13:13">
      <c r="M17081" s="690"/>
    </row>
    <row r="17082" spans="13:13">
      <c r="M17082" s="690"/>
    </row>
    <row r="17083" spans="13:13">
      <c r="M17083" s="690"/>
    </row>
    <row r="17084" spans="13:13">
      <c r="M17084" s="690"/>
    </row>
    <row r="17085" spans="13:13">
      <c r="M17085" s="690"/>
    </row>
    <row r="17086" spans="13:13">
      <c r="M17086" s="690"/>
    </row>
    <row r="17087" spans="13:13">
      <c r="M17087" s="690"/>
    </row>
    <row r="17088" spans="13:13">
      <c r="M17088" s="690"/>
    </row>
    <row r="17089" spans="13:13">
      <c r="M17089" s="690"/>
    </row>
    <row r="17090" spans="13:13">
      <c r="M17090" s="690"/>
    </row>
    <row r="17091" spans="13:13">
      <c r="M17091" s="690"/>
    </row>
    <row r="17092" spans="13:13">
      <c r="M17092" s="690"/>
    </row>
    <row r="17093" spans="13:13">
      <c r="M17093" s="690"/>
    </row>
    <row r="17094" spans="13:13">
      <c r="M17094" s="690"/>
    </row>
    <row r="17095" spans="13:13">
      <c r="M17095" s="690"/>
    </row>
    <row r="17096" spans="13:13">
      <c r="M17096" s="690"/>
    </row>
    <row r="17097" spans="13:13">
      <c r="M17097" s="690"/>
    </row>
    <row r="17098" spans="13:13">
      <c r="M17098" s="690"/>
    </row>
    <row r="17099" spans="13:13">
      <c r="M17099" s="690"/>
    </row>
    <row r="17100" spans="13:13">
      <c r="M17100" s="690"/>
    </row>
    <row r="17101" spans="13:13">
      <c r="M17101" s="690"/>
    </row>
    <row r="17102" spans="13:13">
      <c r="M17102" s="690"/>
    </row>
    <row r="17103" spans="13:13">
      <c r="M17103" s="690"/>
    </row>
    <row r="17104" spans="13:13">
      <c r="M17104" s="690"/>
    </row>
    <row r="17105" spans="13:13">
      <c r="M17105" s="690"/>
    </row>
    <row r="17106" spans="13:13">
      <c r="M17106" s="690"/>
    </row>
    <row r="17107" spans="13:13">
      <c r="M17107" s="690"/>
    </row>
    <row r="17108" spans="13:13">
      <c r="M17108" s="690"/>
    </row>
    <row r="17109" spans="13:13">
      <c r="M17109" s="690"/>
    </row>
    <row r="17110" spans="13:13">
      <c r="M17110" s="690"/>
    </row>
    <row r="17111" spans="13:13">
      <c r="M17111" s="690"/>
    </row>
    <row r="17112" spans="13:13">
      <c r="M17112" s="690"/>
    </row>
    <row r="17113" spans="13:13">
      <c r="M17113" s="690"/>
    </row>
    <row r="17114" spans="13:13">
      <c r="M17114" s="690"/>
    </row>
    <row r="17115" spans="13:13">
      <c r="M17115" s="690"/>
    </row>
    <row r="17116" spans="13:13">
      <c r="M17116" s="690"/>
    </row>
    <row r="17117" spans="13:13">
      <c r="M17117" s="690"/>
    </row>
    <row r="17118" spans="13:13">
      <c r="M17118" s="690"/>
    </row>
    <row r="17119" spans="13:13">
      <c r="M17119" s="690"/>
    </row>
    <row r="17120" spans="13:13">
      <c r="M17120" s="690"/>
    </row>
    <row r="17121" spans="13:13">
      <c r="M17121" s="690"/>
    </row>
    <row r="17122" spans="13:13">
      <c r="M17122" s="690"/>
    </row>
    <row r="17123" spans="13:13">
      <c r="M17123" s="690"/>
    </row>
    <row r="17124" spans="13:13">
      <c r="M17124" s="690"/>
    </row>
    <row r="17125" spans="13:13">
      <c r="M17125" s="690"/>
    </row>
    <row r="17126" spans="13:13">
      <c r="M17126" s="690"/>
    </row>
    <row r="17127" spans="13:13">
      <c r="M17127" s="690"/>
    </row>
    <row r="17128" spans="13:13">
      <c r="M17128" s="690"/>
    </row>
    <row r="17129" spans="13:13">
      <c r="M17129" s="690"/>
    </row>
    <row r="17130" spans="13:13">
      <c r="M17130" s="690"/>
    </row>
    <row r="17131" spans="13:13">
      <c r="M17131" s="690"/>
    </row>
    <row r="17132" spans="13:13">
      <c r="M17132" s="690"/>
    </row>
    <row r="17133" spans="13:13">
      <c r="M17133" s="690"/>
    </row>
    <row r="17134" spans="13:13">
      <c r="M17134" s="690"/>
    </row>
    <row r="17135" spans="13:13">
      <c r="M17135" s="690"/>
    </row>
    <row r="17136" spans="13:13">
      <c r="M17136" s="690"/>
    </row>
    <row r="17137" spans="13:13">
      <c r="M17137" s="690"/>
    </row>
    <row r="17138" spans="13:13">
      <c r="M17138" s="690"/>
    </row>
    <row r="17139" spans="13:13">
      <c r="M17139" s="690"/>
    </row>
    <row r="17140" spans="13:13">
      <c r="M17140" s="690"/>
    </row>
    <row r="17141" spans="13:13">
      <c r="M17141" s="690"/>
    </row>
    <row r="17142" spans="13:13">
      <c r="M17142" s="690"/>
    </row>
    <row r="17143" spans="13:13">
      <c r="M17143" s="690"/>
    </row>
    <row r="17144" spans="13:13">
      <c r="M17144" s="690"/>
    </row>
    <row r="17145" spans="13:13">
      <c r="M17145" s="690"/>
    </row>
    <row r="17146" spans="13:13">
      <c r="M17146" s="690"/>
    </row>
    <row r="17147" spans="13:13">
      <c r="M17147" s="690"/>
    </row>
    <row r="17148" spans="13:13">
      <c r="M17148" s="690"/>
    </row>
    <row r="17149" spans="13:13">
      <c r="M17149" s="690"/>
    </row>
    <row r="17150" spans="13:13">
      <c r="M17150" s="690"/>
    </row>
    <row r="17151" spans="13:13">
      <c r="M17151" s="690"/>
    </row>
    <row r="17152" spans="13:13">
      <c r="M17152" s="690"/>
    </row>
    <row r="17153" spans="13:13">
      <c r="M17153" s="690"/>
    </row>
    <row r="17154" spans="13:13">
      <c r="M17154" s="690"/>
    </row>
    <row r="17155" spans="13:13">
      <c r="M17155" s="690"/>
    </row>
    <row r="17156" spans="13:13">
      <c r="M17156" s="690"/>
    </row>
    <row r="17157" spans="13:13">
      <c r="M17157" s="690"/>
    </row>
    <row r="17158" spans="13:13">
      <c r="M17158" s="690"/>
    </row>
    <row r="17159" spans="13:13">
      <c r="M17159" s="690"/>
    </row>
    <row r="17160" spans="13:13">
      <c r="M17160" s="690"/>
    </row>
    <row r="17161" spans="13:13">
      <c r="M17161" s="690"/>
    </row>
    <row r="17162" spans="13:13">
      <c r="M17162" s="690"/>
    </row>
    <row r="17163" spans="13:13">
      <c r="M17163" s="690"/>
    </row>
    <row r="17164" spans="13:13">
      <c r="M17164" s="690"/>
    </row>
    <row r="17165" spans="13:13">
      <c r="M17165" s="690"/>
    </row>
    <row r="17166" spans="13:13">
      <c r="M17166" s="690"/>
    </row>
    <row r="17167" spans="13:13">
      <c r="M17167" s="690"/>
    </row>
    <row r="17168" spans="13:13">
      <c r="M17168" s="690"/>
    </row>
    <row r="17169" spans="13:13">
      <c r="M17169" s="690"/>
    </row>
    <row r="17170" spans="13:13">
      <c r="M17170" s="690"/>
    </row>
    <row r="17171" spans="13:13">
      <c r="M17171" s="690"/>
    </row>
    <row r="17172" spans="13:13">
      <c r="M17172" s="690"/>
    </row>
    <row r="17173" spans="13:13">
      <c r="M17173" s="690"/>
    </row>
    <row r="17174" spans="13:13">
      <c r="M17174" s="690"/>
    </row>
    <row r="17175" spans="13:13">
      <c r="M17175" s="690"/>
    </row>
    <row r="17176" spans="13:13">
      <c r="M17176" s="690"/>
    </row>
    <row r="17177" spans="13:13">
      <c r="M17177" s="690"/>
    </row>
    <row r="17178" spans="13:13">
      <c r="M17178" s="690"/>
    </row>
    <row r="17179" spans="13:13">
      <c r="M17179" s="690"/>
    </row>
    <row r="17180" spans="13:13">
      <c r="M17180" s="690"/>
    </row>
    <row r="17181" spans="13:13">
      <c r="M17181" s="690"/>
    </row>
    <row r="17182" spans="13:13">
      <c r="M17182" s="690"/>
    </row>
    <row r="17183" spans="13:13">
      <c r="M17183" s="690"/>
    </row>
    <row r="17184" spans="13:13">
      <c r="M17184" s="690"/>
    </row>
    <row r="17185" spans="13:13">
      <c r="M17185" s="690"/>
    </row>
    <row r="17186" spans="13:13">
      <c r="M17186" s="690"/>
    </row>
    <row r="17187" spans="13:13">
      <c r="M17187" s="690"/>
    </row>
    <row r="17188" spans="13:13">
      <c r="M17188" s="690"/>
    </row>
    <row r="17189" spans="13:13">
      <c r="M17189" s="690"/>
    </row>
    <row r="17190" spans="13:13">
      <c r="M17190" s="690"/>
    </row>
    <row r="17191" spans="13:13">
      <c r="M17191" s="690"/>
    </row>
    <row r="17192" spans="13:13">
      <c r="M17192" s="690"/>
    </row>
    <row r="17193" spans="13:13">
      <c r="M17193" s="690"/>
    </row>
    <row r="17194" spans="13:13">
      <c r="M17194" s="690"/>
    </row>
    <row r="17195" spans="13:13">
      <c r="M17195" s="690"/>
    </row>
    <row r="17196" spans="13:13">
      <c r="M17196" s="690"/>
    </row>
    <row r="17197" spans="13:13">
      <c r="M17197" s="690"/>
    </row>
    <row r="17198" spans="13:13">
      <c r="M17198" s="690"/>
    </row>
    <row r="17199" spans="13:13">
      <c r="M17199" s="690"/>
    </row>
    <row r="17200" spans="13:13">
      <c r="M17200" s="690"/>
    </row>
    <row r="17201" spans="13:13">
      <c r="M17201" s="690"/>
    </row>
    <row r="17202" spans="13:13">
      <c r="M17202" s="690"/>
    </row>
    <row r="17203" spans="13:13">
      <c r="M17203" s="690"/>
    </row>
    <row r="17204" spans="13:13">
      <c r="M17204" s="690"/>
    </row>
    <row r="17205" spans="13:13">
      <c r="M17205" s="690"/>
    </row>
    <row r="17206" spans="13:13">
      <c r="M17206" s="690"/>
    </row>
    <row r="17207" spans="13:13">
      <c r="M17207" s="690"/>
    </row>
    <row r="17208" spans="13:13">
      <c r="M17208" s="690"/>
    </row>
    <row r="17209" spans="13:13">
      <c r="M17209" s="690"/>
    </row>
    <row r="17210" spans="13:13">
      <c r="M17210" s="690"/>
    </row>
    <row r="17211" spans="13:13">
      <c r="M17211" s="690"/>
    </row>
    <row r="17212" spans="13:13">
      <c r="M17212" s="690"/>
    </row>
    <row r="17213" spans="13:13">
      <c r="M17213" s="690"/>
    </row>
    <row r="17214" spans="13:13">
      <c r="M17214" s="690"/>
    </row>
    <row r="17215" spans="13:13">
      <c r="M17215" s="690"/>
    </row>
    <row r="17216" spans="13:13">
      <c r="M17216" s="690"/>
    </row>
    <row r="17217" spans="13:13">
      <c r="M17217" s="690"/>
    </row>
    <row r="17218" spans="13:13">
      <c r="M17218" s="690"/>
    </row>
    <row r="17219" spans="13:13">
      <c r="M17219" s="690"/>
    </row>
    <row r="17220" spans="13:13">
      <c r="M17220" s="690"/>
    </row>
    <row r="17221" spans="13:13">
      <c r="M17221" s="690"/>
    </row>
    <row r="17222" spans="13:13">
      <c r="M17222" s="690"/>
    </row>
    <row r="17223" spans="13:13">
      <c r="M17223" s="690"/>
    </row>
    <row r="17224" spans="13:13">
      <c r="M17224" s="690"/>
    </row>
    <row r="17225" spans="13:13">
      <c r="M17225" s="690"/>
    </row>
    <row r="17226" spans="13:13">
      <c r="M17226" s="690"/>
    </row>
    <row r="17227" spans="13:13">
      <c r="M17227" s="690"/>
    </row>
    <row r="17228" spans="13:13">
      <c r="M17228" s="690"/>
    </row>
    <row r="17229" spans="13:13">
      <c r="M17229" s="690"/>
    </row>
    <row r="17230" spans="13:13">
      <c r="M17230" s="690"/>
    </row>
    <row r="17231" spans="13:13">
      <c r="M17231" s="690"/>
    </row>
    <row r="17232" spans="13:13">
      <c r="M17232" s="690"/>
    </row>
    <row r="17233" spans="13:13">
      <c r="M17233" s="690"/>
    </row>
    <row r="17234" spans="13:13">
      <c r="M17234" s="690"/>
    </row>
    <row r="17235" spans="13:13">
      <c r="M17235" s="690"/>
    </row>
    <row r="17236" spans="13:13">
      <c r="M17236" s="690"/>
    </row>
    <row r="17237" spans="13:13">
      <c r="M17237" s="690"/>
    </row>
    <row r="17238" spans="13:13">
      <c r="M17238" s="690"/>
    </row>
    <row r="17239" spans="13:13">
      <c r="M17239" s="690"/>
    </row>
    <row r="17240" spans="13:13">
      <c r="M17240" s="690"/>
    </row>
    <row r="17241" spans="13:13">
      <c r="M17241" s="690"/>
    </row>
    <row r="17242" spans="13:13">
      <c r="M17242" s="690"/>
    </row>
    <row r="17243" spans="13:13">
      <c r="M17243" s="690"/>
    </row>
    <row r="17244" spans="13:13">
      <c r="M17244" s="690"/>
    </row>
    <row r="17245" spans="13:13">
      <c r="M17245" s="690"/>
    </row>
    <row r="17246" spans="13:13">
      <c r="M17246" s="690"/>
    </row>
    <row r="17247" spans="13:13">
      <c r="M17247" s="690"/>
    </row>
    <row r="17248" spans="13:13">
      <c r="M17248" s="690"/>
    </row>
    <row r="17249" spans="13:13">
      <c r="M17249" s="690"/>
    </row>
    <row r="17250" spans="13:13">
      <c r="M17250" s="690"/>
    </row>
    <row r="17251" spans="13:13">
      <c r="M17251" s="690"/>
    </row>
    <row r="17252" spans="13:13">
      <c r="M17252" s="690"/>
    </row>
    <row r="17253" spans="13:13">
      <c r="M17253" s="690"/>
    </row>
    <row r="17254" spans="13:13">
      <c r="M17254" s="690"/>
    </row>
    <row r="17255" spans="13:13">
      <c r="M17255" s="690"/>
    </row>
    <row r="17256" spans="13:13">
      <c r="M17256" s="690"/>
    </row>
    <row r="17257" spans="13:13">
      <c r="M17257" s="690"/>
    </row>
    <row r="17258" spans="13:13">
      <c r="M17258" s="690"/>
    </row>
    <row r="17259" spans="13:13">
      <c r="M17259" s="690"/>
    </row>
    <row r="17260" spans="13:13">
      <c r="M17260" s="690"/>
    </row>
    <row r="17261" spans="13:13">
      <c r="M17261" s="690"/>
    </row>
    <row r="17262" spans="13:13">
      <c r="M17262" s="690"/>
    </row>
    <row r="17263" spans="13:13">
      <c r="M17263" s="690"/>
    </row>
    <row r="17264" spans="13:13">
      <c r="M17264" s="690"/>
    </row>
    <row r="17265" spans="13:13">
      <c r="M17265" s="690"/>
    </row>
    <row r="17266" spans="13:13">
      <c r="M17266" s="690"/>
    </row>
    <row r="17267" spans="13:13">
      <c r="M17267" s="690"/>
    </row>
    <row r="17268" spans="13:13">
      <c r="M17268" s="690"/>
    </row>
    <row r="17269" spans="13:13">
      <c r="M17269" s="690"/>
    </row>
    <row r="17270" spans="13:13">
      <c r="M17270" s="690"/>
    </row>
    <row r="17271" spans="13:13">
      <c r="M17271" s="690"/>
    </row>
    <row r="17272" spans="13:13">
      <c r="M17272" s="690"/>
    </row>
    <row r="17273" spans="13:13">
      <c r="M17273" s="690"/>
    </row>
    <row r="17274" spans="13:13">
      <c r="M17274" s="690"/>
    </row>
    <row r="17275" spans="13:13">
      <c r="M17275" s="690"/>
    </row>
    <row r="17276" spans="13:13">
      <c r="M17276" s="690"/>
    </row>
    <row r="17277" spans="13:13">
      <c r="M17277" s="690"/>
    </row>
    <row r="17278" spans="13:13">
      <c r="M17278" s="690"/>
    </row>
    <row r="17279" spans="13:13">
      <c r="M17279" s="690"/>
    </row>
    <row r="17280" spans="13:13">
      <c r="M17280" s="690"/>
    </row>
    <row r="17281" spans="13:13">
      <c r="M17281" s="690"/>
    </row>
    <row r="17282" spans="13:13">
      <c r="M17282" s="690"/>
    </row>
    <row r="17283" spans="13:13">
      <c r="M17283" s="690"/>
    </row>
    <row r="17284" spans="13:13">
      <c r="M17284" s="690"/>
    </row>
    <row r="17285" spans="13:13">
      <c r="M17285" s="690"/>
    </row>
    <row r="17286" spans="13:13">
      <c r="M17286" s="690"/>
    </row>
    <row r="17287" spans="13:13">
      <c r="M17287" s="690"/>
    </row>
    <row r="17288" spans="13:13">
      <c r="M17288" s="690"/>
    </row>
    <row r="17289" spans="13:13">
      <c r="M17289" s="690"/>
    </row>
    <row r="17290" spans="13:13">
      <c r="M17290" s="690"/>
    </row>
    <row r="17291" spans="13:13">
      <c r="M17291" s="690"/>
    </row>
    <row r="17292" spans="13:13">
      <c r="M17292" s="690"/>
    </row>
    <row r="17293" spans="13:13">
      <c r="M17293" s="690"/>
    </row>
    <row r="17294" spans="13:13">
      <c r="M17294" s="690"/>
    </row>
    <row r="17295" spans="13:13">
      <c r="M17295" s="690"/>
    </row>
    <row r="17296" spans="13:13">
      <c r="M17296" s="690"/>
    </row>
    <row r="17297" spans="13:13">
      <c r="M17297" s="690"/>
    </row>
    <row r="17298" spans="13:13">
      <c r="M17298" s="690"/>
    </row>
    <row r="17299" spans="13:13">
      <c r="M17299" s="690"/>
    </row>
    <row r="17300" spans="13:13">
      <c r="M17300" s="690"/>
    </row>
    <row r="17301" spans="13:13">
      <c r="M17301" s="690"/>
    </row>
    <row r="17302" spans="13:13">
      <c r="M17302" s="690"/>
    </row>
    <row r="17303" spans="13:13">
      <c r="M17303" s="690"/>
    </row>
    <row r="17304" spans="13:13">
      <c r="M17304" s="690"/>
    </row>
    <row r="17305" spans="13:13">
      <c r="M17305" s="690"/>
    </row>
    <row r="17306" spans="13:13">
      <c r="M17306" s="690"/>
    </row>
    <row r="17307" spans="13:13">
      <c r="M17307" s="690"/>
    </row>
    <row r="17308" spans="13:13">
      <c r="M17308" s="690"/>
    </row>
    <row r="17309" spans="13:13">
      <c r="M17309" s="690"/>
    </row>
    <row r="17310" spans="13:13">
      <c r="M17310" s="690"/>
    </row>
    <row r="17311" spans="13:13">
      <c r="M17311" s="690"/>
    </row>
    <row r="17312" spans="13:13">
      <c r="M17312" s="690"/>
    </row>
    <row r="17313" spans="13:13">
      <c r="M17313" s="690"/>
    </row>
    <row r="17314" spans="13:13">
      <c r="M17314" s="690"/>
    </row>
    <row r="17315" spans="13:13">
      <c r="M17315" s="690"/>
    </row>
    <row r="17316" spans="13:13">
      <c r="M17316" s="690"/>
    </row>
    <row r="17317" spans="13:13">
      <c r="M17317" s="690"/>
    </row>
    <row r="17318" spans="13:13">
      <c r="M17318" s="690"/>
    </row>
    <row r="17319" spans="13:13">
      <c r="M17319" s="690"/>
    </row>
    <row r="17320" spans="13:13">
      <c r="M17320" s="690"/>
    </row>
    <row r="17321" spans="13:13">
      <c r="M17321" s="690"/>
    </row>
    <row r="17322" spans="13:13">
      <c r="M17322" s="690"/>
    </row>
    <row r="17323" spans="13:13">
      <c r="M17323" s="690"/>
    </row>
    <row r="17324" spans="13:13">
      <c r="M17324" s="690"/>
    </row>
    <row r="17325" spans="13:13">
      <c r="M17325" s="690"/>
    </row>
    <row r="17326" spans="13:13">
      <c r="M17326" s="690"/>
    </row>
    <row r="17327" spans="13:13">
      <c r="M17327" s="690"/>
    </row>
    <row r="17328" spans="13:13">
      <c r="M17328" s="690"/>
    </row>
    <row r="17329" spans="13:13">
      <c r="M17329" s="690"/>
    </row>
    <row r="17330" spans="13:13">
      <c r="M17330" s="690"/>
    </row>
    <row r="17331" spans="13:13">
      <c r="M17331" s="690"/>
    </row>
    <row r="17332" spans="13:13">
      <c r="M17332" s="690"/>
    </row>
    <row r="17333" spans="13:13">
      <c r="M17333" s="690"/>
    </row>
    <row r="17334" spans="13:13">
      <c r="M17334" s="690"/>
    </row>
    <row r="17335" spans="13:13">
      <c r="M17335" s="690"/>
    </row>
    <row r="17336" spans="13:13">
      <c r="M17336" s="690"/>
    </row>
    <row r="17337" spans="13:13">
      <c r="M17337" s="690"/>
    </row>
    <row r="17338" spans="13:13">
      <c r="M17338" s="690"/>
    </row>
    <row r="17339" spans="13:13">
      <c r="M17339" s="690"/>
    </row>
    <row r="17340" spans="13:13">
      <c r="M17340" s="690"/>
    </row>
    <row r="17341" spans="13:13">
      <c r="M17341" s="690"/>
    </row>
    <row r="17342" spans="13:13">
      <c r="M17342" s="690"/>
    </row>
    <row r="17343" spans="13:13">
      <c r="M17343" s="690"/>
    </row>
    <row r="17344" spans="13:13">
      <c r="M17344" s="690"/>
    </row>
    <row r="17345" spans="13:13">
      <c r="M17345" s="690"/>
    </row>
    <row r="17346" spans="13:13">
      <c r="M17346" s="690"/>
    </row>
    <row r="17347" spans="13:13">
      <c r="M17347" s="690"/>
    </row>
    <row r="17348" spans="13:13">
      <c r="M17348" s="690"/>
    </row>
    <row r="17349" spans="13:13">
      <c r="M17349" s="690"/>
    </row>
    <row r="17350" spans="13:13">
      <c r="M17350" s="690"/>
    </row>
    <row r="17351" spans="13:13">
      <c r="M17351" s="690"/>
    </row>
    <row r="17352" spans="13:13">
      <c r="M17352" s="690"/>
    </row>
    <row r="17353" spans="13:13">
      <c r="M17353" s="690"/>
    </row>
    <row r="17354" spans="13:13">
      <c r="M17354" s="690"/>
    </row>
    <row r="17355" spans="13:13">
      <c r="M17355" s="690"/>
    </row>
    <row r="17356" spans="13:13">
      <c r="M17356" s="690"/>
    </row>
    <row r="17357" spans="13:13">
      <c r="M17357" s="690"/>
    </row>
    <row r="17358" spans="13:13">
      <c r="M17358" s="690"/>
    </row>
    <row r="17359" spans="13:13">
      <c r="M17359" s="690"/>
    </row>
    <row r="17360" spans="13:13">
      <c r="M17360" s="690"/>
    </row>
    <row r="17361" spans="13:13">
      <c r="M17361" s="690"/>
    </row>
    <row r="17362" spans="13:13">
      <c r="M17362" s="690"/>
    </row>
    <row r="17363" spans="13:13">
      <c r="M17363" s="690"/>
    </row>
    <row r="17364" spans="13:13">
      <c r="M17364" s="690"/>
    </row>
    <row r="17365" spans="13:13">
      <c r="M17365" s="690"/>
    </row>
    <row r="17366" spans="13:13">
      <c r="M17366" s="690"/>
    </row>
    <row r="17367" spans="13:13">
      <c r="M17367" s="690"/>
    </row>
    <row r="17368" spans="13:13">
      <c r="M17368" s="690"/>
    </row>
    <row r="17369" spans="13:13">
      <c r="M17369" s="690"/>
    </row>
    <row r="17370" spans="13:13">
      <c r="M17370" s="690"/>
    </row>
    <row r="17371" spans="13:13">
      <c r="M17371" s="690"/>
    </row>
    <row r="17372" spans="13:13">
      <c r="M17372" s="690"/>
    </row>
    <row r="17373" spans="13:13">
      <c r="M17373" s="690"/>
    </row>
    <row r="17374" spans="13:13">
      <c r="M17374" s="690"/>
    </row>
    <row r="17375" spans="13:13">
      <c r="M17375" s="690"/>
    </row>
    <row r="17376" spans="13:13">
      <c r="M17376" s="690"/>
    </row>
    <row r="17377" spans="13:13">
      <c r="M17377" s="690"/>
    </row>
    <row r="17378" spans="13:13">
      <c r="M17378" s="690"/>
    </row>
    <row r="17379" spans="13:13">
      <c r="M17379" s="690"/>
    </row>
    <row r="17380" spans="13:13">
      <c r="M17380" s="690"/>
    </row>
    <row r="17381" spans="13:13">
      <c r="M17381" s="690"/>
    </row>
    <row r="17382" spans="13:13">
      <c r="M17382" s="690"/>
    </row>
    <row r="17383" spans="13:13">
      <c r="M17383" s="690"/>
    </row>
    <row r="17384" spans="13:13">
      <c r="M17384" s="690"/>
    </row>
    <row r="17385" spans="13:13">
      <c r="M17385" s="690"/>
    </row>
    <row r="17386" spans="13:13">
      <c r="M17386" s="690"/>
    </row>
    <row r="17387" spans="13:13">
      <c r="M17387" s="690"/>
    </row>
    <row r="17388" spans="13:13">
      <c r="M17388" s="690"/>
    </row>
    <row r="17389" spans="13:13">
      <c r="M17389" s="690"/>
    </row>
    <row r="17390" spans="13:13">
      <c r="M17390" s="690"/>
    </row>
    <row r="17391" spans="13:13">
      <c r="M17391" s="690"/>
    </row>
    <row r="17392" spans="13:13">
      <c r="M17392" s="690"/>
    </row>
    <row r="17393" spans="13:13">
      <c r="M17393" s="690"/>
    </row>
    <row r="17394" spans="13:13">
      <c r="M17394" s="690"/>
    </row>
    <row r="17395" spans="13:13">
      <c r="M17395" s="690"/>
    </row>
    <row r="17396" spans="13:13">
      <c r="M17396" s="690"/>
    </row>
    <row r="17397" spans="13:13">
      <c r="M17397" s="690"/>
    </row>
    <row r="17398" spans="13:13">
      <c r="M17398" s="690"/>
    </row>
    <row r="17399" spans="13:13">
      <c r="M17399" s="690"/>
    </row>
    <row r="17400" spans="13:13">
      <c r="M17400" s="690"/>
    </row>
    <row r="17401" spans="13:13">
      <c r="M17401" s="690"/>
    </row>
    <row r="17402" spans="13:13">
      <c r="M17402" s="690"/>
    </row>
    <row r="17403" spans="13:13">
      <c r="M17403" s="690"/>
    </row>
    <row r="17404" spans="13:13">
      <c r="M17404" s="690"/>
    </row>
    <row r="17405" spans="13:13">
      <c r="M17405" s="690"/>
    </row>
    <row r="17406" spans="13:13">
      <c r="M17406" s="690"/>
    </row>
    <row r="17407" spans="13:13">
      <c r="M17407" s="690"/>
    </row>
    <row r="17408" spans="13:13">
      <c r="M17408" s="690"/>
    </row>
    <row r="17409" spans="13:13">
      <c r="M17409" s="690"/>
    </row>
    <row r="17410" spans="13:13">
      <c r="M17410" s="690"/>
    </row>
    <row r="17411" spans="13:13">
      <c r="M17411" s="690"/>
    </row>
    <row r="17412" spans="13:13">
      <c r="M17412" s="690"/>
    </row>
    <row r="17413" spans="13:13">
      <c r="M17413" s="690"/>
    </row>
    <row r="17414" spans="13:13">
      <c r="M17414" s="690"/>
    </row>
    <row r="17415" spans="13:13">
      <c r="M17415" s="690"/>
    </row>
    <row r="17416" spans="13:13">
      <c r="M17416" s="690"/>
    </row>
    <row r="17417" spans="13:13">
      <c r="M17417" s="690"/>
    </row>
    <row r="17418" spans="13:13">
      <c r="M17418" s="690"/>
    </row>
    <row r="17419" spans="13:13">
      <c r="M17419" s="690"/>
    </row>
    <row r="17420" spans="13:13">
      <c r="M17420" s="690"/>
    </row>
    <row r="17421" spans="13:13">
      <c r="M17421" s="690"/>
    </row>
    <row r="17422" spans="13:13">
      <c r="M17422" s="690"/>
    </row>
    <row r="17423" spans="13:13">
      <c r="M17423" s="690"/>
    </row>
    <row r="17424" spans="13:13">
      <c r="M17424" s="690"/>
    </row>
    <row r="17425" spans="13:13">
      <c r="M17425" s="690"/>
    </row>
    <row r="17426" spans="13:13">
      <c r="M17426" s="690"/>
    </row>
    <row r="17427" spans="13:13">
      <c r="M17427" s="690"/>
    </row>
    <row r="17428" spans="13:13">
      <c r="M17428" s="690"/>
    </row>
    <row r="17429" spans="13:13">
      <c r="M17429" s="690"/>
    </row>
    <row r="17430" spans="13:13">
      <c r="M17430" s="690"/>
    </row>
    <row r="17431" spans="13:13">
      <c r="M17431" s="690"/>
    </row>
    <row r="17432" spans="13:13">
      <c r="M17432" s="690"/>
    </row>
    <row r="17433" spans="13:13">
      <c r="M17433" s="690"/>
    </row>
    <row r="17434" spans="13:13">
      <c r="M17434" s="690"/>
    </row>
    <row r="17435" spans="13:13">
      <c r="M17435" s="690"/>
    </row>
    <row r="17436" spans="13:13">
      <c r="M17436" s="690"/>
    </row>
    <row r="17437" spans="13:13">
      <c r="M17437" s="690"/>
    </row>
    <row r="17438" spans="13:13">
      <c r="M17438" s="690"/>
    </row>
    <row r="17439" spans="13:13">
      <c r="M17439" s="690"/>
    </row>
    <row r="17440" spans="13:13">
      <c r="M17440" s="690"/>
    </row>
    <row r="17441" spans="13:13">
      <c r="M17441" s="690"/>
    </row>
    <row r="17442" spans="13:13">
      <c r="M17442" s="690"/>
    </row>
    <row r="17443" spans="13:13">
      <c r="M17443" s="690"/>
    </row>
    <row r="17444" spans="13:13">
      <c r="M17444" s="690"/>
    </row>
    <row r="17445" spans="13:13">
      <c r="M17445" s="690"/>
    </row>
    <row r="17446" spans="13:13">
      <c r="M17446" s="690"/>
    </row>
    <row r="17447" spans="13:13">
      <c r="M17447" s="690"/>
    </row>
    <row r="17448" spans="13:13">
      <c r="M17448" s="690"/>
    </row>
    <row r="17449" spans="13:13">
      <c r="M17449" s="690"/>
    </row>
    <row r="17450" spans="13:13">
      <c r="M17450" s="690"/>
    </row>
    <row r="17451" spans="13:13">
      <c r="M17451" s="690"/>
    </row>
    <row r="17452" spans="13:13">
      <c r="M17452" s="690"/>
    </row>
    <row r="17453" spans="13:13">
      <c r="M17453" s="690"/>
    </row>
    <row r="17454" spans="13:13">
      <c r="M17454" s="690"/>
    </row>
    <row r="17455" spans="13:13">
      <c r="M17455" s="690"/>
    </row>
    <row r="17456" spans="13:13">
      <c r="M17456" s="690"/>
    </row>
    <row r="17457" spans="13:13">
      <c r="M17457" s="690"/>
    </row>
    <row r="17458" spans="13:13">
      <c r="M17458" s="690"/>
    </row>
    <row r="17459" spans="13:13">
      <c r="M17459" s="690"/>
    </row>
    <row r="17460" spans="13:13">
      <c r="M17460" s="690"/>
    </row>
    <row r="17461" spans="13:13">
      <c r="M17461" s="690"/>
    </row>
    <row r="17462" spans="13:13">
      <c r="M17462" s="690"/>
    </row>
    <row r="17463" spans="13:13">
      <c r="M17463" s="690"/>
    </row>
    <row r="17464" spans="13:13">
      <c r="M17464" s="690"/>
    </row>
    <row r="17465" spans="13:13">
      <c r="M17465" s="690"/>
    </row>
    <row r="17466" spans="13:13">
      <c r="M17466" s="690"/>
    </row>
    <row r="17467" spans="13:13">
      <c r="M17467" s="690"/>
    </row>
    <row r="17468" spans="13:13">
      <c r="M17468" s="690"/>
    </row>
    <row r="17469" spans="13:13">
      <c r="M17469" s="690"/>
    </row>
    <row r="17470" spans="13:13">
      <c r="M17470" s="690"/>
    </row>
    <row r="17471" spans="13:13">
      <c r="M17471" s="690"/>
    </row>
    <row r="17472" spans="13:13">
      <c r="M17472" s="690"/>
    </row>
    <row r="17473" spans="13:13">
      <c r="M17473" s="690"/>
    </row>
    <row r="17474" spans="13:13">
      <c r="M17474" s="690"/>
    </row>
    <row r="17475" spans="13:13">
      <c r="M17475" s="690"/>
    </row>
    <row r="17476" spans="13:13">
      <c r="M17476" s="690"/>
    </row>
    <row r="17477" spans="13:13">
      <c r="M17477" s="690"/>
    </row>
    <row r="17478" spans="13:13">
      <c r="M17478" s="690"/>
    </row>
    <row r="17479" spans="13:13">
      <c r="M17479" s="690"/>
    </row>
    <row r="17480" spans="13:13">
      <c r="M17480" s="690"/>
    </row>
    <row r="17481" spans="13:13">
      <c r="M17481" s="690"/>
    </row>
    <row r="17482" spans="13:13">
      <c r="M17482" s="690"/>
    </row>
    <row r="17483" spans="13:13">
      <c r="M17483" s="690"/>
    </row>
    <row r="17484" spans="13:13">
      <c r="M17484" s="690"/>
    </row>
    <row r="17485" spans="13:13">
      <c r="M17485" s="690"/>
    </row>
    <row r="17486" spans="13:13">
      <c r="M17486" s="690"/>
    </row>
    <row r="17487" spans="13:13">
      <c r="M17487" s="690"/>
    </row>
    <row r="17488" spans="13:13">
      <c r="M17488" s="690"/>
    </row>
    <row r="17489" spans="13:13">
      <c r="M17489" s="690"/>
    </row>
    <row r="17490" spans="13:13">
      <c r="M17490" s="690"/>
    </row>
    <row r="17491" spans="13:13">
      <c r="M17491" s="690"/>
    </row>
    <row r="17492" spans="13:13">
      <c r="M17492" s="690"/>
    </row>
    <row r="17493" spans="13:13">
      <c r="M17493" s="690"/>
    </row>
    <row r="17494" spans="13:13">
      <c r="M17494" s="690"/>
    </row>
    <row r="17495" spans="13:13">
      <c r="M17495" s="690"/>
    </row>
    <row r="17496" spans="13:13">
      <c r="M17496" s="690"/>
    </row>
    <row r="17497" spans="13:13">
      <c r="M17497" s="690"/>
    </row>
    <row r="17498" spans="13:13">
      <c r="M17498" s="690"/>
    </row>
    <row r="17499" spans="13:13">
      <c r="M17499" s="690"/>
    </row>
    <row r="17500" spans="13:13">
      <c r="M17500" s="690"/>
    </row>
    <row r="17501" spans="13:13">
      <c r="M17501" s="690"/>
    </row>
    <row r="17502" spans="13:13">
      <c r="M17502" s="690"/>
    </row>
    <row r="17503" spans="13:13">
      <c r="M17503" s="690"/>
    </row>
    <row r="17504" spans="13:13">
      <c r="M17504" s="690"/>
    </row>
    <row r="17505" spans="13:13">
      <c r="M17505" s="690"/>
    </row>
    <row r="17506" spans="13:13">
      <c r="M17506" s="690"/>
    </row>
    <row r="17507" spans="13:13">
      <c r="M17507" s="690"/>
    </row>
    <row r="17508" spans="13:13">
      <c r="M17508" s="690"/>
    </row>
    <row r="17509" spans="13:13">
      <c r="M17509" s="690"/>
    </row>
    <row r="17510" spans="13:13">
      <c r="M17510" s="690"/>
    </row>
    <row r="17511" spans="13:13">
      <c r="M17511" s="690"/>
    </row>
    <row r="17512" spans="13:13">
      <c r="M17512" s="690"/>
    </row>
    <row r="17513" spans="13:13">
      <c r="M17513" s="690"/>
    </row>
    <row r="17514" spans="13:13">
      <c r="M17514" s="690"/>
    </row>
    <row r="17515" spans="13:13">
      <c r="M17515" s="690"/>
    </row>
    <row r="17516" spans="13:13">
      <c r="M17516" s="690"/>
    </row>
    <row r="17517" spans="13:13">
      <c r="M17517" s="690"/>
    </row>
    <row r="17518" spans="13:13">
      <c r="M17518" s="690"/>
    </row>
    <row r="17519" spans="13:13">
      <c r="M17519" s="690"/>
    </row>
    <row r="17520" spans="13:13">
      <c r="M17520" s="690"/>
    </row>
    <row r="17521" spans="13:13">
      <c r="M17521" s="690"/>
    </row>
    <row r="17522" spans="13:13">
      <c r="M17522" s="690"/>
    </row>
    <row r="17523" spans="13:13">
      <c r="M17523" s="690"/>
    </row>
    <row r="17524" spans="13:13">
      <c r="M17524" s="690"/>
    </row>
    <row r="17525" spans="13:13">
      <c r="M17525" s="690"/>
    </row>
    <row r="17526" spans="13:13">
      <c r="M17526" s="690"/>
    </row>
    <row r="17527" spans="13:13">
      <c r="M17527" s="690"/>
    </row>
    <row r="17528" spans="13:13">
      <c r="M17528" s="690"/>
    </row>
    <row r="17529" spans="13:13">
      <c r="M17529" s="690"/>
    </row>
    <row r="17530" spans="13:13">
      <c r="M17530" s="690"/>
    </row>
    <row r="17531" spans="13:13">
      <c r="M17531" s="690"/>
    </row>
    <row r="17532" spans="13:13">
      <c r="M17532" s="690"/>
    </row>
    <row r="17533" spans="13:13">
      <c r="M17533" s="690"/>
    </row>
    <row r="17534" spans="13:13">
      <c r="M17534" s="690"/>
    </row>
    <row r="17535" spans="13:13">
      <c r="M17535" s="690"/>
    </row>
    <row r="17536" spans="13:13">
      <c r="M17536" s="690"/>
    </row>
    <row r="17537" spans="13:13">
      <c r="M17537" s="690"/>
    </row>
    <row r="17538" spans="13:13">
      <c r="M17538" s="690"/>
    </row>
    <row r="17539" spans="13:13">
      <c r="M17539" s="690"/>
    </row>
    <row r="17540" spans="13:13">
      <c r="M17540" s="690"/>
    </row>
    <row r="17541" spans="13:13">
      <c r="M17541" s="690"/>
    </row>
    <row r="17542" spans="13:13">
      <c r="M17542" s="690"/>
    </row>
    <row r="17543" spans="13:13">
      <c r="M17543" s="690"/>
    </row>
    <row r="17544" spans="13:13">
      <c r="M17544" s="690"/>
    </row>
    <row r="17545" spans="13:13">
      <c r="M17545" s="690"/>
    </row>
    <row r="17546" spans="13:13">
      <c r="M17546" s="690"/>
    </row>
    <row r="17547" spans="13:13">
      <c r="M17547" s="690"/>
    </row>
    <row r="17548" spans="13:13">
      <c r="M17548" s="690"/>
    </row>
    <row r="17549" spans="13:13">
      <c r="M17549" s="690"/>
    </row>
    <row r="17550" spans="13:13">
      <c r="M17550" s="690"/>
    </row>
    <row r="17551" spans="13:13">
      <c r="M17551" s="690"/>
    </row>
    <row r="17552" spans="13:13">
      <c r="M17552" s="690"/>
    </row>
    <row r="17553" spans="13:13">
      <c r="M17553" s="690"/>
    </row>
    <row r="17554" spans="13:13">
      <c r="M17554" s="690"/>
    </row>
    <row r="17555" spans="13:13">
      <c r="M17555" s="690"/>
    </row>
    <row r="17556" spans="13:13">
      <c r="M17556" s="690"/>
    </row>
    <row r="17557" spans="13:13">
      <c r="M17557" s="690"/>
    </row>
    <row r="17558" spans="13:13">
      <c r="M17558" s="690"/>
    </row>
    <row r="17559" spans="13:13">
      <c r="M17559" s="690"/>
    </row>
    <row r="17560" spans="13:13">
      <c r="M17560" s="690"/>
    </row>
    <row r="17561" spans="13:13">
      <c r="M17561" s="690"/>
    </row>
    <row r="17562" spans="13:13">
      <c r="M17562" s="690"/>
    </row>
    <row r="17563" spans="13:13">
      <c r="M17563" s="690"/>
    </row>
    <row r="17564" spans="13:13">
      <c r="M17564" s="690"/>
    </row>
    <row r="17565" spans="13:13">
      <c r="M17565" s="690"/>
    </row>
    <row r="17566" spans="13:13">
      <c r="M17566" s="690"/>
    </row>
    <row r="17567" spans="13:13">
      <c r="M17567" s="690"/>
    </row>
    <row r="17568" spans="13:13">
      <c r="M17568" s="690"/>
    </row>
    <row r="17569" spans="13:13">
      <c r="M17569" s="690"/>
    </row>
    <row r="17570" spans="13:13">
      <c r="M17570" s="690"/>
    </row>
    <row r="17571" spans="13:13">
      <c r="M17571" s="690"/>
    </row>
    <row r="17572" spans="13:13">
      <c r="M17572" s="690"/>
    </row>
    <row r="17573" spans="13:13">
      <c r="M17573" s="690"/>
    </row>
    <row r="17574" spans="13:13">
      <c r="M17574" s="690"/>
    </row>
    <row r="17575" spans="13:13">
      <c r="M17575" s="690"/>
    </row>
    <row r="17576" spans="13:13">
      <c r="M17576" s="690"/>
    </row>
    <row r="17577" spans="13:13">
      <c r="M17577" s="690"/>
    </row>
    <row r="17578" spans="13:13">
      <c r="M17578" s="690"/>
    </row>
    <row r="17579" spans="13:13">
      <c r="M17579" s="690"/>
    </row>
    <row r="17580" spans="13:13">
      <c r="M17580" s="690"/>
    </row>
    <row r="17581" spans="13:13">
      <c r="M17581" s="690"/>
    </row>
    <row r="17582" spans="13:13">
      <c r="M17582" s="690"/>
    </row>
    <row r="17583" spans="13:13">
      <c r="M17583" s="690"/>
    </row>
    <row r="17584" spans="13:13">
      <c r="M17584" s="690"/>
    </row>
    <row r="17585" spans="13:13">
      <c r="M17585" s="690"/>
    </row>
    <row r="17586" spans="13:13">
      <c r="M17586" s="690"/>
    </row>
    <row r="17587" spans="13:13">
      <c r="M17587" s="690"/>
    </row>
    <row r="17588" spans="13:13">
      <c r="M17588" s="690"/>
    </row>
    <row r="17589" spans="13:13">
      <c r="M17589" s="690"/>
    </row>
    <row r="17590" spans="13:13">
      <c r="M17590" s="690"/>
    </row>
    <row r="17591" spans="13:13">
      <c r="M17591" s="690"/>
    </row>
    <row r="17592" spans="13:13">
      <c r="M17592" s="690"/>
    </row>
    <row r="17593" spans="13:13">
      <c r="M17593" s="690"/>
    </row>
    <row r="17594" spans="13:13">
      <c r="M17594" s="690"/>
    </row>
    <row r="17595" spans="13:13">
      <c r="M17595" s="690"/>
    </row>
    <row r="17596" spans="13:13">
      <c r="M17596" s="690"/>
    </row>
    <row r="17597" spans="13:13">
      <c r="M17597" s="690"/>
    </row>
    <row r="17598" spans="13:13">
      <c r="M17598" s="690"/>
    </row>
    <row r="17599" spans="13:13">
      <c r="M17599" s="690"/>
    </row>
    <row r="17600" spans="13:13">
      <c r="M17600" s="690"/>
    </row>
    <row r="17601" spans="13:13">
      <c r="M17601" s="690"/>
    </row>
    <row r="17602" spans="13:13">
      <c r="M17602" s="690"/>
    </row>
    <row r="17603" spans="13:13">
      <c r="M17603" s="690"/>
    </row>
    <row r="17604" spans="13:13">
      <c r="M17604" s="690"/>
    </row>
    <row r="17605" spans="13:13">
      <c r="M17605" s="690"/>
    </row>
    <row r="17606" spans="13:13">
      <c r="M17606" s="690"/>
    </row>
    <row r="17607" spans="13:13">
      <c r="M17607" s="690"/>
    </row>
    <row r="17608" spans="13:13">
      <c r="M17608" s="690"/>
    </row>
    <row r="17609" spans="13:13">
      <c r="M17609" s="690"/>
    </row>
    <row r="17610" spans="13:13">
      <c r="M17610" s="690"/>
    </row>
    <row r="17611" spans="13:13">
      <c r="M17611" s="690"/>
    </row>
    <row r="17612" spans="13:13">
      <c r="M17612" s="690"/>
    </row>
    <row r="17613" spans="13:13">
      <c r="M17613" s="690"/>
    </row>
    <row r="17614" spans="13:13">
      <c r="M17614" s="690"/>
    </row>
    <row r="17615" spans="13:13">
      <c r="M17615" s="690"/>
    </row>
    <row r="17616" spans="13:13">
      <c r="M17616" s="690"/>
    </row>
    <row r="17617" spans="13:13">
      <c r="M17617" s="690"/>
    </row>
    <row r="17618" spans="13:13">
      <c r="M17618" s="690"/>
    </row>
    <row r="17619" spans="13:13">
      <c r="M17619" s="690"/>
    </row>
    <row r="17620" spans="13:13">
      <c r="M17620" s="690"/>
    </row>
    <row r="17621" spans="13:13">
      <c r="M17621" s="690"/>
    </row>
    <row r="17622" spans="13:13">
      <c r="M17622" s="690"/>
    </row>
    <row r="17623" spans="13:13">
      <c r="M17623" s="690"/>
    </row>
    <row r="17624" spans="13:13">
      <c r="M17624" s="690"/>
    </row>
    <row r="17625" spans="13:13">
      <c r="M17625" s="690"/>
    </row>
    <row r="17626" spans="13:13">
      <c r="M17626" s="690"/>
    </row>
    <row r="17627" spans="13:13">
      <c r="M17627" s="690"/>
    </row>
    <row r="17628" spans="13:13">
      <c r="M17628" s="690"/>
    </row>
    <row r="17629" spans="13:13">
      <c r="M17629" s="690"/>
    </row>
    <row r="17630" spans="13:13">
      <c r="M17630" s="690"/>
    </row>
    <row r="17631" spans="13:13">
      <c r="M17631" s="690"/>
    </row>
    <row r="17632" spans="13:13">
      <c r="M17632" s="690"/>
    </row>
    <row r="17633" spans="13:13">
      <c r="M17633" s="690"/>
    </row>
    <row r="17634" spans="13:13">
      <c r="M17634" s="690"/>
    </row>
    <row r="17635" spans="13:13">
      <c r="M17635" s="690"/>
    </row>
    <row r="17636" spans="13:13">
      <c r="M17636" s="690"/>
    </row>
    <row r="17637" spans="13:13">
      <c r="M17637" s="690"/>
    </row>
    <row r="17638" spans="13:13">
      <c r="M17638" s="690"/>
    </row>
    <row r="17639" spans="13:13">
      <c r="M17639" s="690"/>
    </row>
    <row r="17640" spans="13:13">
      <c r="M17640" s="690"/>
    </row>
    <row r="17641" spans="13:13">
      <c r="M17641" s="690"/>
    </row>
    <row r="17642" spans="13:13">
      <c r="M17642" s="690"/>
    </row>
    <row r="17643" spans="13:13">
      <c r="M17643" s="690"/>
    </row>
    <row r="17644" spans="13:13">
      <c r="M17644" s="690"/>
    </row>
    <row r="17645" spans="13:13">
      <c r="M17645" s="690"/>
    </row>
    <row r="17646" spans="13:13">
      <c r="M17646" s="690"/>
    </row>
    <row r="17647" spans="13:13">
      <c r="M17647" s="690"/>
    </row>
    <row r="17648" spans="13:13">
      <c r="M17648" s="690"/>
    </row>
    <row r="17649" spans="13:13">
      <c r="M17649" s="690"/>
    </row>
    <row r="17650" spans="13:13">
      <c r="M17650" s="690"/>
    </row>
    <row r="17651" spans="13:13">
      <c r="M17651" s="690"/>
    </row>
    <row r="17652" spans="13:13">
      <c r="M17652" s="690"/>
    </row>
    <row r="17653" spans="13:13">
      <c r="M17653" s="690"/>
    </row>
    <row r="17654" spans="13:13">
      <c r="M17654" s="690"/>
    </row>
    <row r="17655" spans="13:13">
      <c r="M17655" s="690"/>
    </row>
    <row r="17656" spans="13:13">
      <c r="M17656" s="690"/>
    </row>
    <row r="17657" spans="13:13">
      <c r="M17657" s="690"/>
    </row>
    <row r="17658" spans="13:13">
      <c r="M17658" s="690"/>
    </row>
    <row r="17659" spans="13:13">
      <c r="M17659" s="690"/>
    </row>
    <row r="17660" spans="13:13">
      <c r="M17660" s="690"/>
    </row>
    <row r="17661" spans="13:13">
      <c r="M17661" s="690"/>
    </row>
    <row r="17662" spans="13:13">
      <c r="M17662" s="690"/>
    </row>
    <row r="17663" spans="13:13">
      <c r="M17663" s="690"/>
    </row>
    <row r="17664" spans="13:13">
      <c r="M17664" s="690"/>
    </row>
    <row r="17665" spans="13:13">
      <c r="M17665" s="690"/>
    </row>
    <row r="17666" spans="13:13">
      <c r="M17666" s="690"/>
    </row>
    <row r="17667" spans="13:13">
      <c r="M17667" s="690"/>
    </row>
    <row r="17668" spans="13:13">
      <c r="M17668" s="690"/>
    </row>
    <row r="17669" spans="13:13">
      <c r="M17669" s="690"/>
    </row>
    <row r="17670" spans="13:13">
      <c r="M17670" s="690"/>
    </row>
    <row r="17671" spans="13:13">
      <c r="M17671" s="690"/>
    </row>
    <row r="17672" spans="13:13">
      <c r="M17672" s="690"/>
    </row>
    <row r="17673" spans="13:13">
      <c r="M17673" s="690"/>
    </row>
    <row r="17674" spans="13:13">
      <c r="M17674" s="690"/>
    </row>
    <row r="17675" spans="13:13">
      <c r="M17675" s="690"/>
    </row>
    <row r="17676" spans="13:13">
      <c r="M17676" s="690"/>
    </row>
    <row r="17677" spans="13:13">
      <c r="M17677" s="690"/>
    </row>
    <row r="17678" spans="13:13">
      <c r="M17678" s="690"/>
    </row>
    <row r="17679" spans="13:13">
      <c r="M17679" s="690"/>
    </row>
    <row r="17680" spans="13:13">
      <c r="M17680" s="690"/>
    </row>
    <row r="17681" spans="13:13">
      <c r="M17681" s="690"/>
    </row>
    <row r="17682" spans="13:13">
      <c r="M17682" s="690"/>
    </row>
    <row r="17683" spans="13:13">
      <c r="M17683" s="690"/>
    </row>
    <row r="17684" spans="13:13">
      <c r="M17684" s="690"/>
    </row>
    <row r="17685" spans="13:13">
      <c r="M17685" s="690"/>
    </row>
    <row r="17686" spans="13:13">
      <c r="M17686" s="690"/>
    </row>
    <row r="17687" spans="13:13">
      <c r="M17687" s="690"/>
    </row>
    <row r="17688" spans="13:13">
      <c r="M17688" s="690"/>
    </row>
    <row r="17689" spans="13:13">
      <c r="M17689" s="690"/>
    </row>
    <row r="17690" spans="13:13">
      <c r="M17690" s="690"/>
    </row>
    <row r="17691" spans="13:13">
      <c r="M17691" s="690"/>
    </row>
    <row r="17692" spans="13:13">
      <c r="M17692" s="690"/>
    </row>
    <row r="17693" spans="13:13">
      <c r="M17693" s="690"/>
    </row>
    <row r="17694" spans="13:13">
      <c r="M17694" s="690"/>
    </row>
    <row r="17695" spans="13:13">
      <c r="M17695" s="690"/>
    </row>
    <row r="17696" spans="13:13">
      <c r="M17696" s="690"/>
    </row>
    <row r="17697" spans="13:13">
      <c r="M17697" s="690"/>
    </row>
    <row r="17698" spans="13:13">
      <c r="M17698" s="690"/>
    </row>
    <row r="17699" spans="13:13">
      <c r="M17699" s="690"/>
    </row>
    <row r="17700" spans="13:13">
      <c r="M17700" s="690"/>
    </row>
    <row r="17701" spans="13:13">
      <c r="M17701" s="690"/>
    </row>
    <row r="17702" spans="13:13">
      <c r="M17702" s="690"/>
    </row>
    <row r="17703" spans="13:13">
      <c r="M17703" s="690"/>
    </row>
    <row r="17704" spans="13:13">
      <c r="M17704" s="690"/>
    </row>
    <row r="17705" spans="13:13">
      <c r="M17705" s="690"/>
    </row>
    <row r="17706" spans="13:13">
      <c r="M17706" s="690"/>
    </row>
    <row r="17707" spans="13:13">
      <c r="M17707" s="690"/>
    </row>
    <row r="17708" spans="13:13">
      <c r="M17708" s="690"/>
    </row>
    <row r="17709" spans="13:13">
      <c r="M17709" s="690"/>
    </row>
    <row r="17710" spans="13:13">
      <c r="M17710" s="690"/>
    </row>
    <row r="17711" spans="13:13">
      <c r="M17711" s="690"/>
    </row>
    <row r="17712" spans="13:13">
      <c r="M17712" s="690"/>
    </row>
    <row r="17713" spans="13:13">
      <c r="M17713" s="690"/>
    </row>
    <row r="17714" spans="13:13">
      <c r="M17714" s="690"/>
    </row>
    <row r="17715" spans="13:13">
      <c r="M17715" s="690"/>
    </row>
    <row r="17716" spans="13:13">
      <c r="M17716" s="690"/>
    </row>
    <row r="17717" spans="13:13">
      <c r="M17717" s="690"/>
    </row>
    <row r="17718" spans="13:13">
      <c r="M17718" s="690"/>
    </row>
    <row r="17719" spans="13:13">
      <c r="M17719" s="690"/>
    </row>
    <row r="17720" spans="13:13">
      <c r="M17720" s="690"/>
    </row>
    <row r="17721" spans="13:13">
      <c r="M17721" s="690"/>
    </row>
    <row r="17722" spans="13:13">
      <c r="M17722" s="690"/>
    </row>
    <row r="17723" spans="13:13">
      <c r="M17723" s="690"/>
    </row>
    <row r="17724" spans="13:13">
      <c r="M17724" s="690"/>
    </row>
    <row r="17725" spans="13:13">
      <c r="M17725" s="690"/>
    </row>
    <row r="17726" spans="13:13">
      <c r="M17726" s="690"/>
    </row>
    <row r="17727" spans="13:13">
      <c r="M17727" s="690"/>
    </row>
    <row r="17728" spans="13:13">
      <c r="M17728" s="690"/>
    </row>
    <row r="17729" spans="13:13">
      <c r="M17729" s="690"/>
    </row>
    <row r="17730" spans="13:13">
      <c r="M17730" s="690"/>
    </row>
    <row r="17731" spans="13:13">
      <c r="M17731" s="690"/>
    </row>
    <row r="17732" spans="13:13">
      <c r="M17732" s="690"/>
    </row>
    <row r="17733" spans="13:13">
      <c r="M17733" s="690"/>
    </row>
    <row r="17734" spans="13:13">
      <c r="M17734" s="690"/>
    </row>
    <row r="17735" spans="13:13">
      <c r="M17735" s="690"/>
    </row>
    <row r="17736" spans="13:13">
      <c r="M17736" s="690"/>
    </row>
    <row r="17737" spans="13:13">
      <c r="M17737" s="690"/>
    </row>
    <row r="17738" spans="13:13">
      <c r="M17738" s="690"/>
    </row>
    <row r="17739" spans="13:13">
      <c r="M17739" s="690"/>
    </row>
    <row r="17740" spans="13:13">
      <c r="M17740" s="690"/>
    </row>
    <row r="17741" spans="13:13">
      <c r="M17741" s="690"/>
    </row>
    <row r="17742" spans="13:13">
      <c r="M17742" s="690"/>
    </row>
    <row r="17743" spans="13:13">
      <c r="M17743" s="690"/>
    </row>
    <row r="17744" spans="13:13">
      <c r="M17744" s="690"/>
    </row>
    <row r="17745" spans="13:13">
      <c r="M17745" s="690"/>
    </row>
    <row r="17746" spans="13:13">
      <c r="M17746" s="690"/>
    </row>
    <row r="17747" spans="13:13">
      <c r="M17747" s="690"/>
    </row>
    <row r="17748" spans="13:13">
      <c r="M17748" s="690"/>
    </row>
    <row r="17749" spans="13:13">
      <c r="M17749" s="690"/>
    </row>
    <row r="17750" spans="13:13">
      <c r="M17750" s="690"/>
    </row>
    <row r="17751" spans="13:13">
      <c r="M17751" s="690"/>
    </row>
    <row r="17752" spans="13:13">
      <c r="M17752" s="690"/>
    </row>
    <row r="17753" spans="13:13">
      <c r="M17753" s="690"/>
    </row>
    <row r="17754" spans="13:13">
      <c r="M17754" s="690"/>
    </row>
    <row r="17755" spans="13:13">
      <c r="M17755" s="690"/>
    </row>
    <row r="17756" spans="13:13">
      <c r="M17756" s="690"/>
    </row>
    <row r="17757" spans="13:13">
      <c r="M17757" s="690"/>
    </row>
    <row r="17758" spans="13:13">
      <c r="M17758" s="690"/>
    </row>
    <row r="17759" spans="13:13">
      <c r="M17759" s="690"/>
    </row>
    <row r="17760" spans="13:13">
      <c r="M17760" s="690"/>
    </row>
    <row r="17761" spans="13:13">
      <c r="M17761" s="690"/>
    </row>
    <row r="17762" spans="13:13">
      <c r="M17762" s="690"/>
    </row>
    <row r="17763" spans="13:13">
      <c r="M17763" s="690"/>
    </row>
    <row r="17764" spans="13:13">
      <c r="M17764" s="690"/>
    </row>
    <row r="17765" spans="13:13">
      <c r="M17765" s="690"/>
    </row>
    <row r="17766" spans="13:13">
      <c r="M17766" s="690"/>
    </row>
    <row r="17767" spans="13:13">
      <c r="M17767" s="690"/>
    </row>
    <row r="17768" spans="13:13">
      <c r="M17768" s="690"/>
    </row>
    <row r="17769" spans="13:13">
      <c r="M17769" s="690"/>
    </row>
    <row r="17770" spans="13:13">
      <c r="M17770" s="690"/>
    </row>
    <row r="17771" spans="13:13">
      <c r="M17771" s="690"/>
    </row>
    <row r="17772" spans="13:13">
      <c r="M17772" s="690"/>
    </row>
    <row r="17773" spans="13:13">
      <c r="M17773" s="690"/>
    </row>
    <row r="17774" spans="13:13">
      <c r="M17774" s="690"/>
    </row>
    <row r="17775" spans="13:13">
      <c r="M17775" s="690"/>
    </row>
    <row r="17776" spans="13:13">
      <c r="M17776" s="690"/>
    </row>
    <row r="17777" spans="13:13">
      <c r="M17777" s="690"/>
    </row>
    <row r="17778" spans="13:13">
      <c r="M17778" s="690"/>
    </row>
    <row r="17779" spans="13:13">
      <c r="M17779" s="690"/>
    </row>
    <row r="17780" spans="13:13">
      <c r="M17780" s="690"/>
    </row>
    <row r="17781" spans="13:13">
      <c r="M17781" s="690"/>
    </row>
    <row r="17782" spans="13:13">
      <c r="M17782" s="690"/>
    </row>
    <row r="17783" spans="13:13">
      <c r="M17783" s="690"/>
    </row>
    <row r="17784" spans="13:13">
      <c r="M17784" s="690"/>
    </row>
    <row r="17785" spans="13:13">
      <c r="M17785" s="690"/>
    </row>
    <row r="17786" spans="13:13">
      <c r="M17786" s="690"/>
    </row>
    <row r="17787" spans="13:13">
      <c r="M17787" s="690"/>
    </row>
    <row r="17788" spans="13:13">
      <c r="M17788" s="690"/>
    </row>
    <row r="17789" spans="13:13">
      <c r="M17789" s="690"/>
    </row>
    <row r="17790" spans="13:13">
      <c r="M17790" s="690"/>
    </row>
    <row r="17791" spans="13:13">
      <c r="M17791" s="690"/>
    </row>
    <row r="17792" spans="13:13">
      <c r="M17792" s="690"/>
    </row>
    <row r="17793" spans="13:13">
      <c r="M17793" s="690"/>
    </row>
    <row r="17794" spans="13:13">
      <c r="M17794" s="690"/>
    </row>
    <row r="17795" spans="13:13">
      <c r="M17795" s="690"/>
    </row>
    <row r="17796" spans="13:13">
      <c r="M17796" s="690"/>
    </row>
    <row r="17797" spans="13:13">
      <c r="M17797" s="690"/>
    </row>
    <row r="17798" spans="13:13">
      <c r="M17798" s="690"/>
    </row>
    <row r="17799" spans="13:13">
      <c r="M17799" s="690"/>
    </row>
    <row r="17800" spans="13:13">
      <c r="M17800" s="690"/>
    </row>
    <row r="17801" spans="13:13">
      <c r="M17801" s="690"/>
    </row>
    <row r="17802" spans="13:13">
      <c r="M17802" s="690"/>
    </row>
    <row r="17803" spans="13:13">
      <c r="M17803" s="690"/>
    </row>
    <row r="17804" spans="13:13">
      <c r="M17804" s="690"/>
    </row>
    <row r="17805" spans="13:13">
      <c r="M17805" s="690"/>
    </row>
    <row r="17806" spans="13:13">
      <c r="M17806" s="690"/>
    </row>
    <row r="17807" spans="13:13">
      <c r="M17807" s="690"/>
    </row>
    <row r="17808" spans="13:13">
      <c r="M17808" s="690"/>
    </row>
    <row r="17809" spans="13:13">
      <c r="M17809" s="690"/>
    </row>
    <row r="17810" spans="13:13">
      <c r="M17810" s="690"/>
    </row>
    <row r="17811" spans="13:13">
      <c r="M17811" s="690"/>
    </row>
    <row r="17812" spans="13:13">
      <c r="M17812" s="690"/>
    </row>
    <row r="17813" spans="13:13">
      <c r="M17813" s="690"/>
    </row>
    <row r="17814" spans="13:13">
      <c r="M17814" s="690"/>
    </row>
    <row r="17815" spans="13:13">
      <c r="M17815" s="690"/>
    </row>
    <row r="17816" spans="13:13">
      <c r="M17816" s="690"/>
    </row>
    <row r="17817" spans="13:13">
      <c r="M17817" s="690"/>
    </row>
    <row r="17818" spans="13:13">
      <c r="M17818" s="690"/>
    </row>
    <row r="17819" spans="13:13">
      <c r="M17819" s="690"/>
    </row>
    <row r="17820" spans="13:13">
      <c r="M17820" s="690"/>
    </row>
    <row r="17821" spans="13:13">
      <c r="M17821" s="690"/>
    </row>
    <row r="17822" spans="13:13">
      <c r="M17822" s="690"/>
    </row>
    <row r="17823" spans="13:13">
      <c r="M17823" s="690"/>
    </row>
    <row r="17824" spans="13:13">
      <c r="M17824" s="690"/>
    </row>
    <row r="17825" spans="13:13">
      <c r="M17825" s="690"/>
    </row>
    <row r="17826" spans="13:13">
      <c r="M17826" s="690"/>
    </row>
    <row r="17827" spans="13:13">
      <c r="M17827" s="690"/>
    </row>
    <row r="17828" spans="13:13">
      <c r="M17828" s="690"/>
    </row>
    <row r="17829" spans="13:13">
      <c r="M17829" s="690"/>
    </row>
    <row r="17830" spans="13:13">
      <c r="M17830" s="690"/>
    </row>
    <row r="17831" spans="13:13">
      <c r="M17831" s="690"/>
    </row>
    <row r="17832" spans="13:13">
      <c r="M17832" s="690"/>
    </row>
    <row r="17833" spans="13:13">
      <c r="M17833" s="690"/>
    </row>
    <row r="17834" spans="13:13">
      <c r="M17834" s="690"/>
    </row>
    <row r="17835" spans="13:13">
      <c r="M17835" s="690"/>
    </row>
    <row r="17836" spans="13:13">
      <c r="M17836" s="690"/>
    </row>
    <row r="17837" spans="13:13">
      <c r="M17837" s="690"/>
    </row>
    <row r="17838" spans="13:13">
      <c r="M17838" s="690"/>
    </row>
    <row r="17839" spans="13:13">
      <c r="M17839" s="690"/>
    </row>
    <row r="17840" spans="13:13">
      <c r="M17840" s="690"/>
    </row>
    <row r="17841" spans="13:13">
      <c r="M17841" s="690"/>
    </row>
    <row r="17842" spans="13:13">
      <c r="M17842" s="690"/>
    </row>
    <row r="17843" spans="13:13">
      <c r="M17843" s="690"/>
    </row>
    <row r="17844" spans="13:13">
      <c r="M17844" s="690"/>
    </row>
    <row r="17845" spans="13:13">
      <c r="M17845" s="690"/>
    </row>
    <row r="17846" spans="13:13">
      <c r="M17846" s="690"/>
    </row>
    <row r="17847" spans="13:13">
      <c r="M17847" s="690"/>
    </row>
    <row r="17848" spans="13:13">
      <c r="M17848" s="690"/>
    </row>
    <row r="17849" spans="13:13">
      <c r="M17849" s="690"/>
    </row>
    <row r="17850" spans="13:13">
      <c r="M17850" s="690"/>
    </row>
    <row r="17851" spans="13:13">
      <c r="M17851" s="690"/>
    </row>
    <row r="17852" spans="13:13">
      <c r="M17852" s="690"/>
    </row>
    <row r="17853" spans="13:13">
      <c r="M17853" s="690"/>
    </row>
    <row r="17854" spans="13:13">
      <c r="M17854" s="690"/>
    </row>
    <row r="17855" spans="13:13">
      <c r="M17855" s="690"/>
    </row>
    <row r="17856" spans="13:13">
      <c r="M17856" s="690"/>
    </row>
    <row r="17857" spans="13:13">
      <c r="M17857" s="690"/>
    </row>
    <row r="17858" spans="13:13">
      <c r="M17858" s="690"/>
    </row>
    <row r="17859" spans="13:13">
      <c r="M17859" s="690"/>
    </row>
    <row r="17860" spans="13:13">
      <c r="M17860" s="690"/>
    </row>
    <row r="17861" spans="13:13">
      <c r="M17861" s="690"/>
    </row>
    <row r="17862" spans="13:13">
      <c r="M17862" s="690"/>
    </row>
    <row r="17863" spans="13:13">
      <c r="M17863" s="690"/>
    </row>
    <row r="17864" spans="13:13">
      <c r="M17864" s="690"/>
    </row>
    <row r="17865" spans="13:13">
      <c r="M17865" s="690"/>
    </row>
    <row r="17866" spans="13:13">
      <c r="M17866" s="690"/>
    </row>
    <row r="17867" spans="13:13">
      <c r="M17867" s="690"/>
    </row>
    <row r="17868" spans="13:13">
      <c r="M17868" s="690"/>
    </row>
    <row r="17869" spans="13:13">
      <c r="M17869" s="690"/>
    </row>
    <row r="17870" spans="13:13">
      <c r="M17870" s="690"/>
    </row>
    <row r="17871" spans="13:13">
      <c r="M17871" s="690"/>
    </row>
    <row r="17872" spans="13:13">
      <c r="M17872" s="690"/>
    </row>
    <row r="17873" spans="13:13">
      <c r="M17873" s="690"/>
    </row>
    <row r="17874" spans="13:13">
      <c r="M17874" s="690"/>
    </row>
    <row r="17875" spans="13:13">
      <c r="M17875" s="690"/>
    </row>
    <row r="17876" spans="13:13">
      <c r="M17876" s="690"/>
    </row>
    <row r="17877" spans="13:13">
      <c r="M17877" s="690"/>
    </row>
    <row r="17878" spans="13:13">
      <c r="M17878" s="690"/>
    </row>
    <row r="17879" spans="13:13">
      <c r="M17879" s="690"/>
    </row>
    <row r="17880" spans="13:13">
      <c r="M17880" s="690"/>
    </row>
    <row r="17881" spans="13:13">
      <c r="M17881" s="690"/>
    </row>
    <row r="17882" spans="13:13">
      <c r="M17882" s="690"/>
    </row>
    <row r="17883" spans="13:13">
      <c r="M17883" s="690"/>
    </row>
    <row r="17884" spans="13:13">
      <c r="M17884" s="690"/>
    </row>
    <row r="17885" spans="13:13">
      <c r="M17885" s="690"/>
    </row>
    <row r="17886" spans="13:13">
      <c r="M17886" s="690"/>
    </row>
    <row r="17887" spans="13:13">
      <c r="M17887" s="690"/>
    </row>
    <row r="17888" spans="13:13">
      <c r="M17888" s="690"/>
    </row>
    <row r="17889" spans="13:13">
      <c r="M17889" s="690"/>
    </row>
    <row r="17890" spans="13:13">
      <c r="M17890" s="690"/>
    </row>
    <row r="17891" spans="13:13">
      <c r="M17891" s="690"/>
    </row>
    <row r="17892" spans="13:13">
      <c r="M17892" s="690"/>
    </row>
    <row r="17893" spans="13:13">
      <c r="M17893" s="690"/>
    </row>
    <row r="17894" spans="13:13">
      <c r="M17894" s="690"/>
    </row>
    <row r="17895" spans="13:13">
      <c r="M17895" s="690"/>
    </row>
    <row r="17896" spans="13:13">
      <c r="M17896" s="690"/>
    </row>
    <row r="17897" spans="13:13">
      <c r="M17897" s="690"/>
    </row>
    <row r="17898" spans="13:13">
      <c r="M17898" s="690"/>
    </row>
    <row r="17899" spans="13:13">
      <c r="M17899" s="690"/>
    </row>
    <row r="17900" spans="13:13">
      <c r="M17900" s="690"/>
    </row>
    <row r="17901" spans="13:13">
      <c r="M17901" s="690"/>
    </row>
    <row r="17902" spans="13:13">
      <c r="M17902" s="690"/>
    </row>
    <row r="17903" spans="13:13">
      <c r="M17903" s="690"/>
    </row>
    <row r="17904" spans="13:13">
      <c r="M17904" s="690"/>
    </row>
    <row r="17905" spans="13:13">
      <c r="M17905" s="690"/>
    </row>
    <row r="17906" spans="13:13">
      <c r="M17906" s="690"/>
    </row>
    <row r="17907" spans="13:13">
      <c r="M17907" s="690"/>
    </row>
    <row r="17908" spans="13:13">
      <c r="M17908" s="690"/>
    </row>
    <row r="17909" spans="13:13">
      <c r="M17909" s="690"/>
    </row>
    <row r="17910" spans="13:13">
      <c r="M17910" s="690"/>
    </row>
    <row r="17911" spans="13:13">
      <c r="M17911" s="690"/>
    </row>
    <row r="17912" spans="13:13">
      <c r="M17912" s="690"/>
    </row>
    <row r="17913" spans="13:13">
      <c r="M17913" s="690"/>
    </row>
    <row r="17914" spans="13:13">
      <c r="M17914" s="690"/>
    </row>
    <row r="17915" spans="13:13">
      <c r="M17915" s="690"/>
    </row>
    <row r="17916" spans="13:13">
      <c r="M17916" s="690"/>
    </row>
    <row r="17917" spans="13:13">
      <c r="M17917" s="690"/>
    </row>
    <row r="17918" spans="13:13">
      <c r="M17918" s="690"/>
    </row>
    <row r="17919" spans="13:13">
      <c r="M17919" s="690"/>
    </row>
    <row r="17920" spans="13:13">
      <c r="M17920" s="690"/>
    </row>
    <row r="17921" spans="13:13">
      <c r="M17921" s="690"/>
    </row>
    <row r="17922" spans="13:13">
      <c r="M17922" s="690"/>
    </row>
    <row r="17923" spans="13:13">
      <c r="M17923" s="690"/>
    </row>
    <row r="17924" spans="13:13">
      <c r="M17924" s="690"/>
    </row>
  </sheetData>
  <phoneticPr fontId="0" type="noConversion"/>
  <pageMargins left="0.15" right="0.15" top="0.3" bottom="0.3" header="0.25" footer="0.25"/>
  <pageSetup scale="15" pageOrder="overThenDown" orientation="portrait" verticalDpi="598" r:id="rId1"/>
  <headerFooter alignWithMargins="0">
    <oddFooter>&amp;R&amp;"Book Antiqua,Regular"&amp;8Daniel Salmon
BMO Capital Markets
 (212) 885-4029</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6" tint="0.79998168889431442"/>
    <pageSetUpPr fitToPage="1"/>
  </sheetPr>
  <dimension ref="A2:IJ82"/>
  <sheetViews>
    <sheetView showGridLines="0" workbookViewId="0">
      <pane xSplit="3" ySplit="6" topLeftCell="D7" activePane="bottomRight" state="frozen"/>
      <selection pane="topRight" activeCell="D1" sqref="D1"/>
      <selection pane="bottomLeft" activeCell="A7" sqref="A7"/>
      <selection pane="bottomRight" activeCell="N17" sqref="N17"/>
    </sheetView>
  </sheetViews>
  <sheetFormatPr defaultColWidth="9.140625" defaultRowHeight="11.25"/>
  <cols>
    <col min="1" max="1" width="1.7109375" style="798" customWidth="1"/>
    <col min="2" max="2" width="3.5703125" style="188" customWidth="1"/>
    <col min="3" max="3" width="19" style="188" customWidth="1"/>
    <col min="4" max="5" width="9.5703125" style="188" bestFit="1" customWidth="1"/>
    <col min="6" max="6" width="7.85546875" style="188" bestFit="1" customWidth="1"/>
    <col min="7" max="7" width="7.7109375" style="188" bestFit="1" customWidth="1"/>
    <col min="8" max="8" width="8" style="188" bestFit="1" customWidth="1"/>
    <col min="9" max="9" width="8.42578125" style="188" bestFit="1" customWidth="1"/>
    <col min="10" max="11" width="7.5703125" style="188" bestFit="1" customWidth="1"/>
    <col min="12" max="14" width="8.42578125" style="188" bestFit="1" customWidth="1"/>
    <col min="15" max="15" width="8.5703125" style="188" customWidth="1"/>
    <col min="16" max="18" width="8.42578125" style="188" bestFit="1" customWidth="1"/>
    <col min="19" max="19" width="7.140625" style="188" customWidth="1"/>
    <col min="20" max="20" width="7.140625" style="188" bestFit="1" customWidth="1"/>
    <col min="21" max="21" width="10.42578125" style="188" bestFit="1" customWidth="1"/>
    <col min="22" max="16384" width="9.140625" style="188"/>
  </cols>
  <sheetData>
    <row r="2" spans="1:244">
      <c r="B2" s="189" t="str">
        <f>Summary!B2</f>
        <v>Shopify</v>
      </c>
      <c r="C2" s="190"/>
      <c r="D2" s="192"/>
      <c r="E2" s="192"/>
      <c r="F2" s="192"/>
      <c r="G2" s="192"/>
      <c r="H2" s="192"/>
      <c r="I2" s="193"/>
      <c r="J2" s="193"/>
      <c r="K2" s="193"/>
      <c r="L2" s="193"/>
      <c r="M2" s="193"/>
      <c r="N2" s="193"/>
      <c r="O2" s="193"/>
      <c r="P2" s="193"/>
      <c r="Q2" s="193"/>
      <c r="R2" s="193"/>
    </row>
    <row r="3" spans="1:244">
      <c r="B3" s="190" t="s">
        <v>57</v>
      </c>
      <c r="C3" s="190"/>
      <c r="D3" s="192"/>
      <c r="E3" s="192"/>
      <c r="F3" s="192"/>
      <c r="G3" s="192"/>
      <c r="H3" s="192"/>
      <c r="I3" s="193"/>
      <c r="J3" s="193"/>
      <c r="K3" s="193"/>
      <c r="L3" s="193"/>
      <c r="M3" s="193"/>
      <c r="N3" s="193"/>
      <c r="O3" s="193"/>
      <c r="P3" s="193"/>
      <c r="Q3" s="193"/>
      <c r="R3" s="193"/>
    </row>
    <row r="4" spans="1:244" ht="12.75" customHeight="1">
      <c r="B4" s="194" t="s">
        <v>72</v>
      </c>
      <c r="C4" s="195"/>
      <c r="D4" s="192"/>
      <c r="E4" s="192"/>
      <c r="F4" s="192"/>
      <c r="G4" s="192"/>
      <c r="H4" s="192"/>
      <c r="I4" s="193"/>
      <c r="J4" s="193"/>
      <c r="K4" s="193"/>
      <c r="L4" s="193"/>
      <c r="M4" s="193"/>
      <c r="N4" s="193"/>
      <c r="O4" s="193"/>
      <c r="P4" s="193"/>
      <c r="Q4" s="193"/>
      <c r="R4" s="193"/>
    </row>
    <row r="5" spans="1:244" ht="12.75" customHeight="1" thickBot="1">
      <c r="B5" s="192"/>
      <c r="C5" s="192"/>
      <c r="D5" s="196"/>
      <c r="E5" s="196"/>
      <c r="F5" s="196"/>
      <c r="G5" s="196"/>
      <c r="H5" s="196"/>
      <c r="I5" s="193"/>
      <c r="J5" s="193"/>
      <c r="K5" s="193"/>
      <c r="L5" s="193"/>
      <c r="M5" s="193"/>
      <c r="N5" s="193"/>
      <c r="O5" s="193"/>
      <c r="P5" s="193"/>
      <c r="Q5" s="193"/>
      <c r="R5" s="193"/>
    </row>
    <row r="6" spans="1:244" s="197" customFormat="1" ht="12" customHeight="1">
      <c r="A6" s="798"/>
      <c r="B6" s="810" t="s">
        <v>67</v>
      </c>
      <c r="C6" s="811"/>
      <c r="D6" s="882">
        <v>2024</v>
      </c>
      <c r="E6" s="882">
        <f>D6+1</f>
        <v>2025</v>
      </c>
      <c r="F6" s="882">
        <f t="shared" ref="F6:O6" si="0">E6+1</f>
        <v>2026</v>
      </c>
      <c r="G6" s="882">
        <f t="shared" si="0"/>
        <v>2027</v>
      </c>
      <c r="H6" s="882">
        <f t="shared" si="0"/>
        <v>2028</v>
      </c>
      <c r="I6" s="882">
        <f t="shared" si="0"/>
        <v>2029</v>
      </c>
      <c r="J6" s="882">
        <f t="shared" si="0"/>
        <v>2030</v>
      </c>
      <c r="K6" s="882">
        <f t="shared" si="0"/>
        <v>2031</v>
      </c>
      <c r="L6" s="882">
        <f t="shared" si="0"/>
        <v>2032</v>
      </c>
      <c r="M6" s="882">
        <f t="shared" si="0"/>
        <v>2033</v>
      </c>
      <c r="N6" s="882">
        <f t="shared" si="0"/>
        <v>2034</v>
      </c>
      <c r="O6" s="883">
        <f t="shared" si="0"/>
        <v>2035</v>
      </c>
      <c r="P6"/>
      <c r="Q6"/>
      <c r="R6" s="289"/>
      <c r="S6"/>
      <c r="T6"/>
      <c r="U6"/>
      <c r="V6"/>
      <c r="W6"/>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c r="FZ6" s="188"/>
      <c r="GA6" s="188"/>
      <c r="GB6" s="188"/>
      <c r="GC6" s="188"/>
      <c r="GD6" s="188"/>
      <c r="GE6" s="188"/>
      <c r="GF6" s="188"/>
      <c r="GG6" s="188"/>
      <c r="GH6" s="188"/>
      <c r="GI6" s="188"/>
      <c r="GJ6" s="188"/>
      <c r="GK6" s="188"/>
      <c r="GL6" s="188"/>
      <c r="GM6" s="188"/>
      <c r="GN6" s="188"/>
      <c r="GO6" s="188"/>
      <c r="GP6" s="188"/>
      <c r="GQ6" s="188"/>
      <c r="GR6" s="188"/>
      <c r="GS6" s="188"/>
      <c r="GT6" s="188"/>
      <c r="GU6" s="188"/>
      <c r="GV6" s="188"/>
      <c r="GW6" s="188"/>
      <c r="GX6" s="188"/>
      <c r="GY6" s="188"/>
      <c r="GZ6" s="188"/>
      <c r="HA6" s="188"/>
      <c r="HB6" s="188"/>
      <c r="HC6" s="188"/>
      <c r="HD6" s="188"/>
      <c r="HE6" s="188"/>
      <c r="HF6" s="188"/>
      <c r="HG6" s="188"/>
      <c r="HH6" s="188"/>
      <c r="HI6" s="188"/>
      <c r="HJ6" s="188"/>
      <c r="HK6" s="188"/>
      <c r="HL6" s="188"/>
      <c r="HM6" s="188"/>
      <c r="HN6" s="188"/>
      <c r="HO6" s="188"/>
      <c r="HP6" s="188"/>
      <c r="HQ6" s="188"/>
      <c r="HR6" s="188"/>
      <c r="HS6" s="188"/>
      <c r="HT6" s="188"/>
      <c r="HU6" s="188"/>
      <c r="HV6" s="188"/>
      <c r="HW6" s="188"/>
      <c r="HX6" s="188"/>
      <c r="HY6" s="188"/>
      <c r="HZ6" s="188"/>
      <c r="IA6" s="188"/>
      <c r="IB6" s="188"/>
      <c r="IC6" s="188"/>
      <c r="ID6" s="188"/>
      <c r="IE6" s="188"/>
      <c r="IF6" s="188"/>
      <c r="IG6" s="188"/>
      <c r="IH6" s="188"/>
      <c r="II6" s="188"/>
      <c r="IJ6" s="188"/>
    </row>
    <row r="7" spans="1:244" ht="12.75" customHeight="1">
      <c r="B7" s="198" t="s">
        <v>556</v>
      </c>
      <c r="C7" s="1257"/>
      <c r="D7" s="881">
        <f>'Cash Flow'!DN54</f>
        <v>1528.9697404962981</v>
      </c>
      <c r="E7" s="881">
        <f>'Cash Flow'!DS54</f>
        <v>1847.5630819289472</v>
      </c>
      <c r="F7" s="881">
        <f>'Cash Flow'!DX54</f>
        <v>2247.1925490766698</v>
      </c>
      <c r="G7" s="881">
        <f>'Cash Flow'!EC54</f>
        <v>2769.819499343369</v>
      </c>
      <c r="H7" s="199"/>
      <c r="I7" s="199"/>
      <c r="O7" s="1040"/>
      <c r="S7"/>
      <c r="T7"/>
      <c r="U7"/>
      <c r="V7"/>
      <c r="W7"/>
    </row>
    <row r="8" spans="1:244" ht="12.75" customHeight="1">
      <c r="B8" s="200" t="s">
        <v>418</v>
      </c>
      <c r="C8" s="193"/>
      <c r="D8" s="881">
        <f>'Cash Flow'!DN55</f>
        <v>-22</v>
      </c>
      <c r="E8" s="881">
        <f>'Cash Flow'!DS55</f>
        <v>-30</v>
      </c>
      <c r="F8" s="881">
        <f>'Cash Flow'!DX55</f>
        <v>-36</v>
      </c>
      <c r="G8" s="881">
        <f>'Cash Flow'!EC55</f>
        <v>-43.199999999999996</v>
      </c>
      <c r="I8" s="199"/>
      <c r="O8" s="1040"/>
      <c r="S8"/>
      <c r="T8"/>
      <c r="U8"/>
      <c r="V8"/>
      <c r="W8"/>
    </row>
    <row r="9" spans="1:244" ht="12.75" customHeight="1">
      <c r="B9" s="823" t="s">
        <v>186</v>
      </c>
      <c r="C9" s="1041"/>
      <c r="D9" s="1419">
        <f>SUM(D7:D8)</f>
        <v>1506.9697404962981</v>
      </c>
      <c r="E9" s="1419">
        <f>SUM(E7:E8)</f>
        <v>1817.5630819289472</v>
      </c>
      <c r="F9" s="1419">
        <f t="shared" ref="F9:G9" si="1">SUM(F7:F8)</f>
        <v>2211.1925490766698</v>
      </c>
      <c r="G9" s="1419">
        <f t="shared" si="1"/>
        <v>2726.6194993433692</v>
      </c>
      <c r="H9" s="1419">
        <f t="shared" ref="H9:O9" si="2">G9*(1+H10)</f>
        <v>3271.943399212043</v>
      </c>
      <c r="I9" s="1419">
        <f t="shared" si="2"/>
        <v>3860.8932110702103</v>
      </c>
      <c r="J9" s="1419">
        <f t="shared" si="2"/>
        <v>4478.6361248414441</v>
      </c>
      <c r="K9" s="1419">
        <f t="shared" si="2"/>
        <v>5105.6451823192465</v>
      </c>
      <c r="L9" s="1419">
        <f t="shared" si="2"/>
        <v>5718.3226041975568</v>
      </c>
      <c r="M9" s="1419">
        <f t="shared" si="2"/>
        <v>6290.1548646173133</v>
      </c>
      <c r="N9" s="1419">
        <f t="shared" si="2"/>
        <v>6793.3672537866987</v>
      </c>
      <c r="O9" s="1420">
        <f t="shared" si="2"/>
        <v>7200.9692890139013</v>
      </c>
      <c r="S9" s="711">
        <f>+(J9/D9)^(1/6)-1</f>
        <v>0.19905804644211922</v>
      </c>
      <c r="T9" s="1263"/>
      <c r="U9"/>
      <c r="V9"/>
    </row>
    <row r="10" spans="1:244" ht="12.75" customHeight="1" thickBot="1">
      <c r="B10" s="201" t="s">
        <v>1</v>
      </c>
      <c r="C10" s="202"/>
      <c r="D10" s="1418">
        <f>+'Cash Flow'!DN59</f>
        <v>0.66515993425005315</v>
      </c>
      <c r="E10" s="1418">
        <f>E9/D9-1</f>
        <v>0.20610456407064937</v>
      </c>
      <c r="F10" s="1418">
        <f t="shared" ref="F10" si="3">F9/E9-1</f>
        <v>0.21656990674016696</v>
      </c>
      <c r="G10" s="1418">
        <f t="shared" ref="G10" si="4">G9/F9-1</f>
        <v>0.23309908062141704</v>
      </c>
      <c r="H10" s="1421">
        <v>0.2</v>
      </c>
      <c r="I10" s="1418">
        <f>H10-0.02</f>
        <v>0.18000000000000002</v>
      </c>
      <c r="J10" s="1418">
        <f t="shared" ref="J10:O10" si="5">I10-0.02</f>
        <v>0.16000000000000003</v>
      </c>
      <c r="K10" s="1418">
        <f t="shared" si="5"/>
        <v>0.14000000000000004</v>
      </c>
      <c r="L10" s="1418">
        <f t="shared" si="5"/>
        <v>0.12000000000000004</v>
      </c>
      <c r="M10" s="1418">
        <f t="shared" si="5"/>
        <v>0.10000000000000003</v>
      </c>
      <c r="N10" s="1418">
        <f t="shared" si="5"/>
        <v>8.0000000000000029E-2</v>
      </c>
      <c r="O10" s="1422">
        <f t="shared" si="5"/>
        <v>6.0000000000000026E-2</v>
      </c>
      <c r="U10"/>
      <c r="V10"/>
    </row>
    <row r="11" spans="1:244" s="203" customFormat="1" ht="12.75" customHeight="1">
      <c r="A11" s="799"/>
      <c r="B11" s="204" t="s">
        <v>117</v>
      </c>
      <c r="C11" s="812"/>
      <c r="D11" s="812"/>
      <c r="E11" s="702"/>
      <c r="F11" s="204" t="s">
        <v>118</v>
      </c>
      <c r="G11" s="813"/>
      <c r="H11" s="813"/>
      <c r="I11" s="205" t="s">
        <v>37</v>
      </c>
      <c r="J11" s="206"/>
      <c r="K11" s="207"/>
      <c r="L11" s="207"/>
      <c r="M11" s="207"/>
      <c r="N11" s="208" t="s">
        <v>147</v>
      </c>
      <c r="O11" s="207"/>
      <c r="P11" s="207"/>
      <c r="Q11" s="209"/>
    </row>
    <row r="12" spans="1:244" s="203" customFormat="1" ht="12.75" customHeight="1">
      <c r="A12" s="799"/>
      <c r="B12" s="210"/>
      <c r="C12" s="814"/>
      <c r="D12" s="211" t="s">
        <v>35</v>
      </c>
      <c r="E12" s="193"/>
      <c r="F12" s="212" t="s">
        <v>12</v>
      </c>
      <c r="G12" s="813"/>
      <c r="H12" s="815">
        <f>+D28</f>
        <v>1216.9697404962999</v>
      </c>
      <c r="I12" s="1594" t="s">
        <v>69</v>
      </c>
      <c r="J12" s="213"/>
      <c r="K12" s="214">
        <f>L12-1</f>
        <v>32</v>
      </c>
      <c r="L12" s="214">
        <f>M12-1</f>
        <v>33</v>
      </c>
      <c r="M12" s="214">
        <f>N12-1</f>
        <v>34</v>
      </c>
      <c r="N12" s="215">
        <f>D14</f>
        <v>35</v>
      </c>
      <c r="O12" s="214">
        <f>N12+1</f>
        <v>36</v>
      </c>
      <c r="P12" s="214">
        <f>O12+1</f>
        <v>37</v>
      </c>
      <c r="Q12" s="216">
        <f>P12+1</f>
        <v>38</v>
      </c>
    </row>
    <row r="13" spans="1:244" ht="12.75" customHeight="1">
      <c r="B13" s="212" t="s">
        <v>68</v>
      </c>
      <c r="C13" s="193"/>
      <c r="D13" s="217">
        <f>O9</f>
        <v>7200.9692890139013</v>
      </c>
      <c r="E13" s="193"/>
      <c r="F13" s="218" t="s">
        <v>63</v>
      </c>
      <c r="G13" s="813"/>
      <c r="H13" s="816">
        <f>+D30</f>
        <v>139743.3907701</v>
      </c>
      <c r="I13" s="1595"/>
      <c r="J13" s="703">
        <f>J14-0.005</f>
        <v>8.5395739146378019E-2</v>
      </c>
      <c r="K13" s="219">
        <f>((NPV($J13,$D$9:$J$9))+$D$19+((($D$13*K$12))/((1+$J13)^($J$6-$D$6))))/Summary!$I$7</f>
        <v>120.37206443305925</v>
      </c>
      <c r="L13" s="219">
        <f>((NPV($J13,$D$9:$J$9))+$D$19+((($D$13*L$12))/((1+$J13)^($J$6-$D$6))))/Summary!$I$7</f>
        <v>123.73311273691283</v>
      </c>
      <c r="M13" s="219">
        <f>((NPV($J13,$D$9:$J$9))+$D$19+((($D$13*M$12))/((1+$J13)^($J$6-$D$6))))/Summary!$I$7</f>
        <v>127.09416104076642</v>
      </c>
      <c r="N13" s="219">
        <f>((NPV($J13,$D$9:$J$9))+$D$19+((($D$13*N$12))/((1+$J13)^($J$6-$D$6))))/Summary!$I$7</f>
        <v>130.45520934461996</v>
      </c>
      <c r="O13" s="219">
        <f>((NPV($J13,$D$9:$J$9))+$D$19+((($D$13*O$12))/((1+$J13)^($J$6-$D$6))))/Summary!$I$7</f>
        <v>133.81625764847354</v>
      </c>
      <c r="P13" s="219">
        <f>((NPV($J13,$D$9:$J$9))+$D$19+((($D$13*P$12))/((1+$J13)^($J$6-$D$6))))/Summary!$I$7</f>
        <v>137.17730595232715</v>
      </c>
      <c r="Q13" s="220">
        <f>((NPV($J13,$D$9:$J$9))+$D$19+((($D$13*Q$12))/((1+$J13)^($J$6-$D$6))))/Summary!$I$7</f>
        <v>140.53835425618072</v>
      </c>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row>
    <row r="14" spans="1:244" ht="12.75" customHeight="1">
      <c r="B14" s="212" t="s">
        <v>42</v>
      </c>
      <c r="C14" s="193"/>
      <c r="D14" s="1403">
        <v>35</v>
      </c>
      <c r="E14" s="193"/>
      <c r="F14" s="212" t="s">
        <v>119</v>
      </c>
      <c r="G14" s="813"/>
      <c r="H14" s="815">
        <f>H13+H12</f>
        <v>140960.36051059631</v>
      </c>
      <c r="I14" s="1595"/>
      <c r="J14" s="703">
        <f>J15-0.005</f>
        <v>9.0395739146378024E-2</v>
      </c>
      <c r="K14" s="219">
        <f>((NPV($J14,$D$9:$J$9))+$D$19+((($D$13*K$12))/((1+$J14)^($J$6-$D$6))))/Summary!$I$7</f>
        <v>117.23800254942823</v>
      </c>
      <c r="L14" s="219">
        <f>((NPV($J14,$D$9:$J$9))+$D$19+((($D$13*L$12))/((1+$J14)^($J$6-$D$6))))/Summary!$I$7</f>
        <v>120.50763212871183</v>
      </c>
      <c r="M14" s="219">
        <f>((NPV($J14,$D$9:$J$9))+$D$19+((($D$13*M$12))/((1+$J14)^($J$6-$D$6))))/Summary!$I$7</f>
        <v>123.77726170799544</v>
      </c>
      <c r="N14" s="219">
        <f>((NPV($J14,$D$9:$J$9))+$D$19+((($D$13*N$12))/((1+$J14)^($J$6-$D$6))))/Summary!$I$7</f>
        <v>127.04689128727907</v>
      </c>
      <c r="O14" s="219">
        <f>((NPV($J14,$D$9:$J$9))+$D$19+((($D$13*O$12))/((1+$J14)^($J$6-$D$6))))/Summary!$I$7</f>
        <v>130.31652086656268</v>
      </c>
      <c r="P14" s="219">
        <f>((NPV($J14,$D$9:$J$9))+$D$19+((($D$13*P$12))/((1+$J14)^($J$6-$D$6))))/Summary!$I$7</f>
        <v>133.5861504458463</v>
      </c>
      <c r="Q14" s="220">
        <f>((NPV($J14,$D$9:$J$9))+$D$19+((($D$13*Q$12))/((1+$J14)^($J$6-$D$6))))/Summary!$I$7</f>
        <v>136.85578002512992</v>
      </c>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row>
    <row r="15" spans="1:244" ht="12.75" customHeight="1" thickBot="1">
      <c r="B15" s="221" t="s">
        <v>120</v>
      </c>
      <c r="C15" s="222"/>
      <c r="D15" s="223">
        <f>D13*D14</f>
        <v>252033.92511548655</v>
      </c>
      <c r="E15" s="193"/>
      <c r="F15" s="212" t="s">
        <v>121</v>
      </c>
      <c r="G15" s="813"/>
      <c r="H15" s="1401">
        <f>'[1]Coverage List'!$V$8</f>
        <v>4.2000000000000003E-2</v>
      </c>
      <c r="I15" s="1595"/>
      <c r="J15" s="703">
        <f>J16-0.005</f>
        <v>9.5395739146378028E-2</v>
      </c>
      <c r="K15" s="219">
        <f>((NPV($J15,$D$9:$J$9))+$D$19+((($D$13*K$12))/((1+$J15)^($J$6-$D$6))))/Summary!$I$7</f>
        <v>114.20225750090543</v>
      </c>
      <c r="L15" s="219">
        <f>((NPV($J15,$D$9:$J$9))+$D$19+((($D$13*L$12))/((1+$J15)^($J$6-$D$6))))/Summary!$I$7</f>
        <v>117.38335620376539</v>
      </c>
      <c r="M15" s="219">
        <f>((NPV($J15,$D$9:$J$9))+$D$19+((($D$13*M$12))/((1+$J15)^($J$6-$D$6))))/Summary!$I$7</f>
        <v>120.56445490662533</v>
      </c>
      <c r="N15" s="219">
        <f>((NPV($J15,$D$9:$J$9))+$D$19+((($D$13*N$12))/((1+$J15)^($J$6-$D$6))))/Summary!$I$7</f>
        <v>123.74555360948528</v>
      </c>
      <c r="O15" s="219">
        <f>((NPV($J15,$D$9:$J$9))+$D$19+((($D$13*O$12))/((1+$J15)^($J$6-$D$6))))/Summary!$I$7</f>
        <v>126.92665231234523</v>
      </c>
      <c r="P15" s="219">
        <f>((NPV($J15,$D$9:$J$9))+$D$19+((($D$13*P$12))/((1+$J15)^($J$6-$D$6))))/Summary!$I$7</f>
        <v>130.1077510152052</v>
      </c>
      <c r="Q15" s="220">
        <f>((NPV($J15,$D$9:$J$9))+$D$19+((($D$13*Q$12))/((1+$J15)^($J$6-$D$6))))/Summary!$I$7</f>
        <v>133.28884971806514</v>
      </c>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row>
    <row r="16" spans="1:244" ht="12.75" customHeight="1" thickBot="1">
      <c r="B16" s="224" t="s">
        <v>122</v>
      </c>
      <c r="C16" s="225"/>
      <c r="D16" s="225"/>
      <c r="E16" s="226"/>
      <c r="F16" s="212" t="s">
        <v>40</v>
      </c>
      <c r="G16" s="813"/>
      <c r="H16" s="818">
        <v>1.29</v>
      </c>
      <c r="I16" s="1595"/>
      <c r="J16" s="703">
        <f>J17-0.005</f>
        <v>0.10039573914637803</v>
      </c>
      <c r="K16" s="219">
        <f>((NPV($J16,$D$9:$J$9))+$D$19+((($D$13*K$12))/((1+$J16)^($J$6-$D$6))))/Summary!$I$7</f>
        <v>111.2613041544939</v>
      </c>
      <c r="L16" s="219">
        <f>((NPV($J16,$D$9:$J$9))+$D$19+((($D$13*L$12))/((1+$J16)^($J$6-$D$6))))/Summary!$I$7</f>
        <v>114.35665604125646</v>
      </c>
      <c r="M16" s="219">
        <f>((NPV($J16,$D$9:$J$9))+$D$19+((($D$13*M$12))/((1+$J16)^($J$6-$D$6))))/Summary!$I$7</f>
        <v>117.452007928019</v>
      </c>
      <c r="N16" s="227">
        <f>((NPV($J16,$D$9:$J$9))+$D$19+((($D$13*N$12))/((1+$J16)^($J$6-$D$6))))/Summary!$I$7</f>
        <v>120.54735981478154</v>
      </c>
      <c r="O16" s="219">
        <f>((NPV($J16,$D$9:$J$9))+$D$19+((($D$13*O$12))/((1+$J16)^($J$6-$D$6))))/Summary!$I$7</f>
        <v>123.6427117015441</v>
      </c>
      <c r="P16" s="219">
        <f>((NPV($J16,$D$9:$J$9))+$D$19+((($D$13*P$12))/((1+$J16)^($J$6-$D$6))))/Summary!$I$7</f>
        <v>126.73806358830666</v>
      </c>
      <c r="Q16" s="220">
        <f>((NPV($J16,$D$9:$J$9))+$D$19+((($D$13*Q$12))/((1+$J16)^($J$6-$D$6))))/Summary!$I$7</f>
        <v>129.83341547506919</v>
      </c>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row>
    <row r="17" spans="2:56" ht="12.75" customHeight="1" thickBot="1">
      <c r="B17" s="210"/>
      <c r="C17" s="814"/>
      <c r="D17" s="211" t="s">
        <v>35</v>
      </c>
      <c r="E17" s="228" t="s">
        <v>123</v>
      </c>
      <c r="F17" s="218" t="s">
        <v>124</v>
      </c>
      <c r="G17" s="819"/>
      <c r="H17" s="820">
        <v>0.05</v>
      </c>
      <c r="I17" s="1595"/>
      <c r="J17" s="704">
        <f>H21</f>
        <v>0.10539573914637804</v>
      </c>
      <c r="K17" s="219">
        <f>((NPV($J17,$D$9:$J$9))+$D$19+((($D$13*K$12))/((1+$J17)^($J$6-$D$6))))/Summary!$I$7</f>
        <v>108.41175920593594</v>
      </c>
      <c r="L17" s="219">
        <f>((NPV($J17,$D$9:$J$9))+$D$19+((($D$13*L$12))/((1+$J17)^($J$6-$D$6))))/Summary!$I$7</f>
        <v>111.42404872664778</v>
      </c>
      <c r="M17" s="229">
        <f>((NPV($J17,$D$9:$J$9))+$D$19+((($D$13*M$12))/((1+$J17)^($J$6-$D$6))))/Summary!$I$7</f>
        <v>114.43633824735959</v>
      </c>
      <c r="N17" s="1256">
        <f>((NPV($J17,$D$9:$J$9))+$D$19+((($D$13*N$12))/((1+$J17)^($J$6-$D$6))))/Summary!$I$7</f>
        <v>117.44862776807143</v>
      </c>
      <c r="O17" s="230">
        <f>((NPV($J17,$D$9:$J$9))+$D$19+((($D$13*O$12))/((1+$J17)^($J$6-$D$6))))/Summary!$I$7</f>
        <v>120.46091728878324</v>
      </c>
      <c r="P17" s="219">
        <f>((NPV($J17,$D$9:$J$9))+$D$19+((($D$13*P$12))/((1+$J17)^($J$6-$D$6))))/Summary!$I$7</f>
        <v>123.47320680949508</v>
      </c>
      <c r="Q17" s="220">
        <f>((NPV($J17,$D$9:$J$9))+$D$19+((($D$13*Q$12))/((1+$J17)^($J$6-$D$6))))/Summary!$I$7</f>
        <v>126.48549633020689</v>
      </c>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row>
    <row r="18" spans="2:56" ht="12.75" customHeight="1">
      <c r="B18" s="231" t="s">
        <v>421</v>
      </c>
      <c r="C18" s="192"/>
      <c r="D18" s="232">
        <f>NPV(J17,$E$9:$O$9)</f>
        <v>24993.780841044303</v>
      </c>
      <c r="E18" s="893">
        <f>D18/E29</f>
        <v>19.074116326495968</v>
      </c>
      <c r="F18" s="212" t="s">
        <v>125</v>
      </c>
      <c r="G18" s="813"/>
      <c r="H18" s="821">
        <f>(H17*H16)+H15</f>
        <v>0.10650000000000001</v>
      </c>
      <c r="I18" s="1595"/>
      <c r="J18" s="703">
        <f>J17+0.005</f>
        <v>0.11039573914637804</v>
      </c>
      <c r="K18" s="219">
        <f>((NPV($J18,$D$9:$J$9))+$D$19+((($D$13*K$12))/((1+$J18)^($J$6-$D$6))))/Summary!$I$7</f>
        <v>105.65037486140446</v>
      </c>
      <c r="L18" s="219">
        <f>((NPV($J18,$D$9:$J$9))+$D$19+((($D$13*L$12))/((1+$J18)^($J$6-$D$6))))/Summary!$I$7</f>
        <v>108.58219084737389</v>
      </c>
      <c r="M18" s="219">
        <f>((NPV($J18,$D$9:$J$9))+$D$19+((($D$13*M$12))/((1+$J18)^($J$6-$D$6))))/Summary!$I$7</f>
        <v>111.51400683334334</v>
      </c>
      <c r="N18" s="233">
        <f>((NPV($J18,$D$9:$J$9))+$D$19+((($D$13*N$12))/((1+$J18)^($J$6-$D$6))))/Summary!$I$7</f>
        <v>114.44582281931281</v>
      </c>
      <c r="O18" s="219">
        <f>((NPV($J18,$D$9:$J$9))+$D$19+((($D$13*O$12))/((1+$J18)^($J$6-$D$6))))/Summary!$I$7</f>
        <v>117.37763880528223</v>
      </c>
      <c r="P18" s="219">
        <f>((NPV($J18,$D$9:$J$9))+$D$19+((($D$13*P$12))/((1+$J18)^($J$6-$D$6))))/Summary!$I$7</f>
        <v>120.3094547912517</v>
      </c>
      <c r="Q18" s="220">
        <f>((NPV($J18,$D$9:$J$9))+$D$19+((($D$13*Q$12))/((1+$J18)^($J$6-$D$6))))/Summary!$I$7</f>
        <v>123.24127077722112</v>
      </c>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row>
    <row r="19" spans="2:56" ht="12.75" customHeight="1">
      <c r="B19" s="231" t="s">
        <v>364</v>
      </c>
      <c r="C19" s="192"/>
      <c r="D19" s="815">
        <f>+E28</f>
        <v>3114.6578224252471</v>
      </c>
      <c r="E19" s="893">
        <f>D19/E29</f>
        <v>2.376965133846773</v>
      </c>
      <c r="F19" s="212" t="s">
        <v>126</v>
      </c>
      <c r="G19" s="813"/>
      <c r="H19" s="817">
        <v>0.03</v>
      </c>
      <c r="I19" s="1595"/>
      <c r="J19" s="703">
        <f>J18+0.005</f>
        <v>0.11539573914637805</v>
      </c>
      <c r="K19" s="219">
        <f>((NPV($J19,$D$9:$J$9))+$D$19+((($D$13*K$12))/((1+$J19)^($J$6-$D$6))))/Summary!$I$7</f>
        <v>102.97403282761965</v>
      </c>
      <c r="L19" s="219">
        <f>((NPV($J19,$D$9:$J$9))+$D$19+((($D$13*L$12))/((1+$J19)^($J$6-$D$6))))/Summary!$I$7</f>
        <v>105.82787230602803</v>
      </c>
      <c r="M19" s="219">
        <f>((NPV($J19,$D$9:$J$9))+$D$19+((($D$13*M$12))/((1+$J19)^($J$6-$D$6))))/Summary!$I$7</f>
        <v>108.68171178443637</v>
      </c>
      <c r="N19" s="219">
        <f>((NPV($J19,$D$9:$J$9))+$D$19+((($D$13*N$12))/((1+$J19)^($J$6-$D$6))))/Summary!$I$7</f>
        <v>111.53555126284472</v>
      </c>
      <c r="O19" s="219">
        <f>((NPV($J19,$D$9:$J$9))+$D$19+((($D$13*O$12))/((1+$J19)^($J$6-$D$6))))/Summary!$I$7</f>
        <v>114.38939074125308</v>
      </c>
      <c r="P19" s="219">
        <f>((NPV($J19,$D$9:$J$9))+$D$19+((($D$13*P$12))/((1+$J19)^($J$6-$D$6))))/Summary!$I$7</f>
        <v>117.24323021966143</v>
      </c>
      <c r="Q19" s="220">
        <f>((NPV($J19,$D$9:$J$9))+$D$19+((($D$13*Q$12))/((1+$J19)^($J$6-$D$6))))/Summary!$I$7</f>
        <v>120.09706969806977</v>
      </c>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row>
    <row r="20" spans="2:56" ht="12.75" customHeight="1">
      <c r="B20" s="234" t="s">
        <v>73</v>
      </c>
      <c r="C20" s="822"/>
      <c r="D20" s="235">
        <f>(D15)/(((1+J17)^(J6-D6)))</f>
        <v>138150.44423343317</v>
      </c>
      <c r="E20" s="895">
        <f>D20/E29</f>
        <v>105.43013322491377</v>
      </c>
      <c r="F20" s="212" t="s">
        <v>127</v>
      </c>
      <c r="G20" s="813"/>
      <c r="H20" s="821">
        <f>Income!DI59</f>
        <v>0.2864864864864865</v>
      </c>
      <c r="I20" s="1595"/>
      <c r="J20" s="703">
        <f>J19+0.005</f>
        <v>0.12039573914637805</v>
      </c>
      <c r="K20" s="219">
        <f>((NPV($J20,$D$9:$J$9))+$D$19+((($D$13*K$12))/((1+$J20)^($J$6-$D$6))))/Summary!$I$7</f>
        <v>100.37973859403034</v>
      </c>
      <c r="L20" s="219">
        <f>((NPV($J20,$D$9:$J$9))+$D$19+((($D$13*L$12))/((1+$J20)^($J$6-$D$6))))/Summary!$I$7</f>
        <v>103.15801043420171</v>
      </c>
      <c r="M20" s="219">
        <f>((NPV($J20,$D$9:$J$9))+$D$19+((($D$13*M$12))/((1+$J20)^($J$6-$D$6))))/Summary!$I$7</f>
        <v>105.93628227437306</v>
      </c>
      <c r="N20" s="219">
        <f>((NPV($J20,$D$9:$J$9))+$D$19+((($D$13*N$12))/((1+$J20)^($J$6-$D$6))))/Summary!$I$7</f>
        <v>108.71455411454443</v>
      </c>
      <c r="O20" s="219">
        <f>((NPV($J20,$D$9:$J$9))+$D$19+((($D$13*O$12))/((1+$J20)^($J$6-$D$6))))/Summary!$I$7</f>
        <v>111.49282595471577</v>
      </c>
      <c r="P20" s="219">
        <f>((NPV($J20,$D$9:$J$9))+$D$19+((($D$13*P$12))/((1+$J20)^($J$6-$D$6))))/Summary!$I$7</f>
        <v>114.27109779488717</v>
      </c>
      <c r="Q20" s="220">
        <f>((NPV($J20,$D$9:$J$9))+$D$19+((($D$13*Q$12))/((1+$J20)^($J$6-$D$6))))/Summary!$I$7</f>
        <v>117.04936963505851</v>
      </c>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row>
    <row r="21" spans="2:56" ht="12.75" customHeight="1" thickBot="1">
      <c r="B21" s="236" t="s">
        <v>36</v>
      </c>
      <c r="C21" s="202"/>
      <c r="D21" s="801">
        <f>SUM(D18:D20)</f>
        <v>166258.88289690271</v>
      </c>
      <c r="E21" s="800">
        <f>D21/E29</f>
        <v>126.88121468525651</v>
      </c>
      <c r="F21" s="236" t="s">
        <v>41</v>
      </c>
      <c r="G21" s="705"/>
      <c r="H21" s="706">
        <f>((H13/H14)*H18)+((-H12/H14)*(H19*(1-H20)))</f>
        <v>0.10539573914637804</v>
      </c>
      <c r="I21" s="1596"/>
      <c r="J21" s="707">
        <f>J20+0.005</f>
        <v>0.12539573914637805</v>
      </c>
      <c r="K21" s="237">
        <f>((NPV($J21,$D$9:$J$9))+$D$19+((($D$13*K$12))/((1+$J21)^($J$6-$D$6))))/Summary!$I$7</f>
        <v>97.864615991641244</v>
      </c>
      <c r="L21" s="237">
        <f>((NPV($J21,$D$9:$J$9))+$D$19+((($D$13*L$12))/((1+$J21)^($J$6-$D$6))))/Summary!$I$7</f>
        <v>100.56964439110712</v>
      </c>
      <c r="M21" s="237">
        <f>((NPV($J21,$D$9:$J$9))+$D$19+((($D$13*M$12))/((1+$J21)^($J$6-$D$6))))/Summary!$I$7</f>
        <v>103.27467279057295</v>
      </c>
      <c r="N21" s="237">
        <f>((NPV($J21,$D$9:$J$9))+$D$19+((($D$13*N$12))/((1+$J21)^($J$6-$D$6))))/Summary!$I$7</f>
        <v>105.97970119003882</v>
      </c>
      <c r="O21" s="237">
        <f>((NPV($J21,$D$9:$J$9))+$D$19+((($D$13*O$12))/((1+$J21)^($J$6-$D$6))))/Summary!$I$7</f>
        <v>108.68472958950466</v>
      </c>
      <c r="P21" s="237">
        <f>((NPV($J21,$D$9:$J$9))+$D$19+((($D$13*P$12))/((1+$J21)^($J$6-$D$6))))/Summary!$I$7</f>
        <v>111.38975798897053</v>
      </c>
      <c r="Q21" s="238">
        <f>((NPV($J21,$D$9:$J$9))+$D$19+((($D$13*Q$12))/((1+$J21)^($J$6-$D$6))))/Summary!$I$7</f>
        <v>114.09478638843639</v>
      </c>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row>
    <row r="22" spans="2:56" ht="12" thickBot="1">
      <c r="B22" s="193"/>
      <c r="C22" s="193"/>
      <c r="D22" s="193"/>
      <c r="E22" s="193"/>
      <c r="F22" s="192"/>
      <c r="G22" s="192"/>
      <c r="H22" s="192"/>
      <c r="I22" s="192"/>
      <c r="J22" s="192"/>
      <c r="K22" s="192"/>
      <c r="L22" s="192"/>
      <c r="M22" s="192"/>
      <c r="N22" s="192"/>
      <c r="O22" s="192"/>
      <c r="P22" s="192"/>
      <c r="Q22" s="192"/>
      <c r="R22" s="192"/>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row>
    <row r="23" spans="2:56" ht="12.75" customHeight="1" thickBot="1">
      <c r="B23" s="708" t="s">
        <v>216</v>
      </c>
      <c r="C23" s="709"/>
      <c r="D23" s="710">
        <f>(D15*H21-D13)/(D15+D13)</f>
        <v>7.4690301947867535E-2</v>
      </c>
      <c r="E23" s="193"/>
      <c r="F23" s="192"/>
      <c r="G23" s="192"/>
      <c r="H23" s="192"/>
      <c r="I23" s="192"/>
      <c r="J23" s="192"/>
      <c r="K23" s="192"/>
      <c r="L23" s="192"/>
      <c r="M23" s="192"/>
      <c r="N23" s="192"/>
      <c r="O23" s="192"/>
      <c r="P23" s="192"/>
      <c r="Q23" s="192"/>
      <c r="R23" s="192"/>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row>
    <row r="24" spans="2:56" ht="3.4" customHeight="1">
      <c r="B24" s="192"/>
      <c r="C24" s="193"/>
      <c r="D24" s="192"/>
      <c r="E24" s="192"/>
      <c r="F24" s="192"/>
      <c r="G24" s="192"/>
      <c r="H24" s="192"/>
      <c r="I24" s="192"/>
      <c r="J24" s="192"/>
      <c r="K24" s="192"/>
      <c r="L24" s="192"/>
      <c r="M24" s="192"/>
      <c r="N24" s="192"/>
      <c r="O24" s="192"/>
      <c r="P24" s="192"/>
      <c r="Q24" s="192"/>
      <c r="R24" s="192"/>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row>
    <row r="25" spans="2:56" ht="12.75" customHeight="1">
      <c r="B25" s="192" t="s">
        <v>417</v>
      </c>
      <c r="C25" s="193"/>
      <c r="D25" s="192"/>
      <c r="E25" s="192"/>
      <c r="F25" s="192"/>
      <c r="G25" s="192"/>
      <c r="H25" s="192"/>
      <c r="I25" s="192"/>
      <c r="J25" s="192"/>
      <c r="K25" s="192"/>
      <c r="L25" s="192"/>
      <c r="M25" s="192"/>
      <c r="N25" s="192"/>
      <c r="O25" s="192"/>
      <c r="P25" s="192"/>
      <c r="Q25" s="192"/>
      <c r="R25" s="192"/>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row>
    <row r="26" spans="2:56" ht="12.75" customHeight="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row>
    <row r="27" spans="2:56" ht="12.75" customHeight="1">
      <c r="D27" s="894" t="str">
        <f>Summary!H5</f>
        <v>2024E</v>
      </c>
      <c r="E27" s="894" t="str">
        <f>Summary!I5</f>
        <v>2025E</v>
      </c>
      <c r="G27" s="139"/>
      <c r="H27" s="139"/>
      <c r="I27" s="139"/>
      <c r="J27" s="139"/>
      <c r="K27" s="139"/>
      <c r="L27" s="139"/>
      <c r="M27" s="139"/>
      <c r="N27" s="139"/>
      <c r="O27" s="139"/>
      <c r="P27" s="139"/>
      <c r="Q27" s="139"/>
      <c r="R27" s="139"/>
      <c r="S27" s="139"/>
      <c r="T27" s="139"/>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row>
    <row r="28" spans="2:56" ht="12.75" customHeight="1">
      <c r="B28" s="139"/>
      <c r="C28" s="240" t="s">
        <v>12</v>
      </c>
      <c r="D28" s="1260">
        <f>+Summary!H9</f>
        <v>1216.9697404962999</v>
      </c>
      <c r="E28" s="1260">
        <f>+Summary!I9</f>
        <v>3114.6578224252471</v>
      </c>
      <c r="F28" s="139"/>
      <c r="G28" s="139"/>
      <c r="H28" s="139"/>
      <c r="I28" s="139"/>
      <c r="J28" s="1261"/>
      <c r="K28" s="1261"/>
      <c r="L28" s="1261"/>
      <c r="M28" s="139"/>
      <c r="N28" s="139"/>
      <c r="O28" s="139"/>
      <c r="P28" s="139"/>
      <c r="Q28" s="139"/>
      <c r="R28" s="139"/>
      <c r="S28" s="139"/>
      <c r="T28" s="139"/>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row>
    <row r="29" spans="2:56" ht="12.75" customHeight="1">
      <c r="B29" s="139"/>
      <c r="C29" s="240" t="s">
        <v>165</v>
      </c>
      <c r="D29" s="894">
        <f>+Summary!H7</f>
        <v>1298.2477775</v>
      </c>
      <c r="E29" s="894">
        <f>+Summary!I7</f>
        <v>1310.3506560000001</v>
      </c>
      <c r="F29" s="139"/>
      <c r="G29" s="139"/>
      <c r="H29" s="139"/>
      <c r="I29" s="139"/>
      <c r="J29" s="1261"/>
      <c r="K29" s="1261"/>
      <c r="L29" s="1261"/>
      <c r="M29" s="139"/>
      <c r="N29" s="139"/>
      <c r="O29" s="139"/>
      <c r="P29" s="139"/>
      <c r="Q29" s="139"/>
      <c r="R29" s="139"/>
      <c r="S29" s="139"/>
      <c r="T29" s="139"/>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row>
    <row r="30" spans="2:56" ht="12.75" customHeight="1">
      <c r="B30" s="139"/>
      <c r="C30" s="240" t="s">
        <v>646</v>
      </c>
      <c r="D30" s="894">
        <f>+Summary!H8</f>
        <v>139743.3907701</v>
      </c>
      <c r="E30" s="894">
        <f>+Summary!I8</f>
        <v>141046.14461184002</v>
      </c>
      <c r="F30" s="139"/>
      <c r="G30" s="139"/>
      <c r="H30" s="139"/>
      <c r="I30" s="139"/>
      <c r="J30" s="1261"/>
      <c r="K30" s="1261"/>
      <c r="L30" s="1261"/>
      <c r="M30" s="139"/>
      <c r="N30" s="139"/>
      <c r="O30" s="139"/>
      <c r="P30" s="139"/>
      <c r="Q30" s="139"/>
      <c r="R30" s="139"/>
      <c r="S30" s="139"/>
      <c r="T30" s="139"/>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row>
    <row r="31" spans="2:56" ht="12.75" customHeight="1">
      <c r="B31" s="139"/>
      <c r="C31" s="139"/>
      <c r="D31" s="139"/>
      <c r="E31" s="139"/>
      <c r="F31" s="139"/>
      <c r="G31" s="139"/>
      <c r="H31" s="139"/>
      <c r="I31" s="139"/>
      <c r="J31" s="1261"/>
      <c r="K31" s="1261"/>
      <c r="L31" s="1261"/>
      <c r="M31" s="139"/>
      <c r="N31" s="139"/>
      <c r="O31" s="139"/>
      <c r="P31" s="139"/>
      <c r="Q31" s="139"/>
      <c r="R31" s="139"/>
      <c r="S31" s="139"/>
      <c r="T31" s="139"/>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row>
    <row r="32" spans="2:56" ht="12.75" customHeight="1">
      <c r="B32" s="139"/>
      <c r="C32" s="139"/>
      <c r="D32" s="139"/>
      <c r="E32" s="139"/>
      <c r="F32" s="139"/>
      <c r="G32" s="139"/>
      <c r="H32" s="139"/>
      <c r="I32" s="139"/>
      <c r="J32" s="1261"/>
      <c r="K32" s="1261"/>
      <c r="L32" s="1261"/>
      <c r="M32" s="139"/>
      <c r="N32" s="139"/>
      <c r="O32" s="139"/>
      <c r="P32" s="139"/>
      <c r="Q32" s="139"/>
      <c r="R32" s="139"/>
      <c r="S32" s="139"/>
      <c r="T32" s="139"/>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row>
    <row r="33" spans="1:56" ht="12.75" customHeight="1">
      <c r="B33" s="139"/>
      <c r="C33" s="139"/>
      <c r="D33" s="139"/>
      <c r="E33" s="139"/>
      <c r="F33" s="139"/>
      <c r="G33" s="139"/>
      <c r="H33" s="139"/>
      <c r="I33" s="139"/>
      <c r="J33" s="1261"/>
      <c r="K33" s="1261"/>
      <c r="L33" s="1261"/>
      <c r="M33" s="139"/>
      <c r="N33" s="139"/>
      <c r="O33" s="139"/>
      <c r="P33" s="139"/>
      <c r="Q33" s="139"/>
      <c r="R33" s="139"/>
      <c r="S33" s="139"/>
      <c r="T33" s="139"/>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row>
    <row r="34" spans="1:56" ht="12.75" customHeight="1">
      <c r="B34" s="139"/>
      <c r="C34" s="139"/>
      <c r="D34" s="139"/>
      <c r="E34" s="139"/>
      <c r="F34" s="139"/>
      <c r="G34" s="139"/>
      <c r="H34" s="139"/>
      <c r="I34" s="139"/>
      <c r="J34" s="1261"/>
      <c r="K34" s="1261"/>
      <c r="L34" s="1262"/>
      <c r="M34" s="139"/>
      <c r="N34" s="139"/>
      <c r="O34" s="139"/>
      <c r="P34" s="139"/>
      <c r="Q34" s="139"/>
      <c r="R34" s="139"/>
      <c r="S34" s="139"/>
      <c r="T34" s="139"/>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row>
    <row r="35" spans="1:56" ht="12.75" customHeight="1">
      <c r="B35" s="139"/>
      <c r="C35" s="139"/>
      <c r="D35" s="139"/>
      <c r="E35" s="139"/>
      <c r="F35" s="139"/>
      <c r="G35" s="139"/>
      <c r="H35" s="139"/>
      <c r="I35" s="139"/>
      <c r="J35" s="1261"/>
      <c r="K35" s="1261"/>
      <c r="L35" s="1261"/>
      <c r="M35" s="139"/>
      <c r="N35" s="139"/>
      <c r="O35" s="139"/>
      <c r="P35" s="139"/>
      <c r="Q35" s="139"/>
      <c r="R35" s="139"/>
      <c r="S35" s="139"/>
      <c r="T35" s="139"/>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row>
    <row r="36" spans="1:56" ht="12.75" customHeight="1">
      <c r="B36" s="139"/>
      <c r="C36" s="139"/>
      <c r="D36" s="139"/>
      <c r="E36" s="139"/>
      <c r="F36" s="139"/>
      <c r="G36" s="139"/>
      <c r="H36" s="139"/>
      <c r="I36" s="139"/>
      <c r="J36" s="1261"/>
      <c r="K36" s="1261"/>
      <c r="L36" s="1261"/>
      <c r="M36" s="139"/>
      <c r="N36" s="139"/>
      <c r="O36" s="139"/>
      <c r="P36" s="139"/>
      <c r="Q36" s="139"/>
      <c r="R36" s="139"/>
      <c r="S36" s="139"/>
      <c r="T36" s="139"/>
    </row>
    <row r="37" spans="1:56" ht="12.75" customHeight="1">
      <c r="B37" s="139"/>
      <c r="C37" s="139"/>
      <c r="D37" s="139"/>
      <c r="E37" s="139"/>
      <c r="F37" s="139"/>
      <c r="G37" s="139"/>
      <c r="H37" s="139"/>
      <c r="I37" s="139"/>
      <c r="J37" s="1261"/>
      <c r="K37" s="1261"/>
      <c r="L37" s="1261"/>
      <c r="M37" s="139"/>
      <c r="N37" s="139"/>
      <c r="O37" s="139"/>
      <c r="P37" s="139"/>
      <c r="Q37" s="139"/>
      <c r="R37" s="139"/>
      <c r="S37" s="139"/>
      <c r="T37" s="139"/>
    </row>
    <row r="38" spans="1:56" s="203" customFormat="1" ht="12.75" customHeight="1">
      <c r="A38" s="799"/>
      <c r="B38" s="139"/>
      <c r="C38" s="139"/>
      <c r="D38" s="139"/>
      <c r="E38" s="139"/>
      <c r="F38" s="139"/>
      <c r="G38" s="139"/>
      <c r="H38" s="139"/>
      <c r="I38" s="139"/>
      <c r="J38" s="1261"/>
      <c r="K38" s="1261"/>
      <c r="L38" s="1261"/>
      <c r="M38" s="139"/>
      <c r="N38" s="139"/>
      <c r="O38" s="139"/>
      <c r="P38" s="139"/>
      <c r="Q38" s="139"/>
      <c r="R38" s="139"/>
      <c r="S38" s="139"/>
      <c r="T38" s="139"/>
    </row>
    <row r="39" spans="1:56" s="203" customFormat="1" ht="12.75" customHeight="1">
      <c r="A39" s="799"/>
      <c r="B39" s="139"/>
      <c r="C39" s="139"/>
      <c r="D39" s="139"/>
      <c r="E39" s="139"/>
      <c r="F39" s="139"/>
      <c r="G39" s="139"/>
      <c r="H39" s="139"/>
      <c r="I39" s="139"/>
      <c r="J39" s="139"/>
      <c r="K39" s="139"/>
      <c r="L39" s="139"/>
      <c r="M39" s="139"/>
      <c r="N39" s="139"/>
      <c r="O39" s="139"/>
      <c r="P39" s="139"/>
      <c r="Q39" s="139"/>
      <c r="R39" s="139"/>
      <c r="S39" s="139"/>
      <c r="T39" s="139"/>
    </row>
    <row r="40" spans="1:56" s="203" customFormat="1" ht="12.75" customHeight="1">
      <c r="A40" s="799"/>
      <c r="B40" s="139"/>
      <c r="C40" s="139"/>
      <c r="D40" s="139"/>
      <c r="E40" s="139"/>
      <c r="F40" s="139"/>
      <c r="G40" s="139"/>
      <c r="H40" s="139"/>
      <c r="I40" s="139"/>
      <c r="J40" s="139"/>
      <c r="K40" s="139"/>
      <c r="L40" s="139"/>
      <c r="M40" s="139"/>
      <c r="N40" s="139"/>
      <c r="O40" s="139"/>
      <c r="P40" s="139"/>
      <c r="Q40" s="139"/>
      <c r="R40" s="139"/>
      <c r="S40" s="139"/>
      <c r="T40" s="139"/>
    </row>
    <row r="41" spans="1:56" s="203" customFormat="1" ht="12.75" customHeight="1">
      <c r="A41" s="799"/>
      <c r="B41" s="139"/>
      <c r="C41" s="139"/>
      <c r="D41" s="139"/>
      <c r="E41" s="139"/>
      <c r="F41" s="139"/>
      <c r="G41" s="139"/>
      <c r="H41" s="139"/>
      <c r="I41" s="139"/>
      <c r="J41" s="139"/>
      <c r="K41" s="139"/>
      <c r="L41" s="139"/>
      <c r="M41" s="139"/>
      <c r="N41" s="139"/>
      <c r="O41" s="139"/>
      <c r="P41" s="139"/>
      <c r="Q41" s="139"/>
      <c r="R41" s="139"/>
      <c r="S41" s="139"/>
      <c r="T41" s="139"/>
    </row>
    <row r="42" spans="1:56" ht="12.75" customHeight="1">
      <c r="B42" s="139"/>
      <c r="C42" s="139"/>
      <c r="D42" s="139"/>
      <c r="E42" s="139"/>
      <c r="F42" s="139"/>
      <c r="G42" s="139"/>
      <c r="H42" s="139"/>
      <c r="I42" s="139"/>
      <c r="J42" s="139"/>
      <c r="K42" s="139"/>
      <c r="L42" s="139"/>
      <c r="M42" s="139"/>
      <c r="N42" s="139"/>
      <c r="O42" s="139"/>
      <c r="P42" s="139"/>
      <c r="Q42" s="139"/>
      <c r="R42" s="139"/>
      <c r="S42" s="139"/>
      <c r="T42" s="139"/>
    </row>
    <row r="43" spans="1:56" ht="12.75" customHeight="1">
      <c r="B43" s="139"/>
      <c r="C43" s="139"/>
      <c r="D43" s="139"/>
      <c r="E43" s="139"/>
      <c r="F43" s="139"/>
      <c r="G43" s="139"/>
      <c r="H43" s="139"/>
      <c r="I43" s="139"/>
      <c r="J43" s="139"/>
      <c r="K43" s="139"/>
      <c r="L43" s="139"/>
      <c r="M43" s="139"/>
      <c r="N43" s="139"/>
      <c r="O43" s="139"/>
      <c r="P43" s="139"/>
      <c r="Q43" s="139"/>
      <c r="R43" s="139"/>
      <c r="S43" s="139"/>
      <c r="T43" s="139"/>
    </row>
    <row r="44" spans="1:56" ht="12.75" customHeight="1">
      <c r="B44" s="139"/>
      <c r="C44" s="139"/>
      <c r="D44" s="139"/>
      <c r="E44" s="139"/>
      <c r="F44" s="139"/>
      <c r="G44" s="139"/>
      <c r="H44" s="139"/>
      <c r="I44" s="139"/>
      <c r="J44" s="139"/>
      <c r="K44" s="139"/>
      <c r="L44" s="139"/>
      <c r="M44" s="139"/>
      <c r="N44" s="139"/>
      <c r="O44" s="139"/>
      <c r="P44" s="139"/>
      <c r="Q44" s="139"/>
      <c r="R44" s="139"/>
      <c r="S44" s="139"/>
      <c r="T44" s="139"/>
    </row>
    <row r="45" spans="1:56" ht="12.75" customHeight="1">
      <c r="B45" s="139"/>
      <c r="C45" s="139"/>
      <c r="D45" s="139"/>
      <c r="E45" s="139"/>
      <c r="F45" s="139"/>
      <c r="G45" s="139"/>
      <c r="H45" s="139"/>
      <c r="I45" s="139"/>
      <c r="J45" s="139"/>
      <c r="K45" s="139"/>
      <c r="L45" s="139"/>
      <c r="M45" s="139"/>
      <c r="N45" s="139"/>
      <c r="O45" s="139"/>
      <c r="P45" s="139"/>
      <c r="Q45" s="139"/>
      <c r="R45" s="139"/>
      <c r="S45" s="139"/>
      <c r="T45" s="139"/>
    </row>
    <row r="46" spans="1:56" ht="12.75" customHeight="1">
      <c r="B46" s="139"/>
      <c r="C46" s="139"/>
      <c r="D46" s="139"/>
      <c r="E46" s="139"/>
      <c r="F46" s="139"/>
      <c r="G46" s="139"/>
      <c r="H46" s="139"/>
      <c r="I46" s="139"/>
      <c r="J46" s="139"/>
      <c r="K46" s="139"/>
      <c r="L46" s="139"/>
      <c r="M46" s="139"/>
      <c r="N46" s="139"/>
      <c r="O46" s="139"/>
      <c r="P46" s="139"/>
      <c r="Q46" s="139"/>
      <c r="R46" s="139"/>
      <c r="S46" s="139"/>
      <c r="T46" s="139"/>
    </row>
    <row r="47" spans="1:56" ht="12.75" customHeight="1">
      <c r="B47" s="139"/>
      <c r="C47" s="139"/>
      <c r="D47" s="139"/>
      <c r="E47" s="139"/>
      <c r="F47" s="139"/>
      <c r="G47" s="139"/>
      <c r="H47" s="139"/>
      <c r="I47" s="139"/>
      <c r="J47" s="139"/>
      <c r="K47" s="139"/>
      <c r="L47" s="139"/>
      <c r="M47" s="139"/>
      <c r="N47" s="139"/>
      <c r="O47" s="139"/>
      <c r="P47" s="139"/>
      <c r="Q47" s="139"/>
      <c r="R47" s="139"/>
      <c r="S47" s="139"/>
      <c r="T47" s="139"/>
    </row>
    <row r="48" spans="1:56" ht="12.75" customHeight="1">
      <c r="B48" s="139"/>
      <c r="C48" s="139"/>
      <c r="D48" s="139"/>
      <c r="E48" s="139"/>
      <c r="F48" s="139"/>
      <c r="G48" s="139"/>
      <c r="H48" s="139"/>
      <c r="I48" s="139"/>
      <c r="J48" s="139"/>
      <c r="K48" s="139"/>
      <c r="L48" s="139"/>
      <c r="M48" s="139"/>
      <c r="N48" s="139"/>
      <c r="O48" s="139"/>
      <c r="P48" s="139"/>
      <c r="Q48" s="139"/>
      <c r="R48" s="139"/>
      <c r="S48" s="139"/>
      <c r="T48" s="139"/>
    </row>
    <row r="49" spans="2:20" ht="12.75" customHeight="1">
      <c r="B49" s="139"/>
      <c r="C49" s="139"/>
      <c r="D49" s="139"/>
      <c r="E49" s="139"/>
      <c r="F49" s="139"/>
      <c r="G49" s="139"/>
      <c r="H49" s="139"/>
      <c r="I49" s="139"/>
      <c r="J49" s="139"/>
      <c r="K49" s="139"/>
      <c r="L49" s="139"/>
      <c r="M49" s="139"/>
      <c r="N49" s="139"/>
      <c r="O49" s="139"/>
      <c r="P49" s="139"/>
      <c r="Q49" s="139"/>
      <c r="R49" s="139"/>
      <c r="S49" s="139"/>
      <c r="T49" s="139"/>
    </row>
    <row r="50" spans="2:20" ht="12.75" customHeight="1">
      <c r="B50" s="139"/>
      <c r="C50" s="139"/>
      <c r="D50" s="139"/>
      <c r="E50" s="139"/>
      <c r="F50" s="139"/>
      <c r="G50" s="139"/>
      <c r="H50" s="139"/>
      <c r="I50" s="139"/>
      <c r="J50" s="139"/>
      <c r="K50" s="139"/>
      <c r="L50" s="139"/>
      <c r="M50" s="139"/>
      <c r="N50" s="139"/>
      <c r="O50" s="139"/>
      <c r="P50" s="139"/>
      <c r="Q50" s="139"/>
      <c r="R50" s="139"/>
      <c r="S50" s="139"/>
      <c r="T50" s="139"/>
    </row>
    <row r="51" spans="2:20" ht="12.75" customHeight="1">
      <c r="B51" s="139"/>
      <c r="C51" s="139"/>
      <c r="D51" s="139"/>
      <c r="E51" s="139"/>
      <c r="F51" s="139"/>
      <c r="G51" s="139"/>
      <c r="H51" s="139"/>
      <c r="I51" s="139"/>
      <c r="J51" s="139"/>
      <c r="K51" s="139"/>
      <c r="L51" s="139"/>
      <c r="M51" s="139"/>
      <c r="N51" s="139"/>
      <c r="O51" s="139"/>
      <c r="P51" s="139"/>
      <c r="Q51" s="139"/>
      <c r="R51" s="139"/>
      <c r="S51" s="139"/>
      <c r="T51" s="139"/>
    </row>
    <row r="52" spans="2:20" ht="12.75" customHeight="1">
      <c r="B52" s="139"/>
      <c r="C52" s="139"/>
      <c r="D52" s="139"/>
      <c r="E52" s="139"/>
      <c r="F52" s="139"/>
      <c r="G52" s="139"/>
      <c r="H52" s="139"/>
      <c r="I52" s="139"/>
      <c r="J52" s="139"/>
      <c r="K52" s="139"/>
      <c r="L52" s="139"/>
      <c r="M52" s="139"/>
      <c r="N52" s="139"/>
      <c r="O52" s="139"/>
      <c r="P52" s="139"/>
      <c r="Q52" s="139"/>
      <c r="R52" s="139"/>
      <c r="S52" s="139"/>
      <c r="T52" s="139"/>
    </row>
    <row r="53" spans="2:20" ht="12.75" customHeight="1"/>
    <row r="54" spans="2:20" ht="12.75" customHeight="1"/>
    <row r="55" spans="2:20" ht="12.75" customHeight="1"/>
    <row r="56" spans="2:20" ht="12.75" customHeight="1"/>
    <row r="57" spans="2:20" ht="12.75" customHeight="1"/>
    <row r="58" spans="2:20" ht="12.75" customHeight="1"/>
    <row r="59" spans="2:20" ht="12.75" customHeight="1"/>
    <row r="60" spans="2:20" ht="12.75" customHeight="1"/>
    <row r="61" spans="2:20" ht="12.75" customHeight="1"/>
    <row r="62" spans="2:20" ht="12.75" customHeight="1"/>
    <row r="63" spans="2:20" ht="12.75" customHeight="1"/>
    <row r="64" spans="2:2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sheetData>
  <mergeCells count="1">
    <mergeCell ref="I12:I21"/>
  </mergeCells>
  <phoneticPr fontId="12" type="noConversion"/>
  <pageMargins left="0.75" right="0.75" top="0.5" bottom="0.5" header="0.5" footer="0.5"/>
  <pageSetup scale="72" orientation="landscape" horizontalDpi="300" verticalDpi="300" r:id="rId1"/>
  <headerFooter alignWithMargins="0">
    <oddFooter>&amp;R&amp;"Book Antiqua,Regular"&amp;8Daniel Salmon
BMO Capital Markets
 (212) 885-4029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theme="6" tint="0.79998168889431442"/>
  </sheetPr>
  <dimension ref="A2:S47"/>
  <sheetViews>
    <sheetView showGridLines="0" workbookViewId="0">
      <pane xSplit="5" ySplit="12" topLeftCell="F13" activePane="bottomRight" state="frozen"/>
      <selection pane="topRight" activeCell="F1" sqref="F1"/>
      <selection pane="bottomLeft" activeCell="A13" sqref="A13"/>
      <selection pane="bottomRight" activeCell="E2" sqref="E2"/>
    </sheetView>
  </sheetViews>
  <sheetFormatPr defaultColWidth="9.140625" defaultRowHeight="11.25" outlineLevelCol="2"/>
  <cols>
    <col min="1" max="3" width="9.140625" style="240" hidden="1" customWidth="1" outlineLevel="2"/>
    <col min="4" max="4" width="1.7109375" style="240" customWidth="1" collapsed="1"/>
    <col min="5" max="5" width="30.140625" style="240" bestFit="1" customWidth="1"/>
    <col min="6" max="10" width="15.5703125" style="240" customWidth="1"/>
    <col min="11" max="11" width="1.7109375" style="240" customWidth="1"/>
    <col min="12" max="12" width="28.140625" style="240" bestFit="1" customWidth="1"/>
    <col min="13" max="15" width="10.140625" style="240" bestFit="1" customWidth="1"/>
    <col min="16" max="16384" width="9.140625" style="240"/>
  </cols>
  <sheetData>
    <row r="2" spans="5:19">
      <c r="E2" s="239" t="str">
        <f>Summary!B2</f>
        <v>Shopify</v>
      </c>
    </row>
    <row r="3" spans="5:19">
      <c r="E3" s="241" t="s">
        <v>103</v>
      </c>
    </row>
    <row r="4" spans="5:19">
      <c r="E4" s="242" t="str">
        <f>Income!C3</f>
        <v>Income Statement</v>
      </c>
    </row>
    <row r="5" spans="5:19" ht="12" thickBot="1"/>
    <row r="6" spans="5:19" ht="12" thickBot="1">
      <c r="E6" s="1556" t="s">
        <v>104</v>
      </c>
      <c r="F6" s="1557" t="s">
        <v>142</v>
      </c>
      <c r="G6" s="1557" t="s">
        <v>143</v>
      </c>
      <c r="H6" s="1557" t="s">
        <v>105</v>
      </c>
      <c r="I6" s="1557" t="s">
        <v>144</v>
      </c>
      <c r="J6" s="1558" t="s">
        <v>145</v>
      </c>
    </row>
    <row r="7" spans="5:19">
      <c r="E7" s="904" t="s">
        <v>319</v>
      </c>
      <c r="F7" s="243">
        <f>$H7*(1+F35)</f>
        <v>3536.7804126101337</v>
      </c>
      <c r="G7" s="243">
        <f>$H7*(1+G35)</f>
        <v>3629.8535813630319</v>
      </c>
      <c r="H7" s="1408">
        <f>+P13</f>
        <v>3722.9267501159302</v>
      </c>
      <c r="I7" s="243">
        <f>$H7*(1+I35)</f>
        <v>3815.999918868828</v>
      </c>
      <c r="J7" s="244">
        <f>$H7*(1+J35)</f>
        <v>3909.0730876217267</v>
      </c>
    </row>
    <row r="8" spans="5:19">
      <c r="E8" s="905" t="s">
        <v>320</v>
      </c>
      <c r="F8" s="1073">
        <f>+F14</f>
        <v>668.61314827565684</v>
      </c>
      <c r="G8" s="1073">
        <f>+G14</f>
        <v>705.75832317985999</v>
      </c>
      <c r="H8" s="1409">
        <f>+H14</f>
        <v>742.90349808406313</v>
      </c>
      <c r="I8" s="1073">
        <f>+I14</f>
        <v>780.04867298826628</v>
      </c>
      <c r="J8" s="1073">
        <f>+J14</f>
        <v>817.19384789246953</v>
      </c>
    </row>
    <row r="9" spans="5:19">
      <c r="E9" s="904" t="s">
        <v>318</v>
      </c>
      <c r="F9" s="243">
        <f>G9-F37</f>
        <v>347260.24316817027</v>
      </c>
      <c r="G9" s="243">
        <f>H9-G37</f>
        <v>347260.19316817028</v>
      </c>
      <c r="H9" s="1408">
        <f>+P16</f>
        <v>347260.16816817026</v>
      </c>
      <c r="I9" s="243">
        <f>H9+I37</f>
        <v>347260.19316817028</v>
      </c>
      <c r="J9" s="245">
        <f>I9+J37</f>
        <v>347260.24316817027</v>
      </c>
    </row>
    <row r="10" spans="5:19" ht="12" thickBot="1">
      <c r="E10" s="905" t="s">
        <v>321</v>
      </c>
      <c r="F10" s="712">
        <f>$H10*(1+F38)</f>
        <v>2.0814028577635538E-2</v>
      </c>
      <c r="G10" s="712">
        <f>$H10*(1+G38)</f>
        <v>2.1970363498615291E-2</v>
      </c>
      <c r="H10" s="1570">
        <f>+P17</f>
        <v>2.3126698419595044E-2</v>
      </c>
      <c r="I10" s="712">
        <f>$H10*(1+I38)</f>
        <v>2.4283033340574797E-2</v>
      </c>
      <c r="J10" s="713">
        <f>$H10*(1+J38)</f>
        <v>2.5439368261554549E-2</v>
      </c>
    </row>
    <row r="11" spans="5:19" ht="23.25" hidden="1" thickBot="1">
      <c r="E11" s="906" t="s">
        <v>106</v>
      </c>
      <c r="F11" s="246" t="s">
        <v>128</v>
      </c>
      <c r="G11" s="246" t="s">
        <v>129</v>
      </c>
      <c r="H11" s="246" t="s">
        <v>130</v>
      </c>
      <c r="I11" s="246" t="s">
        <v>171</v>
      </c>
      <c r="J11" s="247" t="s">
        <v>131</v>
      </c>
    </row>
    <row r="12" spans="5:19" ht="14.65" customHeight="1" thickBot="1">
      <c r="E12" s="1556" t="s">
        <v>612</v>
      </c>
      <c r="F12" s="1557" t="str">
        <f>F6</f>
        <v>Strong Bear Case</v>
      </c>
      <c r="G12" s="1557" t="str">
        <f>G6</f>
        <v>Weak Bear Case</v>
      </c>
      <c r="H12" s="1557" t="str">
        <f>H6</f>
        <v>Base Case</v>
      </c>
      <c r="I12" s="1557" t="str">
        <f>I6</f>
        <v>Weak Bull Case</v>
      </c>
      <c r="J12" s="1558" t="str">
        <f>J6</f>
        <v>Strong Bull Case</v>
      </c>
      <c r="K12" s="248"/>
      <c r="L12" s="884" t="s">
        <v>0</v>
      </c>
      <c r="M12" s="885" t="s">
        <v>380</v>
      </c>
      <c r="N12" s="885" t="s">
        <v>404</v>
      </c>
      <c r="O12" s="885" t="s">
        <v>304</v>
      </c>
      <c r="P12" s="885" t="s">
        <v>352</v>
      </c>
    </row>
    <row r="13" spans="5:19">
      <c r="E13" s="907" t="s">
        <v>322</v>
      </c>
      <c r="F13" s="45">
        <f>$H13*(1+F35)</f>
        <v>3536.7804126101337</v>
      </c>
      <c r="G13" s="249">
        <f>$H13*(1+G35)</f>
        <v>3629.8535813630319</v>
      </c>
      <c r="H13" s="249">
        <f>P13</f>
        <v>3722.9267501159302</v>
      </c>
      <c r="I13" s="45">
        <f>$H13*(1+I35)</f>
        <v>3815.999918868828</v>
      </c>
      <c r="J13" s="250">
        <f>$H13*(1+J35)</f>
        <v>3909.0730876217267</v>
      </c>
      <c r="K13" s="248"/>
      <c r="L13" s="886" t="s">
        <v>322</v>
      </c>
      <c r="M13" s="887">
        <f>'Revenue Build'!DD27</f>
        <v>2444.3376074500002</v>
      </c>
      <c r="N13" s="887">
        <f>'Revenue Build'!DI27</f>
        <v>3055.579363545979</v>
      </c>
      <c r="O13" s="887">
        <f>'Revenue Build'!DN27</f>
        <v>3372.7878898097838</v>
      </c>
      <c r="P13" s="887">
        <f>'Revenue Build'!DS27</f>
        <v>3722.9267501159302</v>
      </c>
      <c r="Q13" s="251"/>
      <c r="R13" s="251"/>
      <c r="S13" s="251"/>
    </row>
    <row r="14" spans="5:19">
      <c r="E14" s="904" t="s">
        <v>324</v>
      </c>
      <c r="F14" s="1079">
        <f>$H14*(1+F36)</f>
        <v>668.61314827565684</v>
      </c>
      <c r="G14" s="1079">
        <f>$H14*(1+G36)</f>
        <v>705.75832317985999</v>
      </c>
      <c r="H14" s="1079">
        <f>+H15/H13*1000</f>
        <v>742.90349808406313</v>
      </c>
      <c r="I14" s="1079">
        <f>$H14*(1+I36)</f>
        <v>780.04867298826628</v>
      </c>
      <c r="J14" s="1080">
        <f>$H14*(1+J36)</f>
        <v>817.19384789246953</v>
      </c>
      <c r="K14" s="248"/>
      <c r="L14" s="886" t="s">
        <v>323</v>
      </c>
      <c r="M14" s="1074">
        <f>'Revenue Build'!DD32</f>
        <v>170.09393362297834</v>
      </c>
      <c r="N14" s="1074">
        <f>'Revenue Build'!DI32</f>
        <v>155.29295341206074</v>
      </c>
      <c r="O14" s="1074">
        <f>'Revenue Build'!DN32</f>
        <v>179.73095031429048</v>
      </c>
      <c r="P14" s="1074">
        <f>'Revenue Build'!DS32</f>
        <v>192.31211683629081</v>
      </c>
      <c r="Q14" s="240" t="s">
        <v>796</v>
      </c>
    </row>
    <row r="15" spans="5:19">
      <c r="E15" s="908" t="s">
        <v>310</v>
      </c>
      <c r="F15" s="1077">
        <f>F13*F14/1000</f>
        <v>2364.7378864349384</v>
      </c>
      <c r="G15" s="1077">
        <f>G13*G14/1000</f>
        <v>2561.7993769711829</v>
      </c>
      <c r="H15" s="1549">
        <f>+'Revenue Build'!DS36</f>
        <v>2765.7753057718573</v>
      </c>
      <c r="I15" s="1077">
        <f>I13*I14/1000</f>
        <v>2976.6656728369612</v>
      </c>
      <c r="J15" s="1078">
        <f>J13*J14/1000</f>
        <v>3194.4704781664955</v>
      </c>
      <c r="K15" s="248"/>
      <c r="L15" s="886"/>
    </row>
    <row r="16" spans="5:19">
      <c r="E16" s="904" t="s">
        <v>326</v>
      </c>
      <c r="F16" s="1079">
        <f>$H16*(1+F37)</f>
        <v>329897.15975976171</v>
      </c>
      <c r="G16" s="1079">
        <f>$H16*(1+G37)</f>
        <v>338578.66396396601</v>
      </c>
      <c r="H16" s="1079">
        <f>P16</f>
        <v>347260.16816817026</v>
      </c>
      <c r="I16" s="1079">
        <f>$H16*(1+I37)</f>
        <v>355941.67237237451</v>
      </c>
      <c r="J16" s="1080">
        <f>$H16*(1+J37)</f>
        <v>364623.17657657882</v>
      </c>
      <c r="K16" s="248"/>
      <c r="L16" s="886" t="s">
        <v>325</v>
      </c>
      <c r="M16" s="1074">
        <f>'Revenue Build'!DD41</f>
        <v>197250.171</v>
      </c>
      <c r="N16" s="1074">
        <f>'Revenue Build'!DI41</f>
        <v>235925</v>
      </c>
      <c r="O16" s="1074">
        <f>'Revenue Build'!DN41</f>
        <v>290594.375</v>
      </c>
      <c r="P16" s="1074">
        <f>'Revenue Build'!DS41</f>
        <v>347260.16816817026</v>
      </c>
    </row>
    <row r="17" spans="5:16">
      <c r="E17" s="904" t="s">
        <v>789</v>
      </c>
      <c r="F17" s="714">
        <f>$H17*(1+F38)</f>
        <v>2.0814028577635538E-2</v>
      </c>
      <c r="G17" s="714">
        <f>$H17*(1+G38)</f>
        <v>2.1970363498615291E-2</v>
      </c>
      <c r="H17" s="714">
        <f>P17</f>
        <v>2.3126698419595044E-2</v>
      </c>
      <c r="I17" s="714">
        <f>$H17*(1+I38)</f>
        <v>2.4283033340574797E-2</v>
      </c>
      <c r="J17" s="715">
        <f>$H17*(1+J38)</f>
        <v>2.5439368261554549E-2</v>
      </c>
      <c r="K17" s="248"/>
      <c r="L17" s="886" t="s">
        <v>788</v>
      </c>
      <c r="M17" s="888">
        <f>'Revenue Build'!DD45</f>
        <v>2.0847155564696566E-2</v>
      </c>
      <c r="N17" s="888">
        <f>'Revenue Build'!DI45</f>
        <v>2.2138391437956977E-2</v>
      </c>
      <c r="O17" s="888">
        <f>'Revenue Build'!DN45</f>
        <v>2.2126562799090654E-2</v>
      </c>
      <c r="P17" s="888">
        <f>'Revenue Build'!DS45</f>
        <v>2.3126698419595044E-2</v>
      </c>
    </row>
    <row r="18" spans="5:16">
      <c r="E18" s="909" t="s">
        <v>311</v>
      </c>
      <c r="F18" s="1077">
        <f>F16*F17</f>
        <v>6866.4889109204769</v>
      </c>
      <c r="G18" s="1077">
        <f>G16*G17</f>
        <v>7438.6963201638509</v>
      </c>
      <c r="H18" s="1077">
        <f>H16*H17</f>
        <v>8030.9811823631326</v>
      </c>
      <c r="I18" s="1077">
        <f>I16*I17</f>
        <v>8643.3434975183209</v>
      </c>
      <c r="J18" s="1078">
        <f>J16*J17</f>
        <v>9275.7832656294195</v>
      </c>
      <c r="K18" s="248"/>
      <c r="L18" s="886"/>
    </row>
    <row r="19" spans="5:16">
      <c r="E19" s="908" t="s">
        <v>107</v>
      </c>
      <c r="F19" s="900">
        <f>F15+F18</f>
        <v>9231.2267973554153</v>
      </c>
      <c r="G19" s="900">
        <f>G15+G18</f>
        <v>10000.495697135033</v>
      </c>
      <c r="H19" s="900">
        <f>H15+H18</f>
        <v>10796.75648813499</v>
      </c>
      <c r="I19" s="900">
        <f>I15+I18</f>
        <v>11620.009170355283</v>
      </c>
      <c r="J19" s="901">
        <f>J15+J18</f>
        <v>12470.253743795914</v>
      </c>
      <c r="K19" s="248"/>
      <c r="L19" s="886" t="s">
        <v>348</v>
      </c>
      <c r="M19" s="1074">
        <f>'Revenue Build'!DD36</f>
        <v>1487.759</v>
      </c>
      <c r="N19" s="1074" t="e">
        <f ca="1">OFFSET('Revenue Build'!$C$4,MATCH($L$19,'Revenue Build'!$C$4:$C$65,0)-1,MATCH(Scenario!$N$12,'Revenue Build'!$C$4:$ED$4,0)-1)</f>
        <v>#N/A</v>
      </c>
      <c r="O19" s="1074" t="e">
        <f ca="1">OFFSET('Revenue Build'!$C$4,MATCH($L$19,'Revenue Build'!$C$4:$C$65,0)-1,MATCH(Scenario!$O$12,'Revenue Build'!$C$4:$ED$4,0)-1)</f>
        <v>#N/A</v>
      </c>
      <c r="P19" s="1074" t="e">
        <f ca="1">OFFSET('Revenue Build'!$C$4,MATCH($L$19,'Revenue Build'!$C$4:$C$65,0)-1,MATCH(Scenario!$P$12,'Revenue Build'!$C$4:$ED$4,0)-1)</f>
        <v>#N/A</v>
      </c>
    </row>
    <row r="20" spans="5:16">
      <c r="E20" s="910" t="s">
        <v>108</v>
      </c>
      <c r="F20" s="896" t="e">
        <f ca="1">F19/$O22-1</f>
        <v>#N/A</v>
      </c>
      <c r="G20" s="716" t="e">
        <f ca="1">G19/$O22-1</f>
        <v>#N/A</v>
      </c>
      <c r="H20" s="1407">
        <f>Income!DS12</f>
        <v>0.23087803700247167</v>
      </c>
      <c r="I20" s="896" t="e">
        <f ca="1">I19/$O22-1</f>
        <v>#N/A</v>
      </c>
      <c r="J20" s="717" t="e">
        <f ca="1">J19/$O22-1</f>
        <v>#N/A</v>
      </c>
      <c r="K20" s="248"/>
      <c r="L20" s="886" t="s">
        <v>346</v>
      </c>
      <c r="M20" s="1074" t="e">
        <f ca="1">OFFSET('Revenue Build'!$C$4,MATCH($L$20,'Revenue Build'!$C$4:$C$65,0)-1,MATCH(Scenario!$M$12,'Revenue Build'!$C$4:$ED$4,0)-1)</f>
        <v>#N/A</v>
      </c>
      <c r="N20" s="1074" t="e">
        <f ca="1">OFFSET('Revenue Build'!$C$4,MATCH($L$20,'Revenue Build'!$C$4:$C$65,0)-1,MATCH(Scenario!$N$12,'Revenue Build'!$C$4:$ED$4,0)-1)</f>
        <v>#N/A</v>
      </c>
      <c r="O20" s="1074" t="e">
        <f ca="1">OFFSET('Revenue Build'!$C$4,MATCH($L$20,'Revenue Build'!$C$4:$C$65,0)-1,MATCH(Scenario!$O$12,'Revenue Build'!$C$4:$ED$4,0)-1)</f>
        <v>#N/A</v>
      </c>
      <c r="P20" s="1074" t="e">
        <f ca="1">OFFSET('Revenue Build'!$C$4,MATCH($L$20,'Revenue Build'!$C$4:$C$65,0)-1,MATCH(Scenario!$P$12,'Revenue Build'!$C$4:$ED$4,0)-1)</f>
        <v>#N/A</v>
      </c>
    </row>
    <row r="21" spans="5:16">
      <c r="E21" s="908" t="s">
        <v>97</v>
      </c>
      <c r="F21" s="902">
        <f>F19*F22</f>
        <v>1538.1117542389445</v>
      </c>
      <c r="G21" s="902">
        <f>G19*G22</f>
        <v>1766.2926907302067</v>
      </c>
      <c r="H21" s="1567">
        <f>Income!DS110</f>
        <v>2014.896245831641</v>
      </c>
      <c r="I21" s="902">
        <f>I19*I22</f>
        <v>2284.7321762798565</v>
      </c>
      <c r="J21" s="903">
        <f>J19*J22</f>
        <v>2576.6102388114637</v>
      </c>
      <c r="K21" s="248"/>
      <c r="L21" s="886"/>
    </row>
    <row r="22" spans="5:16">
      <c r="E22" s="910" t="s">
        <v>65</v>
      </c>
      <c r="F22" s="896">
        <f>$H22+F39</f>
        <v>0.16662051404474068</v>
      </c>
      <c r="G22" s="896">
        <f>$H22+G39</f>
        <v>0.17662051404474066</v>
      </c>
      <c r="H22" s="1407">
        <f>Income!DS113</f>
        <v>0.18662051404474067</v>
      </c>
      <c r="I22" s="896">
        <f>$H22+I39</f>
        <v>0.19662051404474068</v>
      </c>
      <c r="J22" s="718">
        <f>$H22+J39</f>
        <v>0.20662051404474066</v>
      </c>
      <c r="L22" s="886" t="s">
        <v>197</v>
      </c>
      <c r="M22" s="889" t="e">
        <f ca="1">M19+M20</f>
        <v>#N/A</v>
      </c>
      <c r="N22" s="889" t="e">
        <f ca="1">N19+N20</f>
        <v>#N/A</v>
      </c>
      <c r="O22" s="889" t="e">
        <f ca="1">O19+O20</f>
        <v>#N/A</v>
      </c>
      <c r="P22" s="889" t="e">
        <f ca="1">P19+P20</f>
        <v>#N/A</v>
      </c>
    </row>
    <row r="23" spans="5:16">
      <c r="E23" s="911" t="s">
        <v>99</v>
      </c>
      <c r="F23" s="1067">
        <f>H23+F40</f>
        <v>63.506755968826326</v>
      </c>
      <c r="G23" s="1067">
        <f>H23+G40</f>
        <v>68.506755968826326</v>
      </c>
      <c r="H23" s="1067">
        <f>Summary!K47</f>
        <v>73.506755968826326</v>
      </c>
      <c r="I23" s="1067">
        <f>H23+I40</f>
        <v>78.506755968826326</v>
      </c>
      <c r="J23" s="831">
        <f>H23+J40</f>
        <v>83.506755968826326</v>
      </c>
      <c r="L23" s="890" t="s">
        <v>161</v>
      </c>
      <c r="M23" s="891" t="e">
        <f ca="1">M22-Income!DD11</f>
        <v>#N/A</v>
      </c>
      <c r="N23" s="891" t="e">
        <f ca="1">N22-Income!DI11</f>
        <v>#N/A</v>
      </c>
      <c r="O23" s="891" t="e">
        <f ca="1">O22-Income!DN11</f>
        <v>#N/A</v>
      </c>
      <c r="P23" s="891" t="e">
        <f ca="1">P22-Income!DS11</f>
        <v>#N/A</v>
      </c>
    </row>
    <row r="24" spans="5:16">
      <c r="E24" s="911" t="s">
        <v>101</v>
      </c>
      <c r="F24" s="70">
        <f>F23*F21</f>
        <v>97680.487829236023</v>
      </c>
      <c r="G24" s="70">
        <f>G23*G21</f>
        <v>121002.9823333759</v>
      </c>
      <c r="H24" s="70">
        <f>H23*H21</f>
        <v>148108.48664485072</v>
      </c>
      <c r="I24" s="70">
        <f>I23*I21</f>
        <v>179366.9114173282</v>
      </c>
      <c r="J24" s="252">
        <f>J23*J21</f>
        <v>215164.36243920823</v>
      </c>
    </row>
    <row r="25" spans="5:16">
      <c r="E25" s="912" t="s">
        <v>19</v>
      </c>
      <c r="F25" s="897">
        <f>$H25-($H19-F19)</f>
        <v>1549.1281316456725</v>
      </c>
      <c r="G25" s="897">
        <f>$H25-($H19-G19)</f>
        <v>2318.3970314252902</v>
      </c>
      <c r="H25" s="1568">
        <f>Summary!I9</f>
        <v>3114.6578224252471</v>
      </c>
      <c r="I25" s="897">
        <f>$H25-($H19-I19)</f>
        <v>3937.9105046455397</v>
      </c>
      <c r="J25" s="253">
        <f>$H25-($H19-J19)</f>
        <v>4788.1550780861717</v>
      </c>
    </row>
    <row r="26" spans="5:16">
      <c r="E26" s="913" t="s">
        <v>63</v>
      </c>
      <c r="F26" s="70">
        <f>F24+F25</f>
        <v>99229.615960881696</v>
      </c>
      <c r="G26" s="70">
        <f>G24+G25</f>
        <v>123321.37936480119</v>
      </c>
      <c r="H26" s="70">
        <f>H24+H25</f>
        <v>151223.14446727597</v>
      </c>
      <c r="I26" s="70">
        <f>I24+I25</f>
        <v>183304.82192197375</v>
      </c>
      <c r="J26" s="252">
        <f>J24+J25</f>
        <v>219952.51751729439</v>
      </c>
    </row>
    <row r="27" spans="5:16" ht="12" thickBot="1">
      <c r="E27" s="911" t="s">
        <v>109</v>
      </c>
      <c r="F27" s="898">
        <f>H27</f>
        <v>1310.3506560000001</v>
      </c>
      <c r="G27" s="1072">
        <f>H27</f>
        <v>1310.3506560000001</v>
      </c>
      <c r="H27" s="1569">
        <f>Summary!$I7</f>
        <v>1310.3506560000001</v>
      </c>
      <c r="I27" s="898">
        <f>H27</f>
        <v>1310.3506560000001</v>
      </c>
      <c r="J27" s="254">
        <f>H27</f>
        <v>1310.3506560000001</v>
      </c>
    </row>
    <row r="28" spans="5:16">
      <c r="E28" s="1559" t="s">
        <v>110</v>
      </c>
      <c r="F28" s="1560">
        <f>F26/F27</f>
        <v>75.727527976207384</v>
      </c>
      <c r="G28" s="1560">
        <f>G26/G27</f>
        <v>94.113265636279564</v>
      </c>
      <c r="H28" s="1560">
        <f>H26/H27</f>
        <v>115.40662323847148</v>
      </c>
      <c r="I28" s="1560">
        <f>I26/I27</f>
        <v>139.88989976281107</v>
      </c>
      <c r="J28" s="1561">
        <f>J26/J27</f>
        <v>167.85775357927884</v>
      </c>
    </row>
    <row r="29" spans="5:16" ht="12" thickBot="1">
      <c r="E29" s="1562" t="s">
        <v>114</v>
      </c>
      <c r="F29" s="1563">
        <f>F28/Summary!$D$6-1</f>
        <v>-0.29647409906905065</v>
      </c>
      <c r="G29" s="1563">
        <f>G28/Summary!$D$6-1</f>
        <v>-0.12566642849981824</v>
      </c>
      <c r="H29" s="1563">
        <f>H28/Summary!$D$6-1</f>
        <v>7.2153690435446727E-2</v>
      </c>
      <c r="I29" s="1563">
        <f>I28/Summary!$D$6-1</f>
        <v>0.29960887925316859</v>
      </c>
      <c r="J29" s="1564">
        <f>J28/Summary!$D$6-1</f>
        <v>0.55943658100407689</v>
      </c>
    </row>
    <row r="30" spans="5:16" ht="12" thickBot="1">
      <c r="E30" s="914" t="s">
        <v>111</v>
      </c>
      <c r="F30" s="719">
        <v>7.0000000000000007E-2</v>
      </c>
      <c r="G30" s="719">
        <v>0.28000000000000003</v>
      </c>
      <c r="H30" s="720">
        <f>(H31-(F28*F30)-(G28*G30)-(I28*I30)-(J28*J30))/H28</f>
        <v>0.34996794940316905</v>
      </c>
      <c r="I30" s="719">
        <v>0.25</v>
      </c>
      <c r="J30" s="721">
        <v>0.05</v>
      </c>
    </row>
    <row r="31" spans="5:16">
      <c r="E31" s="914"/>
      <c r="F31" s="899"/>
      <c r="G31" s="1565" t="s">
        <v>115</v>
      </c>
      <c r="H31" s="1550">
        <f>Summary!K51</f>
        <v>115.40662323847148</v>
      </c>
      <c r="I31" s="899"/>
      <c r="J31" s="255"/>
    </row>
    <row r="32" spans="5:16" ht="12" thickBot="1">
      <c r="E32" s="915"/>
      <c r="F32" s="256"/>
      <c r="G32" s="1566" t="s">
        <v>114</v>
      </c>
      <c r="H32" s="1551">
        <f>H31/Summary!$C$6-1</f>
        <v>7.2153690435446727E-2</v>
      </c>
      <c r="I32" s="256"/>
      <c r="J32" s="257"/>
    </row>
    <row r="33" spans="5:10">
      <c r="E33" s="886"/>
    </row>
    <row r="34" spans="5:10" ht="12" thickBot="1">
      <c r="E34" s="916" t="s">
        <v>327</v>
      </c>
    </row>
    <row r="35" spans="5:10">
      <c r="E35" s="907" t="s">
        <v>319</v>
      </c>
      <c r="F35" s="722">
        <v>-0.05</v>
      </c>
      <c r="G35" s="722">
        <v>-2.5000000000000001E-2</v>
      </c>
      <c r="H35" s="258"/>
      <c r="I35" s="722">
        <v>2.5000000000000001E-2</v>
      </c>
      <c r="J35" s="723">
        <v>0.05</v>
      </c>
    </row>
    <row r="36" spans="5:10">
      <c r="E36" s="905" t="s">
        <v>320</v>
      </c>
      <c r="F36" s="724">
        <v>-0.1</v>
      </c>
      <c r="G36" s="724">
        <v>-0.05</v>
      </c>
      <c r="I36" s="724">
        <v>0.05</v>
      </c>
      <c r="J36" s="725">
        <v>0.1</v>
      </c>
    </row>
    <row r="37" spans="5:10">
      <c r="E37" s="904" t="s">
        <v>318</v>
      </c>
      <c r="F37" s="724">
        <v>-0.05</v>
      </c>
      <c r="G37" s="724">
        <v>-2.5000000000000001E-2</v>
      </c>
      <c r="I37" s="724">
        <v>2.5000000000000001E-2</v>
      </c>
      <c r="J37" s="725">
        <v>0.05</v>
      </c>
    </row>
    <row r="38" spans="5:10">
      <c r="E38" s="905" t="s">
        <v>321</v>
      </c>
      <c r="F38" s="724">
        <v>-0.1</v>
      </c>
      <c r="G38" s="724">
        <v>-0.05</v>
      </c>
      <c r="I38" s="724">
        <v>0.05</v>
      </c>
      <c r="J38" s="725">
        <v>0.1</v>
      </c>
    </row>
    <row r="39" spans="5:10">
      <c r="E39" s="917" t="s">
        <v>112</v>
      </c>
      <c r="F39" s="724">
        <v>-0.02</v>
      </c>
      <c r="G39" s="724">
        <v>-0.01</v>
      </c>
      <c r="H39" s="259" t="s">
        <v>116</v>
      </c>
      <c r="I39" s="724">
        <v>0.01</v>
      </c>
      <c r="J39" s="725">
        <v>0.02</v>
      </c>
    </row>
    <row r="40" spans="5:10">
      <c r="E40" s="917" t="s">
        <v>113</v>
      </c>
      <c r="F40" s="1068">
        <v>-10</v>
      </c>
      <c r="G40" s="1068">
        <v>-5</v>
      </c>
      <c r="H40" s="726">
        <f>SUM(F30:J30)-1</f>
        <v>-3.2050596830868194E-5</v>
      </c>
      <c r="I40" s="1068">
        <v>5</v>
      </c>
      <c r="J40" s="1069">
        <v>10</v>
      </c>
    </row>
    <row r="41" spans="5:10" ht="12" thickBot="1">
      <c r="E41" s="260"/>
      <c r="F41" s="1070"/>
      <c r="G41" s="1076">
        <f>ROUND(H28,0)-ROUND(G28,0)</f>
        <v>21</v>
      </c>
      <c r="H41" s="261"/>
      <c r="I41" s="1076">
        <f>ROUND(I28,0)-ROUND(H28,0)</f>
        <v>25</v>
      </c>
      <c r="J41" s="1071"/>
    </row>
    <row r="43" spans="5:10">
      <c r="G43" s="1075"/>
      <c r="I43" s="1075"/>
    </row>
    <row r="46" spans="5:10">
      <c r="H46" s="1075"/>
    </row>
    <row r="47" spans="5:10">
      <c r="H47" s="1075"/>
    </row>
  </sheetData>
  <phoneticPr fontId="16" type="noConversion"/>
  <pageMargins left="0.75" right="0.75" top="1" bottom="1" header="0.5" footer="0.5"/>
  <pageSetup orientation="landscape" r:id="rId1"/>
  <headerFooter alignWithMargins="0"/>
  <colBreaks count="1" manualBreakCount="1">
    <brk id="10" max="1048575" man="1"/>
  </colBreaks>
  <ignoredErrors>
    <ignoredError sqref="H24" 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79998168889431442"/>
    <pageSetUpPr autoPageBreaks="0"/>
  </sheetPr>
  <dimension ref="A1:EE147"/>
  <sheetViews>
    <sheetView showGridLines="0" zoomScaleNormal="100" workbookViewId="0">
      <pane xSplit="3" ySplit="5" topLeftCell="CY6" activePane="bottomRight" state="frozen"/>
      <selection pane="topRight" activeCell="D1" sqref="D1"/>
      <selection pane="bottomLeft" activeCell="A6" sqref="A6"/>
      <selection pane="bottomRight" activeCell="C2" sqref="C2"/>
    </sheetView>
  </sheetViews>
  <sheetFormatPr defaultColWidth="7.5703125" defaultRowHeight="12.75" outlineLevelRow="1" outlineLevelCol="3"/>
  <cols>
    <col min="1" max="1" width="12.28515625" style="139" hidden="1" customWidth="1" outlineLevel="2"/>
    <col min="2" max="2" width="1.7109375" style="139" customWidth="1" collapsed="1"/>
    <col min="3" max="3" width="40.7109375" style="94" customWidth="1"/>
    <col min="4" max="6" width="7.5703125" style="94" hidden="1" customWidth="1" outlineLevel="2"/>
    <col min="7" max="7" width="9.140625" style="94" hidden="1" customWidth="1" outlineLevel="2"/>
    <col min="8" max="62" width="7.5703125" style="94" hidden="1" customWidth="1" outlineLevel="2"/>
    <col min="63" max="63" width="9.140625" style="94" hidden="1" customWidth="1" outlineLevel="2"/>
    <col min="64" max="67" width="7.5703125" style="94" hidden="1" customWidth="1" outlineLevel="2"/>
    <col min="68" max="69" width="7.5703125" style="94" hidden="1" customWidth="1" outlineLevel="2" collapsed="1"/>
    <col min="70" max="72" width="7.5703125" style="94" hidden="1" customWidth="1" outlineLevel="2"/>
    <col min="73" max="73" width="7.5703125" style="94" hidden="1" customWidth="1" outlineLevel="2" collapsed="1"/>
    <col min="74" max="74" width="7.5703125" style="296" hidden="1" customWidth="1" outlineLevel="3" collapsed="1"/>
    <col min="75" max="77" width="7.5703125" style="296" hidden="1" customWidth="1" outlineLevel="3"/>
    <col min="78" max="78" width="7.5703125" style="94" hidden="1" customWidth="1" outlineLevel="2"/>
    <col min="79" max="82" width="7.5703125" style="94" hidden="1" customWidth="1" outlineLevel="3"/>
    <col min="83" max="83" width="7.5703125" style="94" hidden="1" customWidth="1" outlineLevel="2"/>
    <col min="84" max="87" width="7.5703125" style="94" hidden="1" customWidth="1" outlineLevel="3"/>
    <col min="88" max="88" width="7.5703125" style="94" hidden="1" customWidth="1" outlineLevel="2"/>
    <col min="89" max="92" width="7.5703125" style="94" hidden="1" customWidth="1" outlineLevel="3"/>
    <col min="93" max="93" width="7.5703125" style="94" hidden="1" customWidth="1" outlineLevel="2"/>
    <col min="94" max="97" width="7.5703125" style="94" hidden="1" customWidth="1" outlineLevel="3"/>
    <col min="98" max="98" width="7.5703125" style="94" hidden="1" customWidth="1" outlineLevel="2"/>
    <col min="99" max="102" width="7.5703125" style="94" hidden="1" customWidth="1" outlineLevel="3"/>
    <col min="103" max="103" width="7.5703125" style="94" customWidth="1" collapsed="1"/>
    <col min="104" max="107" width="7.5703125" style="94" hidden="1" customWidth="1" outlineLevel="2"/>
    <col min="108" max="108" width="7.5703125" style="94" customWidth="1" collapsed="1"/>
    <col min="109" max="112" width="7.5703125" style="94" customWidth="1" outlineLevel="2"/>
    <col min="113" max="113" width="8.85546875" style="94" bestFit="1" customWidth="1"/>
    <col min="114" max="114" width="8" style="94" customWidth="1" outlineLevel="1"/>
    <col min="115" max="115" width="7.5703125" style="94" customWidth="1" outlineLevel="1"/>
    <col min="116" max="116" width="9.42578125" style="94" customWidth="1" outlineLevel="1"/>
    <col min="117" max="117" width="7.5703125" style="94" customWidth="1" outlineLevel="1"/>
    <col min="118" max="118" width="7.5703125" style="94"/>
    <col min="119" max="122" width="7.5703125" style="94" customWidth="1" outlineLevel="1"/>
    <col min="123" max="123" width="7.5703125" style="94"/>
    <col min="124" max="127" width="7.5703125" style="94" hidden="1" customWidth="1" outlineLevel="2"/>
    <col min="128" max="128" width="7.5703125" style="94" collapsed="1"/>
    <col min="129" max="132" width="7.5703125" style="94" hidden="1" customWidth="1" outlineLevel="2"/>
    <col min="133" max="133" width="7.5703125" style="94" collapsed="1"/>
    <col min="134" max="134" width="10.7109375" style="99" bestFit="1" customWidth="1"/>
    <col min="135" max="135" width="7.5703125" style="139"/>
    <col min="136" max="16384" width="7.5703125" style="94"/>
  </cols>
  <sheetData>
    <row r="1" spans="1:135">
      <c r="BP1" s="727"/>
      <c r="BQ1" s="727"/>
      <c r="BR1" s="727"/>
      <c r="BS1" s="727"/>
      <c r="BT1" s="727"/>
      <c r="BU1" s="727"/>
      <c r="BV1" s="727"/>
      <c r="BW1" s="727"/>
      <c r="BX1" s="727"/>
      <c r="BY1" s="727"/>
      <c r="BZ1" s="263"/>
      <c r="CA1" s="727"/>
      <c r="CB1" s="727"/>
      <c r="CC1" s="727"/>
      <c r="CD1" s="727"/>
      <c r="CE1" s="727"/>
      <c r="CF1" s="264"/>
      <c r="CG1" s="264"/>
      <c r="CH1" s="264"/>
      <c r="CI1" s="264"/>
      <c r="CJ1" s="727"/>
      <c r="CK1" s="264"/>
      <c r="CL1" s="264"/>
      <c r="CM1" s="264"/>
      <c r="CN1" s="264"/>
      <c r="CO1" s="727"/>
      <c r="CP1" s="264"/>
      <c r="CQ1" s="264"/>
      <c r="CR1" s="727"/>
      <c r="CS1" s="727"/>
      <c r="CT1" s="727"/>
      <c r="CU1" s="727"/>
      <c r="CV1" s="727"/>
      <c r="CW1" s="727"/>
      <c r="CX1" s="728"/>
      <c r="CY1" s="728"/>
      <c r="CZ1" s="727"/>
    </row>
    <row r="2" spans="1:135">
      <c r="C2" s="18" t="str">
        <f>Summary!B2</f>
        <v>Shopify</v>
      </c>
      <c r="D2" s="18"/>
      <c r="E2" s="18"/>
      <c r="J2" s="729"/>
      <c r="K2" s="729"/>
      <c r="L2" s="729"/>
      <c r="N2" s="729"/>
      <c r="O2" s="729"/>
      <c r="P2" s="729"/>
      <c r="Q2" s="729"/>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727"/>
      <c r="CG2" s="727"/>
      <c r="CH2" s="727"/>
      <c r="CI2" s="727"/>
      <c r="CJ2" s="263"/>
      <c r="CK2" s="727"/>
      <c r="CL2" s="727"/>
      <c r="CM2" s="727"/>
      <c r="CN2" s="727"/>
      <c r="CO2" s="263"/>
      <c r="CP2" s="727"/>
      <c r="CQ2" s="727"/>
      <c r="CR2" s="263"/>
      <c r="CS2" s="263"/>
      <c r="CT2" s="263"/>
      <c r="CU2" s="263"/>
      <c r="CV2" s="263"/>
      <c r="CW2" s="263"/>
      <c r="CX2" s="265"/>
      <c r="CY2" s="265"/>
      <c r="CZ2" s="263"/>
      <c r="DA2" s="263"/>
      <c r="DB2" s="263"/>
      <c r="DC2" s="263"/>
      <c r="DD2" s="263"/>
      <c r="DE2" s="263"/>
      <c r="DF2" s="263"/>
      <c r="DG2" s="263"/>
      <c r="DH2" s="263"/>
      <c r="DI2" s="263"/>
      <c r="DJ2" s="266"/>
      <c r="DK2" s="263"/>
      <c r="DL2" s="263"/>
      <c r="DM2" s="263"/>
      <c r="DN2" s="263"/>
      <c r="DO2" s="263"/>
      <c r="DP2" s="263"/>
      <c r="DQ2" s="263"/>
      <c r="DR2" s="263"/>
      <c r="DS2" s="263"/>
      <c r="DT2" s="263"/>
      <c r="DU2" s="263"/>
      <c r="DV2" s="263"/>
      <c r="DW2" s="263"/>
      <c r="DX2" s="263"/>
      <c r="DY2" s="263"/>
      <c r="DZ2" s="263"/>
      <c r="EA2" s="263"/>
      <c r="EB2" s="263"/>
      <c r="EC2" s="263"/>
      <c r="ED2" s="1164"/>
    </row>
    <row r="3" spans="1:135" ht="12" customHeight="1">
      <c r="C3" s="1132" t="s">
        <v>613</v>
      </c>
      <c r="EE3" s="21"/>
    </row>
    <row r="4" spans="1:135" s="93" customFormat="1" ht="12.75" customHeight="1">
      <c r="A4" s="139"/>
      <c r="B4" s="139"/>
      <c r="C4" s="566"/>
      <c r="D4" s="267" t="s">
        <v>13</v>
      </c>
      <c r="E4" s="267" t="s">
        <v>16</v>
      </c>
      <c r="F4" s="267" t="s">
        <v>15</v>
      </c>
      <c r="G4" s="267" t="s">
        <v>17</v>
      </c>
      <c r="H4" s="267" t="s">
        <v>18</v>
      </c>
      <c r="I4" s="809" t="str">
        <f t="shared" ref="I4" si="0">"1Q"&amp;RIGHT(M5,2)&amp;"A"</f>
        <v>1Q03A</v>
      </c>
      <c r="J4" s="809" t="str">
        <f t="shared" ref="J4" si="1">"2Q"&amp;RIGHT(M5,2)&amp;"A"</f>
        <v>2Q03A</v>
      </c>
      <c r="K4" s="809" t="str">
        <f t="shared" ref="K4" si="2">"3Q"&amp;RIGHT(M5,2)&amp;"A"</f>
        <v>3Q03A</v>
      </c>
      <c r="L4" s="809" t="str">
        <f t="shared" ref="L4" si="3">"4Q"&amp;RIGHT(M5,2)&amp;"A"</f>
        <v>4Q03A</v>
      </c>
      <c r="M4" s="267" t="str">
        <f t="shared" ref="M4" si="4">+M5&amp;"A"</f>
        <v>2003A</v>
      </c>
      <c r="N4" s="809" t="str">
        <f t="shared" ref="N4" si="5">"1Q"&amp;RIGHT(R5,2)&amp;"A"</f>
        <v>1Q04A</v>
      </c>
      <c r="O4" s="809" t="str">
        <f t="shared" ref="O4" si="6">"2Q"&amp;RIGHT(R5,2)&amp;"A"</f>
        <v>2Q04A</v>
      </c>
      <c r="P4" s="809" t="str">
        <f t="shared" ref="P4" si="7">"3Q"&amp;RIGHT(R5,2)&amp;"A"</f>
        <v>3Q04A</v>
      </c>
      <c r="Q4" s="809" t="str">
        <f t="shared" ref="Q4:BY4" si="8">"4Q"&amp;RIGHT(R5,2)&amp;"A"</f>
        <v>4Q04A</v>
      </c>
      <c r="R4" s="267" t="str">
        <f t="shared" ref="R4" si="9">+R5&amp;"A"</f>
        <v>2004A</v>
      </c>
      <c r="S4" s="809" t="str">
        <f t="shared" ref="S4" si="10">"1Q"&amp;RIGHT(W5,2)&amp;"A"</f>
        <v>1Q05A</v>
      </c>
      <c r="T4" s="809" t="str">
        <f t="shared" ref="T4" si="11">"2Q"&amp;RIGHT(W5,2)&amp;"A"</f>
        <v>2Q05A</v>
      </c>
      <c r="U4" s="809" t="str">
        <f t="shared" ref="U4" si="12">"3Q"&amp;RIGHT(W5,2)&amp;"A"</f>
        <v>3Q05A</v>
      </c>
      <c r="V4" s="809" t="str">
        <f t="shared" si="8"/>
        <v>4Q05A</v>
      </c>
      <c r="W4" s="267" t="str">
        <f t="shared" ref="W4" si="13">+W5&amp;"A"</f>
        <v>2005A</v>
      </c>
      <c r="X4" s="809" t="str">
        <f t="shared" ref="X4" si="14">"1Q"&amp;RIGHT(AB5,2)&amp;"A"</f>
        <v>1Q06A</v>
      </c>
      <c r="Y4" s="809" t="str">
        <f t="shared" ref="Y4" si="15">"2Q"&amp;RIGHT(AB5,2)&amp;"A"</f>
        <v>2Q06A</v>
      </c>
      <c r="Z4" s="809" t="str">
        <f t="shared" ref="Z4" si="16">"3Q"&amp;RIGHT(AB5,2)&amp;"A"</f>
        <v>3Q06A</v>
      </c>
      <c r="AA4" s="809" t="str">
        <f t="shared" si="8"/>
        <v>4Q06A</v>
      </c>
      <c r="AB4" s="267" t="str">
        <f t="shared" ref="AB4" si="17">+AB5&amp;"A"</f>
        <v>2006A</v>
      </c>
      <c r="AC4" s="809" t="str">
        <f t="shared" ref="AC4" si="18">"1Q"&amp;RIGHT(AG5,2)&amp;"A"</f>
        <v>1Q07A</v>
      </c>
      <c r="AD4" s="809" t="str">
        <f t="shared" ref="AD4" si="19">"2Q"&amp;RIGHT(AG5,2)&amp;"A"</f>
        <v>2Q07A</v>
      </c>
      <c r="AE4" s="809" t="str">
        <f t="shared" ref="AE4" si="20">"3Q"&amp;RIGHT(AG5,2)&amp;"A"</f>
        <v>3Q07A</v>
      </c>
      <c r="AF4" s="809" t="str">
        <f t="shared" si="8"/>
        <v>4Q07A</v>
      </c>
      <c r="AG4" s="267" t="str">
        <f t="shared" ref="AG4" si="21">+AG5&amp;"A"</f>
        <v>2007A</v>
      </c>
      <c r="AH4" s="809" t="str">
        <f t="shared" ref="AH4" si="22">"1Q"&amp;RIGHT(AL5,2)&amp;"A"</f>
        <v>1Q08A</v>
      </c>
      <c r="AI4" s="809" t="str">
        <f t="shared" ref="AI4" si="23">"2Q"&amp;RIGHT(AL5,2)&amp;"A"</f>
        <v>2Q08A</v>
      </c>
      <c r="AJ4" s="809" t="str">
        <f t="shared" ref="AJ4" si="24">"3Q"&amp;RIGHT(AL5,2)&amp;"A"</f>
        <v>3Q08A</v>
      </c>
      <c r="AK4" s="809" t="str">
        <f t="shared" si="8"/>
        <v>4Q08A</v>
      </c>
      <c r="AL4" s="267" t="str">
        <f t="shared" ref="AL4" si="25">+AL5&amp;"A"</f>
        <v>2008A</v>
      </c>
      <c r="AM4" s="809" t="str">
        <f t="shared" ref="AM4" si="26">"1Q"&amp;RIGHT(AQ5,2)&amp;"A"</f>
        <v>1Q09A</v>
      </c>
      <c r="AN4" s="809" t="str">
        <f t="shared" ref="AN4" si="27">"2Q"&amp;RIGHT(AQ5,2)&amp;"A"</f>
        <v>2Q09A</v>
      </c>
      <c r="AO4" s="809" t="str">
        <f t="shared" ref="AO4" si="28">"3Q"&amp;RIGHT(AQ5,2)&amp;"A"</f>
        <v>3Q09A</v>
      </c>
      <c r="AP4" s="809" t="str">
        <f t="shared" si="8"/>
        <v>4Q09A</v>
      </c>
      <c r="AQ4" s="267" t="str">
        <f t="shared" ref="AQ4" si="29">+AQ5&amp;"A"</f>
        <v>2009A</v>
      </c>
      <c r="AR4" s="809" t="str">
        <f t="shared" ref="AR4" si="30">"1Q"&amp;RIGHT(AV5,2)&amp;"A"</f>
        <v>1Q10A</v>
      </c>
      <c r="AS4" s="809" t="str">
        <f t="shared" ref="AS4" si="31">"2Q"&amp;RIGHT(AV5,2)&amp;"A"</f>
        <v>2Q10A</v>
      </c>
      <c r="AT4" s="809" t="str">
        <f t="shared" ref="AT4" si="32">"3Q"&amp;RIGHT(AV5,2)&amp;"A"</f>
        <v>3Q10A</v>
      </c>
      <c r="AU4" s="809" t="str">
        <f t="shared" si="8"/>
        <v>4Q10A</v>
      </c>
      <c r="AV4" s="267" t="str">
        <f t="shared" ref="AV4" si="33">+AV5&amp;"A"</f>
        <v>2010A</v>
      </c>
      <c r="AW4" s="809" t="str">
        <f t="shared" ref="AW4" si="34">"1Q"&amp;RIGHT(BA5,2)&amp;"A"</f>
        <v>1Q11A</v>
      </c>
      <c r="AX4" s="809" t="str">
        <f t="shared" ref="AX4" si="35">"2Q"&amp;RIGHT(BA5,2)&amp;"A"</f>
        <v>2Q11A</v>
      </c>
      <c r="AY4" s="809" t="str">
        <f t="shared" ref="AY4" si="36">"3Q"&amp;RIGHT(BA5,2)&amp;"A"</f>
        <v>3Q11A</v>
      </c>
      <c r="AZ4" s="809" t="str">
        <f t="shared" si="8"/>
        <v>4Q11A</v>
      </c>
      <c r="BA4" s="267" t="str">
        <f t="shared" ref="BA4" si="37">+BA5&amp;"A"</f>
        <v>2011A</v>
      </c>
      <c r="BB4" s="809" t="str">
        <f t="shared" ref="BB4" si="38">"1Q"&amp;RIGHT(BF5,2)&amp;"A"</f>
        <v>1Q12A</v>
      </c>
      <c r="BC4" s="809" t="str">
        <f t="shared" ref="BC4" si="39">"2Q"&amp;RIGHT(BF5,2)&amp;"A"</f>
        <v>2Q12A</v>
      </c>
      <c r="BD4" s="809" t="str">
        <f t="shared" ref="BD4" si="40">"3Q"&amp;RIGHT(BF5,2)&amp;"A"</f>
        <v>3Q12A</v>
      </c>
      <c r="BE4" s="809" t="str">
        <f t="shared" si="8"/>
        <v>4Q12A</v>
      </c>
      <c r="BF4" s="267" t="str">
        <f t="shared" ref="BF4" si="41">+BF5&amp;"A"</f>
        <v>2012A</v>
      </c>
      <c r="BG4" s="809" t="str">
        <f t="shared" ref="BG4" si="42">"1Q"&amp;RIGHT(BK5,2)&amp;"A"</f>
        <v>1Q13A</v>
      </c>
      <c r="BH4" s="809" t="str">
        <f t="shared" ref="BH4" si="43">"2Q"&amp;RIGHT(BK5,2)&amp;"A"</f>
        <v>2Q13A</v>
      </c>
      <c r="BI4" s="809" t="str">
        <f t="shared" ref="BI4" si="44">"3Q"&amp;RIGHT(BK5,2)&amp;"A"</f>
        <v>3Q13A</v>
      </c>
      <c r="BJ4" s="809" t="str">
        <f t="shared" si="8"/>
        <v>4Q13A</v>
      </c>
      <c r="BK4" s="267" t="str">
        <f t="shared" ref="BK4" si="45">+BK5&amp;"A"</f>
        <v>2013A</v>
      </c>
      <c r="BL4" s="809" t="str">
        <f t="shared" ref="BL4" si="46">"1Q"&amp;RIGHT(BP5,2)&amp;"A"</f>
        <v>1Q14A</v>
      </c>
      <c r="BM4" s="809" t="str">
        <f t="shared" ref="BM4" si="47">"2Q"&amp;RIGHT(BP5,2)&amp;"A"</f>
        <v>2Q14A</v>
      </c>
      <c r="BN4" s="809" t="str">
        <f t="shared" ref="BN4" si="48">"3Q"&amp;RIGHT(BP5,2)&amp;"A"</f>
        <v>3Q14A</v>
      </c>
      <c r="BO4" s="809" t="str">
        <f t="shared" si="8"/>
        <v>4Q14A</v>
      </c>
      <c r="BP4" s="267" t="str">
        <f t="shared" ref="BP4" si="49">+BP5&amp;"A"</f>
        <v>2014A</v>
      </c>
      <c r="BQ4" s="809" t="str">
        <f t="shared" ref="BQ4" si="50">"1Q"&amp;RIGHT(BU5,2)&amp;"A"</f>
        <v>1Q15A</v>
      </c>
      <c r="BR4" s="809" t="str">
        <f t="shared" ref="BR4" si="51">"2Q"&amp;RIGHT(BU5,2)&amp;"A"</f>
        <v>2Q15A</v>
      </c>
      <c r="BS4" s="809" t="str">
        <f t="shared" ref="BS4" si="52">"3Q"&amp;RIGHT(BU5,2)&amp;"A"</f>
        <v>3Q15A</v>
      </c>
      <c r="BT4" s="809" t="str">
        <f t="shared" si="8"/>
        <v>4Q15A</v>
      </c>
      <c r="BU4" s="267" t="str">
        <f t="shared" ref="BU4" si="53">+BU5&amp;"A"</f>
        <v>2015A</v>
      </c>
      <c r="BV4" s="809" t="str">
        <f t="shared" ref="BV4" si="54">"1Q"&amp;RIGHT(BZ5,2)&amp;"A"</f>
        <v>1Q16A</v>
      </c>
      <c r="BW4" s="809" t="str">
        <f t="shared" ref="BW4" si="55">"2Q"&amp;RIGHT(BZ5,2)&amp;"A"</f>
        <v>2Q16A</v>
      </c>
      <c r="BX4" s="809" t="str">
        <f t="shared" ref="BX4" si="56">"3Q"&amp;RIGHT(BZ5,2)&amp;"A"</f>
        <v>3Q16A</v>
      </c>
      <c r="BY4" s="809" t="str">
        <f t="shared" si="8"/>
        <v>4Q16A</v>
      </c>
      <c r="BZ4" s="267" t="str">
        <f t="shared" ref="BZ4" si="57">+BZ5&amp;"A"</f>
        <v>2016A</v>
      </c>
      <c r="CA4" s="809" t="str">
        <f t="shared" ref="CA4" si="58">"1Q"&amp;RIGHT(CE5,2)&amp;"A"</f>
        <v>1Q17A</v>
      </c>
      <c r="CB4" s="809" t="str">
        <f t="shared" ref="CB4" si="59">"2Q"&amp;RIGHT(CE5,2)&amp;"A"</f>
        <v>2Q17A</v>
      </c>
      <c r="CC4" s="809" t="str">
        <f t="shared" ref="CC4" si="60">"3Q"&amp;RIGHT(CE5,2)&amp;"A"</f>
        <v>3Q17A</v>
      </c>
      <c r="CD4" s="809" t="str">
        <f t="shared" ref="CD4:DH4" si="61">"4Q"&amp;RIGHT(CE5,2)&amp;"A"</f>
        <v>4Q17A</v>
      </c>
      <c r="CE4" s="267" t="str">
        <f t="shared" ref="CE4" si="62">+CE5&amp;"A"</f>
        <v>2017A</v>
      </c>
      <c r="CF4" s="809" t="str">
        <f t="shared" ref="CF4" si="63">"1Q"&amp;RIGHT(CJ5,2)&amp;"A"</f>
        <v>1Q18A</v>
      </c>
      <c r="CG4" s="809" t="str">
        <f t="shared" ref="CG4" si="64">"2Q"&amp;RIGHT(CJ5,2)&amp;"A"</f>
        <v>2Q18A</v>
      </c>
      <c r="CH4" s="809" t="str">
        <f t="shared" ref="CH4" si="65">"3Q"&amp;RIGHT(CJ5,2)&amp;"A"</f>
        <v>3Q18A</v>
      </c>
      <c r="CI4" s="809" t="str">
        <f t="shared" si="61"/>
        <v>4Q18A</v>
      </c>
      <c r="CJ4" s="267" t="str">
        <f t="shared" ref="CJ4" si="66">+CJ5&amp;"A"</f>
        <v>2018A</v>
      </c>
      <c r="CK4" s="809" t="str">
        <f t="shared" ref="CK4" si="67">"1Q"&amp;RIGHT(CO5,2)&amp;"A"</f>
        <v>1Q19A</v>
      </c>
      <c r="CL4" s="809" t="str">
        <f t="shared" ref="CL4" si="68">"2Q"&amp;RIGHT(CO5,2)&amp;"A"</f>
        <v>2Q19A</v>
      </c>
      <c r="CM4" s="809" t="str">
        <f t="shared" ref="CM4" si="69">"3Q"&amp;RIGHT(CO5,2)&amp;"A"</f>
        <v>3Q19A</v>
      </c>
      <c r="CN4" s="809" t="str">
        <f t="shared" si="61"/>
        <v>4Q19A</v>
      </c>
      <c r="CO4" s="267" t="str">
        <f t="shared" ref="CO4" si="70">+CO5&amp;"A"</f>
        <v>2019A</v>
      </c>
      <c r="CP4" s="809" t="str">
        <f t="shared" ref="CP4" si="71">"1Q"&amp;RIGHT(CT5,2)&amp;"A"</f>
        <v>1Q20A</v>
      </c>
      <c r="CQ4" s="809" t="str">
        <f t="shared" ref="CQ4" si="72">"2Q"&amp;RIGHT(CT5,2)&amp;"A"</f>
        <v>2Q20A</v>
      </c>
      <c r="CR4" s="809" t="str">
        <f t="shared" ref="CR4" si="73">"3Q"&amp;RIGHT(CT5,2)&amp;"A"</f>
        <v>3Q20A</v>
      </c>
      <c r="CS4" s="809" t="str">
        <f t="shared" si="61"/>
        <v>4Q20A</v>
      </c>
      <c r="CT4" s="267" t="str">
        <f t="shared" ref="CT4" si="74">+CT5&amp;"A"</f>
        <v>2020A</v>
      </c>
      <c r="CU4" s="809" t="str">
        <f t="shared" ref="CU4" si="75">"1Q"&amp;RIGHT(CY5,2)&amp;"A"</f>
        <v>1Q21A</v>
      </c>
      <c r="CV4" s="809" t="str">
        <f t="shared" ref="CV4" si="76">"2Q"&amp;RIGHT(CY5,2)&amp;"A"</f>
        <v>2Q21A</v>
      </c>
      <c r="CW4" s="809" t="str">
        <f t="shared" ref="CW4" si="77">"3Q"&amp;RIGHT(CY5,2)&amp;"A"</f>
        <v>3Q21A</v>
      </c>
      <c r="CX4" s="809" t="str">
        <f t="shared" si="61"/>
        <v>4Q21A</v>
      </c>
      <c r="CY4" s="267" t="str">
        <f t="shared" ref="CY4" si="78">+CY5&amp;"A"</f>
        <v>2021A</v>
      </c>
      <c r="CZ4" s="809" t="str">
        <f t="shared" ref="CZ4" si="79">"1Q"&amp;RIGHT(DD5,2)&amp;"A"</f>
        <v>1Q22A</v>
      </c>
      <c r="DA4" s="809" t="str">
        <f t="shared" ref="DA4" si="80">"2Q"&amp;RIGHT(DD5,2)&amp;"A"</f>
        <v>2Q22A</v>
      </c>
      <c r="DB4" s="809" t="str">
        <f t="shared" ref="DB4" si="81">"3Q"&amp;RIGHT(DD5,2)&amp;"A"</f>
        <v>3Q22A</v>
      </c>
      <c r="DC4" s="809" t="str">
        <f t="shared" si="61"/>
        <v>4Q22A</v>
      </c>
      <c r="DD4" s="267" t="str">
        <f t="shared" ref="DD4" si="82">+DD5&amp;"A"</f>
        <v>2022A</v>
      </c>
      <c r="DE4" s="809" t="str">
        <f t="shared" ref="DE4" si="83">"1Q"&amp;RIGHT(DI5,2)&amp;"A"</f>
        <v>1Q23A</v>
      </c>
      <c r="DF4" s="809" t="str">
        <f t="shared" ref="DF4" si="84">"2Q"&amp;RIGHT(DI5,2)&amp;"A"</f>
        <v>2Q23A</v>
      </c>
      <c r="DG4" s="809" t="str">
        <f t="shared" ref="DG4" si="85">"3Q"&amp;RIGHT(DI5,2)&amp;"A"</f>
        <v>3Q23A</v>
      </c>
      <c r="DH4" s="809" t="str">
        <f t="shared" si="61"/>
        <v>4Q23A</v>
      </c>
      <c r="DI4" s="267" t="str">
        <f t="shared" ref="DI4" si="86">+DI5&amp;"A"</f>
        <v>2023A</v>
      </c>
      <c r="DJ4" s="809" t="str">
        <f t="shared" ref="DJ4" si="87">"1Q"&amp;RIGHT(DN5,2)&amp;"A"</f>
        <v>1Q24A</v>
      </c>
      <c r="DK4" s="809" t="str">
        <f t="shared" ref="DK4" si="88">"2Q"&amp;RIGHT(DN5,2)&amp;"A"</f>
        <v>2Q24A</v>
      </c>
      <c r="DL4" s="809" t="str">
        <f>"3Q"&amp;RIGHT(DN5,2)&amp;"A"</f>
        <v>3Q24A</v>
      </c>
      <c r="DM4" s="809" t="str">
        <f>"4Q"&amp;RIGHT(DN5,2)&amp;"E"</f>
        <v>4Q24E</v>
      </c>
      <c r="DN4" s="267" t="str">
        <f>+DN5&amp;"E"</f>
        <v>2024E</v>
      </c>
      <c r="DO4" s="809" t="str">
        <f>"1Q"&amp;RIGHT(DS5,2)&amp;"E"</f>
        <v>1Q25E</v>
      </c>
      <c r="DP4" s="809" t="str">
        <f>"2Q"&amp;RIGHT(DS5,2)&amp;"E"</f>
        <v>2Q25E</v>
      </c>
      <c r="DQ4" s="809" t="str">
        <f>"3Q"&amp;RIGHT(DS5,2)&amp;"E"</f>
        <v>3Q25E</v>
      </c>
      <c r="DR4" s="809" t="str">
        <f>"4Q"&amp;RIGHT(DS5,2)&amp;"E"</f>
        <v>4Q25E</v>
      </c>
      <c r="DS4" s="267" t="str">
        <f>+DS5&amp;"E"</f>
        <v>2025E</v>
      </c>
      <c r="DT4" s="809" t="str">
        <f>"1Q"&amp;RIGHT(DX5,2)&amp;"E"</f>
        <v>1Q26E</v>
      </c>
      <c r="DU4" s="809" t="str">
        <f>"2Q"&amp;RIGHT(DX5,2)&amp;"E"</f>
        <v>2Q26E</v>
      </c>
      <c r="DV4" s="809" t="str">
        <f>"3Q"&amp;RIGHT(DX5,2)&amp;"E"</f>
        <v>3Q26E</v>
      </c>
      <c r="DW4" s="809" t="str">
        <f>"4Q"&amp;RIGHT(DX5,2)&amp;"E"</f>
        <v>4Q26E</v>
      </c>
      <c r="DX4" s="267" t="str">
        <f>+DX5&amp;"E"</f>
        <v>2026E</v>
      </c>
      <c r="DY4" s="809" t="str">
        <f>"1Q"&amp;RIGHT(EC5,2)&amp;"E"</f>
        <v>1Q27E</v>
      </c>
      <c r="DZ4" s="809" t="str">
        <f>"2Q"&amp;RIGHT(EC5,2)&amp;"E"</f>
        <v>2Q27E</v>
      </c>
      <c r="EA4" s="809" t="str">
        <f>"3Q"&amp;RIGHT(EC5,2)&amp;"E"</f>
        <v>3Q27E</v>
      </c>
      <c r="EB4" s="809" t="str">
        <f>"4Q"&amp;RIGHT(EC5,2)&amp;"E"</f>
        <v>4Q27E</v>
      </c>
      <c r="EC4" s="267" t="str">
        <f>+EC5&amp;"E"</f>
        <v>2027E</v>
      </c>
      <c r="ED4" s="134"/>
      <c r="EE4" s="139"/>
    </row>
    <row r="5" spans="1:135" s="93" customFormat="1" ht="12.75" customHeight="1">
      <c r="A5" s="139"/>
      <c r="B5" s="139"/>
      <c r="C5" s="268" t="s">
        <v>72</v>
      </c>
      <c r="D5" s="806">
        <v>1998</v>
      </c>
      <c r="E5" s="806">
        <f>+D5+1</f>
        <v>1999</v>
      </c>
      <c r="F5" s="806">
        <f t="shared" ref="F5:H5" si="89">+E5+1</f>
        <v>2000</v>
      </c>
      <c r="G5" s="806">
        <f t="shared" si="89"/>
        <v>2001</v>
      </c>
      <c r="H5" s="806">
        <f t="shared" si="89"/>
        <v>2002</v>
      </c>
      <c r="I5" s="807">
        <v>37711</v>
      </c>
      <c r="J5" s="808">
        <f t="shared" ref="J5:L5" si="90">EOMONTH(I5,3)</f>
        <v>37802</v>
      </c>
      <c r="K5" s="808">
        <f t="shared" si="90"/>
        <v>37894</v>
      </c>
      <c r="L5" s="808">
        <f t="shared" si="90"/>
        <v>37986</v>
      </c>
      <c r="M5" s="806">
        <f>+H5+1</f>
        <v>2003</v>
      </c>
      <c r="N5" s="808">
        <f t="shared" ref="N5" si="91">EOMONTH(I5,12)</f>
        <v>38077</v>
      </c>
      <c r="O5" s="808">
        <f t="shared" ref="O5:Q5" si="92">EOMONTH(N5,3)</f>
        <v>38168</v>
      </c>
      <c r="P5" s="808">
        <f t="shared" si="92"/>
        <v>38260</v>
      </c>
      <c r="Q5" s="808">
        <f t="shared" si="92"/>
        <v>38352</v>
      </c>
      <c r="R5" s="806">
        <f t="shared" ref="R5" si="93">+M5+1</f>
        <v>2004</v>
      </c>
      <c r="S5" s="808">
        <f t="shared" ref="S5" si="94">EOMONTH(N5,12)</f>
        <v>38442</v>
      </c>
      <c r="T5" s="808">
        <f t="shared" ref="T5:V5" si="95">EOMONTH(S5,3)</f>
        <v>38533</v>
      </c>
      <c r="U5" s="808">
        <f t="shared" si="95"/>
        <v>38625</v>
      </c>
      <c r="V5" s="808">
        <f t="shared" si="95"/>
        <v>38717</v>
      </c>
      <c r="W5" s="806">
        <f t="shared" ref="W5" si="96">+R5+1</f>
        <v>2005</v>
      </c>
      <c r="X5" s="808">
        <f t="shared" ref="X5" si="97">EOMONTH(S5,12)</f>
        <v>38807</v>
      </c>
      <c r="Y5" s="808">
        <f t="shared" ref="Y5:AA5" si="98">EOMONTH(X5,3)</f>
        <v>38898</v>
      </c>
      <c r="Z5" s="808">
        <f t="shared" si="98"/>
        <v>38990</v>
      </c>
      <c r="AA5" s="808">
        <f t="shared" si="98"/>
        <v>39082</v>
      </c>
      <c r="AB5" s="806">
        <f t="shared" ref="AB5" si="99">+W5+1</f>
        <v>2006</v>
      </c>
      <c r="AC5" s="808">
        <f t="shared" ref="AC5" si="100">EOMONTH(X5,12)</f>
        <v>39172</v>
      </c>
      <c r="AD5" s="808">
        <f t="shared" ref="AD5:AF5" si="101">EOMONTH(AC5,3)</f>
        <v>39263</v>
      </c>
      <c r="AE5" s="808">
        <f t="shared" si="101"/>
        <v>39355</v>
      </c>
      <c r="AF5" s="808">
        <f t="shared" si="101"/>
        <v>39447</v>
      </c>
      <c r="AG5" s="806">
        <f t="shared" ref="AG5" si="102">+AB5+1</f>
        <v>2007</v>
      </c>
      <c r="AH5" s="808">
        <f t="shared" ref="AH5" si="103">EOMONTH(AC5,12)</f>
        <v>39538</v>
      </c>
      <c r="AI5" s="808">
        <f t="shared" ref="AI5:AK5" si="104">EOMONTH(AH5,3)</f>
        <v>39629</v>
      </c>
      <c r="AJ5" s="808">
        <f t="shared" si="104"/>
        <v>39721</v>
      </c>
      <c r="AK5" s="808">
        <f t="shared" si="104"/>
        <v>39813</v>
      </c>
      <c r="AL5" s="806">
        <f t="shared" ref="AL5" si="105">+AG5+1</f>
        <v>2008</v>
      </c>
      <c r="AM5" s="808">
        <f t="shared" ref="AM5" si="106">EOMONTH(AH5,12)</f>
        <v>39903</v>
      </c>
      <c r="AN5" s="808">
        <f t="shared" ref="AN5:AP5" si="107">EOMONTH(AM5,3)</f>
        <v>39994</v>
      </c>
      <c r="AO5" s="808">
        <f t="shared" si="107"/>
        <v>40086</v>
      </c>
      <c r="AP5" s="808">
        <f t="shared" si="107"/>
        <v>40178</v>
      </c>
      <c r="AQ5" s="806">
        <f t="shared" ref="AQ5" si="108">+AL5+1</f>
        <v>2009</v>
      </c>
      <c r="AR5" s="808">
        <f t="shared" ref="AR5" si="109">EOMONTH(AM5,12)</f>
        <v>40268</v>
      </c>
      <c r="AS5" s="808">
        <f t="shared" ref="AS5:AU5" si="110">EOMONTH(AR5,3)</f>
        <v>40359</v>
      </c>
      <c r="AT5" s="808">
        <f t="shared" si="110"/>
        <v>40451</v>
      </c>
      <c r="AU5" s="808">
        <f t="shared" si="110"/>
        <v>40543</v>
      </c>
      <c r="AV5" s="806">
        <f t="shared" ref="AV5" si="111">+AQ5+1</f>
        <v>2010</v>
      </c>
      <c r="AW5" s="808">
        <f t="shared" ref="AW5" si="112">EOMONTH(AR5,12)</f>
        <v>40633</v>
      </c>
      <c r="AX5" s="808">
        <f t="shared" ref="AX5:AZ5" si="113">EOMONTH(AW5,3)</f>
        <v>40724</v>
      </c>
      <c r="AY5" s="808">
        <f t="shared" si="113"/>
        <v>40816</v>
      </c>
      <c r="AZ5" s="808">
        <f t="shared" si="113"/>
        <v>40908</v>
      </c>
      <c r="BA5" s="806">
        <f t="shared" ref="BA5" si="114">+AV5+1</f>
        <v>2011</v>
      </c>
      <c r="BB5" s="808">
        <f t="shared" ref="BB5" si="115">EOMONTH(AW5,12)</f>
        <v>40999</v>
      </c>
      <c r="BC5" s="808">
        <f t="shared" ref="BC5:BE5" si="116">EOMONTH(BB5,3)</f>
        <v>41090</v>
      </c>
      <c r="BD5" s="808">
        <f t="shared" si="116"/>
        <v>41182</v>
      </c>
      <c r="BE5" s="808">
        <f t="shared" si="116"/>
        <v>41274</v>
      </c>
      <c r="BF5" s="806">
        <f t="shared" ref="BF5" si="117">+BA5+1</f>
        <v>2012</v>
      </c>
      <c r="BG5" s="808">
        <f t="shared" ref="BG5" si="118">EOMONTH(BB5,12)</f>
        <v>41364</v>
      </c>
      <c r="BH5" s="808">
        <f t="shared" ref="BH5:BJ5" si="119">EOMONTH(BG5,3)</f>
        <v>41455</v>
      </c>
      <c r="BI5" s="808">
        <f t="shared" si="119"/>
        <v>41547</v>
      </c>
      <c r="BJ5" s="808">
        <f t="shared" si="119"/>
        <v>41639</v>
      </c>
      <c r="BK5" s="806">
        <f t="shared" ref="BK5" si="120">+BF5+1</f>
        <v>2013</v>
      </c>
      <c r="BL5" s="808">
        <f t="shared" ref="BL5" si="121">EOMONTH(BG5,12)</f>
        <v>41729</v>
      </c>
      <c r="BM5" s="808">
        <f t="shared" ref="BM5:BO5" si="122">EOMONTH(BL5,3)</f>
        <v>41820</v>
      </c>
      <c r="BN5" s="808">
        <f t="shared" si="122"/>
        <v>41912</v>
      </c>
      <c r="BO5" s="808">
        <f t="shared" si="122"/>
        <v>42004</v>
      </c>
      <c r="BP5" s="806">
        <f t="shared" ref="BP5" si="123">+BK5+1</f>
        <v>2014</v>
      </c>
      <c r="BQ5" s="808">
        <f t="shared" ref="BQ5" si="124">EOMONTH(BL5,12)</f>
        <v>42094</v>
      </c>
      <c r="BR5" s="808">
        <f t="shared" ref="BR5:BT5" si="125">EOMONTH(BQ5,3)</f>
        <v>42185</v>
      </c>
      <c r="BS5" s="808">
        <f t="shared" si="125"/>
        <v>42277</v>
      </c>
      <c r="BT5" s="808">
        <f t="shared" si="125"/>
        <v>42369</v>
      </c>
      <c r="BU5" s="806">
        <f t="shared" ref="BU5" si="126">+BP5+1</f>
        <v>2015</v>
      </c>
      <c r="BV5" s="808">
        <f t="shared" ref="BV5" si="127">EOMONTH(BQ5,12)</f>
        <v>42460</v>
      </c>
      <c r="BW5" s="808">
        <f t="shared" ref="BW5:BY5" si="128">EOMONTH(BV5,3)</f>
        <v>42551</v>
      </c>
      <c r="BX5" s="808">
        <f t="shared" si="128"/>
        <v>42643</v>
      </c>
      <c r="BY5" s="808">
        <f t="shared" si="128"/>
        <v>42735</v>
      </c>
      <c r="BZ5" s="806">
        <f t="shared" ref="BZ5" si="129">+BU5+1</f>
        <v>2016</v>
      </c>
      <c r="CA5" s="808">
        <f t="shared" ref="CA5" si="130">EOMONTH(BV5,12)</f>
        <v>42825</v>
      </c>
      <c r="CB5" s="808">
        <f t="shared" ref="CB5:CD5" si="131">EOMONTH(CA5,3)</f>
        <v>42916</v>
      </c>
      <c r="CC5" s="808">
        <f t="shared" si="131"/>
        <v>43008</v>
      </c>
      <c r="CD5" s="808">
        <f t="shared" si="131"/>
        <v>43100</v>
      </c>
      <c r="CE5" s="806">
        <f t="shared" ref="CE5" si="132">+BZ5+1</f>
        <v>2017</v>
      </c>
      <c r="CF5" s="808">
        <f t="shared" ref="CF5" si="133">EOMONTH(CA5,12)</f>
        <v>43190</v>
      </c>
      <c r="CG5" s="808">
        <f t="shared" ref="CG5:CI5" si="134">EOMONTH(CF5,3)</f>
        <v>43281</v>
      </c>
      <c r="CH5" s="808">
        <f t="shared" si="134"/>
        <v>43373</v>
      </c>
      <c r="CI5" s="808">
        <f t="shared" si="134"/>
        <v>43465</v>
      </c>
      <c r="CJ5" s="806">
        <f t="shared" ref="CJ5" si="135">+CE5+1</f>
        <v>2018</v>
      </c>
      <c r="CK5" s="808">
        <f t="shared" ref="CK5" si="136">EOMONTH(CF5,12)</f>
        <v>43555</v>
      </c>
      <c r="CL5" s="808">
        <f t="shared" ref="CL5:CN5" si="137">EOMONTH(CK5,3)</f>
        <v>43646</v>
      </c>
      <c r="CM5" s="808">
        <f t="shared" si="137"/>
        <v>43738</v>
      </c>
      <c r="CN5" s="808">
        <f t="shared" si="137"/>
        <v>43830</v>
      </c>
      <c r="CO5" s="806">
        <f t="shared" ref="CO5" si="138">+CJ5+1</f>
        <v>2019</v>
      </c>
      <c r="CP5" s="808">
        <f t="shared" ref="CP5" si="139">EOMONTH(CK5,12)</f>
        <v>43921</v>
      </c>
      <c r="CQ5" s="808">
        <f t="shared" ref="CQ5:CS5" si="140">EOMONTH(CP5,3)</f>
        <v>44012</v>
      </c>
      <c r="CR5" s="808">
        <f t="shared" si="140"/>
        <v>44104</v>
      </c>
      <c r="CS5" s="808">
        <f t="shared" si="140"/>
        <v>44196</v>
      </c>
      <c r="CT5" s="806">
        <f t="shared" ref="CT5" si="141">+CO5+1</f>
        <v>2020</v>
      </c>
      <c r="CU5" s="808">
        <f t="shared" ref="CU5" si="142">EOMONTH(CP5,12)</f>
        <v>44286</v>
      </c>
      <c r="CV5" s="808">
        <f t="shared" ref="CV5:CX5" si="143">EOMONTH(CU5,3)</f>
        <v>44377</v>
      </c>
      <c r="CW5" s="808">
        <f t="shared" si="143"/>
        <v>44469</v>
      </c>
      <c r="CX5" s="808">
        <f t="shared" si="143"/>
        <v>44561</v>
      </c>
      <c r="CY5" s="806">
        <f t="shared" ref="CY5" si="144">+CT5+1</f>
        <v>2021</v>
      </c>
      <c r="CZ5" s="808">
        <f t="shared" ref="CZ5" si="145">EOMONTH(CU5,12)</f>
        <v>44651</v>
      </c>
      <c r="DA5" s="808">
        <f t="shared" ref="DA5:DC5" si="146">EOMONTH(CZ5,3)</f>
        <v>44742</v>
      </c>
      <c r="DB5" s="808">
        <f t="shared" si="146"/>
        <v>44834</v>
      </c>
      <c r="DC5" s="808">
        <f t="shared" si="146"/>
        <v>44926</v>
      </c>
      <c r="DD5" s="806">
        <f t="shared" ref="DD5" si="147">+CY5+1</f>
        <v>2022</v>
      </c>
      <c r="DE5" s="808">
        <f t="shared" ref="DE5" si="148">EOMONTH(CZ5,12)</f>
        <v>45016</v>
      </c>
      <c r="DF5" s="808">
        <f t="shared" ref="DF5:DH5" si="149">EOMONTH(DE5,3)</f>
        <v>45107</v>
      </c>
      <c r="DG5" s="808">
        <f t="shared" si="149"/>
        <v>45199</v>
      </c>
      <c r="DH5" s="808">
        <f t="shared" si="149"/>
        <v>45291</v>
      </c>
      <c r="DI5" s="806">
        <f t="shared" ref="DI5" si="150">+DD5+1</f>
        <v>2023</v>
      </c>
      <c r="DJ5" s="808">
        <f t="shared" ref="DJ5" si="151">EOMONTH(DE5,12)</f>
        <v>45382</v>
      </c>
      <c r="DK5" s="808">
        <f t="shared" ref="DK5:DM5" si="152">EOMONTH(DJ5,3)</f>
        <v>45473</v>
      </c>
      <c r="DL5" s="808">
        <f t="shared" si="152"/>
        <v>45565</v>
      </c>
      <c r="DM5" s="808">
        <f t="shared" si="152"/>
        <v>45657</v>
      </c>
      <c r="DN5" s="806">
        <f t="shared" ref="DN5" si="153">+DI5+1</f>
        <v>2024</v>
      </c>
      <c r="DO5" s="808">
        <f t="shared" ref="DO5" si="154">EOMONTH(DJ5,12)</f>
        <v>45747</v>
      </c>
      <c r="DP5" s="808">
        <f t="shared" ref="DP5:DR5" si="155">EOMONTH(DO5,3)</f>
        <v>45838</v>
      </c>
      <c r="DQ5" s="808">
        <f t="shared" si="155"/>
        <v>45930</v>
      </c>
      <c r="DR5" s="808">
        <f t="shared" si="155"/>
        <v>46022</v>
      </c>
      <c r="DS5" s="806">
        <f t="shared" ref="DS5" si="156">+DN5+1</f>
        <v>2025</v>
      </c>
      <c r="DT5" s="808">
        <f t="shared" ref="DT5" si="157">EOMONTH(DO5,12)</f>
        <v>46112</v>
      </c>
      <c r="DU5" s="808">
        <f t="shared" ref="DU5:DW5" si="158">EOMONTH(DT5,3)</f>
        <v>46203</v>
      </c>
      <c r="DV5" s="808">
        <f t="shared" si="158"/>
        <v>46295</v>
      </c>
      <c r="DW5" s="808">
        <f t="shared" si="158"/>
        <v>46387</v>
      </c>
      <c r="DX5" s="806">
        <f t="shared" ref="DX5" si="159">+DS5+1</f>
        <v>2026</v>
      </c>
      <c r="DY5" s="808">
        <f t="shared" ref="DY5" si="160">EOMONTH(DT5,12)</f>
        <v>46477</v>
      </c>
      <c r="DZ5" s="808">
        <f t="shared" ref="DZ5:EB5" si="161">EOMONTH(DY5,3)</f>
        <v>46568</v>
      </c>
      <c r="EA5" s="808">
        <f t="shared" si="161"/>
        <v>46660</v>
      </c>
      <c r="EB5" s="808">
        <f t="shared" si="161"/>
        <v>46752</v>
      </c>
      <c r="EC5" s="806">
        <f t="shared" ref="EC5" si="162">+DX5+1</f>
        <v>2027</v>
      </c>
      <c r="ED5" s="1165" t="s">
        <v>616</v>
      </c>
      <c r="EE5" s="139"/>
    </row>
    <row r="6" spans="1:135" ht="12" customHeight="1">
      <c r="A6" s="937"/>
      <c r="B6" s="937"/>
      <c r="C6" s="1270" t="s">
        <v>3</v>
      </c>
      <c r="D6" s="269"/>
      <c r="E6" s="269"/>
      <c r="F6" s="269"/>
      <c r="G6" s="269"/>
      <c r="H6" s="269"/>
      <c r="I6" s="270"/>
      <c r="J6" s="731"/>
      <c r="K6" s="731"/>
      <c r="L6" s="732"/>
      <c r="M6" s="269"/>
      <c r="N6" s="270"/>
      <c r="O6" s="731"/>
      <c r="P6" s="731"/>
      <c r="Q6" s="732"/>
      <c r="R6" s="269"/>
      <c r="S6" s="270"/>
      <c r="T6" s="731"/>
      <c r="U6" s="731"/>
      <c r="V6" s="732"/>
      <c r="W6" s="269"/>
      <c r="X6" s="270"/>
      <c r="Y6" s="731"/>
      <c r="Z6" s="731"/>
      <c r="AA6" s="732"/>
      <c r="AB6" s="269"/>
      <c r="AC6" s="270"/>
      <c r="AD6" s="731"/>
      <c r="AE6" s="731"/>
      <c r="AF6" s="732"/>
      <c r="AG6" s="269"/>
      <c r="AH6" s="270"/>
      <c r="AI6" s="731"/>
      <c r="AJ6" s="731"/>
      <c r="AK6" s="732"/>
      <c r="AL6" s="269"/>
      <c r="AM6" s="270"/>
      <c r="AN6" s="731"/>
      <c r="AO6" s="731"/>
      <c r="AP6" s="732"/>
      <c r="AQ6" s="269"/>
      <c r="AR6" s="270"/>
      <c r="AS6" s="731"/>
      <c r="AT6" s="731"/>
      <c r="AU6" s="732"/>
      <c r="AV6" s="269"/>
      <c r="AW6" s="270"/>
      <c r="AX6" s="731"/>
      <c r="AY6" s="731"/>
      <c r="AZ6" s="732"/>
      <c r="BA6" s="269"/>
      <c r="BB6" s="270"/>
      <c r="BC6" s="731"/>
      <c r="BD6" s="731"/>
      <c r="BE6" s="732"/>
      <c r="BF6" s="269"/>
      <c r="BG6" s="270"/>
      <c r="BH6" s="731"/>
      <c r="BI6" s="731"/>
      <c r="BJ6" s="732"/>
      <c r="BK6" s="269"/>
      <c r="BL6" s="270"/>
      <c r="BM6" s="731"/>
      <c r="BN6" s="731"/>
      <c r="BO6" s="732"/>
      <c r="BP6" s="269"/>
      <c r="BQ6" s="134"/>
      <c r="BR6" s="733"/>
      <c r="BS6" s="733"/>
      <c r="BT6" s="734"/>
      <c r="BU6" s="271"/>
      <c r="BV6" s="272"/>
      <c r="BW6" s="273"/>
      <c r="BX6" s="273"/>
      <c r="BY6" s="274"/>
      <c r="BZ6" s="271"/>
      <c r="CA6" s="275"/>
      <c r="CB6" s="397"/>
      <c r="CC6" s="397"/>
      <c r="CD6" s="735"/>
      <c r="CE6" s="276"/>
      <c r="CF6" s="275"/>
      <c r="CG6" s="397"/>
      <c r="CH6" s="397"/>
      <c r="CI6" s="735"/>
      <c r="CJ6" s="276"/>
      <c r="CK6" s="275"/>
      <c r="CL6" s="397"/>
      <c r="CM6" s="397"/>
      <c r="CN6" s="735"/>
      <c r="CO6" s="276"/>
      <c r="CP6" s="275"/>
      <c r="CQ6" s="397"/>
      <c r="CR6" s="397"/>
      <c r="CS6" s="735"/>
      <c r="CT6" s="276"/>
      <c r="CU6" s="275"/>
      <c r="CV6" s="397"/>
      <c r="CW6" s="397"/>
      <c r="CX6" s="736"/>
      <c r="CY6" s="276"/>
      <c r="CZ6" s="275"/>
      <c r="DA6" s="397"/>
      <c r="DB6" s="397"/>
      <c r="DC6" s="735"/>
      <c r="DD6" s="276"/>
      <c r="DE6" s="275"/>
      <c r="DF6" s="397"/>
      <c r="DG6" s="397"/>
      <c r="DH6" s="735"/>
      <c r="DI6" s="276"/>
      <c r="DJ6" s="275"/>
      <c r="DK6" s="397"/>
      <c r="DL6" s="397"/>
      <c r="DM6" s="735"/>
      <c r="DN6" s="276"/>
      <c r="DO6" s="275"/>
      <c r="DP6" s="397"/>
      <c r="DQ6" s="397"/>
      <c r="DR6" s="735"/>
      <c r="DS6" s="276"/>
      <c r="DT6" s="277"/>
      <c r="DU6" s="277"/>
      <c r="DV6" s="277"/>
      <c r="DW6" s="277"/>
      <c r="DX6" s="276"/>
      <c r="DY6" s="277"/>
      <c r="DZ6" s="277"/>
      <c r="EA6" s="277"/>
      <c r="EB6" s="277"/>
      <c r="EC6" s="276"/>
      <c r="ED6" s="1166"/>
    </row>
    <row r="7" spans="1:135" ht="12" hidden="1" customHeight="1" outlineLevel="1">
      <c r="A7" s="937" t="s">
        <v>534</v>
      </c>
      <c r="B7" s="937"/>
      <c r="C7" s="1271" t="s">
        <v>362</v>
      </c>
      <c r="D7" s="278"/>
      <c r="E7" s="278"/>
      <c r="F7" s="278"/>
      <c r="G7" s="278"/>
      <c r="H7" s="278"/>
      <c r="I7" s="270"/>
      <c r="J7" s="731"/>
      <c r="K7" s="731"/>
      <c r="L7" s="737"/>
      <c r="M7" s="278"/>
      <c r="N7" s="270"/>
      <c r="O7" s="731"/>
      <c r="P7" s="731"/>
      <c r="Q7" s="737"/>
      <c r="R7" s="278"/>
      <c r="S7" s="270"/>
      <c r="T7" s="731"/>
      <c r="U7" s="731"/>
      <c r="V7" s="737"/>
      <c r="W7" s="278"/>
      <c r="X7" s="270"/>
      <c r="Y7" s="731"/>
      <c r="Z7" s="731"/>
      <c r="AA7" s="737"/>
      <c r="AB7" s="278"/>
      <c r="AC7" s="270"/>
      <c r="AD7" s="731"/>
      <c r="AE7" s="731"/>
      <c r="AF7" s="737"/>
      <c r="AG7" s="278"/>
      <c r="AH7" s="270"/>
      <c r="AI7" s="731"/>
      <c r="AJ7" s="731"/>
      <c r="AK7" s="737"/>
      <c r="AL7" s="278"/>
      <c r="AM7" s="270"/>
      <c r="AN7" s="731"/>
      <c r="AO7" s="731"/>
      <c r="AP7" s="737"/>
      <c r="AQ7" s="278"/>
      <c r="AR7" s="270"/>
      <c r="AS7" s="731"/>
      <c r="AT7" s="731"/>
      <c r="AU7" s="737"/>
      <c r="AV7" s="278"/>
      <c r="AW7" s="270"/>
      <c r="AX7" s="731"/>
      <c r="AY7" s="731"/>
      <c r="AZ7" s="737"/>
      <c r="BA7" s="278"/>
      <c r="BB7" s="270"/>
      <c r="BC7" s="731"/>
      <c r="BD7" s="731"/>
      <c r="BE7" s="737"/>
      <c r="BF7" s="278"/>
      <c r="BG7" s="279"/>
      <c r="BH7" s="279"/>
      <c r="BI7" s="279"/>
      <c r="BJ7" s="280"/>
      <c r="BK7" s="278"/>
      <c r="BL7" s="279"/>
      <c r="BM7" s="279"/>
      <c r="BN7" s="279"/>
      <c r="BO7" s="280"/>
      <c r="BP7" s="278"/>
      <c r="BQ7" s="125">
        <v>22.352</v>
      </c>
      <c r="BR7" s="125">
        <v>25.459</v>
      </c>
      <c r="BS7" s="125">
        <v>29.56</v>
      </c>
      <c r="BT7" s="125">
        <v>34.607999999999997</v>
      </c>
      <c r="BU7" s="281">
        <f>SUM(BQ7:BT7)</f>
        <v>111.97899999999998</v>
      </c>
      <c r="BV7" s="125">
        <v>38.706000000000003</v>
      </c>
      <c r="BW7" s="125">
        <v>43.673999999999999</v>
      </c>
      <c r="BX7" s="125">
        <v>49.838999999999999</v>
      </c>
      <c r="BY7" s="125">
        <v>56.387</v>
      </c>
      <c r="BZ7" s="281">
        <f>SUM(BV7:BY7)</f>
        <v>188.60599999999999</v>
      </c>
      <c r="CA7" s="125">
        <v>62.08</v>
      </c>
      <c r="CB7" s="125">
        <v>71.597999999999999</v>
      </c>
      <c r="CC7" s="125">
        <v>82.435000000000002</v>
      </c>
      <c r="CD7" s="125">
        <v>93.918000000000006</v>
      </c>
      <c r="CE7" s="281">
        <f>SUM(CA7:CD7)</f>
        <v>310.03100000000001</v>
      </c>
      <c r="CF7" s="125">
        <v>100.19799999999999</v>
      </c>
      <c r="CG7" s="125">
        <v>110.721</v>
      </c>
      <c r="CH7" s="125">
        <v>120.517</v>
      </c>
      <c r="CI7" s="125">
        <v>133.56</v>
      </c>
      <c r="CJ7" s="281">
        <f>SUM(CF7:CI7)</f>
        <v>464.99599999999998</v>
      </c>
      <c r="CK7" s="125">
        <v>140.45099999999999</v>
      </c>
      <c r="CL7" s="125">
        <v>153.047</v>
      </c>
      <c r="CM7" s="125">
        <v>165.577</v>
      </c>
      <c r="CN7" s="125">
        <v>183.166</v>
      </c>
      <c r="CO7" s="281">
        <f>SUM(CK7:CN7)</f>
        <v>642.24099999999999</v>
      </c>
      <c r="CP7" s="125">
        <v>187.60900000000001</v>
      </c>
      <c r="CQ7" s="125">
        <v>196.434</v>
      </c>
      <c r="CR7" s="125">
        <v>245.274</v>
      </c>
      <c r="CS7" s="125">
        <v>279.44</v>
      </c>
      <c r="CT7" s="281">
        <f>SUM(CP7:CS7)</f>
        <v>908.75700000000006</v>
      </c>
      <c r="CU7" s="282">
        <v>320.68099999999998</v>
      </c>
      <c r="CV7" s="282">
        <v>334.23700000000002</v>
      </c>
      <c r="CW7" s="282">
        <v>336.20800000000003</v>
      </c>
      <c r="CX7" s="282">
        <v>351.20800000000003</v>
      </c>
      <c r="CY7" s="281">
        <f>SUM(CU7:CX7)</f>
        <v>1342.3340000000001</v>
      </c>
      <c r="CZ7" s="282">
        <v>344.76100000000002</v>
      </c>
      <c r="DA7" s="282">
        <v>366.44299999999998</v>
      </c>
      <c r="DB7" s="282">
        <v>376.30099999999999</v>
      </c>
      <c r="DC7" s="282">
        <v>400.25400000000002</v>
      </c>
      <c r="DD7" s="281">
        <f>SUM(CZ7:DC7)</f>
        <v>1487.759</v>
      </c>
      <c r="DE7" s="282">
        <v>382</v>
      </c>
      <c r="DF7" s="282">
        <v>444</v>
      </c>
      <c r="DG7" s="282">
        <v>486</v>
      </c>
      <c r="DH7" s="282">
        <v>525</v>
      </c>
      <c r="DI7" s="281">
        <f>SUM(DE7:DH7)</f>
        <v>1837</v>
      </c>
      <c r="DJ7" s="282">
        <v>511</v>
      </c>
      <c r="DK7" s="282">
        <v>563</v>
      </c>
      <c r="DL7" s="282">
        <v>610</v>
      </c>
      <c r="DM7" s="111">
        <f>'Revenue Build'!DM36</f>
        <v>657.73450620117183</v>
      </c>
      <c r="DN7" s="281">
        <f>SUM(DJ7:DM7)</f>
        <v>2341.7345062011718</v>
      </c>
      <c r="DO7" s="111">
        <f>'Revenue Build'!DO36</f>
        <v>603.53177420703116</v>
      </c>
      <c r="DP7" s="111">
        <f>'Revenue Build'!DP36</f>
        <v>664.94792344140615</v>
      </c>
      <c r="DQ7" s="111">
        <f>'Revenue Build'!DQ36</f>
        <v>720.45867371093732</v>
      </c>
      <c r="DR7" s="111">
        <f>'Revenue Build'!DR36</f>
        <v>776.83693441248283</v>
      </c>
      <c r="DS7" s="281">
        <f>SUM(DO7:DR7)</f>
        <v>2765.7753057718573</v>
      </c>
      <c r="DT7" s="111">
        <f>'Revenue Build'!DT36</f>
        <v>699.49545988507248</v>
      </c>
      <c r="DU7" s="111">
        <f>'Revenue Build'!DU36</f>
        <v>770.67699396339685</v>
      </c>
      <c r="DV7" s="111">
        <f>'Revenue Build'!DV36</f>
        <v>835.01414976495926</v>
      </c>
      <c r="DW7" s="111">
        <f>'Revenue Build'!DW36</f>
        <v>900.35675322401119</v>
      </c>
      <c r="DX7" s="281">
        <f>SUM(DT7:DW7)</f>
        <v>3205.5433568374401</v>
      </c>
      <c r="DY7" s="111">
        <f>'Revenue Build'!DY36</f>
        <v>802.99658977699755</v>
      </c>
      <c r="DZ7" s="111">
        <f>'Revenue Build'!DZ36</f>
        <v>884.71052846271948</v>
      </c>
      <c r="EA7" s="111">
        <f>'Revenue Build'!EA36</f>
        <v>958.56735765942938</v>
      </c>
      <c r="EB7" s="111">
        <f>'Revenue Build'!EB36</f>
        <v>1033.5784059847326</v>
      </c>
      <c r="EC7" s="281">
        <f>SUM(DY7:EB7)</f>
        <v>3679.8528818838795</v>
      </c>
      <c r="ED7" s="1167">
        <f>+(EC7/DN7)^(0.333333333333333)-1</f>
        <v>0.16260164625270401</v>
      </c>
    </row>
    <row r="8" spans="1:135" ht="12" hidden="1" customHeight="1" outlineLevel="1">
      <c r="A8" s="937" t="s">
        <v>535</v>
      </c>
      <c r="B8" s="937"/>
      <c r="C8" s="283" t="s">
        <v>140</v>
      </c>
      <c r="D8" s="284"/>
      <c r="E8" s="284"/>
      <c r="F8" s="284"/>
      <c r="G8" s="284"/>
      <c r="H8" s="284"/>
      <c r="I8" s="99"/>
      <c r="J8" s="99"/>
      <c r="K8" s="99"/>
      <c r="L8" s="99"/>
      <c r="M8" s="284"/>
      <c r="N8" s="738"/>
      <c r="O8" s="738"/>
      <c r="P8" s="738"/>
      <c r="Q8" s="738"/>
      <c r="R8" s="284"/>
      <c r="S8" s="738"/>
      <c r="T8" s="738"/>
      <c r="U8" s="738"/>
      <c r="V8" s="738"/>
      <c r="W8" s="284"/>
      <c r="X8" s="738"/>
      <c r="Y8" s="738"/>
      <c r="Z8" s="738"/>
      <c r="AA8" s="738"/>
      <c r="AB8" s="284"/>
      <c r="AC8" s="738"/>
      <c r="AD8" s="738"/>
      <c r="AE8" s="738"/>
      <c r="AF8" s="738"/>
      <c r="AG8" s="284"/>
      <c r="AH8" s="738"/>
      <c r="AI8" s="738"/>
      <c r="AJ8" s="738"/>
      <c r="AK8" s="738"/>
      <c r="AL8" s="284"/>
      <c r="AM8" s="738"/>
      <c r="AN8" s="738"/>
      <c r="AO8" s="738"/>
      <c r="AP8" s="738"/>
      <c r="AQ8" s="284"/>
      <c r="AR8" s="738"/>
      <c r="AS8" s="738"/>
      <c r="AT8" s="738"/>
      <c r="AU8" s="738"/>
      <c r="AV8" s="284"/>
      <c r="AW8" s="738"/>
      <c r="AX8" s="738"/>
      <c r="AY8" s="738"/>
      <c r="AZ8" s="738"/>
      <c r="BA8" s="284"/>
      <c r="BB8" s="738"/>
      <c r="BC8" s="738"/>
      <c r="BD8" s="738"/>
      <c r="BE8" s="738"/>
      <c r="BF8" s="284"/>
      <c r="BG8" s="285"/>
      <c r="BH8" s="285"/>
      <c r="BI8" s="285"/>
      <c r="BJ8" s="285"/>
      <c r="BK8" s="284"/>
      <c r="BL8" s="738"/>
      <c r="BM8" s="738"/>
      <c r="BN8" s="738"/>
      <c r="BO8" s="738"/>
      <c r="BP8" s="284"/>
      <c r="BQ8" s="287"/>
      <c r="BR8" s="287"/>
      <c r="BS8" s="287"/>
      <c r="BT8" s="287"/>
      <c r="BU8" s="286"/>
      <c r="BV8" s="287">
        <f t="shared" ref="BV8:DA8" si="163">+IF(BQ7&lt;=0,"nm",BV7/BQ7-1)</f>
        <v>0.73165712240515401</v>
      </c>
      <c r="BW8" s="287">
        <f t="shared" si="163"/>
        <v>0.71546407950037305</v>
      </c>
      <c r="BX8" s="287">
        <f t="shared" si="163"/>
        <v>0.68602841677943172</v>
      </c>
      <c r="BY8" s="287">
        <f t="shared" si="163"/>
        <v>0.62930536292186789</v>
      </c>
      <c r="BZ8" s="286">
        <f t="shared" si="163"/>
        <v>0.68429794872252847</v>
      </c>
      <c r="CA8" s="287">
        <f t="shared" si="163"/>
        <v>0.60388570247506834</v>
      </c>
      <c r="CB8" s="287">
        <f t="shared" si="163"/>
        <v>0.63937354032147264</v>
      </c>
      <c r="CC8" s="287">
        <f t="shared" si="163"/>
        <v>0.65402596360280119</v>
      </c>
      <c r="CD8" s="287">
        <f t="shared" si="163"/>
        <v>0.6655966800858355</v>
      </c>
      <c r="CE8" s="286">
        <f t="shared" si="163"/>
        <v>0.64380242410103605</v>
      </c>
      <c r="CF8" s="287">
        <f t="shared" si="163"/>
        <v>0.61401417525773194</v>
      </c>
      <c r="CG8" s="287">
        <f t="shared" si="163"/>
        <v>0.54642587781781615</v>
      </c>
      <c r="CH8" s="287">
        <f t="shared" si="163"/>
        <v>0.46196397161399871</v>
      </c>
      <c r="CI8" s="287">
        <f t="shared" si="163"/>
        <v>0.4220916118315976</v>
      </c>
      <c r="CJ8" s="286">
        <f t="shared" si="163"/>
        <v>0.49983711306288714</v>
      </c>
      <c r="CK8" s="287">
        <f t="shared" si="163"/>
        <v>0.40173456556019094</v>
      </c>
      <c r="CL8" s="287">
        <f t="shared" si="163"/>
        <v>0.38227617163862315</v>
      </c>
      <c r="CM8" s="287">
        <f t="shared" si="163"/>
        <v>0.37388916086527213</v>
      </c>
      <c r="CN8" s="287">
        <f t="shared" si="163"/>
        <v>0.37141359688529496</v>
      </c>
      <c r="CO8" s="286">
        <f t="shared" si="163"/>
        <v>0.38117532193825321</v>
      </c>
      <c r="CP8" s="287">
        <f t="shared" si="163"/>
        <v>0.33576122633516325</v>
      </c>
      <c r="CQ8" s="287">
        <f t="shared" si="163"/>
        <v>0.28348807882545879</v>
      </c>
      <c r="CR8" s="287">
        <f t="shared" si="163"/>
        <v>0.48132892853476039</v>
      </c>
      <c r="CS8" s="287">
        <f t="shared" si="163"/>
        <v>0.52561064826441584</v>
      </c>
      <c r="CT8" s="286">
        <f t="shared" si="163"/>
        <v>0.41497817797368919</v>
      </c>
      <c r="CU8" s="287">
        <f t="shared" si="163"/>
        <v>0.70930499069874031</v>
      </c>
      <c r="CV8" s="287">
        <f t="shared" si="163"/>
        <v>0.70152315790545439</v>
      </c>
      <c r="CW8" s="287">
        <f t="shared" si="163"/>
        <v>0.37074455506902493</v>
      </c>
      <c r="CX8" s="288">
        <f t="shared" si="163"/>
        <v>0.25682794159748079</v>
      </c>
      <c r="CY8" s="286">
        <f t="shared" si="163"/>
        <v>0.47710994248187366</v>
      </c>
      <c r="CZ8" s="287">
        <f t="shared" si="163"/>
        <v>7.5090198670953567E-2</v>
      </c>
      <c r="DA8" s="287">
        <f t="shared" si="163"/>
        <v>9.6356776778154352E-2</v>
      </c>
      <c r="DB8" s="287">
        <f t="shared" ref="DB8:EC8" si="164">+IF(CW7&lt;=0,"nm",DB7/CW7-1)</f>
        <v>0.11925058297244551</v>
      </c>
      <c r="DC8" s="287">
        <f t="shared" si="164"/>
        <v>0.13964943850937339</v>
      </c>
      <c r="DD8" s="286">
        <f t="shared" si="164"/>
        <v>0.10833741825804899</v>
      </c>
      <c r="DE8" s="287">
        <f t="shared" si="164"/>
        <v>0.10801395749519216</v>
      </c>
      <c r="DF8" s="287">
        <f t="shared" si="164"/>
        <v>0.21164819630883946</v>
      </c>
      <c r="DG8" s="287">
        <f t="shared" si="164"/>
        <v>0.29151928907975266</v>
      </c>
      <c r="DH8" s="287">
        <f t="shared" si="164"/>
        <v>0.3116670913969628</v>
      </c>
      <c r="DI8" s="286">
        <f t="shared" si="164"/>
        <v>0.23474299264867504</v>
      </c>
      <c r="DJ8" s="287">
        <f t="shared" si="164"/>
        <v>0.33769633507853403</v>
      </c>
      <c r="DK8" s="287">
        <f t="shared" si="164"/>
        <v>0.26801801801801806</v>
      </c>
      <c r="DL8" s="287">
        <f t="shared" si="164"/>
        <v>0.25514403292181065</v>
      </c>
      <c r="DM8" s="287">
        <f t="shared" si="164"/>
        <v>0.25282763085937487</v>
      </c>
      <c r="DN8" s="286">
        <f t="shared" si="164"/>
        <v>0.27476021023471531</v>
      </c>
      <c r="DO8" s="287">
        <f t="shared" si="164"/>
        <v>0.18107979296874976</v>
      </c>
      <c r="DP8" s="287">
        <f t="shared" si="164"/>
        <v>0.18107979296874976</v>
      </c>
      <c r="DQ8" s="287">
        <f t="shared" si="164"/>
        <v>0.18107979296874976</v>
      </c>
      <c r="DR8" s="287">
        <f t="shared" si="164"/>
        <v>0.18107979296874976</v>
      </c>
      <c r="DS8" s="286">
        <f t="shared" si="164"/>
        <v>0.18107979296874976</v>
      </c>
      <c r="DT8" s="287">
        <f t="shared" si="164"/>
        <v>0.15900353515624954</v>
      </c>
      <c r="DU8" s="287">
        <f t="shared" si="164"/>
        <v>0.15900353515624954</v>
      </c>
      <c r="DV8" s="287">
        <f t="shared" si="164"/>
        <v>0.15900353515624954</v>
      </c>
      <c r="DW8" s="287">
        <f t="shared" si="164"/>
        <v>0.15900353515624954</v>
      </c>
      <c r="DX8" s="286">
        <f t="shared" si="164"/>
        <v>0.15900353515624976</v>
      </c>
      <c r="DY8" s="287">
        <f t="shared" si="164"/>
        <v>0.14796540624999954</v>
      </c>
      <c r="DZ8" s="287">
        <f t="shared" si="164"/>
        <v>0.14796540624999976</v>
      </c>
      <c r="EA8" s="287">
        <f t="shared" si="164"/>
        <v>0.14796540624999954</v>
      </c>
      <c r="EB8" s="287">
        <f t="shared" si="164"/>
        <v>0.14796540624999954</v>
      </c>
      <c r="EC8" s="286">
        <f t="shared" si="164"/>
        <v>0.14796540624999954</v>
      </c>
      <c r="ED8" s="287"/>
    </row>
    <row r="9" spans="1:135" ht="12" hidden="1" customHeight="1" outlineLevel="1">
      <c r="A9" s="937" t="s">
        <v>537</v>
      </c>
      <c r="B9" s="937"/>
      <c r="C9" s="1272" t="s">
        <v>363</v>
      </c>
      <c r="D9" s="278"/>
      <c r="E9" s="278"/>
      <c r="F9" s="278"/>
      <c r="G9" s="278"/>
      <c r="H9" s="278"/>
      <c r="I9" s="289"/>
      <c r="J9" s="739"/>
      <c r="K9" s="739"/>
      <c r="L9" s="737"/>
      <c r="M9" s="278"/>
      <c r="N9" s="289"/>
      <c r="O9" s="739"/>
      <c r="P9" s="739"/>
      <c r="Q9" s="737"/>
      <c r="R9" s="278"/>
      <c r="S9" s="289"/>
      <c r="T9" s="739"/>
      <c r="U9" s="739"/>
      <c r="V9" s="737"/>
      <c r="W9" s="278"/>
      <c r="X9" s="289"/>
      <c r="Y9" s="739"/>
      <c r="Z9" s="739"/>
      <c r="AA9" s="737"/>
      <c r="AB9" s="278"/>
      <c r="AC9" s="289"/>
      <c r="AD9" s="739"/>
      <c r="AE9" s="739"/>
      <c r="AF9" s="737"/>
      <c r="AG9" s="278"/>
      <c r="AH9" s="289"/>
      <c r="AI9" s="739"/>
      <c r="AJ9" s="739"/>
      <c r="AK9" s="737"/>
      <c r="AL9" s="278"/>
      <c r="AM9" s="289"/>
      <c r="AN9" s="739"/>
      <c r="AO9" s="739"/>
      <c r="AP9" s="737"/>
      <c r="AQ9" s="278"/>
      <c r="AR9" s="289"/>
      <c r="AS9" s="739"/>
      <c r="AT9" s="739"/>
      <c r="AU9" s="737"/>
      <c r="AV9" s="278"/>
      <c r="AW9" s="289"/>
      <c r="AX9" s="739"/>
      <c r="AY9" s="739"/>
      <c r="AZ9" s="737"/>
      <c r="BA9" s="278"/>
      <c r="BB9" s="289"/>
      <c r="BC9" s="739"/>
      <c r="BD9" s="739"/>
      <c r="BE9" s="737"/>
      <c r="BF9" s="278"/>
      <c r="BG9" s="290"/>
      <c r="BH9" s="290"/>
      <c r="BI9" s="290"/>
      <c r="BJ9" s="290"/>
      <c r="BK9" s="278"/>
      <c r="BL9" s="290"/>
      <c r="BM9" s="290"/>
      <c r="BN9" s="290"/>
      <c r="BO9" s="290"/>
      <c r="BP9" s="278"/>
      <c r="BQ9" s="125">
        <v>14.996</v>
      </c>
      <c r="BR9" s="125">
        <v>19.466999999999999</v>
      </c>
      <c r="BS9" s="125">
        <v>23.225999999999999</v>
      </c>
      <c r="BT9" s="125">
        <v>35.564999999999998</v>
      </c>
      <c r="BU9" s="281">
        <f>SUM(BQ9:BT9)</f>
        <v>93.253999999999991</v>
      </c>
      <c r="BV9" s="125">
        <v>34.015999999999998</v>
      </c>
      <c r="BW9" s="125">
        <v>42.972999999999999</v>
      </c>
      <c r="BX9" s="125">
        <v>49.738999999999997</v>
      </c>
      <c r="BY9" s="125">
        <v>73.995999999999995</v>
      </c>
      <c r="BZ9" s="281">
        <f>SUM(BV9:BY9)</f>
        <v>200.72399999999999</v>
      </c>
      <c r="CA9" s="125">
        <v>65.299000000000007</v>
      </c>
      <c r="CB9" s="125">
        <v>80.057000000000002</v>
      </c>
      <c r="CC9" s="125">
        <v>89.021000000000001</v>
      </c>
      <c r="CD9" s="125">
        <v>128.89599999999999</v>
      </c>
      <c r="CE9" s="281">
        <f>SUM(CA9:CD9)</f>
        <v>363.27300000000002</v>
      </c>
      <c r="CF9" s="125">
        <v>114.142</v>
      </c>
      <c r="CG9" s="125">
        <v>134.24199999999999</v>
      </c>
      <c r="CH9" s="125">
        <v>149.547</v>
      </c>
      <c r="CI9" s="125">
        <v>210.30199999999999</v>
      </c>
      <c r="CJ9" s="281">
        <f>SUM(CF9:CI9)</f>
        <v>608.23299999999995</v>
      </c>
      <c r="CK9" s="125">
        <v>180.03100000000001</v>
      </c>
      <c r="CL9" s="125">
        <v>208.93199999999999</v>
      </c>
      <c r="CM9" s="125">
        <v>224.97499999999999</v>
      </c>
      <c r="CN9" s="125">
        <v>321.99400000000003</v>
      </c>
      <c r="CO9" s="281">
        <f>SUM(CK9:CN9)</f>
        <v>935.93200000000002</v>
      </c>
      <c r="CP9" s="125">
        <v>282.392</v>
      </c>
      <c r="CQ9" s="125">
        <v>517.90700000000004</v>
      </c>
      <c r="CR9" s="125">
        <v>522.13099999999997</v>
      </c>
      <c r="CS9" s="125">
        <v>698.30399999999997</v>
      </c>
      <c r="CT9" s="281">
        <f>SUM(CP9:CS9)</f>
        <v>2020.7339999999999</v>
      </c>
      <c r="CU9" s="282">
        <v>667.96600000000001</v>
      </c>
      <c r="CV9" s="282">
        <v>785.20799999999997</v>
      </c>
      <c r="CW9" s="282">
        <v>787.53200000000004</v>
      </c>
      <c r="CX9" s="282">
        <v>1028.816</v>
      </c>
      <c r="CY9" s="281">
        <f>SUM(CU9:CX9)</f>
        <v>3269.5219999999999</v>
      </c>
      <c r="CZ9" s="282">
        <v>858.86199999999997</v>
      </c>
      <c r="DA9" s="282">
        <v>928.62</v>
      </c>
      <c r="DB9" s="282">
        <v>989.899</v>
      </c>
      <c r="DC9" s="282">
        <v>1334.7239999999999</v>
      </c>
      <c r="DD9" s="281">
        <f>SUM(CZ9:DC9)</f>
        <v>4112.1049999999996</v>
      </c>
      <c r="DE9" s="282">
        <v>1126</v>
      </c>
      <c r="DF9" s="282">
        <v>1250</v>
      </c>
      <c r="DG9" s="282">
        <v>1228</v>
      </c>
      <c r="DH9" s="282">
        <v>1619</v>
      </c>
      <c r="DI9" s="281">
        <f>SUM(DE9:DH9)</f>
        <v>5223</v>
      </c>
      <c r="DJ9" s="282">
        <v>1350</v>
      </c>
      <c r="DK9" s="282">
        <v>1482</v>
      </c>
      <c r="DL9" s="282">
        <v>1552</v>
      </c>
      <c r="DM9" s="111">
        <f>'Revenue Build'!DM48</f>
        <v>2045.8546874999995</v>
      </c>
      <c r="DN9" s="281">
        <f>SUM(DJ9:DM9)</f>
        <v>6429.8546874999993</v>
      </c>
      <c r="DO9" s="111">
        <f>'Revenue Build'!DO48</f>
        <v>1735.3516499999998</v>
      </c>
      <c r="DP9" s="111">
        <f>'Revenue Build'!DP48</f>
        <v>1843.080458073149</v>
      </c>
      <c r="DQ9" s="111">
        <f>'Revenue Build'!DQ48</f>
        <v>1911.4469750181172</v>
      </c>
      <c r="DR9" s="111">
        <f>'Revenue Build'!DR48</f>
        <v>2541.1020992718668</v>
      </c>
      <c r="DS9" s="281">
        <f>SUM(DO9:DR9)</f>
        <v>8030.9811823631326</v>
      </c>
      <c r="DT9" s="111">
        <f>'Revenue Build'!DT48</f>
        <v>2099.7097969725</v>
      </c>
      <c r="DU9" s="111">
        <f>'Revenue Build'!DU48</f>
        <v>2230.4691199490094</v>
      </c>
      <c r="DV9" s="111">
        <f>'Revenue Build'!DV48</f>
        <v>2312.5506412381696</v>
      </c>
      <c r="DW9" s="111">
        <f>'Revenue Build'!DW48</f>
        <v>3075.1577877852824</v>
      </c>
      <c r="DX9" s="281">
        <f>SUM(DT9:DW9)</f>
        <v>9717.8873459449605</v>
      </c>
      <c r="DY9" s="111">
        <f>'Revenue Build'!DY48</f>
        <v>2497.3713891267748</v>
      </c>
      <c r="DZ9" s="111">
        <f>'Revenue Build'!DZ48</f>
        <v>2653.2274940709831</v>
      </c>
      <c r="EA9" s="111">
        <f>'Revenue Build'!EA48</f>
        <v>2750.3378805978182</v>
      </c>
      <c r="EB9" s="111">
        <f>'Revenue Build'!EB48</f>
        <v>3657.9787360569271</v>
      </c>
      <c r="EC9" s="281">
        <f>SUM(DY9:EB9)</f>
        <v>11558.915499852503</v>
      </c>
      <c r="ED9" s="1167">
        <f>+(EC9/DN9)^(0.333333333333333)-1</f>
        <v>0.21592086305381764</v>
      </c>
    </row>
    <row r="10" spans="1:135" ht="12" hidden="1" customHeight="1" outlineLevel="1">
      <c r="A10" s="937" t="s">
        <v>538</v>
      </c>
      <c r="B10" s="937"/>
      <c r="C10" s="283" t="s">
        <v>140</v>
      </c>
      <c r="D10" s="284"/>
      <c r="E10" s="284"/>
      <c r="F10" s="284"/>
      <c r="G10" s="284"/>
      <c r="H10" s="284"/>
      <c r="I10" s="99"/>
      <c r="J10" s="99"/>
      <c r="K10" s="99"/>
      <c r="L10" s="99"/>
      <c r="M10" s="284"/>
      <c r="N10" s="738"/>
      <c r="O10" s="738"/>
      <c r="P10" s="738"/>
      <c r="Q10" s="738"/>
      <c r="R10" s="284"/>
      <c r="S10" s="738"/>
      <c r="T10" s="738"/>
      <c r="U10" s="738"/>
      <c r="V10" s="738"/>
      <c r="W10" s="284"/>
      <c r="X10" s="738"/>
      <c r="Y10" s="738"/>
      <c r="Z10" s="738"/>
      <c r="AA10" s="738"/>
      <c r="AB10" s="284"/>
      <c r="AC10" s="738"/>
      <c r="AD10" s="738"/>
      <c r="AE10" s="738"/>
      <c r="AF10" s="738"/>
      <c r="AG10" s="284"/>
      <c r="AH10" s="738"/>
      <c r="AI10" s="738"/>
      <c r="AJ10" s="738"/>
      <c r="AK10" s="738"/>
      <c r="AL10" s="284"/>
      <c r="AM10" s="738"/>
      <c r="AN10" s="738"/>
      <c r="AO10" s="738"/>
      <c r="AP10" s="738"/>
      <c r="AQ10" s="284"/>
      <c r="AR10" s="738"/>
      <c r="AS10" s="738"/>
      <c r="AT10" s="738"/>
      <c r="AU10" s="738"/>
      <c r="AV10" s="284"/>
      <c r="AW10" s="738"/>
      <c r="AX10" s="738"/>
      <c r="AY10" s="738"/>
      <c r="AZ10" s="738"/>
      <c r="BA10" s="284"/>
      <c r="BB10" s="738"/>
      <c r="BC10" s="738"/>
      <c r="BD10" s="738"/>
      <c r="BE10" s="738"/>
      <c r="BF10" s="284"/>
      <c r="BG10" s="285"/>
      <c r="BH10" s="285"/>
      <c r="BI10" s="285"/>
      <c r="BJ10" s="285"/>
      <c r="BK10" s="284"/>
      <c r="BL10" s="738"/>
      <c r="BM10" s="738"/>
      <c r="BN10" s="738"/>
      <c r="BO10" s="738"/>
      <c r="BP10" s="284"/>
      <c r="BQ10" s="287"/>
      <c r="BR10" s="287"/>
      <c r="BS10" s="287"/>
      <c r="BT10" s="287"/>
      <c r="BU10" s="286"/>
      <c r="BV10" s="287">
        <f t="shared" ref="BV10:DA10" si="165">+IF(BQ9&lt;=0,"nm",BV9/BQ9-1)</f>
        <v>1.2683382235262735</v>
      </c>
      <c r="BW10" s="287">
        <f t="shared" si="165"/>
        <v>1.2074793239841783</v>
      </c>
      <c r="BX10" s="287">
        <f t="shared" si="165"/>
        <v>1.141522431757513</v>
      </c>
      <c r="BY10" s="287">
        <f t="shared" si="165"/>
        <v>1.0805848446506396</v>
      </c>
      <c r="BZ10" s="286">
        <f t="shared" si="165"/>
        <v>1.152443862997834</v>
      </c>
      <c r="CA10" s="287">
        <f t="shared" si="165"/>
        <v>0.91965545625587986</v>
      </c>
      <c r="CB10" s="287">
        <f t="shared" si="165"/>
        <v>0.86296046354687839</v>
      </c>
      <c r="CC10" s="287">
        <f t="shared" si="165"/>
        <v>0.78976256056615535</v>
      </c>
      <c r="CD10" s="287">
        <f t="shared" si="165"/>
        <v>0.74193199632412554</v>
      </c>
      <c r="CE10" s="286">
        <f t="shared" si="165"/>
        <v>0.80981347521970481</v>
      </c>
      <c r="CF10" s="287">
        <f t="shared" si="165"/>
        <v>0.74799001516102837</v>
      </c>
      <c r="CG10" s="287">
        <f t="shared" si="165"/>
        <v>0.67683025844086075</v>
      </c>
      <c r="CH10" s="287">
        <f t="shared" si="165"/>
        <v>0.67990698823873008</v>
      </c>
      <c r="CI10" s="287">
        <f t="shared" si="165"/>
        <v>0.63156343098311818</v>
      </c>
      <c r="CJ10" s="286">
        <f t="shared" si="165"/>
        <v>0.67431380807271646</v>
      </c>
      <c r="CK10" s="287">
        <f t="shared" si="165"/>
        <v>0.5772546477195073</v>
      </c>
      <c r="CL10" s="287">
        <f t="shared" si="165"/>
        <v>0.55638324816376405</v>
      </c>
      <c r="CM10" s="287">
        <f t="shared" si="165"/>
        <v>0.50437655051589125</v>
      </c>
      <c r="CN10" s="287">
        <f t="shared" si="165"/>
        <v>0.53110289012943301</v>
      </c>
      <c r="CO10" s="286">
        <f t="shared" si="165"/>
        <v>0.53877214817347974</v>
      </c>
      <c r="CP10" s="287">
        <f t="shared" si="165"/>
        <v>0.56857430109258944</v>
      </c>
      <c r="CQ10" s="287">
        <f t="shared" si="165"/>
        <v>1.4788304328681106</v>
      </c>
      <c r="CR10" s="287">
        <f t="shared" si="165"/>
        <v>1.3208400933437048</v>
      </c>
      <c r="CS10" s="287">
        <f t="shared" si="165"/>
        <v>1.1686863730380068</v>
      </c>
      <c r="CT10" s="286">
        <f t="shared" si="165"/>
        <v>1.1590607009910974</v>
      </c>
      <c r="CU10" s="287">
        <f t="shared" si="165"/>
        <v>1.365385704977478</v>
      </c>
      <c r="CV10" s="287">
        <f t="shared" si="165"/>
        <v>0.51611775859372422</v>
      </c>
      <c r="CW10" s="287">
        <f t="shared" si="165"/>
        <v>0.50830347173410528</v>
      </c>
      <c r="CX10" s="288">
        <f t="shared" si="165"/>
        <v>0.47330675465126948</v>
      </c>
      <c r="CY10" s="286">
        <f t="shared" si="165"/>
        <v>0.61798732539760315</v>
      </c>
      <c r="CZ10" s="287">
        <f t="shared" si="165"/>
        <v>0.28578700113478828</v>
      </c>
      <c r="DA10" s="287">
        <f t="shared" si="165"/>
        <v>0.18264205153284241</v>
      </c>
      <c r="DB10" s="287">
        <f t="shared" ref="DB10:EC10" si="166">+IF(CW9&lt;=0,"nm",DB9/CW9-1)</f>
        <v>0.25696352656146026</v>
      </c>
      <c r="DC10" s="287">
        <f t="shared" si="166"/>
        <v>0.29733985474564917</v>
      </c>
      <c r="DD10" s="286">
        <f t="shared" si="166"/>
        <v>0.25770831332531174</v>
      </c>
      <c r="DE10" s="287">
        <f t="shared" si="166"/>
        <v>0.31103716312981611</v>
      </c>
      <c r="DF10" s="287">
        <f t="shared" si="166"/>
        <v>0.34608343563567434</v>
      </c>
      <c r="DG10" s="287">
        <f t="shared" si="166"/>
        <v>0.24053059958642242</v>
      </c>
      <c r="DH10" s="287">
        <f t="shared" si="166"/>
        <v>0.21298485679436352</v>
      </c>
      <c r="DI10" s="286">
        <f t="shared" si="166"/>
        <v>0.27015239153669479</v>
      </c>
      <c r="DJ10" s="287">
        <f t="shared" si="166"/>
        <v>0.19893428063943164</v>
      </c>
      <c r="DK10" s="287">
        <f t="shared" si="166"/>
        <v>0.18559999999999999</v>
      </c>
      <c r="DL10" s="287">
        <f t="shared" si="166"/>
        <v>0.26384364820846895</v>
      </c>
      <c r="DM10" s="287">
        <f t="shared" si="166"/>
        <v>0.26365329678814042</v>
      </c>
      <c r="DN10" s="286">
        <f t="shared" si="166"/>
        <v>0.23106541977790518</v>
      </c>
      <c r="DO10" s="287">
        <f t="shared" si="166"/>
        <v>0.28544566666666649</v>
      </c>
      <c r="DP10" s="287">
        <f t="shared" si="166"/>
        <v>0.24364403378754984</v>
      </c>
      <c r="DQ10" s="287">
        <f t="shared" si="166"/>
        <v>0.23160243235703426</v>
      </c>
      <c r="DR10" s="287">
        <f t="shared" si="166"/>
        <v>0.24207360121800803</v>
      </c>
      <c r="DS10" s="286">
        <f t="shared" si="166"/>
        <v>0.24901441365009602</v>
      </c>
      <c r="DT10" s="287">
        <f t="shared" si="166"/>
        <v>0.20996214051054163</v>
      </c>
      <c r="DU10" s="287">
        <f t="shared" si="166"/>
        <v>0.21018543177483218</v>
      </c>
      <c r="DV10" s="287">
        <f t="shared" si="166"/>
        <v>0.20984294697280359</v>
      </c>
      <c r="DW10" s="287">
        <f t="shared" si="166"/>
        <v>0.21016695419930009</v>
      </c>
      <c r="DX10" s="286">
        <f t="shared" si="166"/>
        <v>0.21004982146969153</v>
      </c>
      <c r="DY10" s="287">
        <f t="shared" si="166"/>
        <v>0.18938883493692771</v>
      </c>
      <c r="DZ10" s="287">
        <f t="shared" si="166"/>
        <v>0.18953787359837482</v>
      </c>
      <c r="EA10" s="287">
        <f t="shared" si="166"/>
        <v>0.18930925513711205</v>
      </c>
      <c r="EB10" s="287">
        <f t="shared" si="166"/>
        <v>0.18952554258732546</v>
      </c>
      <c r="EC10" s="286">
        <f t="shared" si="166"/>
        <v>0.18944736529342032</v>
      </c>
      <c r="ED10" s="287"/>
    </row>
    <row r="11" spans="1:135" s="297" customFormat="1" ht="12" customHeight="1" collapsed="1">
      <c r="A11" s="937" t="s">
        <v>431</v>
      </c>
      <c r="B11" s="937"/>
      <c r="C11" s="291" t="s">
        <v>107</v>
      </c>
      <c r="D11" s="292"/>
      <c r="E11" s="292"/>
      <c r="F11" s="292"/>
      <c r="G11" s="292"/>
      <c r="H11" s="292"/>
      <c r="I11" s="293"/>
      <c r="J11" s="293"/>
      <c r="K11" s="293"/>
      <c r="L11" s="293"/>
      <c r="M11" s="292"/>
      <c r="N11" s="293"/>
      <c r="O11" s="293"/>
      <c r="P11" s="293"/>
      <c r="Q11" s="293"/>
      <c r="R11" s="292"/>
      <c r="S11" s="293"/>
      <c r="T11" s="293"/>
      <c r="U11" s="293"/>
      <c r="V11" s="293"/>
      <c r="W11" s="292"/>
      <c r="X11" s="293"/>
      <c r="Y11" s="293"/>
      <c r="Z11" s="293"/>
      <c r="AA11" s="293"/>
      <c r="AB11" s="292"/>
      <c r="AC11" s="293"/>
      <c r="AD11" s="293"/>
      <c r="AE11" s="293"/>
      <c r="AF11" s="293"/>
      <c r="AG11" s="292"/>
      <c r="AH11" s="293"/>
      <c r="AI11" s="293"/>
      <c r="AJ11" s="293"/>
      <c r="AK11" s="293"/>
      <c r="AL11" s="292"/>
      <c r="AM11" s="293"/>
      <c r="AN11" s="293"/>
      <c r="AO11" s="293"/>
      <c r="AP11" s="293"/>
      <c r="AQ11" s="292"/>
      <c r="AR11" s="293"/>
      <c r="AS11" s="293"/>
      <c r="AT11" s="293"/>
      <c r="AU11" s="293"/>
      <c r="AV11" s="292"/>
      <c r="AW11" s="293"/>
      <c r="AX11" s="293"/>
      <c r="AY11" s="293"/>
      <c r="AZ11" s="293"/>
      <c r="BA11" s="292"/>
      <c r="BB11" s="293"/>
      <c r="BC11" s="293"/>
      <c r="BD11" s="293"/>
      <c r="BE11" s="293"/>
      <c r="BF11" s="292"/>
      <c r="BG11" s="293"/>
      <c r="BH11" s="293"/>
      <c r="BI11" s="293"/>
      <c r="BJ11" s="293"/>
      <c r="BK11" s="292"/>
      <c r="BL11" s="293"/>
      <c r="BM11" s="293"/>
      <c r="BN11" s="293"/>
      <c r="BO11" s="293"/>
      <c r="BP11" s="292"/>
      <c r="BQ11" s="294">
        <f>BQ7+BQ9</f>
        <v>37.347999999999999</v>
      </c>
      <c r="BR11" s="294">
        <f>BR7+BR9</f>
        <v>44.926000000000002</v>
      </c>
      <c r="BS11" s="294">
        <f>BS7+BS9</f>
        <v>52.786000000000001</v>
      </c>
      <c r="BT11" s="294">
        <f>BT7+BT9</f>
        <v>70.173000000000002</v>
      </c>
      <c r="BU11" s="295">
        <f>SUM(BQ11:BT11)</f>
        <v>205.233</v>
      </c>
      <c r="BV11" s="294">
        <f>BV7+BV9</f>
        <v>72.722000000000008</v>
      </c>
      <c r="BW11" s="294">
        <f>BW7+BW9</f>
        <v>86.646999999999991</v>
      </c>
      <c r="BX11" s="294">
        <f>BX7+BX9</f>
        <v>99.578000000000003</v>
      </c>
      <c r="BY11" s="294">
        <f>BY7+BY9</f>
        <v>130.38299999999998</v>
      </c>
      <c r="BZ11" s="295">
        <f>SUM(BV11:BY11)</f>
        <v>389.33</v>
      </c>
      <c r="CA11" s="294">
        <f>CA7+CA9</f>
        <v>127.379</v>
      </c>
      <c r="CB11" s="294">
        <f>CB7+CB9</f>
        <v>151.655</v>
      </c>
      <c r="CC11" s="294">
        <f>CC7+CC9</f>
        <v>171.45600000000002</v>
      </c>
      <c r="CD11" s="294">
        <f>CD7+CD9</f>
        <v>222.81399999999999</v>
      </c>
      <c r="CE11" s="295">
        <f>SUM(CA11:CD11)</f>
        <v>673.30399999999997</v>
      </c>
      <c r="CF11" s="294">
        <f>CF7+CF9</f>
        <v>214.33999999999997</v>
      </c>
      <c r="CG11" s="294">
        <f>CG7+CG9</f>
        <v>244.96299999999999</v>
      </c>
      <c r="CH11" s="294">
        <f>CH7+CH9</f>
        <v>270.06399999999996</v>
      </c>
      <c r="CI11" s="294">
        <f>CI7+CI9</f>
        <v>343.86199999999997</v>
      </c>
      <c r="CJ11" s="295">
        <f>SUM(CF11:CI11)</f>
        <v>1073.2289999999998</v>
      </c>
      <c r="CK11" s="294">
        <f>CK7+CK9</f>
        <v>320.48199999999997</v>
      </c>
      <c r="CL11" s="294">
        <f>CL7+CL9</f>
        <v>361.97899999999998</v>
      </c>
      <c r="CM11" s="294">
        <f>CM7+CM9</f>
        <v>390.55200000000002</v>
      </c>
      <c r="CN11" s="294">
        <f>CN7+CN9</f>
        <v>505.16</v>
      </c>
      <c r="CO11" s="295">
        <f>SUM(CK11:CN11)</f>
        <v>1578.173</v>
      </c>
      <c r="CP11" s="294">
        <f>CP7+CP9</f>
        <v>470.00099999999998</v>
      </c>
      <c r="CQ11" s="294">
        <f>CQ7+CQ9</f>
        <v>714.34100000000001</v>
      </c>
      <c r="CR11" s="294">
        <f>CR7+CR9</f>
        <v>767.40499999999997</v>
      </c>
      <c r="CS11" s="294">
        <f>CS7+CS9</f>
        <v>977.74399999999991</v>
      </c>
      <c r="CT11" s="295">
        <f>SUM(CP11:CS11)</f>
        <v>2929.491</v>
      </c>
      <c r="CU11" s="294">
        <f>CU7+CU9</f>
        <v>988.64699999999993</v>
      </c>
      <c r="CV11" s="294">
        <f>CV7+CV9</f>
        <v>1119.4449999999999</v>
      </c>
      <c r="CW11" s="294">
        <f>CW7+CW9</f>
        <v>1123.74</v>
      </c>
      <c r="CX11" s="294">
        <f>CX7+CX9</f>
        <v>1380.0240000000001</v>
      </c>
      <c r="CY11" s="295">
        <f>SUM(CU11:CX11)</f>
        <v>4611.8559999999998</v>
      </c>
      <c r="CZ11" s="294">
        <f>CZ7+CZ9</f>
        <v>1203.623</v>
      </c>
      <c r="DA11" s="294">
        <f>DA7+DA9</f>
        <v>1295.0630000000001</v>
      </c>
      <c r="DB11" s="294">
        <f>DB7+DB9</f>
        <v>1366.2</v>
      </c>
      <c r="DC11" s="294">
        <f>DC7+DC9</f>
        <v>1734.9780000000001</v>
      </c>
      <c r="DD11" s="295">
        <f>SUM(CZ11:DC11)</f>
        <v>5599.8640000000005</v>
      </c>
      <c r="DE11" s="294">
        <f>DE7+DE9</f>
        <v>1508</v>
      </c>
      <c r="DF11" s="294">
        <f>DF7+DF9</f>
        <v>1694</v>
      </c>
      <c r="DG11" s="294">
        <f>DG7+DG9</f>
        <v>1714</v>
      </c>
      <c r="DH11" s="294">
        <f>DH7+DH9</f>
        <v>2144</v>
      </c>
      <c r="DI11" s="295">
        <f>SUM(DE11:DH11)</f>
        <v>7060</v>
      </c>
      <c r="DJ11" s="294">
        <f>DJ7+DJ9</f>
        <v>1861</v>
      </c>
      <c r="DK11" s="294">
        <f>DK7+DK9</f>
        <v>2045</v>
      </c>
      <c r="DL11" s="294">
        <f>DL7+DL9</f>
        <v>2162</v>
      </c>
      <c r="DM11" s="294">
        <f>DM7+DM9</f>
        <v>2703.5891937011711</v>
      </c>
      <c r="DN11" s="295">
        <f>SUM(DJ11:DM11)</f>
        <v>8771.5891937011711</v>
      </c>
      <c r="DO11" s="294">
        <f>DO7+DO9</f>
        <v>2338.8834242070311</v>
      </c>
      <c r="DP11" s="294">
        <f>DP7+DP9</f>
        <v>2508.0283815145549</v>
      </c>
      <c r="DQ11" s="294">
        <f>DQ7+DQ9</f>
        <v>2631.9056487290545</v>
      </c>
      <c r="DR11" s="294">
        <f>DR7+DR9</f>
        <v>3317.9390336843499</v>
      </c>
      <c r="DS11" s="295">
        <f>SUM(DO11:DR11)</f>
        <v>10796.75648813499</v>
      </c>
      <c r="DT11" s="294">
        <f>DT7+DT9</f>
        <v>2799.2052568575727</v>
      </c>
      <c r="DU11" s="294">
        <f>DU7+DU9</f>
        <v>3001.1461139124062</v>
      </c>
      <c r="DV11" s="294">
        <f>DV7+DV9</f>
        <v>3147.5647910031289</v>
      </c>
      <c r="DW11" s="294">
        <f>DW7+DW9</f>
        <v>3975.5145410092937</v>
      </c>
      <c r="DX11" s="295">
        <f>SUM(DT11:DW11)</f>
        <v>12923.430702782402</v>
      </c>
      <c r="DY11" s="294">
        <f>DY7+DY9</f>
        <v>3300.3679789037724</v>
      </c>
      <c r="DZ11" s="294">
        <f>DZ7+DZ9</f>
        <v>3537.9380225337027</v>
      </c>
      <c r="EA11" s="294">
        <f>EA7+EA9</f>
        <v>3708.9052382572477</v>
      </c>
      <c r="EB11" s="294">
        <f>EB7+EB9</f>
        <v>4691.55714204166</v>
      </c>
      <c r="EC11" s="295">
        <f>SUM(DY11:EB11)</f>
        <v>15238.768381736383</v>
      </c>
      <c r="ED11" s="1167">
        <f>+(EC11/DN11)^(0.333333333333333)-1</f>
        <v>0.2021459420329792</v>
      </c>
      <c r="EE11" s="139"/>
    </row>
    <row r="12" spans="1:135" ht="12" customHeight="1">
      <c r="A12" s="940" t="s">
        <v>432</v>
      </c>
      <c r="B12" s="940"/>
      <c r="C12" s="283" t="s">
        <v>140</v>
      </c>
      <c r="D12" s="284"/>
      <c r="E12" s="284"/>
      <c r="F12" s="284"/>
      <c r="G12" s="284"/>
      <c r="H12" s="284"/>
      <c r="I12" s="99"/>
      <c r="J12" s="99"/>
      <c r="K12" s="99"/>
      <c r="L12" s="99"/>
      <c r="M12" s="284"/>
      <c r="N12" s="738"/>
      <c r="O12" s="738"/>
      <c r="P12" s="738"/>
      <c r="Q12" s="738"/>
      <c r="R12" s="284"/>
      <c r="S12" s="738"/>
      <c r="T12" s="738"/>
      <c r="U12" s="738"/>
      <c r="V12" s="738"/>
      <c r="W12" s="284"/>
      <c r="X12" s="738"/>
      <c r="Y12" s="738"/>
      <c r="Z12" s="738"/>
      <c r="AA12" s="738"/>
      <c r="AB12" s="284"/>
      <c r="AC12" s="738"/>
      <c r="AD12" s="738"/>
      <c r="AE12" s="738"/>
      <c r="AF12" s="738"/>
      <c r="AG12" s="284"/>
      <c r="AH12" s="738"/>
      <c r="AI12" s="738"/>
      <c r="AJ12" s="738"/>
      <c r="AK12" s="738"/>
      <c r="AL12" s="284"/>
      <c r="AM12" s="738"/>
      <c r="AN12" s="738"/>
      <c r="AO12" s="738"/>
      <c r="AP12" s="738"/>
      <c r="AQ12" s="284"/>
      <c r="AR12" s="738"/>
      <c r="AS12" s="738"/>
      <c r="AT12" s="738"/>
      <c r="AU12" s="738"/>
      <c r="AV12" s="284"/>
      <c r="AW12" s="738"/>
      <c r="AX12" s="738"/>
      <c r="AY12" s="738"/>
      <c r="AZ12" s="738"/>
      <c r="BA12" s="284"/>
      <c r="BB12" s="738"/>
      <c r="BC12" s="738"/>
      <c r="BD12" s="738"/>
      <c r="BE12" s="738"/>
      <c r="BF12" s="284"/>
      <c r="BG12" s="285"/>
      <c r="BH12" s="285"/>
      <c r="BI12" s="285"/>
      <c r="BJ12" s="285"/>
      <c r="BK12" s="284"/>
      <c r="BL12" s="738"/>
      <c r="BM12" s="738"/>
      <c r="BN12" s="738"/>
      <c r="BO12" s="738"/>
      <c r="BP12" s="284"/>
      <c r="BQ12" s="287"/>
      <c r="BR12" s="287"/>
      <c r="BS12" s="287"/>
      <c r="BT12" s="287"/>
      <c r="BU12" s="286"/>
      <c r="BV12" s="287">
        <f t="shared" ref="BV12:DA12" si="167">+IF(BQ11&lt;=0,"nm",BV11/BQ11-1)</f>
        <v>0.94714576416407859</v>
      </c>
      <c r="BW12" s="287">
        <f t="shared" si="167"/>
        <v>0.92866046387392576</v>
      </c>
      <c r="BX12" s="287">
        <f t="shared" si="167"/>
        <v>0.88644716402076318</v>
      </c>
      <c r="BY12" s="287">
        <f t="shared" si="167"/>
        <v>0.8580223162754903</v>
      </c>
      <c r="BZ12" s="286">
        <f t="shared" si="167"/>
        <v>0.89701461265975735</v>
      </c>
      <c r="CA12" s="287">
        <f t="shared" si="167"/>
        <v>0.75158824014741055</v>
      </c>
      <c r="CB12" s="287">
        <f t="shared" si="167"/>
        <v>0.7502625595808281</v>
      </c>
      <c r="CC12" s="287">
        <f t="shared" si="167"/>
        <v>0.72182610616802911</v>
      </c>
      <c r="CD12" s="287">
        <f t="shared" si="167"/>
        <v>0.70891910755236509</v>
      </c>
      <c r="CE12" s="286">
        <f t="shared" si="167"/>
        <v>0.72939151876300312</v>
      </c>
      <c r="CF12" s="287">
        <f t="shared" si="167"/>
        <v>0.68269494971698608</v>
      </c>
      <c r="CG12" s="287">
        <f t="shared" si="167"/>
        <v>0.61526491048761978</v>
      </c>
      <c r="CH12" s="287">
        <f t="shared" si="167"/>
        <v>0.57512131392310528</v>
      </c>
      <c r="CI12" s="287">
        <f t="shared" si="167"/>
        <v>0.54326927392354141</v>
      </c>
      <c r="CJ12" s="286">
        <f t="shared" si="167"/>
        <v>0.59397389589249405</v>
      </c>
      <c r="CK12" s="287">
        <f t="shared" si="167"/>
        <v>0.49520388168330687</v>
      </c>
      <c r="CL12" s="287">
        <f t="shared" si="167"/>
        <v>0.47768846723790936</v>
      </c>
      <c r="CM12" s="287">
        <f t="shared" si="167"/>
        <v>0.44614609870253008</v>
      </c>
      <c r="CN12" s="287">
        <f t="shared" si="167"/>
        <v>0.46907771140748356</v>
      </c>
      <c r="CO12" s="286">
        <f t="shared" si="167"/>
        <v>0.47049045450691351</v>
      </c>
      <c r="CP12" s="287">
        <f t="shared" si="167"/>
        <v>0.46654414288477986</v>
      </c>
      <c r="CQ12" s="287">
        <f t="shared" si="167"/>
        <v>0.97343216042919622</v>
      </c>
      <c r="CR12" s="287">
        <f t="shared" si="167"/>
        <v>0.96492400499805386</v>
      </c>
      <c r="CS12" s="287">
        <f t="shared" si="167"/>
        <v>0.93551350067305372</v>
      </c>
      <c r="CT12" s="286">
        <f t="shared" si="167"/>
        <v>0.856254669164914</v>
      </c>
      <c r="CU12" s="287">
        <f t="shared" si="167"/>
        <v>1.1034997797877026</v>
      </c>
      <c r="CV12" s="287">
        <f t="shared" si="167"/>
        <v>0.56710170632793022</v>
      </c>
      <c r="CW12" s="287">
        <f t="shared" si="167"/>
        <v>0.46433760530619428</v>
      </c>
      <c r="CX12" s="288">
        <f t="shared" si="167"/>
        <v>0.4114369405488556</v>
      </c>
      <c r="CY12" s="286">
        <f t="shared" si="167"/>
        <v>0.57428577182862139</v>
      </c>
      <c r="CZ12" s="287">
        <f t="shared" si="167"/>
        <v>0.2174446491012465</v>
      </c>
      <c r="DA12" s="287">
        <f t="shared" si="167"/>
        <v>0.15687952512182401</v>
      </c>
      <c r="DB12" s="287">
        <f t="shared" ref="DB12:EC12" si="168">+IF(CW11&lt;=0,"nm",DB11/CW11-1)</f>
        <v>0.2157616530514177</v>
      </c>
      <c r="DC12" s="287">
        <f t="shared" si="168"/>
        <v>0.25720857028573407</v>
      </c>
      <c r="DD12" s="286">
        <f t="shared" si="168"/>
        <v>0.21423218764853047</v>
      </c>
      <c r="DE12" s="287">
        <f t="shared" si="168"/>
        <v>0.25288400105348607</v>
      </c>
      <c r="DF12" s="287">
        <f t="shared" si="168"/>
        <v>0.30804447351209929</v>
      </c>
      <c r="DG12" s="287">
        <f t="shared" si="168"/>
        <v>0.25457473283560228</v>
      </c>
      <c r="DH12" s="287">
        <f t="shared" si="168"/>
        <v>0.2357505397762969</v>
      </c>
      <c r="DI12" s="286">
        <f t="shared" si="168"/>
        <v>0.26074490380480664</v>
      </c>
      <c r="DJ12" s="287">
        <f t="shared" si="168"/>
        <v>0.23408488063660471</v>
      </c>
      <c r="DK12" s="287">
        <f t="shared" si="168"/>
        <v>0.20720188902007086</v>
      </c>
      <c r="DL12" s="287">
        <f t="shared" si="168"/>
        <v>0.26137689614935833</v>
      </c>
      <c r="DM12" s="287">
        <f t="shared" si="168"/>
        <v>0.26100242243524763</v>
      </c>
      <c r="DN12" s="286">
        <f t="shared" si="168"/>
        <v>0.24243472998600146</v>
      </c>
      <c r="DO12" s="287">
        <f t="shared" si="168"/>
        <v>0.25678851381355772</v>
      </c>
      <c r="DP12" s="287">
        <f t="shared" si="168"/>
        <v>0.22641974646188512</v>
      </c>
      <c r="DQ12" s="287">
        <f t="shared" si="168"/>
        <v>0.21734766361195867</v>
      </c>
      <c r="DR12" s="287">
        <f t="shared" si="168"/>
        <v>0.227234907364807</v>
      </c>
      <c r="DS12" s="286">
        <f>+IF(DN11&lt;=0,"nm",DS11/DN11-1)</f>
        <v>0.23087803700247167</v>
      </c>
      <c r="DT12" s="287">
        <f t="shared" si="168"/>
        <v>0.19681264482286376</v>
      </c>
      <c r="DU12" s="287">
        <f t="shared" si="168"/>
        <v>0.19661569064863049</v>
      </c>
      <c r="DV12" s="287">
        <f t="shared" si="168"/>
        <v>0.19592615051496454</v>
      </c>
      <c r="DW12" s="287">
        <f t="shared" si="168"/>
        <v>0.19818794156526431</v>
      </c>
      <c r="DX12" s="286">
        <f t="shared" si="168"/>
        <v>0.19697343521496502</v>
      </c>
      <c r="DY12" s="287">
        <f t="shared" si="168"/>
        <v>0.17903750388380302</v>
      </c>
      <c r="DZ12" s="287">
        <f t="shared" si="168"/>
        <v>0.1788623040154198</v>
      </c>
      <c r="EA12" s="287">
        <f t="shared" si="168"/>
        <v>0.17834118899113105</v>
      </c>
      <c r="EB12" s="287">
        <f t="shared" si="168"/>
        <v>0.18011318878249627</v>
      </c>
      <c r="EC12" s="286">
        <f t="shared" si="168"/>
        <v>0.17915813008193648</v>
      </c>
      <c r="ED12" s="287"/>
    </row>
    <row r="13" spans="1:135" s="296" customFormat="1" ht="12" hidden="1" customHeight="1" outlineLevel="1">
      <c r="A13" s="940"/>
      <c r="B13" s="940"/>
      <c r="C13" s="1273" t="s">
        <v>155</v>
      </c>
      <c r="D13" s="298"/>
      <c r="E13" s="298"/>
      <c r="F13" s="298"/>
      <c r="G13" s="298"/>
      <c r="H13" s="298"/>
      <c r="I13" s="299"/>
      <c r="J13" s="299"/>
      <c r="K13" s="299"/>
      <c r="L13" s="299"/>
      <c r="M13" s="298"/>
      <c r="N13" s="299"/>
      <c r="O13" s="299"/>
      <c r="P13" s="299"/>
      <c r="Q13" s="299"/>
      <c r="R13" s="298"/>
      <c r="S13" s="299"/>
      <c r="T13" s="299"/>
      <c r="U13" s="299"/>
      <c r="V13" s="299"/>
      <c r="W13" s="298"/>
      <c r="X13" s="299"/>
      <c r="Y13" s="299"/>
      <c r="Z13" s="299"/>
      <c r="AA13" s="299"/>
      <c r="AB13" s="298"/>
      <c r="AC13" s="299"/>
      <c r="AD13" s="299"/>
      <c r="AE13" s="299"/>
      <c r="AF13" s="299"/>
      <c r="AG13" s="298"/>
      <c r="AH13" s="299"/>
      <c r="AI13" s="299"/>
      <c r="AJ13" s="299"/>
      <c r="AK13" s="299"/>
      <c r="AL13" s="298"/>
      <c r="AM13" s="299"/>
      <c r="AN13" s="299"/>
      <c r="AO13" s="299"/>
      <c r="AP13" s="299"/>
      <c r="AQ13" s="298"/>
      <c r="AR13" s="299"/>
      <c r="AS13" s="299"/>
      <c r="AT13" s="299"/>
      <c r="AU13" s="299"/>
      <c r="AV13" s="298"/>
      <c r="AW13" s="299"/>
      <c r="AX13" s="299"/>
      <c r="AY13" s="299"/>
      <c r="AZ13" s="299"/>
      <c r="BA13" s="298"/>
      <c r="BB13" s="299"/>
      <c r="BC13" s="299"/>
      <c r="BD13" s="299"/>
      <c r="BE13" s="299"/>
      <c r="BF13" s="298"/>
      <c r="BG13" s="299"/>
      <c r="BH13" s="299"/>
      <c r="BI13" s="299"/>
      <c r="BJ13" s="299"/>
      <c r="BK13" s="298"/>
      <c r="BL13" s="299"/>
      <c r="BM13" s="299"/>
      <c r="BN13" s="299"/>
      <c r="BO13" s="299"/>
      <c r="BP13" s="298"/>
      <c r="BQ13" s="282"/>
      <c r="BR13" s="282"/>
      <c r="BS13" s="282"/>
      <c r="BT13" s="282"/>
      <c r="BU13" s="300"/>
      <c r="BV13" s="282"/>
      <c r="BW13" s="282"/>
      <c r="BX13" s="282"/>
      <c r="BY13" s="282"/>
      <c r="BZ13" s="300"/>
      <c r="CA13" s="282"/>
      <c r="CB13" s="282"/>
      <c r="CC13" s="282"/>
      <c r="CD13" s="282"/>
      <c r="CE13" s="300"/>
      <c r="CF13" s="282"/>
      <c r="CG13" s="282"/>
      <c r="CH13" s="282"/>
      <c r="CI13" s="282"/>
      <c r="CJ13" s="300"/>
      <c r="CK13" s="282"/>
      <c r="CL13" s="282"/>
      <c r="CM13" s="282"/>
      <c r="CN13" s="282"/>
      <c r="CO13" s="300"/>
      <c r="CP13" s="282"/>
      <c r="CQ13" s="282"/>
      <c r="CR13" s="282"/>
      <c r="CS13" s="282"/>
      <c r="CT13" s="300"/>
      <c r="CU13" s="282"/>
      <c r="CV13" s="282"/>
      <c r="CW13" s="282"/>
      <c r="CX13" s="125"/>
      <c r="CY13" s="300"/>
      <c r="CZ13" s="282"/>
      <c r="DA13" s="125"/>
      <c r="DB13" s="125"/>
      <c r="DC13" s="125"/>
      <c r="DD13" s="300"/>
      <c r="DE13" s="125"/>
      <c r="DF13" s="125"/>
      <c r="DG13" s="125"/>
      <c r="DH13" s="125"/>
      <c r="DI13" s="300"/>
      <c r="DJ13" s="125"/>
      <c r="DK13" s="125"/>
      <c r="DL13" s="125"/>
      <c r="DM13" s="125"/>
      <c r="DN13" s="300"/>
      <c r="DO13" s="125"/>
      <c r="DP13" s="125"/>
      <c r="DQ13" s="125"/>
      <c r="DR13" s="125"/>
      <c r="DS13" s="300"/>
      <c r="DT13" s="125"/>
      <c r="DU13" s="125"/>
      <c r="DV13" s="125"/>
      <c r="DW13" s="125"/>
      <c r="DX13" s="300"/>
      <c r="DY13" s="125"/>
      <c r="DZ13" s="125"/>
      <c r="EA13" s="125"/>
      <c r="EB13" s="125"/>
      <c r="EC13" s="300"/>
      <c r="ED13" s="491"/>
      <c r="EE13" s="139"/>
    </row>
    <row r="14" spans="1:135" s="296" customFormat="1" ht="12" hidden="1" customHeight="1" outlineLevel="1">
      <c r="A14" s="940"/>
      <c r="B14" s="940"/>
      <c r="C14" s="309" t="s">
        <v>230</v>
      </c>
      <c r="D14" s="298"/>
      <c r="E14" s="298"/>
      <c r="F14" s="298"/>
      <c r="G14" s="298"/>
      <c r="H14" s="298"/>
      <c r="I14" s="299"/>
      <c r="J14" s="299"/>
      <c r="K14" s="299"/>
      <c r="L14" s="299"/>
      <c r="M14" s="298"/>
      <c r="N14" s="299"/>
      <c r="O14" s="299"/>
      <c r="P14" s="299"/>
      <c r="Q14" s="299"/>
      <c r="R14" s="298"/>
      <c r="S14" s="299"/>
      <c r="T14" s="299"/>
      <c r="U14" s="299"/>
      <c r="V14" s="299"/>
      <c r="W14" s="298"/>
      <c r="X14" s="299"/>
      <c r="Y14" s="299"/>
      <c r="Z14" s="299"/>
      <c r="AA14" s="299"/>
      <c r="AB14" s="298"/>
      <c r="AC14" s="299"/>
      <c r="AD14" s="299"/>
      <c r="AE14" s="299"/>
      <c r="AF14" s="299"/>
      <c r="AG14" s="298"/>
      <c r="AH14" s="299"/>
      <c r="AI14" s="299"/>
      <c r="AJ14" s="299"/>
      <c r="AK14" s="299"/>
      <c r="AL14" s="298"/>
      <c r="AM14" s="299"/>
      <c r="AN14" s="299"/>
      <c r="AO14" s="299"/>
      <c r="AP14" s="299"/>
      <c r="AQ14" s="298"/>
      <c r="AR14" s="299"/>
      <c r="AS14" s="299"/>
      <c r="AT14" s="299"/>
      <c r="AU14" s="299"/>
      <c r="AV14" s="298"/>
      <c r="AW14" s="299"/>
      <c r="AX14" s="299"/>
      <c r="AY14" s="299"/>
      <c r="AZ14" s="299"/>
      <c r="BA14" s="298"/>
      <c r="BB14" s="299"/>
      <c r="BC14" s="299"/>
      <c r="BD14" s="299"/>
      <c r="BE14" s="299"/>
      <c r="BF14" s="298"/>
      <c r="BG14" s="299"/>
      <c r="BH14" s="299"/>
      <c r="BI14" s="299"/>
      <c r="BJ14" s="299"/>
      <c r="BK14" s="298"/>
      <c r="BL14" s="299"/>
      <c r="BM14" s="299"/>
      <c r="BN14" s="299"/>
      <c r="BO14" s="299"/>
      <c r="BP14" s="298"/>
      <c r="BQ14" s="282">
        <v>-5.0330000000000004</v>
      </c>
      <c r="BR14" s="282">
        <v>-5.4219999999999997</v>
      </c>
      <c r="BS14" s="282">
        <v>-6.4139999999999997</v>
      </c>
      <c r="BT14" s="282">
        <v>-7.6619999999999999</v>
      </c>
      <c r="BU14" s="300">
        <f>SUM(BQ14:BT14)</f>
        <v>-24.530999999999999</v>
      </c>
      <c r="BV14" s="282">
        <v>-8.2319999999999993</v>
      </c>
      <c r="BW14" s="282">
        <v>-9.0980000000000008</v>
      </c>
      <c r="BX14" s="282">
        <v>-10.555</v>
      </c>
      <c r="BY14" s="282">
        <v>-11.593</v>
      </c>
      <c r="BZ14" s="300">
        <f>SUM(BV14:BY14)</f>
        <v>-39.477999999999994</v>
      </c>
      <c r="CA14" s="282">
        <v>-12.254</v>
      </c>
      <c r="CB14" s="282">
        <v>-13.688000000000001</v>
      </c>
      <c r="CC14" s="282">
        <v>-15.458</v>
      </c>
      <c r="CD14" s="282">
        <v>-19.867000000000001</v>
      </c>
      <c r="CE14" s="300">
        <f>SUM(CA14:CD14)</f>
        <v>-61.266999999999996</v>
      </c>
      <c r="CF14" s="282">
        <v>-23.16</v>
      </c>
      <c r="CG14" s="282">
        <v>-24.524000000000001</v>
      </c>
      <c r="CH14" s="282">
        <v>-26.6</v>
      </c>
      <c r="CI14" s="282">
        <v>-26.706</v>
      </c>
      <c r="CJ14" s="300">
        <f>SUM(CF14:CI14)</f>
        <v>-100.99</v>
      </c>
      <c r="CK14" s="282">
        <v>-27.984999999999999</v>
      </c>
      <c r="CL14" s="282">
        <v>-29.538</v>
      </c>
      <c r="CM14" s="282">
        <v>-33.262999999999998</v>
      </c>
      <c r="CN14" s="282">
        <v>-37.369</v>
      </c>
      <c r="CO14" s="300">
        <f>SUM(CK14:CN14)</f>
        <v>-128.155</v>
      </c>
      <c r="CP14" s="282">
        <v>-37.712000000000003</v>
      </c>
      <c r="CQ14" s="282">
        <v>-44.4</v>
      </c>
      <c r="CR14" s="282">
        <v>-52.17</v>
      </c>
      <c r="CS14" s="282">
        <v>-59.25</v>
      </c>
      <c r="CT14" s="300">
        <f>SUM(CP14:CS14)</f>
        <v>-193.53199999999998</v>
      </c>
      <c r="CU14" s="282">
        <v>-58.381999999999998</v>
      </c>
      <c r="CV14" s="282">
        <v>-63.027000000000001</v>
      </c>
      <c r="CW14" s="282">
        <v>-67.355000000000004</v>
      </c>
      <c r="CX14" s="282">
        <v>-75.587000000000003</v>
      </c>
      <c r="CY14" s="300">
        <f>SUM(CU14:CX14)</f>
        <v>-264.351</v>
      </c>
      <c r="CZ14" s="282">
        <v>-77.545000000000002</v>
      </c>
      <c r="DA14" s="282">
        <v>-85.238</v>
      </c>
      <c r="DB14" s="282">
        <v>-82.313000000000002</v>
      </c>
      <c r="DC14" s="282">
        <v>-85.771000000000001</v>
      </c>
      <c r="DD14" s="300">
        <f>SUM(CZ14:DC14)</f>
        <v>-330.86700000000002</v>
      </c>
      <c r="DE14" s="282">
        <v>-84</v>
      </c>
      <c r="DF14" s="282">
        <v>-85</v>
      </c>
      <c r="DG14" s="282">
        <v>-88</v>
      </c>
      <c r="DH14" s="282">
        <v>-97</v>
      </c>
      <c r="DI14" s="300">
        <f>SUM(DE14:DH14)</f>
        <v>-354</v>
      </c>
      <c r="DJ14" s="282">
        <v>-95</v>
      </c>
      <c r="DK14" s="302">
        <v>-97</v>
      </c>
      <c r="DL14" s="302">
        <v>-108</v>
      </c>
      <c r="DM14" s="125">
        <f>-DM7*DM15</f>
        <v>-119.08229322107773</v>
      </c>
      <c r="DN14" s="300">
        <f>SUM(DJ14:DM14)</f>
        <v>-419.08229322107775</v>
      </c>
      <c r="DO14" s="125">
        <f>-DO7*DO15</f>
        <v>-109.18492146099607</v>
      </c>
      <c r="DP14" s="125">
        <f>-DP7*DP15</f>
        <v>-111.24000030076169</v>
      </c>
      <c r="DQ14" s="125">
        <f>-DQ7*DQ15</f>
        <v>-123.95432427207027</v>
      </c>
      <c r="DR14" s="125">
        <f>-DR7*DR15</f>
        <v>-136.761505551732</v>
      </c>
      <c r="DS14" s="300">
        <f>SUM(DO14:DR14)</f>
        <v>-481.14075158556005</v>
      </c>
      <c r="DT14" s="125">
        <f>-DT7*DT15</f>
        <v>-125.14671903928175</v>
      </c>
      <c r="DU14" s="125">
        <f>-DU7*DU15</f>
        <v>-127.38619961143827</v>
      </c>
      <c r="DV14" s="125">
        <f>-DV7*DV15</f>
        <v>-141.99347172970363</v>
      </c>
      <c r="DW14" s="125">
        <f>-DW7*DW15</f>
        <v>-156.70635490130041</v>
      </c>
      <c r="DX14" s="300">
        <f>SUM(DT14:DW14)</f>
        <v>-551.23274528172408</v>
      </c>
      <c r="DY14" s="125">
        <f>-DY7*DY15</f>
        <v>-142.05811098322965</v>
      </c>
      <c r="DZ14" s="125">
        <f>-DZ7*DZ15</f>
        <v>-144.46552933066286</v>
      </c>
      <c r="EA14" s="125">
        <f>-EA7*EA15</f>
        <v>-161.0864587437182</v>
      </c>
      <c r="EB14" s="125">
        <f>-EB7*EB15</f>
        <v>-177.82631755425848</v>
      </c>
      <c r="EC14" s="300">
        <f>SUM(DY14:EB14)</f>
        <v>-625.43641661186916</v>
      </c>
      <c r="ED14" s="491"/>
      <c r="EE14" s="139"/>
    </row>
    <row r="15" spans="1:135" s="296" customFormat="1" ht="12" hidden="1" customHeight="1" outlineLevel="1">
      <c r="A15" s="940"/>
      <c r="B15" s="940"/>
      <c r="C15" s="399" t="s">
        <v>261</v>
      </c>
      <c r="D15" s="298"/>
      <c r="E15" s="298"/>
      <c r="F15" s="298"/>
      <c r="G15" s="298"/>
      <c r="H15" s="298"/>
      <c r="I15" s="299"/>
      <c r="J15" s="299"/>
      <c r="K15" s="299"/>
      <c r="L15" s="299"/>
      <c r="M15" s="298"/>
      <c r="N15" s="299"/>
      <c r="O15" s="299"/>
      <c r="P15" s="299"/>
      <c r="Q15" s="299"/>
      <c r="R15" s="298"/>
      <c r="S15" s="299"/>
      <c r="T15" s="299"/>
      <c r="U15" s="299"/>
      <c r="V15" s="299"/>
      <c r="W15" s="298"/>
      <c r="X15" s="299"/>
      <c r="Y15" s="299"/>
      <c r="Z15" s="299"/>
      <c r="AA15" s="299"/>
      <c r="AB15" s="298"/>
      <c r="AC15" s="299"/>
      <c r="AD15" s="299"/>
      <c r="AE15" s="299"/>
      <c r="AF15" s="299"/>
      <c r="AG15" s="298"/>
      <c r="AH15" s="299"/>
      <c r="AI15" s="299"/>
      <c r="AJ15" s="299"/>
      <c r="AK15" s="299"/>
      <c r="AL15" s="298"/>
      <c r="AM15" s="299"/>
      <c r="AN15" s="299"/>
      <c r="AO15" s="299"/>
      <c r="AP15" s="299"/>
      <c r="AQ15" s="298"/>
      <c r="AR15" s="299"/>
      <c r="AS15" s="299"/>
      <c r="AT15" s="299"/>
      <c r="AU15" s="299"/>
      <c r="AV15" s="298"/>
      <c r="AW15" s="299"/>
      <c r="AX15" s="299"/>
      <c r="AY15" s="299"/>
      <c r="AZ15" s="299"/>
      <c r="BA15" s="298"/>
      <c r="BB15" s="299"/>
      <c r="BC15" s="299"/>
      <c r="BD15" s="299"/>
      <c r="BE15" s="299"/>
      <c r="BF15" s="298"/>
      <c r="BG15" s="299"/>
      <c r="BH15" s="299"/>
      <c r="BI15" s="299"/>
      <c r="BJ15" s="299"/>
      <c r="BK15" s="298"/>
      <c r="BL15" s="299"/>
      <c r="BM15" s="299"/>
      <c r="BN15" s="299"/>
      <c r="BO15" s="299"/>
      <c r="BP15" s="298"/>
      <c r="BQ15" s="740">
        <f t="shared" ref="BQ15:DK15" si="169">-BQ14/BQ7</f>
        <v>0.22517000715819616</v>
      </c>
      <c r="BR15" s="740">
        <f t="shared" si="169"/>
        <v>0.21296987312934521</v>
      </c>
      <c r="BS15" s="740">
        <f t="shared" si="169"/>
        <v>0.21698240866035182</v>
      </c>
      <c r="BT15" s="740">
        <f t="shared" si="169"/>
        <v>0.22139389736477116</v>
      </c>
      <c r="BU15" s="590">
        <f t="shared" si="169"/>
        <v>0.21906786093821165</v>
      </c>
      <c r="BV15" s="740">
        <f t="shared" si="169"/>
        <v>0.21268020461943882</v>
      </c>
      <c r="BW15" s="740">
        <f t="shared" si="169"/>
        <v>0.20831616064477723</v>
      </c>
      <c r="BX15" s="740">
        <f t="shared" si="169"/>
        <v>0.21178193783984431</v>
      </c>
      <c r="BY15" s="740">
        <f t="shared" si="169"/>
        <v>0.20559703477751964</v>
      </c>
      <c r="BZ15" s="590">
        <f t="shared" si="169"/>
        <v>0.20931465594943954</v>
      </c>
      <c r="CA15" s="740">
        <f t="shared" si="169"/>
        <v>0.19739046391752577</v>
      </c>
      <c r="CB15" s="740">
        <f t="shared" si="169"/>
        <v>0.19117852453979162</v>
      </c>
      <c r="CC15" s="740">
        <f t="shared" si="169"/>
        <v>0.18751743798143991</v>
      </c>
      <c r="CD15" s="740">
        <f t="shared" si="169"/>
        <v>0.21153559488064055</v>
      </c>
      <c r="CE15" s="590">
        <f t="shared" si="169"/>
        <v>0.19761572229873786</v>
      </c>
      <c r="CF15" s="740">
        <f t="shared" si="169"/>
        <v>0.23114233817042257</v>
      </c>
      <c r="CG15" s="740">
        <f t="shared" si="169"/>
        <v>0.22149366425520001</v>
      </c>
      <c r="CH15" s="740">
        <f t="shared" si="169"/>
        <v>0.22071574964527829</v>
      </c>
      <c r="CI15" s="740">
        <f t="shared" si="169"/>
        <v>0.19995507637017071</v>
      </c>
      <c r="CJ15" s="590">
        <f t="shared" si="169"/>
        <v>0.21718466395409852</v>
      </c>
      <c r="CK15" s="740">
        <f t="shared" si="169"/>
        <v>0.19925098432905428</v>
      </c>
      <c r="CL15" s="740">
        <f t="shared" si="169"/>
        <v>0.19299953609022066</v>
      </c>
      <c r="CM15" s="740">
        <f t="shared" si="169"/>
        <v>0.20089142815729236</v>
      </c>
      <c r="CN15" s="740">
        <f t="shared" si="169"/>
        <v>0.20401712108142342</v>
      </c>
      <c r="CO15" s="590">
        <f t="shared" si="169"/>
        <v>0.19954347355587701</v>
      </c>
      <c r="CP15" s="740">
        <f t="shared" si="169"/>
        <v>0.20101381063808241</v>
      </c>
      <c r="CQ15" s="740">
        <f t="shared" si="169"/>
        <v>0.22603011698585784</v>
      </c>
      <c r="CR15" s="740">
        <f t="shared" si="169"/>
        <v>0.21270089777147191</v>
      </c>
      <c r="CS15" s="740">
        <f t="shared" si="169"/>
        <v>0.21203120526767821</v>
      </c>
      <c r="CT15" s="590">
        <f t="shared" si="169"/>
        <v>0.21296342146470396</v>
      </c>
      <c r="CU15" s="740">
        <f t="shared" si="169"/>
        <v>0.18205631141227577</v>
      </c>
      <c r="CV15" s="740">
        <f t="shared" si="169"/>
        <v>0.18856978730661175</v>
      </c>
      <c r="CW15" s="740">
        <f t="shared" si="169"/>
        <v>0.20033729120068527</v>
      </c>
      <c r="CX15" s="740">
        <f t="shared" si="169"/>
        <v>0.21522004054577343</v>
      </c>
      <c r="CY15" s="590">
        <f t="shared" si="169"/>
        <v>0.19693384805867986</v>
      </c>
      <c r="CZ15" s="740">
        <f t="shared" si="169"/>
        <v>0.22492393281142586</v>
      </c>
      <c r="DA15" s="740">
        <f t="shared" si="169"/>
        <v>0.23260916431750642</v>
      </c>
      <c r="DB15" s="740">
        <f t="shared" si="169"/>
        <v>0.21874244288481828</v>
      </c>
      <c r="DC15" s="740">
        <f t="shared" si="169"/>
        <v>0.21429142494515982</v>
      </c>
      <c r="DD15" s="590">
        <f t="shared" si="169"/>
        <v>0.22239287411469197</v>
      </c>
      <c r="DE15" s="740">
        <f t="shared" si="169"/>
        <v>0.21989528795811519</v>
      </c>
      <c r="DF15" s="740">
        <f t="shared" si="169"/>
        <v>0.19144144144144143</v>
      </c>
      <c r="DG15" s="740">
        <f t="shared" si="169"/>
        <v>0.18106995884773663</v>
      </c>
      <c r="DH15" s="740">
        <f t="shared" si="169"/>
        <v>0.18476190476190477</v>
      </c>
      <c r="DI15" s="590">
        <f t="shared" si="169"/>
        <v>0.19270549809471965</v>
      </c>
      <c r="DJ15" s="740">
        <f t="shared" si="169"/>
        <v>0.18590998043052837</v>
      </c>
      <c r="DK15" s="740">
        <f t="shared" si="169"/>
        <v>0.17229129662522202</v>
      </c>
      <c r="DL15" s="740">
        <f t="shared" ref="DL15" si="170">-DL14/DL7</f>
        <v>0.17704918032786884</v>
      </c>
      <c r="DM15" s="361">
        <f>+DL15+0.4%</f>
        <v>0.18104918032786885</v>
      </c>
      <c r="DN15" s="590">
        <f>-DN14/DN7</f>
        <v>0.17896234270422268</v>
      </c>
      <c r="DO15" s="740">
        <f>+DJ15+(DO16/10000)</f>
        <v>0.18090998043052836</v>
      </c>
      <c r="DP15" s="740">
        <f t="shared" ref="DP15" si="171">+DK15+(DP16/10000)</f>
        <v>0.16729129662522202</v>
      </c>
      <c r="DQ15" s="740">
        <f t="shared" ref="DQ15" si="172">+DL15+(DQ16/10000)</f>
        <v>0.17204918032786884</v>
      </c>
      <c r="DR15" s="740">
        <f t="shared" ref="DR15" si="173">+DM15+(DR16/10000)</f>
        <v>0.17604918032786884</v>
      </c>
      <c r="DS15" s="590">
        <f>-DS14/DS7</f>
        <v>0.17396234270422264</v>
      </c>
      <c r="DT15" s="740">
        <f>+DO15+(DT16/10000)</f>
        <v>0.17890998043052836</v>
      </c>
      <c r="DU15" s="740">
        <f t="shared" ref="DU15" si="174">+DP15+(DU16/10000)</f>
        <v>0.16529129662522202</v>
      </c>
      <c r="DV15" s="740">
        <f t="shared" ref="DV15" si="175">+DQ15+(DV16/10000)</f>
        <v>0.17004918032786884</v>
      </c>
      <c r="DW15" s="740">
        <f t="shared" ref="DW15" si="176">+DR15+(DW16/10000)</f>
        <v>0.17404918032786884</v>
      </c>
      <c r="DX15" s="590">
        <f>-DX14/DX7</f>
        <v>0.17196234270422261</v>
      </c>
      <c r="DY15" s="740">
        <f>+DT15+(DY16/10000)</f>
        <v>0.17690998043052836</v>
      </c>
      <c r="DZ15" s="740">
        <f t="shared" ref="DZ15" si="177">+DU15+(DZ16/10000)</f>
        <v>0.16329129662522202</v>
      </c>
      <c r="EA15" s="740">
        <f t="shared" ref="EA15" si="178">+DV15+(EA16/10000)</f>
        <v>0.16804918032786884</v>
      </c>
      <c r="EB15" s="740">
        <f t="shared" ref="EB15" si="179">+DW15+(EB16/10000)</f>
        <v>0.17204918032786884</v>
      </c>
      <c r="EC15" s="590">
        <f>-EC14/EC7</f>
        <v>0.16996234270422261</v>
      </c>
      <c r="ED15" s="419"/>
      <c r="EE15" s="139"/>
    </row>
    <row r="16" spans="1:135" s="19" customFormat="1" ht="12" hidden="1" customHeight="1" outlineLevel="1">
      <c r="A16" s="940"/>
      <c r="B16" s="940"/>
      <c r="C16" s="1205" t="s">
        <v>629</v>
      </c>
      <c r="D16" s="744"/>
      <c r="E16" s="744"/>
      <c r="F16" s="744"/>
      <c r="G16" s="744"/>
      <c r="H16" s="744"/>
      <c r="I16" s="738"/>
      <c r="J16" s="738"/>
      <c r="K16" s="738"/>
      <c r="L16" s="738"/>
      <c r="M16" s="744"/>
      <c r="N16" s="738"/>
      <c r="O16" s="738"/>
      <c r="P16" s="738"/>
      <c r="Q16" s="738"/>
      <c r="R16" s="744"/>
      <c r="S16" s="738"/>
      <c r="T16" s="738"/>
      <c r="U16" s="738"/>
      <c r="V16" s="738"/>
      <c r="W16" s="744"/>
      <c r="X16" s="738"/>
      <c r="Y16" s="738"/>
      <c r="Z16" s="738"/>
      <c r="AA16" s="738"/>
      <c r="AB16" s="744"/>
      <c r="AC16" s="738"/>
      <c r="AD16" s="738"/>
      <c r="AE16" s="738"/>
      <c r="AF16" s="738"/>
      <c r="AG16" s="744"/>
      <c r="AH16" s="738"/>
      <c r="AI16" s="738"/>
      <c r="AJ16" s="738"/>
      <c r="AK16" s="738"/>
      <c r="AL16" s="744"/>
      <c r="AM16" s="738"/>
      <c r="AN16" s="738"/>
      <c r="AO16" s="738"/>
      <c r="AP16" s="738"/>
      <c r="AQ16" s="744"/>
      <c r="AR16" s="738"/>
      <c r="AS16" s="738"/>
      <c r="AT16" s="738"/>
      <c r="AU16" s="738"/>
      <c r="AV16" s="744"/>
      <c r="AW16" s="738"/>
      <c r="AX16" s="738"/>
      <c r="AY16" s="738"/>
      <c r="AZ16" s="738"/>
      <c r="BA16" s="744"/>
      <c r="BB16" s="738"/>
      <c r="BC16" s="738"/>
      <c r="BD16" s="738"/>
      <c r="BE16" s="738"/>
      <c r="BF16" s="744"/>
      <c r="BG16" s="738"/>
      <c r="BH16" s="738"/>
      <c r="BI16" s="738"/>
      <c r="BJ16" s="738"/>
      <c r="BK16" s="744"/>
      <c r="BL16" s="738"/>
      <c r="BM16" s="738"/>
      <c r="BN16" s="738"/>
      <c r="BO16" s="738"/>
      <c r="BP16" s="744"/>
      <c r="BQ16" s="287"/>
      <c r="BR16" s="287"/>
      <c r="BS16" s="287"/>
      <c r="BT16" s="287"/>
      <c r="BU16" s="286"/>
      <c r="BV16" s="1206">
        <f>+(BV15-BQ15)*10000</f>
        <v>-124.89802538757338</v>
      </c>
      <c r="BW16" s="1206">
        <f t="shared" ref="BW16" si="180">+(BW15-BR15)*10000</f>
        <v>-46.537124845679735</v>
      </c>
      <c r="BX16" s="1206">
        <f t="shared" ref="BX16" si="181">+(BX15-BS15)*10000</f>
        <v>-52.004708205075076</v>
      </c>
      <c r="BY16" s="1206">
        <f t="shared" ref="BY16" si="182">+(BY15-BT15)*10000</f>
        <v>-157.96862587251519</v>
      </c>
      <c r="BZ16" s="1207">
        <f t="shared" ref="BZ16" si="183">+(BZ15-BU15)*10000</f>
        <v>-97.532049887721072</v>
      </c>
      <c r="CA16" s="1206">
        <f t="shared" ref="CA16" si="184">+(CA15-BV15)*10000</f>
        <v>-152.89740701913053</v>
      </c>
      <c r="CB16" s="1206">
        <f t="shared" ref="CB16" si="185">+(CB15-BW15)*10000</f>
        <v>-171.37636104985614</v>
      </c>
      <c r="CC16" s="1206">
        <f t="shared" ref="CC16" si="186">+(CC15-BX15)*10000</f>
        <v>-242.64499858404398</v>
      </c>
      <c r="CD16" s="1206">
        <f t="shared" ref="CD16" si="187">+(CD15-BY15)*10000</f>
        <v>59.385601031209099</v>
      </c>
      <c r="CE16" s="1207">
        <f t="shared" ref="CE16" si="188">+(CE15-BZ15)*10000</f>
        <v>-116.98933650701682</v>
      </c>
      <c r="CF16" s="1206">
        <f t="shared" ref="CF16" si="189">+(CF15-CA15)*10000</f>
        <v>337.518742528968</v>
      </c>
      <c r="CG16" s="1206">
        <f t="shared" ref="CG16" si="190">+(CG15-CB15)*10000</f>
        <v>303.1513971540839</v>
      </c>
      <c r="CH16" s="1206">
        <f t="shared" ref="CH16" si="191">+(CH15-CC15)*10000</f>
        <v>331.98311663838382</v>
      </c>
      <c r="CI16" s="1206">
        <f t="shared" ref="CI16" si="192">+(CI15-CD15)*10000</f>
        <v>-115.80518510469845</v>
      </c>
      <c r="CJ16" s="1207">
        <f t="shared" ref="CJ16" si="193">+(CJ15-CE15)*10000</f>
        <v>195.68941655360661</v>
      </c>
      <c r="CK16" s="1206">
        <f t="shared" ref="CK16" si="194">+(CK15-CF15)*10000</f>
        <v>-318.91353841368294</v>
      </c>
      <c r="CL16" s="1206">
        <f t="shared" ref="CL16" si="195">+(CL15-CG15)*10000</f>
        <v>-284.94128164979344</v>
      </c>
      <c r="CM16" s="1206">
        <f t="shared" ref="CM16" si="196">+(CM15-CH15)*10000</f>
        <v>-198.24321487985935</v>
      </c>
      <c r="CN16" s="1206">
        <f t="shared" ref="CN16" si="197">+(CN15-CI15)*10000</f>
        <v>40.620447112527103</v>
      </c>
      <c r="CO16" s="1207">
        <f t="shared" ref="CO16" si="198">+(CO15-CJ15)*10000</f>
        <v>-176.41190398221514</v>
      </c>
      <c r="CP16" s="1206">
        <f t="shared" ref="CP16" si="199">+(CP15-CK15)*10000</f>
        <v>17.628263090281315</v>
      </c>
      <c r="CQ16" s="1206">
        <f t="shared" ref="CQ16" si="200">+(CQ15-CL15)*10000</f>
        <v>330.30580895637178</v>
      </c>
      <c r="CR16" s="1206">
        <f t="shared" ref="CR16" si="201">+(CR15-CM15)*10000</f>
        <v>118.09469614179558</v>
      </c>
      <c r="CS16" s="1206">
        <f t="shared" ref="CS16" si="202">+(CS15-CN15)*10000</f>
        <v>80.140841862547944</v>
      </c>
      <c r="CT16" s="1207">
        <f t="shared" ref="CT16" si="203">+(CT15-CO15)*10000</f>
        <v>134.19947908826947</v>
      </c>
      <c r="CU16" s="1206">
        <f t="shared" ref="CU16" si="204">+(CU15-CP15)*10000</f>
        <v>-189.5749922580664</v>
      </c>
      <c r="CV16" s="1206">
        <f t="shared" ref="CV16" si="205">+(CV15-CQ15)*10000</f>
        <v>-374.60329679246092</v>
      </c>
      <c r="CW16" s="1206">
        <f t="shared" ref="CW16" si="206">+(CW15-CR15)*10000</f>
        <v>-123.63606570786639</v>
      </c>
      <c r="CX16" s="1206">
        <f t="shared" ref="CX16" si="207">+(CX15-CS15)*10000</f>
        <v>31.888352780952147</v>
      </c>
      <c r="CY16" s="1207">
        <f t="shared" ref="CY16" si="208">+(CY15-CT15)*10000</f>
        <v>-160.29573406024096</v>
      </c>
      <c r="CZ16" s="1206">
        <f t="shared" ref="CZ16" si="209">+(CZ15-CU15)*10000</f>
        <v>428.67621399150096</v>
      </c>
      <c r="DA16" s="1206">
        <f t="shared" ref="DA16" si="210">+(DA15-CV15)*10000</f>
        <v>440.39377010894663</v>
      </c>
      <c r="DB16" s="1206">
        <f t="shared" ref="DB16" si="211">+(DB15-CW15)*10000</f>
        <v>184.05151684133008</v>
      </c>
      <c r="DC16" s="1206">
        <f t="shared" ref="DC16" si="212">+(DC15-CX15)*10000</f>
        <v>-9.2861560061360819</v>
      </c>
      <c r="DD16" s="1207">
        <f t="shared" ref="DD16" si="213">+(DD15-CY15)*10000</f>
        <v>254.59026056012107</v>
      </c>
      <c r="DE16" s="1206">
        <f t="shared" ref="DE16" si="214">+(DE15-CZ15)*10000</f>
        <v>-50.286448533106707</v>
      </c>
      <c r="DF16" s="1206">
        <f t="shared" ref="DF16" si="215">+(DF15-DA15)*10000</f>
        <v>-411.67722876064988</v>
      </c>
      <c r="DG16" s="1206">
        <f t="shared" ref="DG16" si="216">+(DG15-DB15)*10000</f>
        <v>-376.72484037081648</v>
      </c>
      <c r="DH16" s="1206">
        <f t="shared" ref="DH16" si="217">+(DH15-DC15)*10000</f>
        <v>-295.29520183255056</v>
      </c>
      <c r="DI16" s="1207">
        <f t="shared" ref="DI16" si="218">+(DI15-DD15)*10000</f>
        <v>-296.87376019972316</v>
      </c>
      <c r="DJ16" s="1206">
        <f t="shared" ref="DJ16" si="219">+(DJ15-DE15)*10000</f>
        <v>-339.85307527586826</v>
      </c>
      <c r="DK16" s="1206">
        <f t="shared" ref="DK16" si="220">+(DK15-DF15)*10000</f>
        <v>-191.50144816219407</v>
      </c>
      <c r="DL16" s="1206">
        <f t="shared" ref="DL16" si="221">+(DL15-DG15)*10000</f>
        <v>-40.207785198677904</v>
      </c>
      <c r="DM16" s="1206">
        <f t="shared" ref="DM16" si="222">+(DM15-DH15)*10000</f>
        <v>-37.127244340359191</v>
      </c>
      <c r="DN16" s="1207">
        <f t="shared" ref="DN16" si="223">+(DN15-DI15)*10000</f>
        <v>-137.43155390496975</v>
      </c>
      <c r="DO16" s="1208">
        <v>-50</v>
      </c>
      <c r="DP16" s="1208">
        <v>-50</v>
      </c>
      <c r="DQ16" s="1208">
        <v>-50</v>
      </c>
      <c r="DR16" s="1208">
        <v>-50</v>
      </c>
      <c r="DS16" s="1207">
        <f t="shared" ref="DS16" si="224">+(DS15-DN15)*10000</f>
        <v>-50.00000000000032</v>
      </c>
      <c r="DT16" s="1208">
        <v>-20</v>
      </c>
      <c r="DU16" s="1208">
        <v>-20</v>
      </c>
      <c r="DV16" s="1208">
        <v>-20</v>
      </c>
      <c r="DW16" s="1208">
        <v>-20</v>
      </c>
      <c r="DX16" s="1207">
        <f t="shared" ref="DX16" si="225">+(DX15-DS15)*10000</f>
        <v>-20.000000000000295</v>
      </c>
      <c r="DY16" s="1208">
        <v>-20</v>
      </c>
      <c r="DZ16" s="1208">
        <v>-20</v>
      </c>
      <c r="EA16" s="1208">
        <v>-20</v>
      </c>
      <c r="EB16" s="1208">
        <v>-20</v>
      </c>
      <c r="EC16" s="1207">
        <f t="shared" ref="EC16" si="226">+(EC15-DX15)*10000</f>
        <v>-20.000000000000018</v>
      </c>
      <c r="ED16" s="287"/>
      <c r="EE16" s="311"/>
    </row>
    <row r="17" spans="1:135" s="296" customFormat="1" ht="12" hidden="1" customHeight="1" outlineLevel="1">
      <c r="A17" s="940"/>
      <c r="B17" s="940"/>
      <c r="C17" s="309" t="s">
        <v>231</v>
      </c>
      <c r="D17" s="298"/>
      <c r="E17" s="298"/>
      <c r="F17" s="298"/>
      <c r="G17" s="298"/>
      <c r="H17" s="298"/>
      <c r="I17" s="299"/>
      <c r="J17" s="299"/>
      <c r="K17" s="299"/>
      <c r="L17" s="299"/>
      <c r="M17" s="298"/>
      <c r="N17" s="299"/>
      <c r="O17" s="299"/>
      <c r="P17" s="299"/>
      <c r="Q17" s="299"/>
      <c r="R17" s="298"/>
      <c r="S17" s="299"/>
      <c r="T17" s="299"/>
      <c r="U17" s="299"/>
      <c r="V17" s="299"/>
      <c r="W17" s="298"/>
      <c r="X17" s="299"/>
      <c r="Y17" s="299"/>
      <c r="Z17" s="299"/>
      <c r="AA17" s="299"/>
      <c r="AB17" s="298"/>
      <c r="AC17" s="299"/>
      <c r="AD17" s="299"/>
      <c r="AE17" s="299"/>
      <c r="AF17" s="299"/>
      <c r="AG17" s="298"/>
      <c r="AH17" s="299"/>
      <c r="AI17" s="299"/>
      <c r="AJ17" s="299"/>
      <c r="AK17" s="299"/>
      <c r="AL17" s="298"/>
      <c r="AM17" s="299"/>
      <c r="AN17" s="299"/>
      <c r="AO17" s="299"/>
      <c r="AP17" s="299"/>
      <c r="AQ17" s="298"/>
      <c r="AR17" s="299"/>
      <c r="AS17" s="299"/>
      <c r="AT17" s="299"/>
      <c r="AU17" s="299"/>
      <c r="AV17" s="298"/>
      <c r="AW17" s="299"/>
      <c r="AX17" s="299"/>
      <c r="AY17" s="299"/>
      <c r="AZ17" s="299"/>
      <c r="BA17" s="298"/>
      <c r="BB17" s="299"/>
      <c r="BC17" s="299"/>
      <c r="BD17" s="299"/>
      <c r="BE17" s="299"/>
      <c r="BF17" s="298"/>
      <c r="BG17" s="299"/>
      <c r="BH17" s="299"/>
      <c r="BI17" s="299"/>
      <c r="BJ17" s="299"/>
      <c r="BK17" s="298"/>
      <c r="BL17" s="299"/>
      <c r="BM17" s="299"/>
      <c r="BN17" s="299"/>
      <c r="BO17" s="299"/>
      <c r="BP17" s="298"/>
      <c r="BQ17" s="282">
        <v>-10.749000000000001</v>
      </c>
      <c r="BR17" s="282">
        <v>-14.252000000000001</v>
      </c>
      <c r="BS17" s="282">
        <v>-17.629000000000001</v>
      </c>
      <c r="BT17" s="282">
        <v>-26.044</v>
      </c>
      <c r="BU17" s="300">
        <f>SUM(BQ17:BT17)</f>
        <v>-68.674000000000007</v>
      </c>
      <c r="BV17" s="282">
        <v>-24.405000000000001</v>
      </c>
      <c r="BW17" s="282">
        <v>-30.026</v>
      </c>
      <c r="BX17" s="282">
        <v>-35.271000000000001</v>
      </c>
      <c r="BY17" s="282">
        <v>-50.655000000000001</v>
      </c>
      <c r="BZ17" s="300">
        <f>SUM(BV17:BY17)</f>
        <v>-140.357</v>
      </c>
      <c r="CA17" s="282">
        <v>-42.884</v>
      </c>
      <c r="CB17" s="282">
        <v>-51.127000000000002</v>
      </c>
      <c r="CC17" s="282">
        <v>-55.970999999999997</v>
      </c>
      <c r="CD17" s="282">
        <v>-81.802000000000007</v>
      </c>
      <c r="CE17" s="300">
        <f>SUM(CA17:CD17)</f>
        <v>-231.78399999999999</v>
      </c>
      <c r="CF17" s="282">
        <v>-67.337999999999994</v>
      </c>
      <c r="CG17" s="282">
        <v>-83.483999999999995</v>
      </c>
      <c r="CH17" s="282">
        <v>-93.736999999999995</v>
      </c>
      <c r="CI17" s="282">
        <v>-131.41300000000001</v>
      </c>
      <c r="CJ17" s="300">
        <f>SUM(CF17:CI17)</f>
        <v>-375.97199999999998</v>
      </c>
      <c r="CK17" s="282">
        <v>-112.206</v>
      </c>
      <c r="CL17" s="282">
        <v>-127.676</v>
      </c>
      <c r="CM17" s="282">
        <v>-140.59299999999999</v>
      </c>
      <c r="CN17" s="282">
        <v>-203.9</v>
      </c>
      <c r="CO17" s="300">
        <f>SUM(CK17:CN17)</f>
        <v>-584.375</v>
      </c>
      <c r="CP17" s="282">
        <v>-175.339</v>
      </c>
      <c r="CQ17" s="282">
        <v>-294.90699999999998</v>
      </c>
      <c r="CR17" s="282">
        <v>-310.08699999999999</v>
      </c>
      <c r="CS17" s="282">
        <v>-414.10599999999999</v>
      </c>
      <c r="CT17" s="300">
        <f>SUM(CP17:CS17)</f>
        <v>-1194.4389999999999</v>
      </c>
      <c r="CU17" s="282">
        <v>-371.54899999999998</v>
      </c>
      <c r="CV17" s="282">
        <v>-435.55799999999999</v>
      </c>
      <c r="CW17" s="282">
        <v>-447.476</v>
      </c>
      <c r="CX17" s="282">
        <v>-611.77800000000002</v>
      </c>
      <c r="CY17" s="300">
        <f>SUM(CU17:CX17)</f>
        <v>-1866.3610000000001</v>
      </c>
      <c r="CZ17" s="282">
        <v>-488.44099999999997</v>
      </c>
      <c r="DA17" s="282">
        <v>-554.18299999999999</v>
      </c>
      <c r="DB17" s="282">
        <v>-621.55499999999995</v>
      </c>
      <c r="DC17" s="282">
        <v>-850.69899999999996</v>
      </c>
      <c r="DD17" s="300">
        <f>SUM(CZ17:DC17)</f>
        <v>-2514.8780000000002</v>
      </c>
      <c r="DE17" s="282">
        <v>-707</v>
      </c>
      <c r="DF17" s="282">
        <v>-774</v>
      </c>
      <c r="DG17" s="282">
        <v>-725</v>
      </c>
      <c r="DH17" s="282">
        <v>-985</v>
      </c>
      <c r="DI17" s="300">
        <f>SUM(DE17:DH17)</f>
        <v>-3191</v>
      </c>
      <c r="DJ17" s="282">
        <v>-809</v>
      </c>
      <c r="DK17" s="302">
        <v>-903</v>
      </c>
      <c r="DL17" s="302">
        <v>-936</v>
      </c>
      <c r="DM17" s="125">
        <f>-DM9*DM18</f>
        <v>-1268.6197278189429</v>
      </c>
      <c r="DN17" s="300">
        <f>SUM(DJ17:DM17)</f>
        <v>-3916.6197278189429</v>
      </c>
      <c r="DO17" s="125">
        <f>-DO9*DO18</f>
        <v>-1043.3962476333334</v>
      </c>
      <c r="DP17" s="125">
        <f>-DP9*DP18</f>
        <v>-1124.8536429682308</v>
      </c>
      <c r="DQ17" s="125">
        <f>-DQ9*DQ18</f>
        <v>-1145.1340887861115</v>
      </c>
      <c r="DR17" s="125">
        <f>-DR9*DR18</f>
        <v>-1563.0135634119242</v>
      </c>
      <c r="DS17" s="300">
        <f>SUM(DO17:DR17)</f>
        <v>-4876.3975427996002</v>
      </c>
      <c r="DT17" s="125">
        <f>-DT9*DT18</f>
        <v>-1261.4201022886089</v>
      </c>
      <c r="DU17" s="125">
        <f>-DU9*DU18</f>
        <v>-1360.166257039027</v>
      </c>
      <c r="DV17" s="125">
        <f>-DV9*DV18</f>
        <v>-1384.2761253353863</v>
      </c>
      <c r="DW17" s="125">
        <f>-DW9*DW18</f>
        <v>-1889.9697845125104</v>
      </c>
      <c r="DX17" s="300">
        <f>SUM(DT17:DW17)</f>
        <v>-5895.832269175532</v>
      </c>
      <c r="DY17" s="125">
        <f>-DY9*DY18</f>
        <v>-1499.0703001325055</v>
      </c>
      <c r="DZ17" s="125">
        <f>-DZ9*DZ18</f>
        <v>-1616.6426633914293</v>
      </c>
      <c r="EA17" s="125">
        <f>-EA9*EA18</f>
        <v>-1644.9572385864169</v>
      </c>
      <c r="EB17" s="125">
        <f>-EB9*EB18</f>
        <v>-2246.3383440278662</v>
      </c>
      <c r="EC17" s="300">
        <f>SUM(DY17:EB17)</f>
        <v>-7007.0085461382187</v>
      </c>
      <c r="ED17" s="491"/>
      <c r="EE17" s="139"/>
    </row>
    <row r="18" spans="1:135" s="296" customFormat="1" hidden="1" outlineLevel="1">
      <c r="A18" s="940"/>
      <c r="B18" s="940"/>
      <c r="C18" s="303" t="s">
        <v>262</v>
      </c>
      <c r="D18" s="298"/>
      <c r="E18" s="298"/>
      <c r="F18" s="298"/>
      <c r="G18" s="298"/>
      <c r="H18" s="298"/>
      <c r="I18" s="94"/>
      <c r="J18" s="94"/>
      <c r="K18" s="94"/>
      <c r="L18" s="94"/>
      <c r="M18" s="298"/>
      <c r="N18" s="94"/>
      <c r="O18" s="94"/>
      <c r="P18" s="94"/>
      <c r="Q18" s="94"/>
      <c r="R18" s="298"/>
      <c r="S18" s="94"/>
      <c r="T18" s="94"/>
      <c r="U18" s="94"/>
      <c r="V18" s="94"/>
      <c r="W18" s="298"/>
      <c r="X18" s="94"/>
      <c r="Y18" s="94"/>
      <c r="Z18" s="94"/>
      <c r="AA18" s="94"/>
      <c r="AB18" s="298"/>
      <c r="AC18" s="94"/>
      <c r="AD18" s="94"/>
      <c r="AE18" s="94"/>
      <c r="AF18" s="94"/>
      <c r="AG18" s="298"/>
      <c r="AH18" s="94"/>
      <c r="AI18" s="94"/>
      <c r="AJ18" s="94"/>
      <c r="AK18" s="94"/>
      <c r="AL18" s="298"/>
      <c r="AM18" s="94"/>
      <c r="AN18" s="94"/>
      <c r="AO18" s="94"/>
      <c r="AP18" s="94"/>
      <c r="AQ18" s="298"/>
      <c r="AR18" s="94"/>
      <c r="AS18" s="94"/>
      <c r="AT18" s="94"/>
      <c r="AU18" s="94"/>
      <c r="AV18" s="298"/>
      <c r="AW18" s="94"/>
      <c r="AX18" s="94"/>
      <c r="AY18" s="94"/>
      <c r="AZ18" s="94"/>
      <c r="BA18" s="298"/>
      <c r="BB18" s="94"/>
      <c r="BC18" s="94"/>
      <c r="BD18" s="94"/>
      <c r="BE18" s="94"/>
      <c r="BF18" s="298"/>
      <c r="BG18" s="741"/>
      <c r="BH18" s="741"/>
      <c r="BI18" s="741"/>
      <c r="BJ18" s="741"/>
      <c r="BK18" s="298"/>
      <c r="BL18" s="741"/>
      <c r="BM18" s="741"/>
      <c r="BN18" s="741"/>
      <c r="BO18" s="741"/>
      <c r="BP18" s="298"/>
      <c r="BQ18" s="740">
        <f t="shared" ref="BQ18:DK18" si="227">-BQ17/BQ9</f>
        <v>0.71679114430514801</v>
      </c>
      <c r="BR18" s="740">
        <f t="shared" si="227"/>
        <v>0.73211075152822735</v>
      </c>
      <c r="BS18" s="740">
        <f t="shared" si="227"/>
        <v>0.75902006372169128</v>
      </c>
      <c r="BT18" s="740">
        <f t="shared" si="227"/>
        <v>0.7322929846759455</v>
      </c>
      <c r="BU18" s="590">
        <f t="shared" si="227"/>
        <v>0.73641881313402124</v>
      </c>
      <c r="BV18" s="740">
        <f t="shared" si="227"/>
        <v>0.71745649106302922</v>
      </c>
      <c r="BW18" s="740">
        <f t="shared" si="227"/>
        <v>0.69871779954855373</v>
      </c>
      <c r="BX18" s="740">
        <f t="shared" si="227"/>
        <v>0.70912161482940961</v>
      </c>
      <c r="BY18" s="740">
        <f t="shared" si="227"/>
        <v>0.68456403048813452</v>
      </c>
      <c r="BZ18" s="590">
        <f t="shared" si="227"/>
        <v>0.69925370160020728</v>
      </c>
      <c r="CA18" s="740">
        <f t="shared" si="227"/>
        <v>0.65673287492917187</v>
      </c>
      <c r="CB18" s="740">
        <f t="shared" si="227"/>
        <v>0.63863247436201709</v>
      </c>
      <c r="CC18" s="740">
        <f t="shared" si="227"/>
        <v>0.62873928623583197</v>
      </c>
      <c r="CD18" s="740">
        <f t="shared" si="227"/>
        <v>0.63463567527308851</v>
      </c>
      <c r="CE18" s="590">
        <f t="shared" si="227"/>
        <v>0.63804356503235848</v>
      </c>
      <c r="CF18" s="740">
        <f t="shared" si="227"/>
        <v>0.58994936132186226</v>
      </c>
      <c r="CG18" s="740">
        <f t="shared" si="227"/>
        <v>0.6218918073330254</v>
      </c>
      <c r="CH18" s="740">
        <f t="shared" si="227"/>
        <v>0.62680628832407204</v>
      </c>
      <c r="CI18" s="740">
        <f t="shared" si="227"/>
        <v>0.62487755703702297</v>
      </c>
      <c r="CJ18" s="590">
        <f t="shared" si="227"/>
        <v>0.61813811483428227</v>
      </c>
      <c r="CK18" s="740">
        <f t="shared" si="227"/>
        <v>0.62325932756025348</v>
      </c>
      <c r="CL18" s="740">
        <f t="shared" si="227"/>
        <v>0.61108877529531147</v>
      </c>
      <c r="CM18" s="740">
        <f t="shared" si="227"/>
        <v>0.62492721413490382</v>
      </c>
      <c r="CN18" s="740">
        <f t="shared" si="227"/>
        <v>0.6332416131977614</v>
      </c>
      <c r="CO18" s="590">
        <f t="shared" si="227"/>
        <v>0.62437762572494582</v>
      </c>
      <c r="CP18" s="740">
        <f t="shared" si="227"/>
        <v>0.62090639961471994</v>
      </c>
      <c r="CQ18" s="740">
        <f t="shared" si="227"/>
        <v>0.56942076473189196</v>
      </c>
      <c r="CR18" s="740">
        <f t="shared" si="227"/>
        <v>0.59388735777036794</v>
      </c>
      <c r="CS18" s="740">
        <f t="shared" si="227"/>
        <v>0.59301679497754556</v>
      </c>
      <c r="CT18" s="590">
        <f t="shared" si="227"/>
        <v>0.59109165283505893</v>
      </c>
      <c r="CU18" s="740">
        <f t="shared" si="227"/>
        <v>0.55623938943000084</v>
      </c>
      <c r="CV18" s="740">
        <f t="shared" si="227"/>
        <v>0.55470397652596515</v>
      </c>
      <c r="CW18" s="740">
        <f t="shared" si="227"/>
        <v>0.56820040328519983</v>
      </c>
      <c r="CX18" s="740">
        <f t="shared" si="227"/>
        <v>0.59464277382933395</v>
      </c>
      <c r="CY18" s="590">
        <f t="shared" si="227"/>
        <v>0.5708360426998198</v>
      </c>
      <c r="CZ18" s="740">
        <f t="shared" si="227"/>
        <v>0.56870719626668775</v>
      </c>
      <c r="DA18" s="740">
        <f t="shared" si="227"/>
        <v>0.59678124528870802</v>
      </c>
      <c r="DB18" s="740">
        <f t="shared" si="227"/>
        <v>0.62789739155206736</v>
      </c>
      <c r="DC18" s="740">
        <f t="shared" si="227"/>
        <v>0.63735948405812737</v>
      </c>
      <c r="DD18" s="590">
        <f t="shared" si="227"/>
        <v>0.61157922767049977</v>
      </c>
      <c r="DE18" s="740">
        <f t="shared" si="227"/>
        <v>0.62788632326820604</v>
      </c>
      <c r="DF18" s="740">
        <f t="shared" si="227"/>
        <v>0.61919999999999997</v>
      </c>
      <c r="DG18" s="740">
        <f t="shared" si="227"/>
        <v>0.5903908794788274</v>
      </c>
      <c r="DH18" s="740">
        <f t="shared" si="227"/>
        <v>0.60840024706609019</v>
      </c>
      <c r="DI18" s="590">
        <f t="shared" si="227"/>
        <v>0.61095156040589704</v>
      </c>
      <c r="DJ18" s="740">
        <f t="shared" si="227"/>
        <v>0.59925925925925927</v>
      </c>
      <c r="DK18" s="740">
        <f t="shared" si="227"/>
        <v>0.60931174089068829</v>
      </c>
      <c r="DL18" s="740">
        <f t="shared" ref="DL18" si="228">-DL17/DL9</f>
        <v>0.60309278350515461</v>
      </c>
      <c r="DM18" s="361">
        <f>+DL18+1.7%</f>
        <v>0.62009278350515462</v>
      </c>
      <c r="DN18" s="590">
        <f>-DN17/DN9</f>
        <v>0.60913036424183475</v>
      </c>
      <c r="DO18" s="740">
        <f>+DJ18+(DO19/10000)</f>
        <v>0.60125925925925927</v>
      </c>
      <c r="DP18" s="740">
        <f t="shared" ref="DP18:DR18" si="229">+DK18+(DP19/10000)</f>
        <v>0.61031174089068829</v>
      </c>
      <c r="DQ18" s="740">
        <f t="shared" si="229"/>
        <v>0.5990927835051546</v>
      </c>
      <c r="DR18" s="740">
        <f t="shared" si="229"/>
        <v>0.61509278350515462</v>
      </c>
      <c r="DS18" s="590">
        <f>-DS17/DS9</f>
        <v>0.60719822797103229</v>
      </c>
      <c r="DT18" s="740">
        <f>+DO18+(DT19/10000)</f>
        <v>0.60075925925925933</v>
      </c>
      <c r="DU18" s="740">
        <f t="shared" ref="DU18" si="230">+DP18+(DU19/10000)</f>
        <v>0.60981174089068835</v>
      </c>
      <c r="DV18" s="740">
        <f t="shared" ref="DV18" si="231">+DQ18+(DV19/10000)</f>
        <v>0.59859278350515466</v>
      </c>
      <c r="DW18" s="740">
        <f t="shared" ref="DW18" si="232">+DR18+(DW19/10000)</f>
        <v>0.61459278350515467</v>
      </c>
      <c r="DX18" s="590">
        <f>-DX17/DX9</f>
        <v>0.60669897265640971</v>
      </c>
      <c r="DY18" s="740">
        <f>+DT18+(DY19/10000)</f>
        <v>0.60025925925925938</v>
      </c>
      <c r="DZ18" s="740">
        <f t="shared" ref="DZ18" si="233">+DU18+(DZ19/10000)</f>
        <v>0.6093117408906884</v>
      </c>
      <c r="EA18" s="740">
        <f t="shared" ref="EA18" si="234">+DV18+(EA19/10000)</f>
        <v>0.59809278350515471</v>
      </c>
      <c r="EB18" s="740">
        <f t="shared" ref="EB18" si="235">+DW18+(EB19/10000)</f>
        <v>0.61409278350515473</v>
      </c>
      <c r="EC18" s="590">
        <f>-EC17/EC9</f>
        <v>0.60619947833580334</v>
      </c>
      <c r="ED18" s="419"/>
      <c r="EE18" s="139"/>
    </row>
    <row r="19" spans="1:135" s="19" customFormat="1" ht="12" hidden="1" customHeight="1" outlineLevel="1">
      <c r="A19" s="940"/>
      <c r="B19" s="940"/>
      <c r="C19" s="1205" t="s">
        <v>629</v>
      </c>
      <c r="D19" s="744"/>
      <c r="E19" s="744"/>
      <c r="F19" s="744"/>
      <c r="G19" s="744"/>
      <c r="H19" s="744"/>
      <c r="I19" s="738"/>
      <c r="J19" s="738"/>
      <c r="K19" s="738"/>
      <c r="L19" s="738"/>
      <c r="M19" s="744"/>
      <c r="N19" s="738"/>
      <c r="O19" s="738"/>
      <c r="P19" s="738"/>
      <c r="Q19" s="738"/>
      <c r="R19" s="744"/>
      <c r="S19" s="738"/>
      <c r="T19" s="738"/>
      <c r="U19" s="738"/>
      <c r="V19" s="738"/>
      <c r="W19" s="744"/>
      <c r="X19" s="738"/>
      <c r="Y19" s="738"/>
      <c r="Z19" s="738"/>
      <c r="AA19" s="738"/>
      <c r="AB19" s="744"/>
      <c r="AC19" s="738"/>
      <c r="AD19" s="738"/>
      <c r="AE19" s="738"/>
      <c r="AF19" s="738"/>
      <c r="AG19" s="744"/>
      <c r="AH19" s="738"/>
      <c r="AI19" s="738"/>
      <c r="AJ19" s="738"/>
      <c r="AK19" s="738"/>
      <c r="AL19" s="744"/>
      <c r="AM19" s="738"/>
      <c r="AN19" s="738"/>
      <c r="AO19" s="738"/>
      <c r="AP19" s="738"/>
      <c r="AQ19" s="744"/>
      <c r="AR19" s="738"/>
      <c r="AS19" s="738"/>
      <c r="AT19" s="738"/>
      <c r="AU19" s="738"/>
      <c r="AV19" s="744"/>
      <c r="AW19" s="738"/>
      <c r="AX19" s="738"/>
      <c r="AY19" s="738"/>
      <c r="AZ19" s="738"/>
      <c r="BA19" s="744"/>
      <c r="BB19" s="738"/>
      <c r="BC19" s="738"/>
      <c r="BD19" s="738"/>
      <c r="BE19" s="738"/>
      <c r="BF19" s="744"/>
      <c r="BG19" s="738"/>
      <c r="BH19" s="738"/>
      <c r="BI19" s="738"/>
      <c r="BJ19" s="738"/>
      <c r="BK19" s="744"/>
      <c r="BL19" s="738"/>
      <c r="BM19" s="738"/>
      <c r="BN19" s="738"/>
      <c r="BO19" s="738"/>
      <c r="BP19" s="744"/>
      <c r="BQ19" s="287"/>
      <c r="BR19" s="287"/>
      <c r="BS19" s="287"/>
      <c r="BT19" s="287"/>
      <c r="BU19" s="286"/>
      <c r="BV19" s="1206">
        <f>+(BV18-BQ18)*10000</f>
        <v>6.6534675788121334</v>
      </c>
      <c r="BW19" s="1206">
        <f t="shared" ref="BW19" si="236">+(BW18-BR18)*10000</f>
        <v>-333.92951979673626</v>
      </c>
      <c r="BX19" s="1206">
        <f t="shared" ref="BX19" si="237">+(BX18-BS18)*10000</f>
        <v>-498.98448892281675</v>
      </c>
      <c r="BY19" s="1206">
        <f t="shared" ref="BY19" si="238">+(BY18-BT18)*10000</f>
        <v>-477.28954187810979</v>
      </c>
      <c r="BZ19" s="1207">
        <f t="shared" ref="BZ19" si="239">+(BZ18-BU18)*10000</f>
        <v>-371.65111533813968</v>
      </c>
      <c r="CA19" s="1206">
        <f t="shared" ref="CA19" si="240">+(CA18-BV18)*10000</f>
        <v>-607.23616133857354</v>
      </c>
      <c r="CB19" s="1206">
        <f t="shared" ref="CB19" si="241">+(CB18-BW18)*10000</f>
        <v>-600.85325186536647</v>
      </c>
      <c r="CC19" s="1206">
        <f t="shared" ref="CC19" si="242">+(CC18-BX18)*10000</f>
        <v>-803.82328593577631</v>
      </c>
      <c r="CD19" s="1206">
        <f t="shared" ref="CD19" si="243">+(CD18-BY18)*10000</f>
        <v>-499.28355215046014</v>
      </c>
      <c r="CE19" s="1207">
        <f t="shared" ref="CE19" si="244">+(CE18-BZ18)*10000</f>
        <v>-612.10136567848792</v>
      </c>
      <c r="CF19" s="1206">
        <f t="shared" ref="CF19" si="245">+(CF18-CA18)*10000</f>
        <v>-667.83513607309612</v>
      </c>
      <c r="CG19" s="1206">
        <f t="shared" ref="CG19" si="246">+(CG18-CB18)*10000</f>
        <v>-167.40667028991686</v>
      </c>
      <c r="CH19" s="1206">
        <f t="shared" ref="CH19" si="247">+(CH18-CC18)*10000</f>
        <v>-19.329979117599372</v>
      </c>
      <c r="CI19" s="1206">
        <f t="shared" ref="CI19" si="248">+(CI18-CD18)*10000</f>
        <v>-97.58118236065539</v>
      </c>
      <c r="CJ19" s="1207">
        <f t="shared" ref="CJ19" si="249">+(CJ18-CE18)*10000</f>
        <v>-199.05450198076213</v>
      </c>
      <c r="CK19" s="1206">
        <f t="shared" ref="CK19" si="250">+(CK18-CF18)*10000</f>
        <v>333.09966238391218</v>
      </c>
      <c r="CL19" s="1206">
        <f t="shared" ref="CL19" si="251">+(CL18-CG18)*10000</f>
        <v>-108.03032037713933</v>
      </c>
      <c r="CM19" s="1206">
        <f t="shared" ref="CM19" si="252">+(CM18-CH18)*10000</f>
        <v>-18.790741891682174</v>
      </c>
      <c r="CN19" s="1206">
        <f t="shared" ref="CN19" si="253">+(CN18-CI18)*10000</f>
        <v>83.640561607384313</v>
      </c>
      <c r="CO19" s="1207">
        <f t="shared" ref="CO19" si="254">+(CO18-CJ18)*10000</f>
        <v>62.395108906635464</v>
      </c>
      <c r="CP19" s="1206">
        <f t="shared" ref="CP19" si="255">+(CP18-CK18)*10000</f>
        <v>-23.529279455335448</v>
      </c>
      <c r="CQ19" s="1206">
        <f t="shared" ref="CQ19" si="256">+(CQ18-CL18)*10000</f>
        <v>-416.68010563419512</v>
      </c>
      <c r="CR19" s="1206">
        <f t="shared" ref="CR19" si="257">+(CR18-CM18)*10000</f>
        <v>-310.39856364535876</v>
      </c>
      <c r="CS19" s="1206">
        <f t="shared" ref="CS19" si="258">+(CS18-CN18)*10000</f>
        <v>-402.24818220215843</v>
      </c>
      <c r="CT19" s="1207">
        <f t="shared" ref="CT19" si="259">+(CT18-CO18)*10000</f>
        <v>-332.85972889886881</v>
      </c>
      <c r="CU19" s="1206">
        <f t="shared" ref="CU19" si="260">+(CU18-CP18)*10000</f>
        <v>-646.67010184719095</v>
      </c>
      <c r="CV19" s="1206">
        <f t="shared" ref="CV19" si="261">+(CV18-CQ18)*10000</f>
        <v>-147.16788205926812</v>
      </c>
      <c r="CW19" s="1206">
        <f t="shared" ref="CW19" si="262">+(CW18-CR18)*10000</f>
        <v>-256.8695448516811</v>
      </c>
      <c r="CX19" s="1206">
        <f t="shared" ref="CX19" si="263">+(CX18-CS18)*10000</f>
        <v>16.259788517883898</v>
      </c>
      <c r="CY19" s="1207">
        <f t="shared" ref="CY19" si="264">+(CY18-CT18)*10000</f>
        <v>-202.55610135239132</v>
      </c>
      <c r="CZ19" s="1206">
        <f t="shared" ref="CZ19" si="265">+(CZ18-CU18)*10000</f>
        <v>124.67806836686913</v>
      </c>
      <c r="DA19" s="1206">
        <f t="shared" ref="DA19" si="266">+(DA18-CV18)*10000</f>
        <v>420.7726876274287</v>
      </c>
      <c r="DB19" s="1206">
        <f t="shared" ref="DB19" si="267">+(DB18-CW18)*10000</f>
        <v>596.96988266867538</v>
      </c>
      <c r="DC19" s="1206">
        <f t="shared" ref="DC19" si="268">+(DC18-CX18)*10000</f>
        <v>427.1671022879342</v>
      </c>
      <c r="DD19" s="1207">
        <f t="shared" ref="DD19" si="269">+(DD18-CY18)*10000</f>
        <v>407.43184970679971</v>
      </c>
      <c r="DE19" s="1206">
        <f t="shared" ref="DE19" si="270">+(DE18-CZ18)*10000</f>
        <v>591.79127001518282</v>
      </c>
      <c r="DF19" s="1206">
        <f t="shared" ref="DF19" si="271">+(DF18-DA18)*10000</f>
        <v>224.18754711291956</v>
      </c>
      <c r="DG19" s="1206">
        <f t="shared" ref="DG19" si="272">+(DG18-DB18)*10000</f>
        <v>-375.06512073239963</v>
      </c>
      <c r="DH19" s="1206">
        <f t="shared" ref="DH19" si="273">+(DH18-DC18)*10000</f>
        <v>-289.59236992037177</v>
      </c>
      <c r="DI19" s="1207">
        <f t="shared" ref="DI19" si="274">+(DI18-DD18)*10000</f>
        <v>-6.2766726460272704</v>
      </c>
      <c r="DJ19" s="1206">
        <f t="shared" ref="DJ19" si="275">+(DJ18-DE18)*10000</f>
        <v>-286.27064008946769</v>
      </c>
      <c r="DK19" s="1206">
        <f t="shared" ref="DK19" si="276">+(DK18-DF18)*10000</f>
        <v>-98.882591093116815</v>
      </c>
      <c r="DL19" s="1206">
        <f t="shared" ref="DL19" si="277">+(DL18-DG18)*10000</f>
        <v>127.01904026327205</v>
      </c>
      <c r="DM19" s="1206">
        <f t="shared" ref="DM19" si="278">+(DM18-DH18)*10000</f>
        <v>116.92536439064428</v>
      </c>
      <c r="DN19" s="1207">
        <f t="shared" ref="DN19" si="279">+(DN18-DI18)*10000</f>
        <v>-18.211961640622889</v>
      </c>
      <c r="DO19" s="1208">
        <v>20</v>
      </c>
      <c r="DP19" s="1208">
        <v>10</v>
      </c>
      <c r="DQ19" s="1208">
        <v>-40</v>
      </c>
      <c r="DR19" s="1208">
        <v>-50</v>
      </c>
      <c r="DS19" s="1207">
        <f t="shared" ref="DS19" si="280">+(DS18-DN18)*10000</f>
        <v>-19.321362708024648</v>
      </c>
      <c r="DT19" s="1208">
        <v>-5</v>
      </c>
      <c r="DU19" s="1208">
        <v>-5</v>
      </c>
      <c r="DV19" s="1208">
        <v>-5</v>
      </c>
      <c r="DW19" s="1208">
        <v>-5</v>
      </c>
      <c r="DX19" s="1207">
        <f t="shared" ref="DX19" si="281">+(DX18-DS18)*10000</f>
        <v>-4.9925531462258199</v>
      </c>
      <c r="DY19" s="1208">
        <v>-5</v>
      </c>
      <c r="DZ19" s="1208">
        <v>-5</v>
      </c>
      <c r="EA19" s="1208">
        <v>-5</v>
      </c>
      <c r="EB19" s="1208">
        <v>-5</v>
      </c>
      <c r="EC19" s="1207">
        <f t="shared" ref="EC19" si="282">+(EC18-DX18)*10000</f>
        <v>-4.9949432060636401</v>
      </c>
      <c r="ED19" s="287"/>
      <c r="EE19" s="311"/>
    </row>
    <row r="20" spans="1:135" s="296" customFormat="1" collapsed="1">
      <c r="A20" s="940"/>
      <c r="B20" s="940"/>
      <c r="C20" s="297" t="s">
        <v>274</v>
      </c>
      <c r="D20" s="304"/>
      <c r="E20" s="304"/>
      <c r="F20" s="304"/>
      <c r="G20" s="304"/>
      <c r="H20" s="304"/>
      <c r="I20" s="18"/>
      <c r="J20" s="18"/>
      <c r="K20" s="18"/>
      <c r="L20" s="18"/>
      <c r="M20" s="304"/>
      <c r="N20" s="18"/>
      <c r="O20" s="18"/>
      <c r="P20" s="18"/>
      <c r="Q20" s="18"/>
      <c r="R20" s="304"/>
      <c r="S20" s="18"/>
      <c r="T20" s="18"/>
      <c r="U20" s="18"/>
      <c r="V20" s="18"/>
      <c r="W20" s="304"/>
      <c r="X20" s="18"/>
      <c r="Y20" s="18"/>
      <c r="Z20" s="18"/>
      <c r="AA20" s="18"/>
      <c r="AB20" s="304"/>
      <c r="AC20" s="18"/>
      <c r="AD20" s="18"/>
      <c r="AE20" s="18"/>
      <c r="AF20" s="18"/>
      <c r="AG20" s="304"/>
      <c r="AH20" s="18"/>
      <c r="AI20" s="18"/>
      <c r="AJ20" s="18"/>
      <c r="AK20" s="18"/>
      <c r="AL20" s="304"/>
      <c r="AM20" s="18"/>
      <c r="AN20" s="18"/>
      <c r="AO20" s="18"/>
      <c r="AP20" s="18"/>
      <c r="AQ20" s="304"/>
      <c r="AR20" s="18"/>
      <c r="AS20" s="18"/>
      <c r="AT20" s="18"/>
      <c r="AU20" s="18"/>
      <c r="AV20" s="304"/>
      <c r="AW20" s="18"/>
      <c r="AX20" s="18"/>
      <c r="AY20" s="18"/>
      <c r="AZ20" s="18"/>
      <c r="BA20" s="304"/>
      <c r="BB20" s="18"/>
      <c r="BC20" s="18"/>
      <c r="BD20" s="18"/>
      <c r="BE20" s="18"/>
      <c r="BF20" s="304"/>
      <c r="BG20" s="742"/>
      <c r="BH20" s="742"/>
      <c r="BI20" s="742"/>
      <c r="BJ20" s="742"/>
      <c r="BK20" s="304"/>
      <c r="BL20" s="742"/>
      <c r="BM20" s="742"/>
      <c r="BN20" s="742"/>
      <c r="BO20" s="742"/>
      <c r="BP20" s="304"/>
      <c r="BQ20" s="305">
        <f t="shared" ref="BQ20:BV20" si="283">BQ14+BQ17</f>
        <v>-15.782</v>
      </c>
      <c r="BR20" s="306">
        <f t="shared" si="283"/>
        <v>-19.673999999999999</v>
      </c>
      <c r="BS20" s="306">
        <f t="shared" si="283"/>
        <v>-24.042999999999999</v>
      </c>
      <c r="BT20" s="306">
        <f t="shared" si="283"/>
        <v>-33.706000000000003</v>
      </c>
      <c r="BU20" s="307">
        <f t="shared" si="283"/>
        <v>-93.205000000000013</v>
      </c>
      <c r="BV20" s="306">
        <f t="shared" si="283"/>
        <v>-32.637</v>
      </c>
      <c r="BW20" s="306">
        <f t="shared" ref="BW20:CX20" si="284">BW14+BW17</f>
        <v>-39.124000000000002</v>
      </c>
      <c r="BX20" s="306">
        <f t="shared" si="284"/>
        <v>-45.826000000000001</v>
      </c>
      <c r="BY20" s="306">
        <f t="shared" si="284"/>
        <v>-62.248000000000005</v>
      </c>
      <c r="BZ20" s="307">
        <f t="shared" si="284"/>
        <v>-179.83499999999998</v>
      </c>
      <c r="CA20" s="306">
        <f>CA14+CA17</f>
        <v>-55.137999999999998</v>
      </c>
      <c r="CB20" s="306">
        <f t="shared" si="284"/>
        <v>-64.814999999999998</v>
      </c>
      <c r="CC20" s="306">
        <f t="shared" si="284"/>
        <v>-71.429000000000002</v>
      </c>
      <c r="CD20" s="306">
        <f t="shared" si="284"/>
        <v>-101.66900000000001</v>
      </c>
      <c r="CE20" s="307">
        <f t="shared" si="284"/>
        <v>-293.05099999999999</v>
      </c>
      <c r="CF20" s="306">
        <f>CF14+CF17</f>
        <v>-90.49799999999999</v>
      </c>
      <c r="CG20" s="306">
        <f t="shared" si="284"/>
        <v>-108.008</v>
      </c>
      <c r="CH20" s="306">
        <f t="shared" si="284"/>
        <v>-120.33699999999999</v>
      </c>
      <c r="CI20" s="306">
        <f t="shared" si="284"/>
        <v>-158.119</v>
      </c>
      <c r="CJ20" s="307">
        <f t="shared" si="284"/>
        <v>-476.96199999999999</v>
      </c>
      <c r="CK20" s="306">
        <f>CK14+CK17</f>
        <v>-140.191</v>
      </c>
      <c r="CL20" s="306">
        <f t="shared" si="284"/>
        <v>-157.214</v>
      </c>
      <c r="CM20" s="306">
        <f t="shared" si="284"/>
        <v>-173.85599999999999</v>
      </c>
      <c r="CN20" s="306">
        <f t="shared" si="284"/>
        <v>-241.26900000000001</v>
      </c>
      <c r="CO20" s="307">
        <f t="shared" si="284"/>
        <v>-712.53</v>
      </c>
      <c r="CP20" s="306">
        <f t="shared" si="284"/>
        <v>-213.05099999999999</v>
      </c>
      <c r="CQ20" s="306">
        <f t="shared" si="284"/>
        <v>-339.30699999999996</v>
      </c>
      <c r="CR20" s="306">
        <f t="shared" si="284"/>
        <v>-362.25700000000001</v>
      </c>
      <c r="CS20" s="306">
        <f t="shared" si="284"/>
        <v>-473.35599999999999</v>
      </c>
      <c r="CT20" s="307">
        <f t="shared" si="284"/>
        <v>-1387.9709999999998</v>
      </c>
      <c r="CU20" s="306">
        <f>CU14+CU17</f>
        <v>-429.93099999999998</v>
      </c>
      <c r="CV20" s="306">
        <f t="shared" si="284"/>
        <v>-498.58499999999998</v>
      </c>
      <c r="CW20" s="306">
        <f t="shared" si="284"/>
        <v>-514.83100000000002</v>
      </c>
      <c r="CX20" s="306">
        <f t="shared" si="284"/>
        <v>-687.36500000000001</v>
      </c>
      <c r="CY20" s="307">
        <f t="shared" ref="CY20:DN20" si="285">CY14+CY17</f>
        <v>-2130.712</v>
      </c>
      <c r="CZ20" s="306">
        <f t="shared" si="285"/>
        <v>-565.98599999999999</v>
      </c>
      <c r="DA20" s="306">
        <f t="shared" ref="DA20:DB20" si="286">DA14+DA17</f>
        <v>-639.42100000000005</v>
      </c>
      <c r="DB20" s="306">
        <f t="shared" si="286"/>
        <v>-703.86799999999994</v>
      </c>
      <c r="DC20" s="306">
        <f t="shared" ref="DC20:DE20" si="287">DC14+DC17</f>
        <v>-936.46999999999991</v>
      </c>
      <c r="DD20" s="307">
        <f t="shared" si="285"/>
        <v>-2845.7450000000003</v>
      </c>
      <c r="DE20" s="306">
        <f t="shared" si="287"/>
        <v>-791</v>
      </c>
      <c r="DF20" s="306">
        <f t="shared" ref="DF20:DG20" si="288">DF14+DF17</f>
        <v>-859</v>
      </c>
      <c r="DG20" s="306">
        <f t="shared" si="288"/>
        <v>-813</v>
      </c>
      <c r="DH20" s="306">
        <f t="shared" si="285"/>
        <v>-1082</v>
      </c>
      <c r="DI20" s="307">
        <f t="shared" si="285"/>
        <v>-3545</v>
      </c>
      <c r="DJ20" s="306">
        <f t="shared" ref="DJ20:DK20" si="289">DJ14+DJ17</f>
        <v>-904</v>
      </c>
      <c r="DK20" s="306">
        <f t="shared" si="289"/>
        <v>-1000</v>
      </c>
      <c r="DL20" s="306">
        <f t="shared" ref="DL20" si="290">DL14+DL17</f>
        <v>-1044</v>
      </c>
      <c r="DM20" s="306">
        <f t="shared" si="285"/>
        <v>-1387.7020210400206</v>
      </c>
      <c r="DN20" s="307">
        <f t="shared" si="285"/>
        <v>-4335.7020210400206</v>
      </c>
      <c r="DO20" s="306">
        <f t="shared" ref="DO20:DS20" si="291">DO14+DO17</f>
        <v>-1152.5811690943294</v>
      </c>
      <c r="DP20" s="306">
        <f t="shared" si="291"/>
        <v>-1236.0936432689925</v>
      </c>
      <c r="DQ20" s="306">
        <f t="shared" si="291"/>
        <v>-1269.0884130581817</v>
      </c>
      <c r="DR20" s="306">
        <f t="shared" si="291"/>
        <v>-1699.7750689636562</v>
      </c>
      <c r="DS20" s="307">
        <f t="shared" si="291"/>
        <v>-5357.53829438516</v>
      </c>
      <c r="DT20" s="306">
        <f t="shared" ref="DT20:EC20" si="292">DT14+DT17</f>
        <v>-1386.5668213278907</v>
      </c>
      <c r="DU20" s="306">
        <f t="shared" si="292"/>
        <v>-1487.5524566504653</v>
      </c>
      <c r="DV20" s="306">
        <f t="shared" si="292"/>
        <v>-1526.2695970650898</v>
      </c>
      <c r="DW20" s="306">
        <f t="shared" si="292"/>
        <v>-2046.6761394138107</v>
      </c>
      <c r="DX20" s="307">
        <f t="shared" si="292"/>
        <v>-6447.0650144572564</v>
      </c>
      <c r="DY20" s="306">
        <f t="shared" si="292"/>
        <v>-1641.1284111157352</v>
      </c>
      <c r="DZ20" s="306">
        <f t="shared" si="292"/>
        <v>-1761.1081927220921</v>
      </c>
      <c r="EA20" s="306">
        <f t="shared" si="292"/>
        <v>-1806.043697330135</v>
      </c>
      <c r="EB20" s="306">
        <f t="shared" si="292"/>
        <v>-2424.1646615821246</v>
      </c>
      <c r="EC20" s="307">
        <f t="shared" si="292"/>
        <v>-7632.4449627500881</v>
      </c>
      <c r="ED20" s="1168"/>
      <c r="EE20" s="139"/>
    </row>
    <row r="21" spans="1:135" s="296" customFormat="1">
      <c r="A21" s="940"/>
      <c r="B21" s="940"/>
      <c r="C21" s="303" t="s">
        <v>335</v>
      </c>
      <c r="D21" s="298"/>
      <c r="E21" s="298"/>
      <c r="F21" s="298"/>
      <c r="G21" s="298"/>
      <c r="H21" s="298"/>
      <c r="I21" s="94"/>
      <c r="J21" s="94"/>
      <c r="K21" s="94"/>
      <c r="L21" s="94"/>
      <c r="M21" s="298"/>
      <c r="N21" s="94"/>
      <c r="O21" s="94"/>
      <c r="P21" s="94"/>
      <c r="Q21" s="94"/>
      <c r="R21" s="298"/>
      <c r="S21" s="94"/>
      <c r="T21" s="94"/>
      <c r="U21" s="94"/>
      <c r="V21" s="94"/>
      <c r="W21" s="298"/>
      <c r="X21" s="94"/>
      <c r="Y21" s="94"/>
      <c r="Z21" s="94"/>
      <c r="AA21" s="94"/>
      <c r="AB21" s="298"/>
      <c r="AC21" s="94"/>
      <c r="AD21" s="94"/>
      <c r="AE21" s="94"/>
      <c r="AF21" s="94"/>
      <c r="AG21" s="298"/>
      <c r="AH21" s="94"/>
      <c r="AI21" s="94"/>
      <c r="AJ21" s="94"/>
      <c r="AK21" s="94"/>
      <c r="AL21" s="298"/>
      <c r="AM21" s="94"/>
      <c r="AN21" s="94"/>
      <c r="AO21" s="94"/>
      <c r="AP21" s="94"/>
      <c r="AQ21" s="298"/>
      <c r="AR21" s="94"/>
      <c r="AS21" s="94"/>
      <c r="AT21" s="94"/>
      <c r="AU21" s="94"/>
      <c r="AV21" s="298"/>
      <c r="AW21" s="94"/>
      <c r="AX21" s="94"/>
      <c r="AY21" s="94"/>
      <c r="AZ21" s="94"/>
      <c r="BA21" s="298"/>
      <c r="BB21" s="94"/>
      <c r="BC21" s="94"/>
      <c r="BD21" s="94"/>
      <c r="BE21" s="94"/>
      <c r="BF21" s="298"/>
      <c r="BG21" s="741"/>
      <c r="BH21" s="741"/>
      <c r="BI21" s="741"/>
      <c r="BJ21" s="741"/>
      <c r="BK21" s="298"/>
      <c r="BL21" s="741"/>
      <c r="BM21" s="741"/>
      <c r="BN21" s="741"/>
      <c r="BO21" s="741"/>
      <c r="BP21" s="298"/>
      <c r="BQ21" s="740">
        <f t="shared" ref="BQ21:CV21" si="293">-BQ20/BQ11</f>
        <v>0.42256613473278354</v>
      </c>
      <c r="BR21" s="740">
        <f t="shared" si="293"/>
        <v>0.43792013533365975</v>
      </c>
      <c r="BS21" s="740">
        <f t="shared" si="293"/>
        <v>0.45548061986132682</v>
      </c>
      <c r="BT21" s="740">
        <f t="shared" si="293"/>
        <v>0.48032719136990015</v>
      </c>
      <c r="BU21" s="590">
        <f t="shared" si="293"/>
        <v>0.45414236501927085</v>
      </c>
      <c r="BV21" s="740">
        <f t="shared" si="293"/>
        <v>0.44879128736833418</v>
      </c>
      <c r="BW21" s="740">
        <f t="shared" si="293"/>
        <v>0.45153323254123057</v>
      </c>
      <c r="BX21" s="740">
        <f t="shared" si="293"/>
        <v>0.46020205266223463</v>
      </c>
      <c r="BY21" s="740">
        <f t="shared" si="293"/>
        <v>0.47742420407568481</v>
      </c>
      <c r="BZ21" s="590">
        <f t="shared" si="293"/>
        <v>0.46190892045308601</v>
      </c>
      <c r="CA21" s="740">
        <f t="shared" si="293"/>
        <v>0.43286569999764479</v>
      </c>
      <c r="CB21" s="740">
        <f t="shared" si="293"/>
        <v>0.42738452408427019</v>
      </c>
      <c r="CC21" s="740">
        <f t="shared" si="293"/>
        <v>0.41660251026502421</v>
      </c>
      <c r="CD21" s="740">
        <f t="shared" si="293"/>
        <v>0.45629538538870995</v>
      </c>
      <c r="CE21" s="590">
        <f t="shared" si="293"/>
        <v>0.4352432185164502</v>
      </c>
      <c r="CF21" s="740">
        <f t="shared" si="293"/>
        <v>0.42221703835028462</v>
      </c>
      <c r="CG21" s="740">
        <f t="shared" si="293"/>
        <v>0.44091556684070654</v>
      </c>
      <c r="CH21" s="740">
        <f t="shared" si="293"/>
        <v>0.44558697197701286</v>
      </c>
      <c r="CI21" s="740">
        <f t="shared" si="293"/>
        <v>0.45983272359260408</v>
      </c>
      <c r="CJ21" s="590">
        <f t="shared" si="293"/>
        <v>0.44441773377350041</v>
      </c>
      <c r="CK21" s="740">
        <f t="shared" si="293"/>
        <v>0.43743798403654499</v>
      </c>
      <c r="CL21" s="740">
        <f t="shared" si="293"/>
        <v>0.43431801292340166</v>
      </c>
      <c r="CM21" s="740">
        <f t="shared" si="293"/>
        <v>0.44515455048239411</v>
      </c>
      <c r="CN21" s="740">
        <f t="shared" si="293"/>
        <v>0.47760907435268035</v>
      </c>
      <c r="CO21" s="590">
        <f t="shared" si="293"/>
        <v>0.45149042595456895</v>
      </c>
      <c r="CP21" s="740">
        <f t="shared" si="293"/>
        <v>0.45329903553396694</v>
      </c>
      <c r="CQ21" s="740">
        <f t="shared" si="293"/>
        <v>0.4749930355390492</v>
      </c>
      <c r="CR21" s="740">
        <f t="shared" si="293"/>
        <v>0.47205452140655851</v>
      </c>
      <c r="CS21" s="740">
        <f t="shared" si="293"/>
        <v>0.48413081542816938</v>
      </c>
      <c r="CT21" s="590">
        <f t="shared" si="293"/>
        <v>0.47379254621365957</v>
      </c>
      <c r="CU21" s="740">
        <f t="shared" si="293"/>
        <v>0.43486805705170806</v>
      </c>
      <c r="CV21" s="740">
        <f t="shared" si="293"/>
        <v>0.44538588318318451</v>
      </c>
      <c r="CW21" s="740">
        <f t="shared" ref="CW21:EB21" si="294">-CW20/CW11</f>
        <v>0.45814067310943812</v>
      </c>
      <c r="CX21" s="740">
        <f t="shared" si="294"/>
        <v>0.49808191741592894</v>
      </c>
      <c r="CY21" s="590">
        <f t="shared" si="294"/>
        <v>0.46200748679056763</v>
      </c>
      <c r="CZ21" s="740">
        <f t="shared" si="294"/>
        <v>0.47023528131316861</v>
      </c>
      <c r="DA21" s="740">
        <f t="shared" si="294"/>
        <v>0.49373737030553727</v>
      </c>
      <c r="DB21" s="740">
        <f t="shared" si="294"/>
        <v>0.51520128824476641</v>
      </c>
      <c r="DC21" s="740">
        <f t="shared" si="294"/>
        <v>0.53975900558969614</v>
      </c>
      <c r="DD21" s="590">
        <f t="shared" si="294"/>
        <v>0.5081810915407946</v>
      </c>
      <c r="DE21" s="740">
        <f t="shared" si="294"/>
        <v>0.52453580901856767</v>
      </c>
      <c r="DF21" s="740">
        <f t="shared" si="294"/>
        <v>0.50708382526564344</v>
      </c>
      <c r="DG21" s="740">
        <f t="shared" si="294"/>
        <v>0.47432905484247373</v>
      </c>
      <c r="DH21" s="740">
        <f t="shared" si="294"/>
        <v>0.50466417910447758</v>
      </c>
      <c r="DI21" s="590">
        <f t="shared" si="294"/>
        <v>0.50212464589235128</v>
      </c>
      <c r="DJ21" s="740">
        <f t="shared" si="294"/>
        <v>0.48576034390112843</v>
      </c>
      <c r="DK21" s="740">
        <f t="shared" si="294"/>
        <v>0.48899755501222492</v>
      </c>
      <c r="DL21" s="740">
        <f t="shared" ref="DL21" si="295">-DL20/DL11</f>
        <v>0.48288621646623497</v>
      </c>
      <c r="DM21" s="740">
        <f t="shared" si="294"/>
        <v>0.51328139063179135</v>
      </c>
      <c r="DN21" s="590">
        <f t="shared" si="294"/>
        <v>0.49428922459723307</v>
      </c>
      <c r="DO21" s="740">
        <f t="shared" si="294"/>
        <v>0.4927911999227142</v>
      </c>
      <c r="DP21" s="740">
        <f t="shared" si="294"/>
        <v>0.49285472699576749</v>
      </c>
      <c r="DQ21" s="740">
        <f t="shared" si="294"/>
        <v>0.48219373428945816</v>
      </c>
      <c r="DR21" s="740">
        <f t="shared" si="294"/>
        <v>0.51229846350617525</v>
      </c>
      <c r="DS21" s="590">
        <f t="shared" si="294"/>
        <v>0.49621738716370833</v>
      </c>
      <c r="DT21" s="740">
        <f t="shared" si="294"/>
        <v>0.49534303278798147</v>
      </c>
      <c r="DU21" s="740">
        <f t="shared" si="294"/>
        <v>0.49566145738610384</v>
      </c>
      <c r="DV21" s="740">
        <f t="shared" si="294"/>
        <v>0.48490490217317106</v>
      </c>
      <c r="DW21" s="740">
        <f t="shared" si="294"/>
        <v>0.51482043853729831</v>
      </c>
      <c r="DX21" s="590">
        <f t="shared" si="294"/>
        <v>0.49886637400927991</v>
      </c>
      <c r="DY21" s="740">
        <f t="shared" si="294"/>
        <v>0.49725619131138254</v>
      </c>
      <c r="DZ21" s="740">
        <f t="shared" si="294"/>
        <v>0.49777813559912798</v>
      </c>
      <c r="EA21" s="740">
        <f t="shared" si="294"/>
        <v>0.48694792164028561</v>
      </c>
      <c r="EB21" s="740">
        <f t="shared" si="294"/>
        <v>0.5167079048998181</v>
      </c>
      <c r="EC21" s="590">
        <f t="shared" ref="EC21" si="296">-EC20/EC11</f>
        <v>0.50085707529340429</v>
      </c>
      <c r="ED21" s="419"/>
      <c r="EE21" s="139"/>
    </row>
    <row r="22" spans="1:135" s="296" customFormat="1">
      <c r="A22" s="940"/>
      <c r="B22" s="940"/>
      <c r="C22" s="308" t="s">
        <v>360</v>
      </c>
      <c r="D22" s="298"/>
      <c r="E22" s="298"/>
      <c r="F22" s="298"/>
      <c r="G22" s="298"/>
      <c r="H22" s="298"/>
      <c r="I22" s="94"/>
      <c r="J22" s="94"/>
      <c r="K22" s="94"/>
      <c r="L22" s="94"/>
      <c r="M22" s="298"/>
      <c r="N22" s="94"/>
      <c r="O22" s="94"/>
      <c r="P22" s="94"/>
      <c r="Q22" s="94"/>
      <c r="R22" s="298"/>
      <c r="S22" s="94"/>
      <c r="T22" s="94"/>
      <c r="U22" s="94"/>
      <c r="V22" s="94"/>
      <c r="W22" s="298"/>
      <c r="X22" s="94"/>
      <c r="Y22" s="94"/>
      <c r="Z22" s="94"/>
      <c r="AA22" s="94"/>
      <c r="AB22" s="298"/>
      <c r="AC22" s="94"/>
      <c r="AD22" s="94"/>
      <c r="AE22" s="94"/>
      <c r="AF22" s="94"/>
      <c r="AG22" s="298"/>
      <c r="AH22" s="94"/>
      <c r="AI22" s="94"/>
      <c r="AJ22" s="94"/>
      <c r="AK22" s="94"/>
      <c r="AL22" s="298"/>
      <c r="AM22" s="94"/>
      <c r="AN22" s="94"/>
      <c r="AO22" s="94"/>
      <c r="AP22" s="94"/>
      <c r="AQ22" s="298"/>
      <c r="AR22" s="94"/>
      <c r="AS22" s="94"/>
      <c r="AT22" s="94"/>
      <c r="AU22" s="94"/>
      <c r="AV22" s="298"/>
      <c r="AW22" s="94"/>
      <c r="AX22" s="94"/>
      <c r="AY22" s="94"/>
      <c r="AZ22" s="94"/>
      <c r="BA22" s="298"/>
      <c r="BB22" s="94"/>
      <c r="BC22" s="94"/>
      <c r="BD22" s="94"/>
      <c r="BE22" s="94"/>
      <c r="BF22" s="298"/>
      <c r="BG22" s="738"/>
      <c r="BH22" s="738"/>
      <c r="BI22" s="738"/>
      <c r="BJ22" s="738"/>
      <c r="BK22" s="298"/>
      <c r="BL22" s="738"/>
      <c r="BM22" s="738"/>
      <c r="BN22" s="738"/>
      <c r="BO22" s="738"/>
      <c r="BP22" s="298"/>
      <c r="BQ22" s="419"/>
      <c r="BR22" s="419"/>
      <c r="BS22" s="419"/>
      <c r="BT22" s="419"/>
      <c r="BU22" s="590"/>
      <c r="BV22" s="419"/>
      <c r="BW22" s="419"/>
      <c r="BX22" s="419"/>
      <c r="BY22" s="419"/>
      <c r="BZ22" s="590"/>
      <c r="CA22" s="419"/>
      <c r="CB22" s="419"/>
      <c r="CC22" s="419"/>
      <c r="CD22" s="419"/>
      <c r="CE22" s="590"/>
      <c r="CF22" s="419"/>
      <c r="CG22" s="419"/>
      <c r="CH22" s="419"/>
      <c r="CI22" s="419"/>
      <c r="CJ22" s="590"/>
      <c r="CK22" s="419"/>
      <c r="CL22" s="419"/>
      <c r="CM22" s="419"/>
      <c r="CN22" s="419"/>
      <c r="CO22" s="590"/>
      <c r="CP22" s="419"/>
      <c r="CQ22" s="419"/>
      <c r="CR22" s="419"/>
      <c r="CS22" s="419"/>
      <c r="CT22" s="590"/>
      <c r="CU22" s="419"/>
      <c r="CV22" s="419"/>
      <c r="CW22" s="419"/>
      <c r="CX22" s="419"/>
      <c r="CY22" s="590"/>
      <c r="CZ22" s="419"/>
      <c r="DA22" s="419"/>
      <c r="DB22" s="419"/>
      <c r="DC22" s="419"/>
      <c r="DD22" s="590"/>
      <c r="DE22" s="419"/>
      <c r="DF22" s="419"/>
      <c r="DG22" s="419"/>
      <c r="DH22" s="419"/>
      <c r="DI22" s="590"/>
      <c r="DJ22" s="419"/>
      <c r="DK22" s="419"/>
      <c r="DL22" s="419"/>
      <c r="DM22" s="419"/>
      <c r="DN22" s="590"/>
      <c r="DO22" s="419"/>
      <c r="DP22" s="419"/>
      <c r="DQ22" s="419"/>
      <c r="DR22" s="419"/>
      <c r="DS22" s="590"/>
      <c r="DT22" s="419"/>
      <c r="DU22" s="419"/>
      <c r="DV22" s="419"/>
      <c r="DW22" s="419"/>
      <c r="DX22" s="590"/>
      <c r="DY22" s="419"/>
      <c r="DZ22" s="419"/>
      <c r="EA22" s="419"/>
      <c r="EB22" s="419"/>
      <c r="EC22" s="590"/>
      <c r="ED22" s="419"/>
      <c r="EE22" s="139"/>
    </row>
    <row r="23" spans="1:135" s="296" customFormat="1" ht="12" hidden="1" customHeight="1" outlineLevel="1">
      <c r="A23" s="940"/>
      <c r="B23" s="940"/>
      <c r="C23" s="309" t="s">
        <v>234</v>
      </c>
      <c r="D23" s="298"/>
      <c r="E23" s="298"/>
      <c r="F23" s="298"/>
      <c r="G23" s="298"/>
      <c r="H23" s="298"/>
      <c r="M23" s="298"/>
      <c r="R23" s="298"/>
      <c r="W23" s="298"/>
      <c r="AB23" s="298"/>
      <c r="AG23" s="298"/>
      <c r="AL23" s="298"/>
      <c r="AQ23" s="298"/>
      <c r="AV23" s="298"/>
      <c r="BA23" s="298"/>
      <c r="BF23" s="298"/>
      <c r="BK23" s="298"/>
      <c r="BP23" s="298"/>
      <c r="BQ23" s="125">
        <f>BQ7+BQ14</f>
        <v>17.318999999999999</v>
      </c>
      <c r="BR23" s="125">
        <f>BR7+BR14</f>
        <v>20.036999999999999</v>
      </c>
      <c r="BS23" s="125">
        <f>BS7+BS14</f>
        <v>23.146000000000001</v>
      </c>
      <c r="BT23" s="125">
        <f>BT7+BT14</f>
        <v>26.945999999999998</v>
      </c>
      <c r="BU23" s="300">
        <f>SUM(BQ23:BT23)</f>
        <v>87.447999999999993</v>
      </c>
      <c r="BV23" s="125">
        <f>BV7+BV14</f>
        <v>30.474000000000004</v>
      </c>
      <c r="BW23" s="125">
        <f>BW7+BW14</f>
        <v>34.576000000000001</v>
      </c>
      <c r="BX23" s="125">
        <f>BX7+BX14</f>
        <v>39.283999999999999</v>
      </c>
      <c r="BY23" s="125">
        <f>BY7+BY14</f>
        <v>44.793999999999997</v>
      </c>
      <c r="BZ23" s="300">
        <f>SUM(BV23:BY23)</f>
        <v>149.12799999999999</v>
      </c>
      <c r="CA23" s="125">
        <f>CA7+CA14</f>
        <v>49.826000000000001</v>
      </c>
      <c r="CB23" s="125">
        <f>CB7+CB14</f>
        <v>57.91</v>
      </c>
      <c r="CC23" s="125">
        <f>CC7+CC14</f>
        <v>66.977000000000004</v>
      </c>
      <c r="CD23" s="125">
        <f>CD7+CD14</f>
        <v>74.051000000000002</v>
      </c>
      <c r="CE23" s="300">
        <f>SUM(CA23:CD23)</f>
        <v>248.76400000000001</v>
      </c>
      <c r="CF23" s="125">
        <f>CF7+CF14</f>
        <v>77.037999999999997</v>
      </c>
      <c r="CG23" s="125">
        <f>CG7+CG14</f>
        <v>86.197000000000003</v>
      </c>
      <c r="CH23" s="125">
        <f>CH7+CH14</f>
        <v>93.917000000000002</v>
      </c>
      <c r="CI23" s="125">
        <f>CI7+CI14</f>
        <v>106.854</v>
      </c>
      <c r="CJ23" s="300">
        <f>SUM(CF23:CI23)</f>
        <v>364.00600000000003</v>
      </c>
      <c r="CK23" s="125">
        <f>CK7+CK14</f>
        <v>112.46599999999999</v>
      </c>
      <c r="CL23" s="125">
        <f>CL7+CL14</f>
        <v>123.509</v>
      </c>
      <c r="CM23" s="125">
        <f>CM7+CM14</f>
        <v>132.31399999999999</v>
      </c>
      <c r="CN23" s="125">
        <f>CN7+CN14</f>
        <v>145.797</v>
      </c>
      <c r="CO23" s="300">
        <f>SUM(CK23:CN23)</f>
        <v>514.08600000000001</v>
      </c>
      <c r="CP23" s="125">
        <f>CP7+CP14</f>
        <v>149.89699999999999</v>
      </c>
      <c r="CQ23" s="125">
        <f>CQ7+CQ14</f>
        <v>152.03399999999999</v>
      </c>
      <c r="CR23" s="125">
        <f>CR7+CR14</f>
        <v>193.10399999999998</v>
      </c>
      <c r="CS23" s="125">
        <f>CS7+CS14</f>
        <v>220.19</v>
      </c>
      <c r="CT23" s="300">
        <f>SUM(CP23:CS23)</f>
        <v>715.22499999999991</v>
      </c>
      <c r="CU23" s="125">
        <f>CU7+CU14</f>
        <v>262.29899999999998</v>
      </c>
      <c r="CV23" s="125">
        <f>CV7+CV14</f>
        <v>271.21000000000004</v>
      </c>
      <c r="CW23" s="125">
        <f>CW7+CW14</f>
        <v>268.85300000000001</v>
      </c>
      <c r="CX23" s="125">
        <f>CX7+CX14</f>
        <v>275.62100000000004</v>
      </c>
      <c r="CY23" s="300">
        <f>SUM(CU23:CX23)</f>
        <v>1077.9830000000002</v>
      </c>
      <c r="CZ23" s="125">
        <f>CZ7+CZ14</f>
        <v>267.21600000000001</v>
      </c>
      <c r="DA23" s="125">
        <f>DA7+DA14</f>
        <v>281.20499999999998</v>
      </c>
      <c r="DB23" s="125">
        <f>DB7+DB14</f>
        <v>293.988</v>
      </c>
      <c r="DC23" s="125">
        <f>DC7+DC14</f>
        <v>314.483</v>
      </c>
      <c r="DD23" s="300">
        <f>SUM(CZ23:DC23)</f>
        <v>1156.8920000000001</v>
      </c>
      <c r="DE23" s="125">
        <f>DE7+DE14</f>
        <v>298</v>
      </c>
      <c r="DF23" s="125">
        <f>DF7+DF14</f>
        <v>359</v>
      </c>
      <c r="DG23" s="125">
        <f>DG7+DG14</f>
        <v>398</v>
      </c>
      <c r="DH23" s="125">
        <f>DH7+DH14</f>
        <v>428</v>
      </c>
      <c r="DI23" s="300">
        <f>SUM(DE23:DH23)</f>
        <v>1483</v>
      </c>
      <c r="DJ23" s="125">
        <f>DJ7+DJ14</f>
        <v>416</v>
      </c>
      <c r="DK23" s="125">
        <f>DK7+DK14</f>
        <v>466</v>
      </c>
      <c r="DL23" s="125">
        <f>DL7+DL14</f>
        <v>502</v>
      </c>
      <c r="DM23" s="125">
        <f>DM7+DM14</f>
        <v>538.65221298009408</v>
      </c>
      <c r="DN23" s="300">
        <f>SUM(DJ23:DM23)</f>
        <v>1922.6522129800942</v>
      </c>
      <c r="DO23" s="125">
        <f>DO7+DO14</f>
        <v>494.3468527460351</v>
      </c>
      <c r="DP23" s="125">
        <f>DP7+DP14</f>
        <v>553.70792314064443</v>
      </c>
      <c r="DQ23" s="125">
        <f>DQ7+DQ14</f>
        <v>596.50434943886705</v>
      </c>
      <c r="DR23" s="125">
        <f>DR7+DR14</f>
        <v>640.07542886075089</v>
      </c>
      <c r="DS23" s="300">
        <f>SUM(DO23:DR23)</f>
        <v>2284.6345541862975</v>
      </c>
      <c r="DT23" s="125">
        <f>DT7+DT14</f>
        <v>574.34874084579076</v>
      </c>
      <c r="DU23" s="125">
        <f>DU7+DU14</f>
        <v>643.29079435195854</v>
      </c>
      <c r="DV23" s="125">
        <f>DV7+DV14</f>
        <v>693.02067803525563</v>
      </c>
      <c r="DW23" s="125">
        <f>DW7+DW14</f>
        <v>743.65039832271077</v>
      </c>
      <c r="DX23" s="300">
        <f>SUM(DT23:DW23)</f>
        <v>2654.3106115557157</v>
      </c>
      <c r="DY23" s="125">
        <f>DY7+DY14</f>
        <v>660.9384787937679</v>
      </c>
      <c r="DZ23" s="125">
        <f>DZ7+DZ14</f>
        <v>740.24499913205659</v>
      </c>
      <c r="EA23" s="125">
        <f>EA7+EA14</f>
        <v>797.48089891571112</v>
      </c>
      <c r="EB23" s="125">
        <f>EB7+EB14</f>
        <v>855.75208843047415</v>
      </c>
      <c r="EC23" s="300">
        <f>SUM(DY23:EB23)</f>
        <v>3054.4164652720096</v>
      </c>
      <c r="ED23" s="491"/>
      <c r="EE23" s="139"/>
    </row>
    <row r="24" spans="1:135" s="296" customFormat="1" ht="12.95" hidden="1" customHeight="1" outlineLevel="1">
      <c r="A24" s="940"/>
      <c r="B24" s="940"/>
      <c r="C24" s="283" t="s">
        <v>232</v>
      </c>
      <c r="D24" s="298"/>
      <c r="E24" s="298"/>
      <c r="F24" s="298"/>
      <c r="G24" s="298"/>
      <c r="H24" s="298"/>
      <c r="I24" s="94"/>
      <c r="J24" s="94"/>
      <c r="K24" s="94"/>
      <c r="L24" s="94"/>
      <c r="M24" s="298"/>
      <c r="N24" s="94"/>
      <c r="O24" s="94"/>
      <c r="P24" s="94"/>
      <c r="Q24" s="94"/>
      <c r="R24" s="298"/>
      <c r="S24" s="94"/>
      <c r="T24" s="94"/>
      <c r="U24" s="94"/>
      <c r="V24" s="94"/>
      <c r="W24" s="298"/>
      <c r="X24" s="94"/>
      <c r="Y24" s="94"/>
      <c r="Z24" s="94"/>
      <c r="AA24" s="94"/>
      <c r="AB24" s="298"/>
      <c r="AC24" s="94"/>
      <c r="AD24" s="94"/>
      <c r="AE24" s="94"/>
      <c r="AF24" s="94"/>
      <c r="AG24" s="298"/>
      <c r="AH24" s="94"/>
      <c r="AI24" s="94"/>
      <c r="AJ24" s="94"/>
      <c r="AK24" s="94"/>
      <c r="AL24" s="298"/>
      <c r="AM24" s="94"/>
      <c r="AN24" s="94"/>
      <c r="AO24" s="94"/>
      <c r="AP24" s="94"/>
      <c r="AQ24" s="298"/>
      <c r="AR24" s="94"/>
      <c r="AS24" s="94"/>
      <c r="AT24" s="94"/>
      <c r="AU24" s="94"/>
      <c r="AV24" s="298"/>
      <c r="AW24" s="94"/>
      <c r="AX24" s="94"/>
      <c r="AY24" s="94"/>
      <c r="AZ24" s="94"/>
      <c r="BA24" s="298"/>
      <c r="BB24" s="94"/>
      <c r="BC24" s="94"/>
      <c r="BD24" s="94"/>
      <c r="BE24" s="94"/>
      <c r="BF24" s="298"/>
      <c r="BG24" s="738"/>
      <c r="BH24" s="738"/>
      <c r="BI24" s="738"/>
      <c r="BJ24" s="738"/>
      <c r="BK24" s="298"/>
      <c r="BL24" s="738"/>
      <c r="BM24" s="738"/>
      <c r="BN24" s="738"/>
      <c r="BO24" s="738"/>
      <c r="BP24" s="298"/>
      <c r="BQ24" s="419">
        <f t="shared" ref="BQ24:CV24" si="297">BQ23/BQ7</f>
        <v>0.77482999284180376</v>
      </c>
      <c r="BR24" s="419">
        <f t="shared" si="297"/>
        <v>0.78703012687065477</v>
      </c>
      <c r="BS24" s="419">
        <f t="shared" si="297"/>
        <v>0.78301759133964821</v>
      </c>
      <c r="BT24" s="419">
        <f t="shared" si="297"/>
        <v>0.77860610263522889</v>
      </c>
      <c r="BU24" s="590">
        <f t="shared" si="297"/>
        <v>0.78093213906178838</v>
      </c>
      <c r="BV24" s="419">
        <f t="shared" si="297"/>
        <v>0.78731979538056118</v>
      </c>
      <c r="BW24" s="419">
        <f t="shared" si="297"/>
        <v>0.7916838393552228</v>
      </c>
      <c r="BX24" s="419">
        <f t="shared" si="297"/>
        <v>0.78821806216015566</v>
      </c>
      <c r="BY24" s="419">
        <f t="shared" si="297"/>
        <v>0.79440296522248033</v>
      </c>
      <c r="BZ24" s="590">
        <f t="shared" si="297"/>
        <v>0.79068534405056035</v>
      </c>
      <c r="CA24" s="419">
        <f t="shared" si="297"/>
        <v>0.80260953608247421</v>
      </c>
      <c r="CB24" s="419">
        <f t="shared" si="297"/>
        <v>0.80882147546020833</v>
      </c>
      <c r="CC24" s="419">
        <f t="shared" si="297"/>
        <v>0.81248256201856006</v>
      </c>
      <c r="CD24" s="419">
        <f t="shared" si="297"/>
        <v>0.78846440511935945</v>
      </c>
      <c r="CE24" s="590">
        <f t="shared" si="297"/>
        <v>0.80238427770126219</v>
      </c>
      <c r="CF24" s="419">
        <f t="shared" si="297"/>
        <v>0.76885766182957749</v>
      </c>
      <c r="CG24" s="419">
        <f t="shared" si="297"/>
        <v>0.77850633574479999</v>
      </c>
      <c r="CH24" s="419">
        <f t="shared" si="297"/>
        <v>0.77928425035472182</v>
      </c>
      <c r="CI24" s="419">
        <f t="shared" si="297"/>
        <v>0.80004492362982926</v>
      </c>
      <c r="CJ24" s="590">
        <f t="shared" si="297"/>
        <v>0.78281533604590159</v>
      </c>
      <c r="CK24" s="419">
        <f t="shared" si="297"/>
        <v>0.8007490156709457</v>
      </c>
      <c r="CL24" s="419">
        <f t="shared" si="297"/>
        <v>0.80700046390977942</v>
      </c>
      <c r="CM24" s="419">
        <f t="shared" si="297"/>
        <v>0.79910857184270756</v>
      </c>
      <c r="CN24" s="419">
        <f t="shared" si="297"/>
        <v>0.79598287891857655</v>
      </c>
      <c r="CO24" s="590">
        <f t="shared" si="297"/>
        <v>0.80045652644412302</v>
      </c>
      <c r="CP24" s="419">
        <f t="shared" si="297"/>
        <v>0.79898618936191756</v>
      </c>
      <c r="CQ24" s="419">
        <f t="shared" si="297"/>
        <v>0.77396988301414216</v>
      </c>
      <c r="CR24" s="419">
        <f t="shared" si="297"/>
        <v>0.78729910222852806</v>
      </c>
      <c r="CS24" s="419">
        <f t="shared" si="297"/>
        <v>0.78796879473232173</v>
      </c>
      <c r="CT24" s="590">
        <f t="shared" si="297"/>
        <v>0.78703657853529585</v>
      </c>
      <c r="CU24" s="419">
        <f t="shared" si="297"/>
        <v>0.81794368858772426</v>
      </c>
      <c r="CV24" s="419">
        <f t="shared" si="297"/>
        <v>0.81143021269338833</v>
      </c>
      <c r="CW24" s="419">
        <f t="shared" ref="CW24:EB24" si="298">CW23/CW7</f>
        <v>0.79966270879931467</v>
      </c>
      <c r="CX24" s="743">
        <f t="shared" si="298"/>
        <v>0.78477995945422663</v>
      </c>
      <c r="CY24" s="590">
        <f t="shared" si="298"/>
        <v>0.80306615194132025</v>
      </c>
      <c r="CZ24" s="419">
        <f t="shared" si="298"/>
        <v>0.77507606718857414</v>
      </c>
      <c r="DA24" s="419">
        <f t="shared" si="298"/>
        <v>0.76739083568249356</v>
      </c>
      <c r="DB24" s="419">
        <f t="shared" si="298"/>
        <v>0.78125755711518174</v>
      </c>
      <c r="DC24" s="419">
        <f t="shared" si="298"/>
        <v>0.78570857505484015</v>
      </c>
      <c r="DD24" s="590">
        <f t="shared" si="298"/>
        <v>0.77760712588530811</v>
      </c>
      <c r="DE24" s="419">
        <f t="shared" si="298"/>
        <v>0.78010471204188481</v>
      </c>
      <c r="DF24" s="419">
        <f t="shared" si="298"/>
        <v>0.80855855855855852</v>
      </c>
      <c r="DG24" s="419">
        <f t="shared" si="298"/>
        <v>0.81893004115226342</v>
      </c>
      <c r="DH24" s="743">
        <f t="shared" si="298"/>
        <v>0.81523809523809521</v>
      </c>
      <c r="DI24" s="590">
        <f t="shared" si="298"/>
        <v>0.8072945019052804</v>
      </c>
      <c r="DJ24" s="743">
        <f t="shared" si="298"/>
        <v>0.81409001956947158</v>
      </c>
      <c r="DK24" s="743">
        <f t="shared" si="298"/>
        <v>0.82770870337477798</v>
      </c>
      <c r="DL24" s="743">
        <f t="shared" ref="DL24" si="299">DL23/DL7</f>
        <v>0.82295081967213113</v>
      </c>
      <c r="DM24" s="743">
        <f t="shared" si="298"/>
        <v>0.81895081967213113</v>
      </c>
      <c r="DN24" s="590">
        <f t="shared" si="298"/>
        <v>0.82103765729577738</v>
      </c>
      <c r="DO24" s="743">
        <f t="shared" si="298"/>
        <v>0.81909001956947169</v>
      </c>
      <c r="DP24" s="743">
        <f t="shared" si="298"/>
        <v>0.83270870337477798</v>
      </c>
      <c r="DQ24" s="743">
        <f t="shared" si="298"/>
        <v>0.82795081967213113</v>
      </c>
      <c r="DR24" s="743">
        <f t="shared" si="298"/>
        <v>0.82395081967213124</v>
      </c>
      <c r="DS24" s="590">
        <f t="shared" si="298"/>
        <v>0.82603765729577738</v>
      </c>
      <c r="DT24" s="743">
        <f t="shared" si="298"/>
        <v>0.8210900195694717</v>
      </c>
      <c r="DU24" s="743">
        <f t="shared" si="298"/>
        <v>0.83470870337477787</v>
      </c>
      <c r="DV24" s="743">
        <f t="shared" si="298"/>
        <v>0.82995081967213113</v>
      </c>
      <c r="DW24" s="743">
        <f t="shared" si="298"/>
        <v>0.82595081967213113</v>
      </c>
      <c r="DX24" s="590">
        <f t="shared" si="298"/>
        <v>0.82803765729577727</v>
      </c>
      <c r="DY24" s="743">
        <f t="shared" si="298"/>
        <v>0.82309001956947159</v>
      </c>
      <c r="DZ24" s="743">
        <f t="shared" si="298"/>
        <v>0.83670870337477798</v>
      </c>
      <c r="EA24" s="743">
        <f t="shared" si="298"/>
        <v>0.83195081967213114</v>
      </c>
      <c r="EB24" s="743">
        <f t="shared" si="298"/>
        <v>0.82795081967213113</v>
      </c>
      <c r="EC24" s="590">
        <f t="shared" ref="EC24" si="300">EC23/EC7</f>
        <v>0.83003765729577716</v>
      </c>
      <c r="ED24" s="419"/>
      <c r="EE24" s="139"/>
    </row>
    <row r="25" spans="1:135" s="296" customFormat="1" ht="12" hidden="1" customHeight="1" outlineLevel="1">
      <c r="A25" s="940"/>
      <c r="B25" s="940"/>
      <c r="C25" s="309" t="s">
        <v>235</v>
      </c>
      <c r="D25" s="298"/>
      <c r="E25" s="298"/>
      <c r="F25" s="298"/>
      <c r="G25" s="298"/>
      <c r="H25" s="298"/>
      <c r="M25" s="298"/>
      <c r="R25" s="298"/>
      <c r="W25" s="298"/>
      <c r="AB25" s="298"/>
      <c r="AG25" s="298"/>
      <c r="AL25" s="298"/>
      <c r="AQ25" s="298"/>
      <c r="AV25" s="298"/>
      <c r="BA25" s="298"/>
      <c r="BF25" s="298"/>
      <c r="BK25" s="298"/>
      <c r="BP25" s="298"/>
      <c r="BQ25" s="125">
        <f>BQ9+BQ17</f>
        <v>4.2469999999999999</v>
      </c>
      <c r="BR25" s="125">
        <f>BR9+BR17</f>
        <v>5.2149999999999981</v>
      </c>
      <c r="BS25" s="125">
        <f>BS9+BS17</f>
        <v>5.5969999999999978</v>
      </c>
      <c r="BT25" s="125">
        <f>BT9+BT17</f>
        <v>9.5209999999999972</v>
      </c>
      <c r="BU25" s="300">
        <f>SUM(BQ25:BT25)</f>
        <v>24.579999999999991</v>
      </c>
      <c r="BV25" s="125">
        <f>BV9+BV17</f>
        <v>9.6109999999999971</v>
      </c>
      <c r="BW25" s="125">
        <f>BW9+BW17</f>
        <v>12.946999999999999</v>
      </c>
      <c r="BX25" s="125">
        <f>BX9+BX17</f>
        <v>14.467999999999996</v>
      </c>
      <c r="BY25" s="125">
        <f>BY9+BY17</f>
        <v>23.340999999999994</v>
      </c>
      <c r="BZ25" s="300">
        <f>SUM(BV25:BY25)</f>
        <v>60.36699999999999</v>
      </c>
      <c r="CA25" s="125">
        <f>CA9+CA17</f>
        <v>22.415000000000006</v>
      </c>
      <c r="CB25" s="125">
        <f>CB9+CB17</f>
        <v>28.93</v>
      </c>
      <c r="CC25" s="125">
        <f>CC9+CC17</f>
        <v>33.050000000000004</v>
      </c>
      <c r="CD25" s="125">
        <f>CD9+CD17</f>
        <v>47.09399999999998</v>
      </c>
      <c r="CE25" s="300">
        <f>SUM(CA25:CD25)</f>
        <v>131.48899999999998</v>
      </c>
      <c r="CF25" s="125">
        <f>CF9+CF17</f>
        <v>46.804000000000002</v>
      </c>
      <c r="CG25" s="125">
        <f>CG9+CG17</f>
        <v>50.757999999999996</v>
      </c>
      <c r="CH25" s="125">
        <f>CH9+CH17</f>
        <v>55.81</v>
      </c>
      <c r="CI25" s="125">
        <f>CI9+CI17</f>
        <v>78.888999999999982</v>
      </c>
      <c r="CJ25" s="300">
        <f>SUM(CF25:CI25)</f>
        <v>232.261</v>
      </c>
      <c r="CK25" s="125">
        <f>CK9+CK17</f>
        <v>67.825000000000003</v>
      </c>
      <c r="CL25" s="125">
        <f>CL9+CL17</f>
        <v>81.255999999999986</v>
      </c>
      <c r="CM25" s="125">
        <f>CM9+CM17</f>
        <v>84.382000000000005</v>
      </c>
      <c r="CN25" s="125">
        <f>CN9+CN17</f>
        <v>118.09400000000002</v>
      </c>
      <c r="CO25" s="300">
        <f>SUM(CK25:CN25)</f>
        <v>351.55700000000002</v>
      </c>
      <c r="CP25" s="125">
        <f>CP9+CP17</f>
        <v>107.053</v>
      </c>
      <c r="CQ25" s="125">
        <f>CQ9+CQ17</f>
        <v>223.00000000000006</v>
      </c>
      <c r="CR25" s="125">
        <f>CR9+CR17</f>
        <v>212.04399999999998</v>
      </c>
      <c r="CS25" s="125">
        <f>CS9+CS17</f>
        <v>284.19799999999998</v>
      </c>
      <c r="CT25" s="300">
        <f>SUM(CP25:CS25)</f>
        <v>826.29499999999996</v>
      </c>
      <c r="CU25" s="125">
        <f>CU9+CU17</f>
        <v>296.41700000000003</v>
      </c>
      <c r="CV25" s="125">
        <f>CV9+CV17</f>
        <v>349.65</v>
      </c>
      <c r="CW25" s="125">
        <f>CW9+CW17</f>
        <v>340.05600000000004</v>
      </c>
      <c r="CX25" s="125">
        <f>CX9+CX17</f>
        <v>417.03800000000001</v>
      </c>
      <c r="CY25" s="300">
        <f>SUM(CU25:CX25)</f>
        <v>1403.1610000000001</v>
      </c>
      <c r="CZ25" s="125">
        <f>CZ9+CZ17</f>
        <v>370.42099999999999</v>
      </c>
      <c r="DA25" s="125">
        <f>DA9+DA17</f>
        <v>374.43700000000001</v>
      </c>
      <c r="DB25" s="125">
        <f>DB9+DB17</f>
        <v>368.34400000000005</v>
      </c>
      <c r="DC25" s="125">
        <f>DC9+DC17</f>
        <v>484.02499999999998</v>
      </c>
      <c r="DD25" s="300">
        <f>SUM(CZ25:DC25)</f>
        <v>1597.2269999999999</v>
      </c>
      <c r="DE25" s="125">
        <f>DE9+DE17</f>
        <v>419</v>
      </c>
      <c r="DF25" s="125">
        <f>DF9+DF17</f>
        <v>476</v>
      </c>
      <c r="DG25" s="125">
        <f>DG9+DG17</f>
        <v>503</v>
      </c>
      <c r="DH25" s="125">
        <f>DH9+DH17</f>
        <v>634</v>
      </c>
      <c r="DI25" s="300">
        <f>SUM(DE25:DH25)</f>
        <v>2032</v>
      </c>
      <c r="DJ25" s="125">
        <f>DJ9+DJ17</f>
        <v>541</v>
      </c>
      <c r="DK25" s="125">
        <f>DK9+DK17</f>
        <v>579</v>
      </c>
      <c r="DL25" s="125">
        <f>DL9+DL17</f>
        <v>616</v>
      </c>
      <c r="DM25" s="125">
        <f>DM9+DM17</f>
        <v>777.23495968105658</v>
      </c>
      <c r="DN25" s="300">
        <f>SUM(DJ25:DM25)</f>
        <v>2513.2349596810564</v>
      </c>
      <c r="DO25" s="125">
        <f>DO9+DO17</f>
        <v>691.95540236666648</v>
      </c>
      <c r="DP25" s="125">
        <f>DP9+DP17</f>
        <v>718.22681510491816</v>
      </c>
      <c r="DQ25" s="125">
        <f>DQ9+DQ17</f>
        <v>766.31288623200567</v>
      </c>
      <c r="DR25" s="125">
        <f>DR9+DR17</f>
        <v>978.08853585994257</v>
      </c>
      <c r="DS25" s="300">
        <f>SUM(DO25:DR25)</f>
        <v>3154.5836395635329</v>
      </c>
      <c r="DT25" s="125">
        <f>DT9+DT17</f>
        <v>838.28969468389118</v>
      </c>
      <c r="DU25" s="125">
        <f>DU9+DU17</f>
        <v>870.30286290998242</v>
      </c>
      <c r="DV25" s="125">
        <f>DV9+DV17</f>
        <v>928.27451590278338</v>
      </c>
      <c r="DW25" s="125">
        <f>DW9+DW17</f>
        <v>1185.188003272772</v>
      </c>
      <c r="DX25" s="300">
        <f>SUM(DT25:DW25)</f>
        <v>3822.0550767694294</v>
      </c>
      <c r="DY25" s="125">
        <f>DY9+DY17</f>
        <v>998.30108899426932</v>
      </c>
      <c r="DZ25" s="125">
        <f>DZ9+DZ17</f>
        <v>1036.5848306795538</v>
      </c>
      <c r="EA25" s="125">
        <f>EA9+EA17</f>
        <v>1105.3806420114013</v>
      </c>
      <c r="EB25" s="125">
        <f>EB9+EB17</f>
        <v>1411.6403920290609</v>
      </c>
      <c r="EC25" s="300">
        <f>SUM(DY25:EB25)</f>
        <v>4551.9069537142859</v>
      </c>
      <c r="ED25" s="491"/>
      <c r="EE25" s="139"/>
    </row>
    <row r="26" spans="1:135" s="297" customFormat="1" ht="12" hidden="1" customHeight="1" outlineLevel="1">
      <c r="A26" s="940"/>
      <c r="B26" s="940"/>
      <c r="C26" s="283" t="s">
        <v>233</v>
      </c>
      <c r="D26" s="298"/>
      <c r="E26" s="298"/>
      <c r="F26" s="298"/>
      <c r="G26" s="298"/>
      <c r="H26" s="298"/>
      <c r="M26" s="298"/>
      <c r="R26" s="298"/>
      <c r="W26" s="298"/>
      <c r="AB26" s="298"/>
      <c r="AG26" s="298"/>
      <c r="AL26" s="298"/>
      <c r="AQ26" s="298"/>
      <c r="AV26" s="298"/>
      <c r="BA26" s="298"/>
      <c r="BF26" s="298"/>
      <c r="BK26" s="298"/>
      <c r="BP26" s="298"/>
      <c r="BQ26" s="419">
        <f t="shared" ref="BQ26:CV26" si="301">BQ25/BQ9</f>
        <v>0.28320885569485194</v>
      </c>
      <c r="BR26" s="419">
        <f t="shared" si="301"/>
        <v>0.26788924847177265</v>
      </c>
      <c r="BS26" s="419">
        <f t="shared" si="301"/>
        <v>0.24097993627830872</v>
      </c>
      <c r="BT26" s="419">
        <f t="shared" si="301"/>
        <v>0.2677070153240545</v>
      </c>
      <c r="BU26" s="590">
        <f t="shared" si="301"/>
        <v>0.26358118686597887</v>
      </c>
      <c r="BV26" s="419">
        <f t="shared" si="301"/>
        <v>0.28254350893697078</v>
      </c>
      <c r="BW26" s="419">
        <f t="shared" si="301"/>
        <v>0.30128220045144627</v>
      </c>
      <c r="BX26" s="419">
        <f t="shared" si="301"/>
        <v>0.29087838517059045</v>
      </c>
      <c r="BY26" s="419">
        <f t="shared" si="301"/>
        <v>0.31543596951186542</v>
      </c>
      <c r="BZ26" s="590">
        <f t="shared" si="301"/>
        <v>0.30074629839979272</v>
      </c>
      <c r="CA26" s="419">
        <f t="shared" si="301"/>
        <v>0.34326712507082807</v>
      </c>
      <c r="CB26" s="419">
        <f t="shared" si="301"/>
        <v>0.36136752563798291</v>
      </c>
      <c r="CC26" s="419">
        <f t="shared" si="301"/>
        <v>0.37126071376416803</v>
      </c>
      <c r="CD26" s="419">
        <f t="shared" si="301"/>
        <v>0.36536432472691149</v>
      </c>
      <c r="CE26" s="590">
        <f t="shared" si="301"/>
        <v>0.36195643496764135</v>
      </c>
      <c r="CF26" s="419">
        <f t="shared" si="301"/>
        <v>0.41005063867813779</v>
      </c>
      <c r="CG26" s="419">
        <f t="shared" si="301"/>
        <v>0.37810819266697454</v>
      </c>
      <c r="CH26" s="419">
        <f t="shared" si="301"/>
        <v>0.37319371167592802</v>
      </c>
      <c r="CI26" s="419">
        <f t="shared" si="301"/>
        <v>0.37512244296297698</v>
      </c>
      <c r="CJ26" s="590">
        <f t="shared" si="301"/>
        <v>0.38186188516571778</v>
      </c>
      <c r="CK26" s="419">
        <f t="shared" si="301"/>
        <v>0.37674067243974652</v>
      </c>
      <c r="CL26" s="419">
        <f t="shared" si="301"/>
        <v>0.38891122470468859</v>
      </c>
      <c r="CM26" s="419">
        <f t="shared" si="301"/>
        <v>0.37507278586509618</v>
      </c>
      <c r="CN26" s="419">
        <f t="shared" si="301"/>
        <v>0.3667583868022386</v>
      </c>
      <c r="CO26" s="590">
        <f t="shared" si="301"/>
        <v>0.37562237427505418</v>
      </c>
      <c r="CP26" s="419">
        <f t="shared" si="301"/>
        <v>0.37909360038528001</v>
      </c>
      <c r="CQ26" s="419">
        <f t="shared" si="301"/>
        <v>0.43057923526810804</v>
      </c>
      <c r="CR26" s="419">
        <f t="shared" si="301"/>
        <v>0.406112642229632</v>
      </c>
      <c r="CS26" s="419">
        <f t="shared" si="301"/>
        <v>0.40698320502245439</v>
      </c>
      <c r="CT26" s="590">
        <f t="shared" si="301"/>
        <v>0.40890834716494107</v>
      </c>
      <c r="CU26" s="419">
        <f t="shared" si="301"/>
        <v>0.4437606105699991</v>
      </c>
      <c r="CV26" s="419">
        <f t="shared" si="301"/>
        <v>0.44529602347403491</v>
      </c>
      <c r="CW26" s="419">
        <f t="shared" ref="CW26:EB26" si="302">CW25/CW9</f>
        <v>0.43179959671480017</v>
      </c>
      <c r="CX26" s="743">
        <f t="shared" si="302"/>
        <v>0.40535722617066611</v>
      </c>
      <c r="CY26" s="590">
        <f t="shared" si="302"/>
        <v>0.42916395730018031</v>
      </c>
      <c r="CZ26" s="419">
        <f t="shared" si="302"/>
        <v>0.43129280373331225</v>
      </c>
      <c r="DA26" s="419">
        <f t="shared" si="302"/>
        <v>0.40321875471129204</v>
      </c>
      <c r="DB26" s="419">
        <f t="shared" si="302"/>
        <v>0.37210260844793264</v>
      </c>
      <c r="DC26" s="419">
        <f t="shared" si="302"/>
        <v>0.36264051594187263</v>
      </c>
      <c r="DD26" s="590">
        <f t="shared" si="302"/>
        <v>0.38842077232950034</v>
      </c>
      <c r="DE26" s="419">
        <f t="shared" si="302"/>
        <v>0.37211367673179396</v>
      </c>
      <c r="DF26" s="419">
        <f t="shared" si="302"/>
        <v>0.38080000000000003</v>
      </c>
      <c r="DG26" s="419">
        <f t="shared" si="302"/>
        <v>0.40960912052117265</v>
      </c>
      <c r="DH26" s="743">
        <f t="shared" si="302"/>
        <v>0.39159975293390981</v>
      </c>
      <c r="DI26" s="590">
        <f t="shared" si="302"/>
        <v>0.38904843959410301</v>
      </c>
      <c r="DJ26" s="743">
        <f t="shared" si="302"/>
        <v>0.40074074074074073</v>
      </c>
      <c r="DK26" s="743">
        <f t="shared" si="302"/>
        <v>0.39068825910931176</v>
      </c>
      <c r="DL26" s="743">
        <f t="shared" ref="DL26" si="303">DL25/DL9</f>
        <v>0.39690721649484534</v>
      </c>
      <c r="DM26" s="743">
        <f t="shared" si="302"/>
        <v>0.37990721649484538</v>
      </c>
      <c r="DN26" s="590">
        <f t="shared" si="302"/>
        <v>0.3908696357581653</v>
      </c>
      <c r="DO26" s="743">
        <f t="shared" si="302"/>
        <v>0.39874074074074067</v>
      </c>
      <c r="DP26" s="743">
        <f t="shared" si="302"/>
        <v>0.38968825910931171</v>
      </c>
      <c r="DQ26" s="743">
        <f t="shared" si="302"/>
        <v>0.4009072164948454</v>
      </c>
      <c r="DR26" s="743">
        <f t="shared" si="302"/>
        <v>0.38490721649484538</v>
      </c>
      <c r="DS26" s="590">
        <f t="shared" si="302"/>
        <v>0.39280177202896771</v>
      </c>
      <c r="DT26" s="743">
        <f t="shared" si="302"/>
        <v>0.39924074074074067</v>
      </c>
      <c r="DU26" s="743">
        <f t="shared" si="302"/>
        <v>0.39018825910931165</v>
      </c>
      <c r="DV26" s="743">
        <f t="shared" si="302"/>
        <v>0.40140721649484534</v>
      </c>
      <c r="DW26" s="743">
        <f t="shared" si="302"/>
        <v>0.38540721649484533</v>
      </c>
      <c r="DX26" s="590">
        <f t="shared" si="302"/>
        <v>0.39330102734359035</v>
      </c>
      <c r="DY26" s="743">
        <f t="shared" si="302"/>
        <v>0.39974074074074062</v>
      </c>
      <c r="DZ26" s="743">
        <f t="shared" si="302"/>
        <v>0.3906882591093116</v>
      </c>
      <c r="EA26" s="743">
        <f t="shared" si="302"/>
        <v>0.40190721649484529</v>
      </c>
      <c r="EB26" s="743">
        <f t="shared" si="302"/>
        <v>0.38590721649484522</v>
      </c>
      <c r="EC26" s="590">
        <f t="shared" ref="EC26" si="304">EC25/EC9</f>
        <v>0.39380052166419682</v>
      </c>
      <c r="ED26" s="419"/>
      <c r="EE26" s="139"/>
    </row>
    <row r="27" spans="1:135" s="297" customFormat="1" ht="12" customHeight="1" collapsed="1">
      <c r="A27" s="940" t="s">
        <v>434</v>
      </c>
      <c r="B27" s="940"/>
      <c r="C27" s="291" t="s">
        <v>229</v>
      </c>
      <c r="D27" s="310"/>
      <c r="E27" s="310"/>
      <c r="F27" s="310"/>
      <c r="G27" s="310"/>
      <c r="H27" s="310"/>
      <c r="I27" s="293"/>
      <c r="J27" s="293"/>
      <c r="K27" s="293"/>
      <c r="L27" s="293"/>
      <c r="M27" s="310"/>
      <c r="N27" s="293"/>
      <c r="O27" s="293"/>
      <c r="P27" s="293"/>
      <c r="Q27" s="293"/>
      <c r="R27" s="310"/>
      <c r="S27" s="293"/>
      <c r="T27" s="293"/>
      <c r="U27" s="293"/>
      <c r="V27" s="293"/>
      <c r="W27" s="310"/>
      <c r="X27" s="293"/>
      <c r="Y27" s="293"/>
      <c r="Z27" s="293"/>
      <c r="AA27" s="293"/>
      <c r="AB27" s="310"/>
      <c r="AC27" s="293"/>
      <c r="AD27" s="293"/>
      <c r="AE27" s="293"/>
      <c r="AF27" s="293"/>
      <c r="AG27" s="310"/>
      <c r="AH27" s="293"/>
      <c r="AI27" s="293"/>
      <c r="AJ27" s="293"/>
      <c r="AK27" s="293"/>
      <c r="AL27" s="310"/>
      <c r="AM27" s="293"/>
      <c r="AN27" s="293"/>
      <c r="AO27" s="293"/>
      <c r="AP27" s="293"/>
      <c r="AQ27" s="310"/>
      <c r="AR27" s="293"/>
      <c r="AS27" s="293"/>
      <c r="AT27" s="293"/>
      <c r="AU27" s="293"/>
      <c r="AV27" s="310"/>
      <c r="AW27" s="293"/>
      <c r="AX27" s="293"/>
      <c r="AY27" s="293"/>
      <c r="AZ27" s="293"/>
      <c r="BA27" s="310"/>
      <c r="BB27" s="293"/>
      <c r="BC27" s="293"/>
      <c r="BD27" s="293"/>
      <c r="BE27" s="293"/>
      <c r="BF27" s="310"/>
      <c r="BG27" s="293"/>
      <c r="BH27" s="293"/>
      <c r="BI27" s="293"/>
      <c r="BJ27" s="293"/>
      <c r="BK27" s="310"/>
      <c r="BL27" s="293"/>
      <c r="BM27" s="293"/>
      <c r="BN27" s="293"/>
      <c r="BO27" s="293"/>
      <c r="BP27" s="310"/>
      <c r="BQ27" s="294">
        <f t="shared" ref="BQ27:CV27" si="305">BQ11+BQ20</f>
        <v>21.565999999999999</v>
      </c>
      <c r="BR27" s="294">
        <f t="shared" si="305"/>
        <v>25.252000000000002</v>
      </c>
      <c r="BS27" s="294">
        <f t="shared" si="305"/>
        <v>28.743000000000002</v>
      </c>
      <c r="BT27" s="294">
        <f t="shared" si="305"/>
        <v>36.466999999999999</v>
      </c>
      <c r="BU27" s="295">
        <f t="shared" si="305"/>
        <v>112.02799999999999</v>
      </c>
      <c r="BV27" s="294">
        <f t="shared" si="305"/>
        <v>40.085000000000008</v>
      </c>
      <c r="BW27" s="294">
        <f t="shared" si="305"/>
        <v>47.522999999999989</v>
      </c>
      <c r="BX27" s="294">
        <f t="shared" si="305"/>
        <v>53.752000000000002</v>
      </c>
      <c r="BY27" s="294">
        <f t="shared" si="305"/>
        <v>68.134999999999977</v>
      </c>
      <c r="BZ27" s="295">
        <f t="shared" si="305"/>
        <v>209.495</v>
      </c>
      <c r="CA27" s="294">
        <f t="shared" si="305"/>
        <v>72.241000000000014</v>
      </c>
      <c r="CB27" s="294">
        <f t="shared" si="305"/>
        <v>86.84</v>
      </c>
      <c r="CC27" s="294">
        <f t="shared" si="305"/>
        <v>100.02700000000002</v>
      </c>
      <c r="CD27" s="294">
        <f t="shared" si="305"/>
        <v>121.14499999999998</v>
      </c>
      <c r="CE27" s="295">
        <f t="shared" si="305"/>
        <v>380.25299999999999</v>
      </c>
      <c r="CF27" s="294">
        <f t="shared" si="305"/>
        <v>123.84199999999998</v>
      </c>
      <c r="CG27" s="294">
        <f t="shared" si="305"/>
        <v>136.95499999999998</v>
      </c>
      <c r="CH27" s="294">
        <f t="shared" si="305"/>
        <v>149.72699999999998</v>
      </c>
      <c r="CI27" s="294">
        <f t="shared" si="305"/>
        <v>185.74299999999997</v>
      </c>
      <c r="CJ27" s="295">
        <f t="shared" si="305"/>
        <v>596.26699999999983</v>
      </c>
      <c r="CK27" s="294">
        <f t="shared" si="305"/>
        <v>180.29099999999997</v>
      </c>
      <c r="CL27" s="294">
        <f t="shared" si="305"/>
        <v>204.76499999999999</v>
      </c>
      <c r="CM27" s="294">
        <f t="shared" si="305"/>
        <v>216.69600000000003</v>
      </c>
      <c r="CN27" s="294">
        <f t="shared" si="305"/>
        <v>263.89100000000002</v>
      </c>
      <c r="CO27" s="295">
        <f t="shared" si="305"/>
        <v>865.64300000000003</v>
      </c>
      <c r="CP27" s="294">
        <f t="shared" si="305"/>
        <v>256.95</v>
      </c>
      <c r="CQ27" s="294">
        <f t="shared" si="305"/>
        <v>375.03400000000005</v>
      </c>
      <c r="CR27" s="294">
        <f t="shared" si="305"/>
        <v>405.14799999999997</v>
      </c>
      <c r="CS27" s="294">
        <f t="shared" si="305"/>
        <v>504.38799999999992</v>
      </c>
      <c r="CT27" s="295">
        <f t="shared" si="305"/>
        <v>1541.5200000000002</v>
      </c>
      <c r="CU27" s="294">
        <f t="shared" si="305"/>
        <v>558.71599999999989</v>
      </c>
      <c r="CV27" s="294">
        <f t="shared" si="305"/>
        <v>620.8599999999999</v>
      </c>
      <c r="CW27" s="294">
        <f t="shared" ref="CW27:EC27" si="306">CW11+CW20</f>
        <v>608.90899999999999</v>
      </c>
      <c r="CX27" s="294">
        <f t="shared" si="306"/>
        <v>692.65900000000011</v>
      </c>
      <c r="CY27" s="295">
        <f t="shared" si="306"/>
        <v>2481.1439999999998</v>
      </c>
      <c r="CZ27" s="294">
        <f t="shared" si="306"/>
        <v>637.63700000000006</v>
      </c>
      <c r="DA27" s="294">
        <f t="shared" si="306"/>
        <v>655.64200000000005</v>
      </c>
      <c r="DB27" s="294">
        <f t="shared" si="306"/>
        <v>662.33200000000011</v>
      </c>
      <c r="DC27" s="294">
        <f t="shared" si="306"/>
        <v>798.50800000000015</v>
      </c>
      <c r="DD27" s="295">
        <f t="shared" si="306"/>
        <v>2754.1190000000001</v>
      </c>
      <c r="DE27" s="294">
        <f t="shared" si="306"/>
        <v>717</v>
      </c>
      <c r="DF27" s="294">
        <f t="shared" si="306"/>
        <v>835</v>
      </c>
      <c r="DG27" s="294">
        <f t="shared" si="306"/>
        <v>901</v>
      </c>
      <c r="DH27" s="294">
        <f t="shared" si="306"/>
        <v>1062</v>
      </c>
      <c r="DI27" s="295">
        <f t="shared" si="306"/>
        <v>3515</v>
      </c>
      <c r="DJ27" s="294">
        <f t="shared" si="306"/>
        <v>957</v>
      </c>
      <c r="DK27" s="294">
        <f t="shared" si="306"/>
        <v>1045</v>
      </c>
      <c r="DL27" s="294">
        <f t="shared" ref="DL27" si="307">DL11+DL20</f>
        <v>1118</v>
      </c>
      <c r="DM27" s="294">
        <f t="shared" si="306"/>
        <v>1315.8871726611505</v>
      </c>
      <c r="DN27" s="295">
        <f t="shared" si="306"/>
        <v>4435.8871726611505</v>
      </c>
      <c r="DO27" s="294">
        <f t="shared" si="306"/>
        <v>1186.3022551127017</v>
      </c>
      <c r="DP27" s="294">
        <f t="shared" si="306"/>
        <v>1271.9347382455624</v>
      </c>
      <c r="DQ27" s="294">
        <f t="shared" si="306"/>
        <v>1362.8172356708728</v>
      </c>
      <c r="DR27" s="294">
        <f t="shared" si="306"/>
        <v>1618.1639647206937</v>
      </c>
      <c r="DS27" s="295">
        <f t="shared" si="306"/>
        <v>5439.2181937498299</v>
      </c>
      <c r="DT27" s="294">
        <f t="shared" si="306"/>
        <v>1412.6384355296821</v>
      </c>
      <c r="DU27" s="294">
        <f t="shared" si="306"/>
        <v>1513.593657261941</v>
      </c>
      <c r="DV27" s="294">
        <f t="shared" si="306"/>
        <v>1621.2951939380391</v>
      </c>
      <c r="DW27" s="294">
        <f t="shared" si="306"/>
        <v>1928.838401595483</v>
      </c>
      <c r="DX27" s="295">
        <f t="shared" si="306"/>
        <v>6476.3656883251451</v>
      </c>
      <c r="DY27" s="294">
        <f t="shared" si="306"/>
        <v>1659.2395677880372</v>
      </c>
      <c r="DZ27" s="294">
        <f t="shared" si="306"/>
        <v>1776.8298298116106</v>
      </c>
      <c r="EA27" s="294">
        <f t="shared" si="306"/>
        <v>1902.8615409271126</v>
      </c>
      <c r="EB27" s="294">
        <f t="shared" si="306"/>
        <v>2267.3924804595354</v>
      </c>
      <c r="EC27" s="295">
        <f t="shared" si="306"/>
        <v>7606.3234189862951</v>
      </c>
      <c r="ED27" s="1167">
        <f>+(EC27/DN27)^(0.333333333333333)-1</f>
        <v>0.19691901202286655</v>
      </c>
      <c r="EE27" s="139"/>
    </row>
    <row r="28" spans="1:135" s="19" customFormat="1" ht="12" customHeight="1">
      <c r="A28" s="940" t="s">
        <v>435</v>
      </c>
      <c r="B28" s="940"/>
      <c r="C28" s="283" t="s">
        <v>249</v>
      </c>
      <c r="D28" s="744"/>
      <c r="E28" s="744"/>
      <c r="F28" s="744"/>
      <c r="G28" s="744"/>
      <c r="H28" s="744"/>
      <c r="I28" s="738"/>
      <c r="J28" s="738"/>
      <c r="K28" s="738"/>
      <c r="L28" s="738"/>
      <c r="M28" s="744"/>
      <c r="N28" s="738"/>
      <c r="O28" s="738"/>
      <c r="P28" s="738"/>
      <c r="Q28" s="738"/>
      <c r="R28" s="744"/>
      <c r="S28" s="738"/>
      <c r="T28" s="738"/>
      <c r="U28" s="738"/>
      <c r="V28" s="738"/>
      <c r="W28" s="744"/>
      <c r="X28" s="738"/>
      <c r="Y28" s="738"/>
      <c r="Z28" s="738"/>
      <c r="AA28" s="738"/>
      <c r="AB28" s="744"/>
      <c r="AC28" s="738"/>
      <c r="AD28" s="738"/>
      <c r="AE28" s="738"/>
      <c r="AF28" s="738"/>
      <c r="AG28" s="744"/>
      <c r="AH28" s="738"/>
      <c r="AI28" s="738"/>
      <c r="AJ28" s="738"/>
      <c r="AK28" s="738"/>
      <c r="AL28" s="744"/>
      <c r="AM28" s="738"/>
      <c r="AN28" s="738"/>
      <c r="AO28" s="738"/>
      <c r="AP28" s="738"/>
      <c r="AQ28" s="744"/>
      <c r="AR28" s="738"/>
      <c r="AS28" s="738"/>
      <c r="AT28" s="738"/>
      <c r="AU28" s="738"/>
      <c r="AV28" s="744"/>
      <c r="AW28" s="738"/>
      <c r="AX28" s="738"/>
      <c r="AY28" s="738"/>
      <c r="AZ28" s="738"/>
      <c r="BA28" s="744"/>
      <c r="BB28" s="738"/>
      <c r="BC28" s="738"/>
      <c r="BD28" s="738"/>
      <c r="BE28" s="738"/>
      <c r="BF28" s="744"/>
      <c r="BG28" s="738"/>
      <c r="BH28" s="738"/>
      <c r="BI28" s="738"/>
      <c r="BJ28" s="738"/>
      <c r="BK28" s="744"/>
      <c r="BL28" s="738"/>
      <c r="BM28" s="738"/>
      <c r="BN28" s="738"/>
      <c r="BO28" s="738"/>
      <c r="BP28" s="744"/>
      <c r="BQ28" s="287">
        <f t="shared" ref="BQ28:CV28" si="308">BQ27/BQ11</f>
        <v>0.57743386526721641</v>
      </c>
      <c r="BR28" s="287">
        <f t="shared" si="308"/>
        <v>0.56207986466634019</v>
      </c>
      <c r="BS28" s="287">
        <f t="shared" si="308"/>
        <v>0.54451938013867318</v>
      </c>
      <c r="BT28" s="287">
        <f t="shared" si="308"/>
        <v>0.5196728086300999</v>
      </c>
      <c r="BU28" s="286">
        <f t="shared" si="308"/>
        <v>0.54585763498072915</v>
      </c>
      <c r="BV28" s="287">
        <f t="shared" si="308"/>
        <v>0.55120871263166582</v>
      </c>
      <c r="BW28" s="287">
        <f t="shared" si="308"/>
        <v>0.54846676745876943</v>
      </c>
      <c r="BX28" s="287">
        <f t="shared" si="308"/>
        <v>0.53979794733776543</v>
      </c>
      <c r="BY28" s="287">
        <f t="shared" si="308"/>
        <v>0.52257579592431513</v>
      </c>
      <c r="BZ28" s="286">
        <f t="shared" si="308"/>
        <v>0.53809107954691393</v>
      </c>
      <c r="CA28" s="287">
        <f t="shared" si="308"/>
        <v>0.56713430000235532</v>
      </c>
      <c r="CB28" s="287">
        <f t="shared" si="308"/>
        <v>0.57261547591572981</v>
      </c>
      <c r="CC28" s="287">
        <f t="shared" si="308"/>
        <v>0.58339748973497574</v>
      </c>
      <c r="CD28" s="287">
        <f t="shared" si="308"/>
        <v>0.54370461461129005</v>
      </c>
      <c r="CE28" s="286">
        <f t="shared" si="308"/>
        <v>0.5647567814835498</v>
      </c>
      <c r="CF28" s="287">
        <f t="shared" si="308"/>
        <v>0.57778296164971543</v>
      </c>
      <c r="CG28" s="287">
        <f t="shared" si="308"/>
        <v>0.55908443315929335</v>
      </c>
      <c r="CH28" s="287">
        <f t="shared" si="308"/>
        <v>0.55441302802298709</v>
      </c>
      <c r="CI28" s="287">
        <f t="shared" si="308"/>
        <v>0.54016727640739592</v>
      </c>
      <c r="CJ28" s="286">
        <f t="shared" si="308"/>
        <v>0.55558226622649964</v>
      </c>
      <c r="CK28" s="287">
        <f t="shared" si="308"/>
        <v>0.56256201596345501</v>
      </c>
      <c r="CL28" s="287">
        <f t="shared" si="308"/>
        <v>0.56568198707659834</v>
      </c>
      <c r="CM28" s="287">
        <f t="shared" si="308"/>
        <v>0.55484544951760584</v>
      </c>
      <c r="CN28" s="287">
        <f t="shared" si="308"/>
        <v>0.5223909256473197</v>
      </c>
      <c r="CO28" s="286">
        <f t="shared" si="308"/>
        <v>0.54850957404543099</v>
      </c>
      <c r="CP28" s="287">
        <f t="shared" si="308"/>
        <v>0.546700964466033</v>
      </c>
      <c r="CQ28" s="287">
        <f t="shared" si="308"/>
        <v>0.52500696446095074</v>
      </c>
      <c r="CR28" s="287">
        <f t="shared" si="308"/>
        <v>0.52794547859344154</v>
      </c>
      <c r="CS28" s="287">
        <f t="shared" si="308"/>
        <v>0.51586918457183062</v>
      </c>
      <c r="CT28" s="286">
        <f t="shared" si="308"/>
        <v>0.52620745378634048</v>
      </c>
      <c r="CU28" s="287">
        <f t="shared" si="308"/>
        <v>0.56513194294829194</v>
      </c>
      <c r="CV28" s="287">
        <f t="shared" si="308"/>
        <v>0.55461411681681538</v>
      </c>
      <c r="CW28" s="287">
        <f t="shared" ref="CW28:EB28" si="309">CW27/CW11</f>
        <v>0.54185932689056182</v>
      </c>
      <c r="CX28" s="288">
        <f t="shared" si="309"/>
        <v>0.501918082584071</v>
      </c>
      <c r="CY28" s="286">
        <f t="shared" si="309"/>
        <v>0.53799251320943231</v>
      </c>
      <c r="CZ28" s="287">
        <f t="shared" si="309"/>
        <v>0.52976471868683139</v>
      </c>
      <c r="DA28" s="287">
        <f t="shared" si="309"/>
        <v>0.50626262969446278</v>
      </c>
      <c r="DB28" s="287">
        <f t="shared" si="309"/>
        <v>0.48479871175523354</v>
      </c>
      <c r="DC28" s="287">
        <f t="shared" si="309"/>
        <v>0.46024099441030381</v>
      </c>
      <c r="DD28" s="286">
        <f t="shared" si="309"/>
        <v>0.4918189084592054</v>
      </c>
      <c r="DE28" s="287">
        <f t="shared" si="309"/>
        <v>0.47546419098143233</v>
      </c>
      <c r="DF28" s="287">
        <f t="shared" si="309"/>
        <v>0.49291617473435656</v>
      </c>
      <c r="DG28" s="287">
        <f t="shared" si="309"/>
        <v>0.52567094515752621</v>
      </c>
      <c r="DH28" s="288">
        <f t="shared" si="309"/>
        <v>0.49533582089552236</v>
      </c>
      <c r="DI28" s="286">
        <f t="shared" si="309"/>
        <v>0.49787535410764872</v>
      </c>
      <c r="DJ28" s="288">
        <f t="shared" si="309"/>
        <v>0.51423965609887157</v>
      </c>
      <c r="DK28" s="288">
        <f t="shared" si="309"/>
        <v>0.51100244498777503</v>
      </c>
      <c r="DL28" s="288">
        <f t="shared" ref="DL28" si="310">DL27/DL11</f>
        <v>0.51711378353376503</v>
      </c>
      <c r="DM28" s="288">
        <f t="shared" si="309"/>
        <v>0.48671860936820865</v>
      </c>
      <c r="DN28" s="286">
        <f t="shared" si="309"/>
        <v>0.50571077540276699</v>
      </c>
      <c r="DO28" s="288">
        <f t="shared" si="309"/>
        <v>0.50720880007728575</v>
      </c>
      <c r="DP28" s="288">
        <f t="shared" si="309"/>
        <v>0.50714527300423251</v>
      </c>
      <c r="DQ28" s="288">
        <f t="shared" si="309"/>
        <v>0.51780626571054189</v>
      </c>
      <c r="DR28" s="288">
        <f t="shared" si="309"/>
        <v>0.48770153649382481</v>
      </c>
      <c r="DS28" s="286">
        <f t="shared" si="309"/>
        <v>0.50378261283629167</v>
      </c>
      <c r="DT28" s="288">
        <f t="shared" si="309"/>
        <v>0.50465696721201858</v>
      </c>
      <c r="DU28" s="288">
        <f t="shared" si="309"/>
        <v>0.50433854261389621</v>
      </c>
      <c r="DV28" s="288">
        <f t="shared" si="309"/>
        <v>0.51509509782682894</v>
      </c>
      <c r="DW28" s="288">
        <f t="shared" si="309"/>
        <v>0.48517956146270169</v>
      </c>
      <c r="DX28" s="286">
        <f t="shared" si="309"/>
        <v>0.50113362599072009</v>
      </c>
      <c r="DY28" s="288">
        <f t="shared" si="309"/>
        <v>0.50274380868861746</v>
      </c>
      <c r="DZ28" s="288">
        <f t="shared" si="309"/>
        <v>0.50222186440087202</v>
      </c>
      <c r="EA28" s="288">
        <f t="shared" si="309"/>
        <v>0.51305207835971445</v>
      </c>
      <c r="EB28" s="288">
        <f t="shared" si="309"/>
        <v>0.48329209510018184</v>
      </c>
      <c r="EC28" s="286">
        <f t="shared" ref="EC28" si="311">EC27/EC11</f>
        <v>0.49914292470659571</v>
      </c>
      <c r="ED28" s="287"/>
      <c r="EE28" s="311"/>
    </row>
    <row r="29" spans="1:135" s="19" customFormat="1" ht="12" customHeight="1" thickBot="1">
      <c r="A29" s="940"/>
      <c r="B29" s="940"/>
      <c r="C29" s="1205" t="s">
        <v>629</v>
      </c>
      <c r="D29" s="744"/>
      <c r="E29" s="744"/>
      <c r="F29" s="744"/>
      <c r="G29" s="744"/>
      <c r="H29" s="744"/>
      <c r="I29" s="738"/>
      <c r="J29" s="738"/>
      <c r="K29" s="738"/>
      <c r="L29" s="738"/>
      <c r="M29" s="744"/>
      <c r="N29" s="738"/>
      <c r="O29" s="738"/>
      <c r="P29" s="738"/>
      <c r="Q29" s="738"/>
      <c r="R29" s="744"/>
      <c r="S29" s="738"/>
      <c r="T29" s="738"/>
      <c r="U29" s="738"/>
      <c r="V29" s="738"/>
      <c r="W29" s="744"/>
      <c r="X29" s="738"/>
      <c r="Y29" s="738"/>
      <c r="Z29" s="738"/>
      <c r="AA29" s="738"/>
      <c r="AB29" s="744"/>
      <c r="AC29" s="738"/>
      <c r="AD29" s="738"/>
      <c r="AE29" s="738"/>
      <c r="AF29" s="738"/>
      <c r="AG29" s="744"/>
      <c r="AH29" s="738"/>
      <c r="AI29" s="738"/>
      <c r="AJ29" s="738"/>
      <c r="AK29" s="738"/>
      <c r="AL29" s="744"/>
      <c r="AM29" s="738"/>
      <c r="AN29" s="738"/>
      <c r="AO29" s="738"/>
      <c r="AP29" s="738"/>
      <c r="AQ29" s="744"/>
      <c r="AR29" s="738"/>
      <c r="AS29" s="738"/>
      <c r="AT29" s="738"/>
      <c r="AU29" s="738"/>
      <c r="AV29" s="744"/>
      <c r="AW29" s="738"/>
      <c r="AX29" s="738"/>
      <c r="AY29" s="738"/>
      <c r="AZ29" s="738"/>
      <c r="BA29" s="744"/>
      <c r="BB29" s="738"/>
      <c r="BC29" s="738"/>
      <c r="BD29" s="738"/>
      <c r="BE29" s="738"/>
      <c r="BF29" s="744"/>
      <c r="BG29" s="738"/>
      <c r="BH29" s="738"/>
      <c r="BI29" s="738"/>
      <c r="BJ29" s="738"/>
      <c r="BK29" s="744"/>
      <c r="BL29" s="738"/>
      <c r="BM29" s="738"/>
      <c r="BN29" s="738"/>
      <c r="BO29" s="738"/>
      <c r="BP29" s="744"/>
      <c r="BQ29" s="287"/>
      <c r="BR29" s="287"/>
      <c r="BS29" s="287"/>
      <c r="BT29" s="287"/>
      <c r="BU29" s="286"/>
      <c r="BV29" s="1206">
        <f>+(BV28-BQ28)*10000</f>
        <v>-262.25152635550586</v>
      </c>
      <c r="BW29" s="1206">
        <f t="shared" ref="BW29:CA29" si="312">+(BW28-BR28)*10000</f>
        <v>-136.13097207570758</v>
      </c>
      <c r="BX29" s="1206">
        <f t="shared" si="312"/>
        <v>-47.214328009077548</v>
      </c>
      <c r="BY29" s="1206">
        <f t="shared" si="312"/>
        <v>29.029872942152313</v>
      </c>
      <c r="BZ29" s="1207">
        <f t="shared" si="312"/>
        <v>-77.665554338152148</v>
      </c>
      <c r="CA29" s="1206">
        <f t="shared" si="312"/>
        <v>159.25587370689499</v>
      </c>
      <c r="CB29" s="1206">
        <f t="shared" ref="CB29" si="313">+(CB28-BW28)*10000</f>
        <v>241.48708456960378</v>
      </c>
      <c r="CC29" s="1206">
        <f t="shared" ref="CC29" si="314">+(CC28-BX28)*10000</f>
        <v>435.99542397210314</v>
      </c>
      <c r="CD29" s="1206">
        <f t="shared" ref="CD29" si="315">+(CD28-BY28)*10000</f>
        <v>211.28818686974915</v>
      </c>
      <c r="CE29" s="1207">
        <f t="shared" ref="CE29:CF29" si="316">+(CE28-BZ28)*10000</f>
        <v>266.65701936635867</v>
      </c>
      <c r="CF29" s="1206">
        <f t="shared" si="316"/>
        <v>106.48661647360113</v>
      </c>
      <c r="CG29" s="1206">
        <f t="shared" ref="CG29" si="317">+(CG28-CB28)*10000</f>
        <v>-135.31042756436463</v>
      </c>
      <c r="CH29" s="1206">
        <f t="shared" ref="CH29" si="318">+(CH28-CC28)*10000</f>
        <v>-289.84461711988649</v>
      </c>
      <c r="CI29" s="1206">
        <f t="shared" ref="CI29" si="319">+(CI28-CD28)*10000</f>
        <v>-35.373382038941244</v>
      </c>
      <c r="CJ29" s="1207">
        <f t="shared" ref="CJ29:CK29" si="320">+(CJ28-CE28)*10000</f>
        <v>-91.745152570501531</v>
      </c>
      <c r="CK29" s="1206">
        <f t="shared" si="320"/>
        <v>-152.20945686260424</v>
      </c>
      <c r="CL29" s="1206">
        <f t="shared" ref="CL29" si="321">+(CL28-CG28)*10000</f>
        <v>65.975539173049881</v>
      </c>
      <c r="CM29" s="1206">
        <f t="shared" ref="CM29" si="322">+(CM28-CH28)*10000</f>
        <v>4.3242149461875101</v>
      </c>
      <c r="CN29" s="1206">
        <f t="shared" ref="CN29" si="323">+(CN28-CI28)*10000</f>
        <v>-177.76350760076221</v>
      </c>
      <c r="CO29" s="1207">
        <f t="shared" ref="CO29:CP29" si="324">+(CO28-CJ28)*10000</f>
        <v>-70.72692181068652</v>
      </c>
      <c r="CP29" s="1206">
        <f t="shared" si="324"/>
        <v>-158.61051497422008</v>
      </c>
      <c r="CQ29" s="1206">
        <f t="shared" ref="CQ29" si="325">+(CQ28-CL28)*10000</f>
        <v>-406.75022615647595</v>
      </c>
      <c r="CR29" s="1206">
        <f t="shared" ref="CR29" si="326">+(CR28-CM28)*10000</f>
        <v>-268.99970924164296</v>
      </c>
      <c r="CS29" s="1206">
        <f t="shared" ref="CS29" si="327">+(CS28-CN28)*10000</f>
        <v>-65.217410754890849</v>
      </c>
      <c r="CT29" s="1207">
        <f t="shared" ref="CT29:CU29" si="328">+(CT28-CO28)*10000</f>
        <v>-223.02120259090509</v>
      </c>
      <c r="CU29" s="1206">
        <f t="shared" si="328"/>
        <v>184.30978482258942</v>
      </c>
      <c r="CV29" s="1206">
        <f t="shared" ref="CV29" si="329">+(CV28-CQ28)*10000</f>
        <v>296.07152355864639</v>
      </c>
      <c r="CW29" s="1206">
        <f t="shared" ref="CW29" si="330">+(CW28-CR28)*10000</f>
        <v>139.13848297120279</v>
      </c>
      <c r="CX29" s="1206">
        <f t="shared" ref="CX29" si="331">+(CX28-CS28)*10000</f>
        <v>-139.51101987759617</v>
      </c>
      <c r="CY29" s="1207">
        <f t="shared" ref="CY29:CZ29" si="332">+(CY28-CT28)*10000</f>
        <v>117.85059423091826</v>
      </c>
      <c r="CZ29" s="1206">
        <f t="shared" si="332"/>
        <v>-353.67224261460552</v>
      </c>
      <c r="DA29" s="1206">
        <f t="shared" ref="DA29" si="333">+(DA28-CV28)*10000</f>
        <v>-483.51487122352597</v>
      </c>
      <c r="DB29" s="1206">
        <f t="shared" ref="DB29" si="334">+(DB28-CW28)*10000</f>
        <v>-570.60615135328283</v>
      </c>
      <c r="DC29" s="1206">
        <f t="shared" ref="DC29" si="335">+(DC28-CX28)*10000</f>
        <v>-416.77088173767197</v>
      </c>
      <c r="DD29" s="1207">
        <f t="shared" ref="DD29:DE29" si="336">+(DD28-CY28)*10000</f>
        <v>-461.73604750226917</v>
      </c>
      <c r="DE29" s="1206">
        <f t="shared" si="336"/>
        <v>-543.00527705399065</v>
      </c>
      <c r="DF29" s="1206">
        <f t="shared" ref="DF29" si="337">+(DF28-DA28)*10000</f>
        <v>-133.46454960106223</v>
      </c>
      <c r="DG29" s="1206">
        <f t="shared" ref="DG29" si="338">+(DG28-DB28)*10000</f>
        <v>408.72233402292682</v>
      </c>
      <c r="DH29" s="1206">
        <f t="shared" ref="DH29" si="339">+(DH28-DC28)*10000</f>
        <v>350.94826485218556</v>
      </c>
      <c r="DI29" s="1207">
        <f t="shared" ref="DI29:DJ29" si="340">+(DI28-DD28)*10000</f>
        <v>60.564456484433208</v>
      </c>
      <c r="DJ29" s="1206">
        <f t="shared" si="340"/>
        <v>387.75465117439234</v>
      </c>
      <c r="DK29" s="1206">
        <f t="shared" ref="DK29" si="341">+(DK28-DF28)*10000</f>
        <v>180.86270253418468</v>
      </c>
      <c r="DL29" s="1206">
        <f t="shared" ref="DL29" si="342">+(DL28-DG28)*10000</f>
        <v>-85.571616237611892</v>
      </c>
      <c r="DM29" s="1206">
        <f t="shared" ref="DM29" si="343">+(DM28-DH28)*10000</f>
        <v>-86.172115273137067</v>
      </c>
      <c r="DN29" s="1207">
        <f t="shared" ref="DN29:DO29" si="344">+(DN28-DI28)*10000</f>
        <v>78.354212951182717</v>
      </c>
      <c r="DO29" s="1206">
        <f t="shared" si="344"/>
        <v>-70.308560215858179</v>
      </c>
      <c r="DP29" s="1206">
        <f t="shared" ref="DP29" si="345">+(DP28-DK28)*10000</f>
        <v>-38.571719835425178</v>
      </c>
      <c r="DQ29" s="1206">
        <f t="shared" ref="DQ29" si="346">+(DQ28-DL28)*10000</f>
        <v>6.9248217677686519</v>
      </c>
      <c r="DR29" s="1206">
        <f t="shared" ref="DR29" si="347">+(DR28-DM28)*10000</f>
        <v>9.8292712561615083</v>
      </c>
      <c r="DS29" s="1207">
        <f t="shared" ref="DS29:DT29" si="348">+(DS28-DN28)*10000</f>
        <v>-19.281625664753221</v>
      </c>
      <c r="DT29" s="1206">
        <f t="shared" si="348"/>
        <v>-25.518328652671673</v>
      </c>
      <c r="DU29" s="1206">
        <f t="shared" ref="DU29" si="349">+(DU28-DP28)*10000</f>
        <v>-28.067303903362983</v>
      </c>
      <c r="DV29" s="1206">
        <f t="shared" ref="DV29" si="350">+(DV28-DQ28)*10000</f>
        <v>-27.111678837129503</v>
      </c>
      <c r="DW29" s="1206">
        <f t="shared" ref="DW29" si="351">+(DW28-DR28)*10000</f>
        <v>-25.219750311231138</v>
      </c>
      <c r="DX29" s="1207">
        <f t="shared" ref="DX29:DY29" si="352">+(DX28-DS28)*10000</f>
        <v>-26.489868455715772</v>
      </c>
      <c r="DY29" s="1206">
        <f t="shared" si="352"/>
        <v>-19.131585234011261</v>
      </c>
      <c r="DZ29" s="1206">
        <f t="shared" ref="DZ29" si="353">+(DZ28-DU28)*10000</f>
        <v>-21.166782130241923</v>
      </c>
      <c r="EA29" s="1206">
        <f t="shared" ref="EA29" si="354">+(EA28-DV28)*10000</f>
        <v>-20.430194671144932</v>
      </c>
      <c r="EB29" s="1206">
        <f t="shared" ref="EB29" si="355">+(EB28-DW28)*10000</f>
        <v>-18.874663625198519</v>
      </c>
      <c r="EC29" s="1207">
        <f t="shared" ref="EC29" si="356">+(EC28-DX28)*10000</f>
        <v>-19.907012841243741</v>
      </c>
      <c r="ED29" s="287"/>
      <c r="EE29" s="311"/>
    </row>
    <row r="30" spans="1:135" s="18" customFormat="1" ht="12" customHeight="1" thickBot="1">
      <c r="A30" s="940"/>
      <c r="B30" s="940"/>
      <c r="C30" s="283" t="s">
        <v>140</v>
      </c>
      <c r="D30" s="284"/>
      <c r="E30" s="284"/>
      <c r="F30" s="284"/>
      <c r="G30" s="284"/>
      <c r="H30" s="284"/>
      <c r="I30" s="99"/>
      <c r="J30" s="99"/>
      <c r="K30" s="99"/>
      <c r="L30" s="99"/>
      <c r="M30" s="284"/>
      <c r="N30" s="738"/>
      <c r="O30" s="738"/>
      <c r="P30" s="738"/>
      <c r="Q30" s="738"/>
      <c r="R30" s="284"/>
      <c r="S30" s="738"/>
      <c r="T30" s="738"/>
      <c r="U30" s="738"/>
      <c r="V30" s="738"/>
      <c r="W30" s="284"/>
      <c r="X30" s="738"/>
      <c r="Y30" s="738"/>
      <c r="Z30" s="738"/>
      <c r="AA30" s="738"/>
      <c r="AB30" s="284"/>
      <c r="AC30" s="738"/>
      <c r="AD30" s="738"/>
      <c r="AE30" s="738"/>
      <c r="AF30" s="738"/>
      <c r="AG30" s="284"/>
      <c r="AH30" s="738"/>
      <c r="AI30" s="738"/>
      <c r="AJ30" s="738"/>
      <c r="AK30" s="738"/>
      <c r="AL30" s="284"/>
      <c r="AM30" s="738"/>
      <c r="AN30" s="738"/>
      <c r="AO30" s="738"/>
      <c r="AP30" s="738"/>
      <c r="AQ30" s="284"/>
      <c r="AR30" s="738"/>
      <c r="AS30" s="738"/>
      <c r="AT30" s="738"/>
      <c r="AU30" s="738"/>
      <c r="AV30" s="284"/>
      <c r="AW30" s="738"/>
      <c r="AX30" s="738"/>
      <c r="AY30" s="738"/>
      <c r="AZ30" s="738"/>
      <c r="BA30" s="284"/>
      <c r="BB30" s="738"/>
      <c r="BC30" s="738"/>
      <c r="BD30" s="738"/>
      <c r="BE30" s="738"/>
      <c r="BF30" s="284"/>
      <c r="BG30" s="285"/>
      <c r="BH30" s="285"/>
      <c r="BI30" s="285"/>
      <c r="BJ30" s="285"/>
      <c r="BK30" s="284"/>
      <c r="BL30" s="738"/>
      <c r="BM30" s="738"/>
      <c r="BN30" s="738"/>
      <c r="BO30" s="738"/>
      <c r="BP30" s="284"/>
      <c r="BQ30" s="287" t="str">
        <f t="shared" ref="BQ30:CV30" si="357">+IF(BL27&lt;=0,"nm",BQ27/BL27-1)</f>
        <v>nm</v>
      </c>
      <c r="BR30" s="287" t="str">
        <f t="shared" si="357"/>
        <v>nm</v>
      </c>
      <c r="BS30" s="287" t="str">
        <f t="shared" si="357"/>
        <v>nm</v>
      </c>
      <c r="BT30" s="287" t="str">
        <f t="shared" si="357"/>
        <v>nm</v>
      </c>
      <c r="BU30" s="286" t="str">
        <f t="shared" si="357"/>
        <v>nm</v>
      </c>
      <c r="BV30" s="287">
        <f t="shared" si="357"/>
        <v>0.85871278864879952</v>
      </c>
      <c r="BW30" s="287">
        <f t="shared" si="357"/>
        <v>0.88194994455884612</v>
      </c>
      <c r="BX30" s="287">
        <f t="shared" si="357"/>
        <v>0.87009010889607907</v>
      </c>
      <c r="BY30" s="287">
        <f t="shared" si="357"/>
        <v>0.86840156854142037</v>
      </c>
      <c r="BZ30" s="286">
        <f t="shared" si="357"/>
        <v>0.87002356553718729</v>
      </c>
      <c r="CA30" s="287">
        <f t="shared" si="357"/>
        <v>0.8021953349133093</v>
      </c>
      <c r="CB30" s="287">
        <f t="shared" si="357"/>
        <v>0.82732571596911009</v>
      </c>
      <c r="CC30" s="287">
        <f t="shared" si="357"/>
        <v>0.86089819913677657</v>
      </c>
      <c r="CD30" s="287">
        <f t="shared" si="357"/>
        <v>0.77801423644235745</v>
      </c>
      <c r="CE30" s="286">
        <f t="shared" si="357"/>
        <v>0.81509343898422393</v>
      </c>
      <c r="CF30" s="287">
        <f t="shared" si="357"/>
        <v>0.71428966930136562</v>
      </c>
      <c r="CG30" s="287">
        <f t="shared" si="357"/>
        <v>0.57709580838323338</v>
      </c>
      <c r="CH30" s="287">
        <f t="shared" si="357"/>
        <v>0.49686584622151964</v>
      </c>
      <c r="CI30" s="287">
        <f t="shared" si="357"/>
        <v>0.53322877543439673</v>
      </c>
      <c r="CJ30" s="286">
        <f t="shared" si="357"/>
        <v>0.56807967327016451</v>
      </c>
      <c r="CK30" s="287">
        <f t="shared" si="357"/>
        <v>0.4558146670757901</v>
      </c>
      <c r="CL30" s="287">
        <f t="shared" si="357"/>
        <v>0.49512613632214975</v>
      </c>
      <c r="CM30" s="287">
        <f t="shared" si="357"/>
        <v>0.44727403875052629</v>
      </c>
      <c r="CN30" s="287">
        <f t="shared" si="357"/>
        <v>0.42073187145679825</v>
      </c>
      <c r="CO30" s="286">
        <f t="shared" si="357"/>
        <v>0.45177076712278263</v>
      </c>
      <c r="CP30" s="287">
        <f t="shared" si="357"/>
        <v>0.42519593324126026</v>
      </c>
      <c r="CQ30" s="287">
        <f t="shared" si="357"/>
        <v>0.83153370937416105</v>
      </c>
      <c r="CR30" s="287">
        <f t="shared" si="357"/>
        <v>0.86966072285598228</v>
      </c>
      <c r="CS30" s="287">
        <f t="shared" si="357"/>
        <v>0.91134976183348382</v>
      </c>
      <c r="CT30" s="286">
        <f t="shared" si="357"/>
        <v>0.78078029857574105</v>
      </c>
      <c r="CU30" s="287">
        <f t="shared" si="357"/>
        <v>1.174415255886359</v>
      </c>
      <c r="CV30" s="287">
        <f t="shared" si="357"/>
        <v>0.65547657012430816</v>
      </c>
      <c r="CW30" s="287">
        <f t="shared" ref="CW30:EB30" si="358">+IF(CR27&lt;=0,"nm",CW27/CR27-1)</f>
        <v>0.50292979355692258</v>
      </c>
      <c r="CX30" s="288">
        <f t="shared" si="358"/>
        <v>0.3732662156910953</v>
      </c>
      <c r="CY30" s="286">
        <f t="shared" si="358"/>
        <v>0.60954382687217779</v>
      </c>
      <c r="CZ30" s="287">
        <f t="shared" si="358"/>
        <v>0.14125423291976635</v>
      </c>
      <c r="DA30" s="287">
        <f t="shared" si="358"/>
        <v>5.6022291659955759E-2</v>
      </c>
      <c r="DB30" s="287">
        <f t="shared" si="358"/>
        <v>8.7735605813019868E-2</v>
      </c>
      <c r="DC30" s="287">
        <f t="shared" si="358"/>
        <v>0.15281545464651436</v>
      </c>
      <c r="DD30" s="286">
        <f t="shared" si="358"/>
        <v>0.11001981344089673</v>
      </c>
      <c r="DE30" s="287">
        <f t="shared" si="358"/>
        <v>0.12446423278448382</v>
      </c>
      <c r="DF30" s="287">
        <f t="shared" si="358"/>
        <v>0.27356087620988268</v>
      </c>
      <c r="DG30" s="287">
        <f t="shared" si="358"/>
        <v>0.3603449629490949</v>
      </c>
      <c r="DH30" s="287">
        <f t="shared" si="358"/>
        <v>0.3299804134711235</v>
      </c>
      <c r="DI30" s="286">
        <f t="shared" si="358"/>
        <v>0.27627019747512715</v>
      </c>
      <c r="DJ30" s="287">
        <f t="shared" si="358"/>
        <v>0.33472803347280333</v>
      </c>
      <c r="DK30" s="287">
        <f t="shared" si="358"/>
        <v>0.25149700598802394</v>
      </c>
      <c r="DL30" s="287">
        <f t="shared" si="358"/>
        <v>0.24084350721420633</v>
      </c>
      <c r="DM30" s="1435">
        <f t="shared" si="358"/>
        <v>0.2390651343325334</v>
      </c>
      <c r="DN30" s="1434">
        <f t="shared" si="358"/>
        <v>0.26198781583532016</v>
      </c>
      <c r="DO30" s="287">
        <f t="shared" si="358"/>
        <v>0.23960528224942701</v>
      </c>
      <c r="DP30" s="287">
        <f t="shared" si="358"/>
        <v>0.21716242894312177</v>
      </c>
      <c r="DQ30" s="287">
        <f t="shared" si="358"/>
        <v>0.2189778494372745</v>
      </c>
      <c r="DR30" s="287">
        <f t="shared" si="358"/>
        <v>0.22971330547150282</v>
      </c>
      <c r="DS30" s="286">
        <f t="shared" si="358"/>
        <v>0.22618497315989372</v>
      </c>
      <c r="DT30" s="287">
        <f t="shared" si="358"/>
        <v>0.1907913261072558</v>
      </c>
      <c r="DU30" s="287">
        <f t="shared" si="358"/>
        <v>0.18999317476752764</v>
      </c>
      <c r="DV30" s="287">
        <f t="shared" si="358"/>
        <v>0.18966443298607505</v>
      </c>
      <c r="DW30" s="287">
        <f t="shared" si="358"/>
        <v>0.19199193879491316</v>
      </c>
      <c r="DX30" s="286">
        <f t="shared" si="358"/>
        <v>0.19067951636268154</v>
      </c>
      <c r="DY30" s="287">
        <f t="shared" si="358"/>
        <v>0.17456776345313707</v>
      </c>
      <c r="DZ30" s="287">
        <f t="shared" si="358"/>
        <v>0.17391469056884024</v>
      </c>
      <c r="EA30" s="287">
        <f t="shared" si="358"/>
        <v>0.17366753941036728</v>
      </c>
      <c r="EB30" s="287">
        <f t="shared" si="358"/>
        <v>0.17552226178409214</v>
      </c>
      <c r="EC30" s="286">
        <f t="shared" ref="EC30" si="359">+IF(DX27&lt;=0,"nm",EC27/DX27-1)</f>
        <v>0.17447404687139723</v>
      </c>
      <c r="ED30" s="287"/>
      <c r="EE30" s="139"/>
    </row>
    <row r="31" spans="1:135" ht="12" customHeight="1">
      <c r="A31" s="940"/>
      <c r="B31" s="940"/>
      <c r="C31" s="312" t="s">
        <v>4</v>
      </c>
      <c r="D31" s="298"/>
      <c r="E31" s="298"/>
      <c r="F31" s="298"/>
      <c r="G31" s="298"/>
      <c r="H31" s="298"/>
      <c r="M31" s="298"/>
      <c r="R31" s="298"/>
      <c r="W31" s="298"/>
      <c r="AB31" s="298"/>
      <c r="AG31" s="298"/>
      <c r="AL31" s="298"/>
      <c r="AQ31" s="298"/>
      <c r="AV31" s="298"/>
      <c r="BA31" s="298"/>
      <c r="BF31" s="298"/>
      <c r="BK31" s="298"/>
      <c r="BP31" s="298"/>
      <c r="BQ31" s="745"/>
      <c r="BR31" s="745"/>
      <c r="BS31" s="745"/>
      <c r="BT31" s="745"/>
      <c r="BU31" s="746"/>
      <c r="BV31" s="745"/>
      <c r="BW31" s="745"/>
      <c r="BX31" s="745"/>
      <c r="BY31" s="745"/>
      <c r="BZ31" s="746"/>
      <c r="CA31" s="745"/>
      <c r="CB31" s="745"/>
      <c r="CC31" s="745"/>
      <c r="CD31" s="745"/>
      <c r="CE31" s="746"/>
      <c r="CF31" s="745"/>
      <c r="CG31" s="745"/>
      <c r="CH31" s="745"/>
      <c r="CI31" s="745"/>
      <c r="CJ31" s="746"/>
      <c r="CK31" s="745"/>
      <c r="CL31" s="745"/>
      <c r="CM31" s="745"/>
      <c r="CN31" s="745"/>
      <c r="CO31" s="746"/>
      <c r="CP31" s="745"/>
      <c r="CQ31" s="745"/>
      <c r="CR31" s="745"/>
      <c r="CS31" s="745"/>
      <c r="CT31" s="746"/>
      <c r="CU31" s="745"/>
      <c r="CV31" s="745"/>
      <c r="CW31" s="745"/>
      <c r="CX31" s="747"/>
      <c r="CY31" s="746"/>
      <c r="CZ31" s="745"/>
      <c r="DA31" s="745"/>
      <c r="DB31" s="745"/>
      <c r="DC31" s="745"/>
      <c r="DD31" s="746"/>
      <c r="DE31" s="745"/>
      <c r="DF31" s="745"/>
      <c r="DG31" s="745"/>
      <c r="DH31" s="745"/>
      <c r="DI31" s="746"/>
      <c r="DJ31" s="745"/>
      <c r="DK31" s="745"/>
      <c r="DL31" s="745"/>
      <c r="DM31" s="745"/>
      <c r="DN31" s="746"/>
      <c r="DO31" s="745"/>
      <c r="DP31" s="745"/>
      <c r="DQ31" s="745"/>
      <c r="DR31" s="745"/>
      <c r="DS31" s="746"/>
      <c r="DT31" s="745"/>
      <c r="DU31" s="745"/>
      <c r="DV31" s="745"/>
      <c r="DW31" s="745"/>
      <c r="DX31" s="746"/>
      <c r="DY31" s="745"/>
      <c r="DZ31" s="745"/>
      <c r="EA31" s="745"/>
      <c r="EB31" s="745"/>
      <c r="EC31" s="746"/>
      <c r="ED31" s="1169"/>
    </row>
    <row r="32" spans="1:135" s="296" customFormat="1" ht="12" customHeight="1">
      <c r="A32" s="940"/>
      <c r="B32" s="940"/>
      <c r="C32" s="309" t="s">
        <v>191</v>
      </c>
      <c r="D32" s="298"/>
      <c r="E32" s="298"/>
      <c r="F32" s="298"/>
      <c r="G32" s="298"/>
      <c r="H32" s="298"/>
      <c r="I32" s="299"/>
      <c r="J32" s="299"/>
      <c r="K32" s="299"/>
      <c r="L32" s="299"/>
      <c r="M32" s="298"/>
      <c r="N32" s="299"/>
      <c r="O32" s="299"/>
      <c r="P32" s="299"/>
      <c r="Q32" s="299"/>
      <c r="R32" s="298"/>
      <c r="S32" s="299"/>
      <c r="T32" s="299"/>
      <c r="U32" s="299"/>
      <c r="V32" s="299"/>
      <c r="W32" s="298"/>
      <c r="X32" s="299"/>
      <c r="Y32" s="299"/>
      <c r="Z32" s="299"/>
      <c r="AA32" s="299"/>
      <c r="AB32" s="298"/>
      <c r="AC32" s="299"/>
      <c r="AD32" s="299"/>
      <c r="AE32" s="299"/>
      <c r="AF32" s="299"/>
      <c r="AG32" s="298"/>
      <c r="AH32" s="299"/>
      <c r="AI32" s="299"/>
      <c r="AJ32" s="299"/>
      <c r="AK32" s="299"/>
      <c r="AL32" s="298"/>
      <c r="AM32" s="299"/>
      <c r="AN32" s="299"/>
      <c r="AO32" s="299"/>
      <c r="AP32" s="299"/>
      <c r="AQ32" s="298"/>
      <c r="AR32" s="299"/>
      <c r="AS32" s="299"/>
      <c r="AT32" s="299"/>
      <c r="AU32" s="299"/>
      <c r="AV32" s="298"/>
      <c r="AW32" s="299"/>
      <c r="AX32" s="299"/>
      <c r="AY32" s="299"/>
      <c r="AZ32" s="299"/>
      <c r="BA32" s="298"/>
      <c r="BB32" s="299"/>
      <c r="BC32" s="299"/>
      <c r="BD32" s="299"/>
      <c r="BE32" s="299"/>
      <c r="BF32" s="298"/>
      <c r="BG32" s="299"/>
      <c r="BH32" s="299"/>
      <c r="BI32" s="299"/>
      <c r="BJ32" s="299"/>
      <c r="BK32" s="298"/>
      <c r="BL32" s="299"/>
      <c r="BM32" s="299"/>
      <c r="BN32" s="299"/>
      <c r="BO32" s="299"/>
      <c r="BP32" s="298"/>
      <c r="BQ32" s="282">
        <v>-13.54</v>
      </c>
      <c r="BR32" s="282">
        <v>-16.091000000000001</v>
      </c>
      <c r="BS32" s="282">
        <v>-18.216000000000001</v>
      </c>
      <c r="BT32" s="282">
        <v>-22.527000000000001</v>
      </c>
      <c r="BU32" s="300">
        <f>SUM(BQ32:BT32)</f>
        <v>-70.373999999999995</v>
      </c>
      <c r="BV32" s="282">
        <v>-28.007999999999999</v>
      </c>
      <c r="BW32" s="282">
        <v>-29.413</v>
      </c>
      <c r="BX32" s="282">
        <v>-32.777000000000001</v>
      </c>
      <c r="BY32" s="282">
        <v>-39.015999999999998</v>
      </c>
      <c r="BZ32" s="300">
        <f>SUM(BV32:BY32)</f>
        <v>-129.214</v>
      </c>
      <c r="CA32" s="282">
        <v>-45.334000000000003</v>
      </c>
      <c r="CB32" s="282">
        <v>-54.872</v>
      </c>
      <c r="CC32" s="282">
        <v>-58.314</v>
      </c>
      <c r="CD32" s="282">
        <v>-67.174000000000007</v>
      </c>
      <c r="CE32" s="300">
        <f>SUM(CA32:CD32)</f>
        <v>-225.69400000000002</v>
      </c>
      <c r="CF32" s="282">
        <v>-75.784000000000006</v>
      </c>
      <c r="CG32" s="282">
        <v>-87.486999999999995</v>
      </c>
      <c r="CH32" s="282">
        <v>-91.635000000000005</v>
      </c>
      <c r="CI32" s="282">
        <v>-95.162999999999997</v>
      </c>
      <c r="CJ32" s="300">
        <f>SUM(CF32:CI32)</f>
        <v>-350.06900000000002</v>
      </c>
      <c r="CK32" s="282">
        <v>-105.02200000000001</v>
      </c>
      <c r="CL32" s="282">
        <v>-119.21</v>
      </c>
      <c r="CM32" s="282">
        <v>-116.54600000000001</v>
      </c>
      <c r="CN32" s="282">
        <v>-132.06299999999999</v>
      </c>
      <c r="CO32" s="300">
        <f>SUM(CK32:CN32)</f>
        <v>-472.84100000000001</v>
      </c>
      <c r="CP32" s="282">
        <v>-154.86199999999999</v>
      </c>
      <c r="CQ32" s="282">
        <v>-144.85</v>
      </c>
      <c r="CR32" s="282">
        <v>-147.608</v>
      </c>
      <c r="CS32" s="282">
        <v>-154.72800000000001</v>
      </c>
      <c r="CT32" s="300">
        <f>SUM(CP32:CS32)</f>
        <v>-602.048</v>
      </c>
      <c r="CU32" s="282">
        <v>-186.22300000000001</v>
      </c>
      <c r="CV32" s="282">
        <v>-201.91</v>
      </c>
      <c r="CW32" s="282">
        <v>-237.94900000000001</v>
      </c>
      <c r="CX32" s="282">
        <v>-275.47500000000002</v>
      </c>
      <c r="CY32" s="300">
        <f>SUM(CU32:CX32)</f>
        <v>-901.55700000000013</v>
      </c>
      <c r="CZ32" s="282">
        <v>-303.37099999999998</v>
      </c>
      <c r="DA32" s="282">
        <v>-326.90199999999999</v>
      </c>
      <c r="DB32" s="282">
        <v>-302.476</v>
      </c>
      <c r="DC32" s="282">
        <v>-297.74099999999999</v>
      </c>
      <c r="DD32" s="300">
        <f>SUM(CZ32:DC32)</f>
        <v>-1230.4899999999998</v>
      </c>
      <c r="DE32" s="282">
        <v>-287</v>
      </c>
      <c r="DF32" s="282">
        <v>-321</v>
      </c>
      <c r="DG32" s="282">
        <v>-295</v>
      </c>
      <c r="DH32" s="282">
        <v>-317</v>
      </c>
      <c r="DI32" s="300">
        <f>SUM(DE32:DH32)</f>
        <v>-1220</v>
      </c>
      <c r="DJ32" s="282">
        <v>-361</v>
      </c>
      <c r="DK32" s="302">
        <v>-353</v>
      </c>
      <c r="DL32" s="302">
        <v>-331</v>
      </c>
      <c r="DM32" s="125">
        <f>-DM33*DM$11</f>
        <v>-375.40546516866294</v>
      </c>
      <c r="DN32" s="300">
        <f>SUM(DJ32:DM32)</f>
        <v>-1420.4054651686629</v>
      </c>
      <c r="DO32" s="125">
        <f>-DO33*DO$11</f>
        <v>-434.9895860930381</v>
      </c>
      <c r="DP32" s="125">
        <f>-DP33*DP$11</f>
        <v>-412.86194344892897</v>
      </c>
      <c r="DQ32" s="125">
        <f>-DQ33*DQ$11</f>
        <v>-381.88683146572583</v>
      </c>
      <c r="DR32" s="125">
        <f>-DR33*DR$11</f>
        <v>-434.16717900103151</v>
      </c>
      <c r="DS32" s="300">
        <f>SUM(DO32:DR32)</f>
        <v>-1663.9055400087245</v>
      </c>
      <c r="DT32" s="125">
        <f>-DT33*DT$11</f>
        <v>-501.00660020440864</v>
      </c>
      <c r="DU32" s="125">
        <f>-DU33*DU$11</f>
        <v>-473.02905680528914</v>
      </c>
      <c r="DV32" s="125">
        <f>-DV33*DV$11</f>
        <v>-434.67549475014067</v>
      </c>
      <c r="DW32" s="125">
        <f>-DW33*DW$11</f>
        <v>-492.38527671537855</v>
      </c>
      <c r="DX32" s="300">
        <f>SUM(DT32:DW32)</f>
        <v>-1901.096428475217</v>
      </c>
      <c r="DY32" s="125">
        <f>-DY33*DY$11</f>
        <v>-564.30262750308623</v>
      </c>
      <c r="DZ32" s="125">
        <f>-DZ33*DZ$11</f>
        <v>-529.33261959145443</v>
      </c>
      <c r="EA32" s="125">
        <f>-EA33*EA$11</f>
        <v>-482.52479740313089</v>
      </c>
      <c r="EB32" s="125">
        <f>-EB33*EB$11</f>
        <v>-543.53790187780396</v>
      </c>
      <c r="EC32" s="300">
        <f>SUM(DY32:EB32)</f>
        <v>-2119.6979463754756</v>
      </c>
      <c r="ED32" s="491"/>
      <c r="EE32" s="139"/>
    </row>
    <row r="33" spans="1:135" s="296" customFormat="1" ht="12" customHeight="1">
      <c r="A33" s="940"/>
      <c r="B33" s="940"/>
      <c r="C33" s="303" t="s">
        <v>210</v>
      </c>
      <c r="D33" s="298"/>
      <c r="E33" s="298"/>
      <c r="F33" s="298"/>
      <c r="G33" s="298"/>
      <c r="H33" s="298"/>
      <c r="I33" s="94"/>
      <c r="J33" s="94"/>
      <c r="K33" s="94"/>
      <c r="L33" s="94"/>
      <c r="M33" s="298"/>
      <c r="N33" s="94"/>
      <c r="O33" s="94"/>
      <c r="P33" s="94"/>
      <c r="Q33" s="94"/>
      <c r="R33" s="298"/>
      <c r="S33" s="94"/>
      <c r="T33" s="94"/>
      <c r="U33" s="94"/>
      <c r="V33" s="94"/>
      <c r="W33" s="298"/>
      <c r="X33" s="94"/>
      <c r="Y33" s="94"/>
      <c r="Z33" s="94"/>
      <c r="AA33" s="94"/>
      <c r="AB33" s="298"/>
      <c r="AC33" s="94"/>
      <c r="AD33" s="94"/>
      <c r="AE33" s="94"/>
      <c r="AF33" s="94"/>
      <c r="AG33" s="298"/>
      <c r="AH33" s="94"/>
      <c r="AI33" s="94"/>
      <c r="AJ33" s="94"/>
      <c r="AK33" s="94"/>
      <c r="AL33" s="298"/>
      <c r="AM33" s="94"/>
      <c r="AN33" s="94"/>
      <c r="AO33" s="94"/>
      <c r="AP33" s="94"/>
      <c r="AQ33" s="298"/>
      <c r="AR33" s="94"/>
      <c r="AS33" s="94"/>
      <c r="AT33" s="94"/>
      <c r="AU33" s="94"/>
      <c r="AV33" s="298"/>
      <c r="AW33" s="94"/>
      <c r="AX33" s="94"/>
      <c r="AY33" s="94"/>
      <c r="AZ33" s="94"/>
      <c r="BA33" s="298"/>
      <c r="BB33" s="94"/>
      <c r="BC33" s="94"/>
      <c r="BD33" s="94"/>
      <c r="BE33" s="94"/>
      <c r="BF33" s="298"/>
      <c r="BG33" s="741"/>
      <c r="BH33" s="741"/>
      <c r="BI33" s="741"/>
      <c r="BJ33" s="741"/>
      <c r="BK33" s="298"/>
      <c r="BL33" s="741"/>
      <c r="BM33" s="741"/>
      <c r="BN33" s="741"/>
      <c r="BO33" s="741"/>
      <c r="BP33" s="298"/>
      <c r="BQ33" s="419">
        <f t="shared" ref="BQ33:BZ33" si="360">-BQ32/BQ$11</f>
        <v>0.36253614651386956</v>
      </c>
      <c r="BR33" s="419">
        <f t="shared" si="360"/>
        <v>0.35816676312157769</v>
      </c>
      <c r="BS33" s="419">
        <f t="shared" si="360"/>
        <v>0.3450915015344978</v>
      </c>
      <c r="BT33" s="419">
        <f t="shared" si="360"/>
        <v>0.32102090547646533</v>
      </c>
      <c r="BU33" s="590">
        <f t="shared" si="360"/>
        <v>0.34289807194749378</v>
      </c>
      <c r="BV33" s="419">
        <f t="shared" si="360"/>
        <v>0.38513792249938117</v>
      </c>
      <c r="BW33" s="419">
        <f t="shared" si="360"/>
        <v>0.3394578000392397</v>
      </c>
      <c r="BX33" s="419">
        <f t="shared" si="360"/>
        <v>0.32915905119604733</v>
      </c>
      <c r="BY33" s="419">
        <f t="shared" si="360"/>
        <v>0.29924146552848152</v>
      </c>
      <c r="BZ33" s="590">
        <f t="shared" si="360"/>
        <v>0.33188811548044078</v>
      </c>
      <c r="CA33" s="419">
        <f t="shared" ref="CA33:CX33" si="361">-CA32/CA$11</f>
        <v>0.35589853900564461</v>
      </c>
      <c r="CB33" s="419">
        <f t="shared" si="361"/>
        <v>0.36182123899640634</v>
      </c>
      <c r="CC33" s="419">
        <f t="shared" si="361"/>
        <v>0.34011058230683089</v>
      </c>
      <c r="CD33" s="419">
        <f t="shared" si="361"/>
        <v>0.30148015833834502</v>
      </c>
      <c r="CE33" s="590">
        <f t="shared" si="361"/>
        <v>0.33520371184487247</v>
      </c>
      <c r="CF33" s="419">
        <f t="shared" si="361"/>
        <v>0.35356909582905671</v>
      </c>
      <c r="CG33" s="419">
        <f t="shared" si="361"/>
        <v>0.35714373191053339</v>
      </c>
      <c r="CH33" s="419">
        <f t="shared" si="361"/>
        <v>0.33930846021683753</v>
      </c>
      <c r="CI33" s="419">
        <f t="shared" si="361"/>
        <v>0.27674764876607477</v>
      </c>
      <c r="CJ33" s="590">
        <f t="shared" si="361"/>
        <v>0.32618294883943694</v>
      </c>
      <c r="CK33" s="419">
        <f t="shared" si="361"/>
        <v>0.32770015164658239</v>
      </c>
      <c r="CL33" s="419">
        <f t="shared" si="361"/>
        <v>0.32932849695700578</v>
      </c>
      <c r="CM33" s="419">
        <f t="shared" si="361"/>
        <v>0.29841352752002293</v>
      </c>
      <c r="CN33" s="419">
        <f t="shared" si="361"/>
        <v>0.26142806239607247</v>
      </c>
      <c r="CO33" s="590">
        <f t="shared" si="361"/>
        <v>0.29961290682326969</v>
      </c>
      <c r="CP33" s="419">
        <f t="shared" si="361"/>
        <v>0.32949291597251923</v>
      </c>
      <c r="CQ33" s="419">
        <f t="shared" si="361"/>
        <v>0.20277430526877219</v>
      </c>
      <c r="CR33" s="419">
        <f t="shared" si="361"/>
        <v>0.19234693545129367</v>
      </c>
      <c r="CS33" s="419">
        <f t="shared" si="361"/>
        <v>0.15825001227315127</v>
      </c>
      <c r="CT33" s="590">
        <f t="shared" si="361"/>
        <v>0.20551283482352395</v>
      </c>
      <c r="CU33" s="419">
        <f t="shared" si="361"/>
        <v>0.1883614677432896</v>
      </c>
      <c r="CV33" s="419">
        <f t="shared" si="361"/>
        <v>0.18036616358999327</v>
      </c>
      <c r="CW33" s="419">
        <f t="shared" si="361"/>
        <v>0.2117473792870237</v>
      </c>
      <c r="CX33" s="419">
        <f t="shared" si="361"/>
        <v>0.19961609363315422</v>
      </c>
      <c r="CY33" s="590">
        <f t="shared" ref="CY33:DH33" si="362">-CY32/CY$11</f>
        <v>0.19548680617955116</v>
      </c>
      <c r="CZ33" s="419">
        <f t="shared" si="362"/>
        <v>0.25204819116949406</v>
      </c>
      <c r="DA33" s="419">
        <f t="shared" si="362"/>
        <v>0.25242169685953497</v>
      </c>
      <c r="DB33" s="419">
        <f t="shared" si="362"/>
        <v>0.22139950226906749</v>
      </c>
      <c r="DC33" s="419">
        <f t="shared" si="362"/>
        <v>0.17161082157814103</v>
      </c>
      <c r="DD33" s="590">
        <f t="shared" si="362"/>
        <v>0.21973569358112977</v>
      </c>
      <c r="DE33" s="419">
        <f t="shared" si="362"/>
        <v>0.19031830238726791</v>
      </c>
      <c r="DF33" s="419">
        <f t="shared" si="362"/>
        <v>0.18949232585596221</v>
      </c>
      <c r="DG33" s="419">
        <f t="shared" si="362"/>
        <v>0.17211201866977829</v>
      </c>
      <c r="DH33" s="419">
        <f t="shared" si="362"/>
        <v>0.14785447761194029</v>
      </c>
      <c r="DI33" s="590">
        <f>-DI32/DI$11</f>
        <v>0.17280453257790368</v>
      </c>
      <c r="DJ33" s="419">
        <f t="shared" ref="DJ33:DK33" si="363">-DJ32/DJ$11</f>
        <v>0.19398173025255239</v>
      </c>
      <c r="DK33" s="419">
        <f t="shared" si="363"/>
        <v>0.1726161369193154</v>
      </c>
      <c r="DL33" s="419">
        <f t="shared" ref="DL33" si="364">-DL32/DL$11</f>
        <v>0.15309898242368178</v>
      </c>
      <c r="DM33" s="420">
        <f>DH33-0.9%</f>
        <v>0.13885447761194028</v>
      </c>
      <c r="DN33" s="590">
        <f>-DN32/DN$11</f>
        <v>0.16193251117923399</v>
      </c>
      <c r="DO33" s="420">
        <f>DJ33-0.8%</f>
        <v>0.18598173025255238</v>
      </c>
      <c r="DP33" s="420">
        <f t="shared" ref="DP33:DR33" si="365">DK33-0.8%</f>
        <v>0.1646161369193154</v>
      </c>
      <c r="DQ33" s="420">
        <f t="shared" si="365"/>
        <v>0.14509898242368177</v>
      </c>
      <c r="DR33" s="420">
        <f t="shared" si="365"/>
        <v>0.13085447761194027</v>
      </c>
      <c r="DS33" s="590">
        <f>-DS32/DS$11</f>
        <v>0.15411161137488472</v>
      </c>
      <c r="DT33" s="420">
        <f>DO33-0.7%</f>
        <v>0.17898173025255237</v>
      </c>
      <c r="DU33" s="420">
        <f t="shared" ref="DU33:DW33" si="366">DP33-0.7%</f>
        <v>0.15761613691931539</v>
      </c>
      <c r="DV33" s="420">
        <f t="shared" si="366"/>
        <v>0.13809898242368177</v>
      </c>
      <c r="DW33" s="420">
        <f t="shared" si="366"/>
        <v>0.12385447761194027</v>
      </c>
      <c r="DX33" s="590">
        <f>-DX32/DX$11</f>
        <v>0.14710462509509281</v>
      </c>
      <c r="DY33" s="420">
        <f>DT33-0.8%</f>
        <v>0.17098173025255237</v>
      </c>
      <c r="DZ33" s="420">
        <f t="shared" ref="DZ33:EB33" si="367">DU33-0.8%</f>
        <v>0.14961613691931538</v>
      </c>
      <c r="EA33" s="420">
        <f t="shared" si="367"/>
        <v>0.13009898242368176</v>
      </c>
      <c r="EB33" s="420">
        <f t="shared" si="367"/>
        <v>0.11585447761194026</v>
      </c>
      <c r="EC33" s="590">
        <f>-EC32/EC$11</f>
        <v>0.13909903302395007</v>
      </c>
      <c r="ED33" s="419"/>
      <c r="EE33" s="139"/>
    </row>
    <row r="34" spans="1:135" s="296" customFormat="1" ht="12" customHeight="1">
      <c r="A34" s="940"/>
      <c r="B34" s="940"/>
      <c r="C34" s="309" t="s">
        <v>236</v>
      </c>
      <c r="D34" s="298"/>
      <c r="E34" s="298"/>
      <c r="F34" s="298"/>
      <c r="G34" s="298"/>
      <c r="H34" s="298"/>
      <c r="I34" s="299"/>
      <c r="J34" s="299"/>
      <c r="K34" s="299"/>
      <c r="L34" s="299"/>
      <c r="M34" s="298"/>
      <c r="N34" s="299"/>
      <c r="O34" s="299"/>
      <c r="P34" s="299"/>
      <c r="Q34" s="299"/>
      <c r="R34" s="298"/>
      <c r="S34" s="299"/>
      <c r="T34" s="299"/>
      <c r="U34" s="299"/>
      <c r="V34" s="299"/>
      <c r="W34" s="298"/>
      <c r="X34" s="299"/>
      <c r="Y34" s="299"/>
      <c r="Z34" s="299"/>
      <c r="AA34" s="299"/>
      <c r="AB34" s="298"/>
      <c r="AC34" s="299"/>
      <c r="AD34" s="299"/>
      <c r="AE34" s="299"/>
      <c r="AF34" s="299"/>
      <c r="AG34" s="298"/>
      <c r="AH34" s="299"/>
      <c r="AI34" s="299"/>
      <c r="AJ34" s="299"/>
      <c r="AK34" s="299"/>
      <c r="AL34" s="298"/>
      <c r="AM34" s="299"/>
      <c r="AN34" s="299"/>
      <c r="AO34" s="299"/>
      <c r="AP34" s="299"/>
      <c r="AQ34" s="298"/>
      <c r="AR34" s="299"/>
      <c r="AS34" s="299"/>
      <c r="AT34" s="299"/>
      <c r="AU34" s="299"/>
      <c r="AV34" s="298"/>
      <c r="AW34" s="299"/>
      <c r="AX34" s="299"/>
      <c r="AY34" s="299"/>
      <c r="AZ34" s="299"/>
      <c r="BA34" s="298"/>
      <c r="BB34" s="299"/>
      <c r="BC34" s="299"/>
      <c r="BD34" s="299"/>
      <c r="BE34" s="299"/>
      <c r="BF34" s="298"/>
      <c r="BG34" s="299"/>
      <c r="BH34" s="299"/>
      <c r="BI34" s="299"/>
      <c r="BJ34" s="299"/>
      <c r="BK34" s="298"/>
      <c r="BL34" s="299"/>
      <c r="BM34" s="299"/>
      <c r="BN34" s="299"/>
      <c r="BO34" s="299"/>
      <c r="BP34" s="298"/>
      <c r="BQ34" s="282">
        <v>-7.3129999999999997</v>
      </c>
      <c r="BR34" s="282">
        <v>-8.8000000000000007</v>
      </c>
      <c r="BS34" s="282">
        <v>-10.068</v>
      </c>
      <c r="BT34" s="282">
        <v>-13.541</v>
      </c>
      <c r="BU34" s="300">
        <f>SUM(BQ34:BT34)</f>
        <v>-39.721999999999994</v>
      </c>
      <c r="BV34" s="282">
        <v>-13.67</v>
      </c>
      <c r="BW34" s="282">
        <v>-16.731999999999999</v>
      </c>
      <c r="BX34" s="282">
        <v>-19.462</v>
      </c>
      <c r="BY34" s="282">
        <v>-24.472000000000001</v>
      </c>
      <c r="BZ34" s="300">
        <f>SUM(BV34:BY34)</f>
        <v>-74.336000000000013</v>
      </c>
      <c r="CA34" s="282">
        <v>-26.594000000000001</v>
      </c>
      <c r="CB34" s="282">
        <v>-32.713999999999999</v>
      </c>
      <c r="CC34" s="282">
        <v>-36.35</v>
      </c>
      <c r="CD34" s="282">
        <v>-40.338999999999999</v>
      </c>
      <c r="CE34" s="300">
        <f>SUM(CA34:CD34)</f>
        <v>-135.99700000000001</v>
      </c>
      <c r="CF34" s="282">
        <v>-47.716000000000001</v>
      </c>
      <c r="CG34" s="282">
        <v>-54.305</v>
      </c>
      <c r="CH34" s="282">
        <v>-61.628999999999998</v>
      </c>
      <c r="CI34" s="282">
        <v>-67.024000000000001</v>
      </c>
      <c r="CJ34" s="300">
        <f>SUM(CF34:CI34)</f>
        <v>-230.67400000000001</v>
      </c>
      <c r="CK34" s="282">
        <v>-76.355000000000004</v>
      </c>
      <c r="CL34" s="282">
        <v>-85.52</v>
      </c>
      <c r="CM34" s="282">
        <v>-90.387</v>
      </c>
      <c r="CN34" s="282">
        <v>-102.753</v>
      </c>
      <c r="CO34" s="300">
        <f>SUM(CK34:CN34)</f>
        <v>-355.01499999999999</v>
      </c>
      <c r="CP34" s="282">
        <v>-116.396</v>
      </c>
      <c r="CQ34" s="282">
        <v>-133.227</v>
      </c>
      <c r="CR34" s="282">
        <v>-143.42699999999999</v>
      </c>
      <c r="CS34" s="282">
        <v>-159.077</v>
      </c>
      <c r="CT34" s="300">
        <f>SUM(CP34:CS34)</f>
        <v>-552.12699999999995</v>
      </c>
      <c r="CU34" s="282">
        <v>-175.886</v>
      </c>
      <c r="CV34" s="282">
        <v>-183.55699999999999</v>
      </c>
      <c r="CW34" s="282">
        <v>-221.02799999999999</v>
      </c>
      <c r="CX34" s="282">
        <v>-273.91199999999998</v>
      </c>
      <c r="CY34" s="300">
        <f>SUM(CU34:CX34)</f>
        <v>-854.38300000000004</v>
      </c>
      <c r="CZ34" s="282">
        <v>-303.661</v>
      </c>
      <c r="DA34" s="282">
        <v>-346.66699999999997</v>
      </c>
      <c r="DB34" s="282">
        <v>-412.35899999999998</v>
      </c>
      <c r="DC34" s="282">
        <v>-440.54700000000003</v>
      </c>
      <c r="DD34" s="300">
        <f>SUM(CZ34:DC34)</f>
        <v>-1503.2339999999999</v>
      </c>
      <c r="DE34" s="282">
        <v>-458</v>
      </c>
      <c r="DF34" s="282">
        <v>-648</v>
      </c>
      <c r="DG34" s="282">
        <v>-313</v>
      </c>
      <c r="DH34" s="282">
        <v>-311</v>
      </c>
      <c r="DI34" s="300">
        <f>SUM(DE34:DH34)</f>
        <v>-1730</v>
      </c>
      <c r="DJ34" s="282">
        <v>-335</v>
      </c>
      <c r="DK34" s="302">
        <v>-349</v>
      </c>
      <c r="DL34" s="302">
        <v>-332</v>
      </c>
      <c r="DM34" s="125">
        <f>-DM35*DM$11</f>
        <v>-340.65223840634758</v>
      </c>
      <c r="DN34" s="300">
        <f>SUM(DJ34:DM34)</f>
        <v>-1356.6522384063476</v>
      </c>
      <c r="DO34" s="125">
        <f>-DO35*DO$11</f>
        <v>-397.63531788547158</v>
      </c>
      <c r="DP34" s="125">
        <f>-DP35*DP$11</f>
        <v>-402.94020770005227</v>
      </c>
      <c r="DQ34" s="125">
        <f>-DQ35*DQ$11</f>
        <v>-377.84036783187975</v>
      </c>
      <c r="DR34" s="125">
        <f>-DR35*DR$11</f>
        <v>-384.8809279073846</v>
      </c>
      <c r="DS34" s="300">
        <f>SUM(DO34:DR34)</f>
        <v>-1563.2968213247882</v>
      </c>
      <c r="DT34" s="125">
        <f>-DT35*DT$11</f>
        <v>-447.90292390491561</v>
      </c>
      <c r="DU34" s="125">
        <f>-DU35*DU$11</f>
        <v>-452.15311378797662</v>
      </c>
      <c r="DV34" s="125">
        <f>-DV35*DV$11</f>
        <v>-420.39352870030689</v>
      </c>
      <c r="DW34" s="125">
        <f>-DW35*DW$11</f>
        <v>-421.40454134698518</v>
      </c>
      <c r="DX34" s="300">
        <f>SUM(DT34:DW34)</f>
        <v>-1741.8541077401842</v>
      </c>
      <c r="DY34" s="125">
        <f>-DY35*DY$11</f>
        <v>-495.09066559407097</v>
      </c>
      <c r="DZ34" s="125">
        <f>-DZ35*DZ$11</f>
        <v>-497.64688126250331</v>
      </c>
      <c r="EA34" s="125">
        <f>-EA35*EA$11</f>
        <v>-458.2779580703243</v>
      </c>
      <c r="EB34" s="125">
        <f>-EB35*EB$11</f>
        <v>-450.38948563599945</v>
      </c>
      <c r="EC34" s="300">
        <f>SUM(DY34:EB34)</f>
        <v>-1901.4049905628981</v>
      </c>
      <c r="ED34" s="491"/>
      <c r="EE34" s="139"/>
    </row>
    <row r="35" spans="1:135" s="296" customFormat="1" ht="12" customHeight="1">
      <c r="A35" s="940"/>
      <c r="B35" s="940"/>
      <c r="C35" s="303" t="s">
        <v>210</v>
      </c>
      <c r="D35" s="298"/>
      <c r="E35" s="298"/>
      <c r="F35" s="298"/>
      <c r="G35" s="298"/>
      <c r="H35" s="298"/>
      <c r="I35" s="94"/>
      <c r="J35" s="94"/>
      <c r="K35" s="94"/>
      <c r="L35" s="94"/>
      <c r="M35" s="298"/>
      <c r="N35" s="94"/>
      <c r="O35" s="94"/>
      <c r="P35" s="94"/>
      <c r="Q35" s="94"/>
      <c r="R35" s="298"/>
      <c r="S35" s="94"/>
      <c r="T35" s="94"/>
      <c r="U35" s="94"/>
      <c r="V35" s="94"/>
      <c r="W35" s="298"/>
      <c r="X35" s="94"/>
      <c r="Y35" s="94"/>
      <c r="Z35" s="94"/>
      <c r="AA35" s="94"/>
      <c r="AB35" s="298"/>
      <c r="AC35" s="94"/>
      <c r="AD35" s="94"/>
      <c r="AE35" s="94"/>
      <c r="AF35" s="94"/>
      <c r="AG35" s="298"/>
      <c r="AH35" s="94"/>
      <c r="AI35" s="94"/>
      <c r="AJ35" s="94"/>
      <c r="AK35" s="94"/>
      <c r="AL35" s="298"/>
      <c r="AM35" s="94"/>
      <c r="AN35" s="94"/>
      <c r="AO35" s="94"/>
      <c r="AP35" s="94"/>
      <c r="AQ35" s="298"/>
      <c r="AR35" s="94"/>
      <c r="AS35" s="94"/>
      <c r="AT35" s="94"/>
      <c r="AU35" s="94"/>
      <c r="AV35" s="298"/>
      <c r="AW35" s="94"/>
      <c r="AX35" s="94"/>
      <c r="AY35" s="94"/>
      <c r="AZ35" s="94"/>
      <c r="BA35" s="298"/>
      <c r="BB35" s="94"/>
      <c r="BC35" s="94"/>
      <c r="BD35" s="94"/>
      <c r="BE35" s="94"/>
      <c r="BF35" s="298"/>
      <c r="BG35" s="741"/>
      <c r="BH35" s="741"/>
      <c r="BI35" s="741"/>
      <c r="BJ35" s="741"/>
      <c r="BK35" s="298"/>
      <c r="BL35" s="741"/>
      <c r="BM35" s="741"/>
      <c r="BN35" s="741"/>
      <c r="BO35" s="741"/>
      <c r="BP35" s="298"/>
      <c r="BQ35" s="419">
        <f t="shared" ref="BQ35:BZ35" si="368">-BQ34/BQ$11</f>
        <v>0.19580700439113205</v>
      </c>
      <c r="BR35" s="419">
        <f t="shared" si="368"/>
        <v>0.19587766549436852</v>
      </c>
      <c r="BS35" s="419">
        <f t="shared" si="368"/>
        <v>0.19073239116432386</v>
      </c>
      <c r="BT35" s="419">
        <f t="shared" si="368"/>
        <v>0.19296595556695595</v>
      </c>
      <c r="BU35" s="590">
        <f t="shared" si="368"/>
        <v>0.19354587225251296</v>
      </c>
      <c r="BV35" s="419">
        <f t="shared" si="368"/>
        <v>0.18797612826929949</v>
      </c>
      <c r="BW35" s="419">
        <f t="shared" si="368"/>
        <v>0.193105358523665</v>
      </c>
      <c r="BX35" s="419">
        <f t="shared" si="368"/>
        <v>0.195444776958766</v>
      </c>
      <c r="BY35" s="419">
        <f t="shared" si="368"/>
        <v>0.1876931808594679</v>
      </c>
      <c r="BZ35" s="590">
        <f t="shared" si="368"/>
        <v>0.19093314155086949</v>
      </c>
      <c r="CA35" s="419">
        <f t="shared" ref="CA35:CX35" si="369">-CA34/CA$11</f>
        <v>0.20877852707275141</v>
      </c>
      <c r="CB35" s="419">
        <f t="shared" si="369"/>
        <v>0.21571329662721306</v>
      </c>
      <c r="CC35" s="419">
        <f t="shared" si="369"/>
        <v>0.21200774542739828</v>
      </c>
      <c r="CD35" s="419">
        <f t="shared" si="369"/>
        <v>0.18104338147513171</v>
      </c>
      <c r="CE35" s="590">
        <f t="shared" si="369"/>
        <v>0.20198454190083531</v>
      </c>
      <c r="CF35" s="419">
        <f t="shared" si="369"/>
        <v>0.22261827003825702</v>
      </c>
      <c r="CG35" s="419">
        <f t="shared" si="369"/>
        <v>0.22168654041630778</v>
      </c>
      <c r="CH35" s="419">
        <f t="shared" si="369"/>
        <v>0.22820146335683394</v>
      </c>
      <c r="CI35" s="419">
        <f t="shared" si="369"/>
        <v>0.19491540210898561</v>
      </c>
      <c r="CJ35" s="590">
        <f t="shared" si="369"/>
        <v>0.21493455730324101</v>
      </c>
      <c r="CK35" s="419">
        <f t="shared" si="369"/>
        <v>0.23825051016905788</v>
      </c>
      <c r="CL35" s="419">
        <f t="shared" si="369"/>
        <v>0.23625679942759109</v>
      </c>
      <c r="CM35" s="419">
        <f t="shared" si="369"/>
        <v>0.23143397038038468</v>
      </c>
      <c r="CN35" s="419">
        <f t="shared" si="369"/>
        <v>0.20340684139678517</v>
      </c>
      <c r="CO35" s="590">
        <f t="shared" si="369"/>
        <v>0.22495315786038667</v>
      </c>
      <c r="CP35" s="419">
        <f t="shared" si="369"/>
        <v>0.24765053691375127</v>
      </c>
      <c r="CQ35" s="419">
        <f t="shared" si="369"/>
        <v>0.1865033646395769</v>
      </c>
      <c r="CR35" s="419">
        <f t="shared" si="369"/>
        <v>0.18689870407411993</v>
      </c>
      <c r="CS35" s="419">
        <f t="shared" si="369"/>
        <v>0.1626980068402363</v>
      </c>
      <c r="CT35" s="590">
        <f t="shared" si="369"/>
        <v>0.18847199052668193</v>
      </c>
      <c r="CU35" s="419">
        <f t="shared" si="369"/>
        <v>0.17790576414028467</v>
      </c>
      <c r="CV35" s="419">
        <f t="shared" si="369"/>
        <v>0.16397143227224203</v>
      </c>
      <c r="CW35" s="419">
        <f t="shared" si="369"/>
        <v>0.19668962571413315</v>
      </c>
      <c r="CX35" s="419">
        <f t="shared" si="369"/>
        <v>0.19848350463470196</v>
      </c>
      <c r="CY35" s="590">
        <f t="shared" ref="CY35:DH35" si="370">-CY34/CY$11</f>
        <v>0.1852579525466537</v>
      </c>
      <c r="CZ35" s="419">
        <f t="shared" si="370"/>
        <v>0.25228913040046591</v>
      </c>
      <c r="DA35" s="419">
        <f t="shared" si="370"/>
        <v>0.26768350265585533</v>
      </c>
      <c r="DB35" s="419">
        <f t="shared" si="370"/>
        <v>0.30182916117698722</v>
      </c>
      <c r="DC35" s="419">
        <f t="shared" si="370"/>
        <v>0.25392079899572212</v>
      </c>
      <c r="DD35" s="590">
        <f t="shared" si="370"/>
        <v>0.26844116214250913</v>
      </c>
      <c r="DE35" s="419">
        <f t="shared" si="370"/>
        <v>0.30371352785145889</v>
      </c>
      <c r="DF35" s="419">
        <f t="shared" si="370"/>
        <v>0.38252656434474619</v>
      </c>
      <c r="DG35" s="419">
        <f t="shared" si="370"/>
        <v>0.18261376896149359</v>
      </c>
      <c r="DH35" s="419">
        <f t="shared" si="370"/>
        <v>0.14505597014925373</v>
      </c>
      <c r="DI35" s="590">
        <f>-DI34/DI$11</f>
        <v>0.24504249291784702</v>
      </c>
      <c r="DJ35" s="419">
        <f t="shared" ref="DJ35:DK35" si="371">-DJ34/DJ$11</f>
        <v>0.18001074691026331</v>
      </c>
      <c r="DK35" s="419">
        <f t="shared" si="371"/>
        <v>0.17066014669926649</v>
      </c>
      <c r="DL35" s="419">
        <f t="shared" ref="DL35" si="372">-DL34/DL$11</f>
        <v>0.15356151711378355</v>
      </c>
      <c r="DM35" s="420">
        <f>14.5%-1.9%</f>
        <v>0.126</v>
      </c>
      <c r="DN35" s="590">
        <f>-DN34/DN$11</f>
        <v>0.15466436109212137</v>
      </c>
      <c r="DO35" s="420">
        <f>DJ35-1%</f>
        <v>0.1700107469102633</v>
      </c>
      <c r="DP35" s="420">
        <f t="shared" ref="DP35:DR35" si="373">DK35-1%</f>
        <v>0.16066014669926648</v>
      </c>
      <c r="DQ35" s="420">
        <f t="shared" si="373"/>
        <v>0.14356151711378354</v>
      </c>
      <c r="DR35" s="420">
        <f t="shared" si="373"/>
        <v>0.11600000000000001</v>
      </c>
      <c r="DS35" s="590">
        <f>-DS34/DS$11</f>
        <v>0.14479319071822735</v>
      </c>
      <c r="DT35" s="420">
        <f>DO35-1%</f>
        <v>0.16001074691026329</v>
      </c>
      <c r="DU35" s="420">
        <f t="shared" ref="DU35" si="374">DP35-1%</f>
        <v>0.15066014669926647</v>
      </c>
      <c r="DV35" s="420">
        <f t="shared" ref="DV35" si="375">DQ35-1%</f>
        <v>0.13356151711378353</v>
      </c>
      <c r="DW35" s="420">
        <f t="shared" ref="DW35" si="376">DR35-1%</f>
        <v>0.10600000000000001</v>
      </c>
      <c r="DX35" s="590">
        <f>-DX34/DX$11</f>
        <v>0.13478263998159287</v>
      </c>
      <c r="DY35" s="420">
        <f>DT35-1%</f>
        <v>0.15001074691026328</v>
      </c>
      <c r="DZ35" s="420">
        <f t="shared" ref="DZ35" si="377">DU35-1%</f>
        <v>0.14066014669926646</v>
      </c>
      <c r="EA35" s="420">
        <f t="shared" ref="EA35" si="378">DV35-1%</f>
        <v>0.12356151711378353</v>
      </c>
      <c r="EB35" s="420">
        <f t="shared" ref="EB35" si="379">DW35-1%</f>
        <v>9.6000000000000016E-2</v>
      </c>
      <c r="EC35" s="590">
        <f>-EC34/EC$11</f>
        <v>0.12477419059940081</v>
      </c>
      <c r="ED35" s="419"/>
      <c r="EE35" s="139"/>
    </row>
    <row r="36" spans="1:135" s="296" customFormat="1" ht="12" customHeight="1">
      <c r="A36" s="940"/>
      <c r="B36" s="940"/>
      <c r="C36" s="309" t="s">
        <v>237</v>
      </c>
      <c r="D36" s="298"/>
      <c r="E36" s="298"/>
      <c r="F36" s="298"/>
      <c r="G36" s="298"/>
      <c r="H36" s="298"/>
      <c r="I36" s="299"/>
      <c r="J36" s="299"/>
      <c r="K36" s="299"/>
      <c r="L36" s="299"/>
      <c r="M36" s="298"/>
      <c r="N36" s="299"/>
      <c r="O36" s="299"/>
      <c r="P36" s="299"/>
      <c r="Q36" s="299"/>
      <c r="R36" s="298"/>
      <c r="S36" s="299"/>
      <c r="T36" s="299"/>
      <c r="U36" s="299"/>
      <c r="V36" s="299"/>
      <c r="W36" s="298"/>
      <c r="X36" s="299"/>
      <c r="Y36" s="299"/>
      <c r="Z36" s="299"/>
      <c r="AA36" s="299"/>
      <c r="AB36" s="298"/>
      <c r="AC36" s="299"/>
      <c r="AD36" s="299"/>
      <c r="AE36" s="299"/>
      <c r="AF36" s="299"/>
      <c r="AG36" s="298"/>
      <c r="AH36" s="299"/>
      <c r="AI36" s="299"/>
      <c r="AJ36" s="299"/>
      <c r="AK36" s="299"/>
      <c r="AL36" s="298"/>
      <c r="AM36" s="299"/>
      <c r="AN36" s="299"/>
      <c r="AO36" s="299"/>
      <c r="AP36" s="299"/>
      <c r="AQ36" s="298"/>
      <c r="AR36" s="299"/>
      <c r="AS36" s="299"/>
      <c r="AT36" s="299"/>
      <c r="AU36" s="299"/>
      <c r="AV36" s="298"/>
      <c r="AW36" s="299"/>
      <c r="AX36" s="299"/>
      <c r="AY36" s="299"/>
      <c r="AZ36" s="299"/>
      <c r="BA36" s="298"/>
      <c r="BB36" s="299"/>
      <c r="BC36" s="299"/>
      <c r="BD36" s="299"/>
      <c r="BE36" s="299"/>
      <c r="BF36" s="298"/>
      <c r="BG36" s="299"/>
      <c r="BH36" s="299"/>
      <c r="BI36" s="299"/>
      <c r="BJ36" s="299"/>
      <c r="BK36" s="298"/>
      <c r="BL36" s="299"/>
      <c r="BM36" s="299"/>
      <c r="BN36" s="299"/>
      <c r="BO36" s="299"/>
      <c r="BP36" s="298"/>
      <c r="BQ36" s="282">
        <v>-4.1890000000000001</v>
      </c>
      <c r="BR36" s="282">
        <v>-3.8220000000000001</v>
      </c>
      <c r="BS36" s="282">
        <v>-4.7590000000000003</v>
      </c>
      <c r="BT36" s="282">
        <v>-6.9180000000000001</v>
      </c>
      <c r="BU36" s="300">
        <f>SUM(BQ36:BT36)</f>
        <v>-19.687999999999999</v>
      </c>
      <c r="BV36" s="282">
        <v>-8.1189999999999998</v>
      </c>
      <c r="BW36" s="282">
        <v>-10.037000000000001</v>
      </c>
      <c r="BX36" s="282">
        <v>-11.002000000000001</v>
      </c>
      <c r="BY36" s="282">
        <v>-13.952</v>
      </c>
      <c r="BZ36" s="300">
        <f>SUM(BV36:BY36)</f>
        <v>-43.11</v>
      </c>
      <c r="CA36" s="282">
        <v>-14.773999999999999</v>
      </c>
      <c r="CB36" s="282">
        <v>-15.161</v>
      </c>
      <c r="CC36" s="282">
        <v>-18.039000000000001</v>
      </c>
      <c r="CD36" s="282">
        <v>-19.745000000000001</v>
      </c>
      <c r="CE36" s="300">
        <f>SUM(CA36:CD36)</f>
        <v>-67.719000000000008</v>
      </c>
      <c r="CF36" s="282">
        <v>-20.675000000000001</v>
      </c>
      <c r="CG36" s="282">
        <v>-25.923999999999999</v>
      </c>
      <c r="CH36" s="282">
        <v>-27.831</v>
      </c>
      <c r="CI36" s="282">
        <v>-33.014000000000003</v>
      </c>
      <c r="CJ36" s="300">
        <f>SUM(CF36:CI36)</f>
        <v>-107.44400000000002</v>
      </c>
      <c r="CK36" s="282">
        <v>-30.303000000000001</v>
      </c>
      <c r="CL36" s="282">
        <v>-34.921999999999997</v>
      </c>
      <c r="CM36" s="282">
        <v>-38.021999999999998</v>
      </c>
      <c r="CN36" s="282">
        <v>-50.518000000000001</v>
      </c>
      <c r="CO36" s="300">
        <f>SUM(CK36:CN36)</f>
        <v>-153.76499999999999</v>
      </c>
      <c r="CP36" s="282">
        <v>-44.841999999999999</v>
      </c>
      <c r="CQ36" s="282">
        <v>-83.307000000000002</v>
      </c>
      <c r="CR36" s="282">
        <v>-51.798999999999999</v>
      </c>
      <c r="CS36" s="282">
        <v>-65.394999999999996</v>
      </c>
      <c r="CT36" s="300">
        <f>SUM(CP36:CS36)</f>
        <v>-245.34300000000002</v>
      </c>
      <c r="CU36" s="282">
        <v>-67.102000000000004</v>
      </c>
      <c r="CV36" s="282">
        <v>-77.965999999999994</v>
      </c>
      <c r="CW36" s="282">
        <v>-128.72200000000001</v>
      </c>
      <c r="CX36" s="282">
        <v>-101.054</v>
      </c>
      <c r="CY36" s="300">
        <f>SUM(CU36:CX36)</f>
        <v>-374.84399999999994</v>
      </c>
      <c r="CZ36" s="282">
        <v>-108.08799999999999</v>
      </c>
      <c r="DA36" s="282">
        <v>-129.90100000000001</v>
      </c>
      <c r="DB36" s="282">
        <v>-255.125</v>
      </c>
      <c r="DC36" s="282">
        <v>-214.65100000000001</v>
      </c>
      <c r="DD36" s="300">
        <f>SUM(CZ36:DC36)</f>
        <v>-707.7650000000001</v>
      </c>
      <c r="DE36" s="282">
        <v>-123</v>
      </c>
      <c r="DF36" s="282">
        <v>-131</v>
      </c>
      <c r="DG36" s="282">
        <v>-137</v>
      </c>
      <c r="DH36" s="282">
        <v>-100</v>
      </c>
      <c r="DI36" s="300">
        <f>SUM(DE36:DH36)</f>
        <v>-491</v>
      </c>
      <c r="DJ36" s="282">
        <v>-124</v>
      </c>
      <c r="DK36" s="302">
        <v>-60</v>
      </c>
      <c r="DL36" s="302">
        <v>-114</v>
      </c>
      <c r="DM36" s="125">
        <f>-DM37*DM$11</f>
        <v>-104.4715286939154</v>
      </c>
      <c r="DN36" s="300">
        <f>SUM(DJ36:DM36)</f>
        <v>-402.47152869391539</v>
      </c>
      <c r="DO36" s="125">
        <f>-DO37*DO$11</f>
        <v>-144.147358591846</v>
      </c>
      <c r="DP36" s="125">
        <f>-DP37*DP$11</f>
        <v>-61.045042880140322</v>
      </c>
      <c r="DQ36" s="125">
        <f>-DQ37*DQ$11</f>
        <v>-125.61810540811801</v>
      </c>
      <c r="DR36" s="125">
        <f>-DR37*DR$11</f>
        <v>-111.62141167051531</v>
      </c>
      <c r="DS36" s="300">
        <f>SUM(DO36:DR36)</f>
        <v>-442.43191855061968</v>
      </c>
      <c r="DT36" s="125">
        <f>-DT37*DT$11</f>
        <v>-166.91897096682183</v>
      </c>
      <c r="DU36" s="125">
        <f>-DU37*DU$11</f>
        <v>-67.045163918869562</v>
      </c>
      <c r="DV36" s="125">
        <f>-DV37*DV$11</f>
        <v>-143.93484765370738</v>
      </c>
      <c r="DW36" s="125">
        <f>-DW37*DW$11</f>
        <v>-125.79240040208512</v>
      </c>
      <c r="DX36" s="300">
        <f>SUM(DT36:DW36)</f>
        <v>-503.69138294148388</v>
      </c>
      <c r="DY36" s="125">
        <f>-DY37*DY$11</f>
        <v>-190.20299092176705</v>
      </c>
      <c r="DZ36" s="125">
        <f>-DZ37*DZ$11</f>
        <v>-71.961140365422651</v>
      </c>
      <c r="EA36" s="125">
        <f>-EA37*EA$11</f>
        <v>-162.18654904501233</v>
      </c>
      <c r="EB36" s="125">
        <f>-EB37*EB$11</f>
        <v>-139.06615647902592</v>
      </c>
      <c r="EC36" s="300">
        <f>SUM(DY36:EB36)</f>
        <v>-563.41683681122799</v>
      </c>
      <c r="ED36" s="491"/>
      <c r="EE36" s="139"/>
    </row>
    <row r="37" spans="1:135" s="296" customFormat="1" ht="12" customHeight="1">
      <c r="A37" s="940"/>
      <c r="B37" s="940"/>
      <c r="C37" s="303" t="s">
        <v>210</v>
      </c>
      <c r="D37" s="298"/>
      <c r="E37" s="298"/>
      <c r="F37" s="298"/>
      <c r="G37" s="298"/>
      <c r="H37" s="298"/>
      <c r="I37" s="94"/>
      <c r="J37" s="94"/>
      <c r="K37" s="94"/>
      <c r="L37" s="94"/>
      <c r="M37" s="298"/>
      <c r="N37" s="94"/>
      <c r="O37" s="94"/>
      <c r="P37" s="94"/>
      <c r="Q37" s="94"/>
      <c r="R37" s="298"/>
      <c r="S37" s="94"/>
      <c r="T37" s="94"/>
      <c r="U37" s="94"/>
      <c r="V37" s="94"/>
      <c r="W37" s="298"/>
      <c r="X37" s="94"/>
      <c r="Y37" s="94"/>
      <c r="Z37" s="94"/>
      <c r="AA37" s="94"/>
      <c r="AB37" s="298"/>
      <c r="AC37" s="94"/>
      <c r="AD37" s="94"/>
      <c r="AE37" s="94"/>
      <c r="AF37" s="94"/>
      <c r="AG37" s="298"/>
      <c r="AH37" s="94"/>
      <c r="AI37" s="94"/>
      <c r="AJ37" s="94"/>
      <c r="AK37" s="94"/>
      <c r="AL37" s="298"/>
      <c r="AM37" s="94"/>
      <c r="AN37" s="94"/>
      <c r="AO37" s="94"/>
      <c r="AP37" s="94"/>
      <c r="AQ37" s="298"/>
      <c r="AR37" s="94"/>
      <c r="AS37" s="94"/>
      <c r="AT37" s="94"/>
      <c r="AU37" s="94"/>
      <c r="AV37" s="298"/>
      <c r="AW37" s="94"/>
      <c r="AX37" s="94"/>
      <c r="AY37" s="94"/>
      <c r="AZ37" s="94"/>
      <c r="BA37" s="298"/>
      <c r="BB37" s="94"/>
      <c r="BC37" s="94"/>
      <c r="BD37" s="94"/>
      <c r="BE37" s="94"/>
      <c r="BF37" s="298"/>
      <c r="BG37" s="741"/>
      <c r="BH37" s="741"/>
      <c r="BI37" s="741"/>
      <c r="BJ37" s="741"/>
      <c r="BK37" s="298"/>
      <c r="BL37" s="741"/>
      <c r="BM37" s="741"/>
      <c r="BN37" s="741"/>
      <c r="BO37" s="741"/>
      <c r="BP37" s="298"/>
      <c r="BQ37" s="419">
        <f t="shared" ref="BQ37:BZ37" si="380">-BQ36/BQ$11</f>
        <v>0.11216129377744458</v>
      </c>
      <c r="BR37" s="419">
        <f t="shared" si="380"/>
        <v>8.5073231536304139E-2</v>
      </c>
      <c r="BS37" s="419">
        <f t="shared" si="380"/>
        <v>9.0156480885083171E-2</v>
      </c>
      <c r="BT37" s="419">
        <f t="shared" si="380"/>
        <v>9.8584925826172454E-2</v>
      </c>
      <c r="BU37" s="590">
        <f t="shared" si="380"/>
        <v>9.5929991765456815E-2</v>
      </c>
      <c r="BV37" s="419">
        <f t="shared" si="380"/>
        <v>0.11164434421495557</v>
      </c>
      <c r="BW37" s="419">
        <f t="shared" si="380"/>
        <v>0.11583782473715191</v>
      </c>
      <c r="BX37" s="419">
        <f t="shared" si="380"/>
        <v>0.11048625198336982</v>
      </c>
      <c r="BY37" s="419">
        <f t="shared" si="380"/>
        <v>0.10700781543606147</v>
      </c>
      <c r="BZ37" s="590">
        <f t="shared" si="380"/>
        <v>0.11072868774561426</v>
      </c>
      <c r="CA37" s="419">
        <f t="shared" ref="CA37:CX37" si="381">-CA36/CA$11</f>
        <v>0.11598458144592122</v>
      </c>
      <c r="CB37" s="419">
        <f t="shared" si="381"/>
        <v>9.9970327387821037E-2</v>
      </c>
      <c r="CC37" s="419">
        <f t="shared" si="381"/>
        <v>0.10521066629339305</v>
      </c>
      <c r="CD37" s="419">
        <f t="shared" si="381"/>
        <v>8.8616514222625162E-2</v>
      </c>
      <c r="CE37" s="590">
        <f t="shared" si="381"/>
        <v>0.10057715385620761</v>
      </c>
      <c r="CF37" s="419">
        <f t="shared" si="381"/>
        <v>9.6458897079406566E-2</v>
      </c>
      <c r="CG37" s="419">
        <f t="shared" si="381"/>
        <v>0.10582822712001404</v>
      </c>
      <c r="CH37" s="419">
        <f t="shared" si="381"/>
        <v>0.10305335031696192</v>
      </c>
      <c r="CI37" s="419">
        <f t="shared" si="381"/>
        <v>9.6009445649708328E-2</v>
      </c>
      <c r="CJ37" s="590">
        <f t="shared" si="381"/>
        <v>0.10011283705527901</v>
      </c>
      <c r="CK37" s="419">
        <f t="shared" si="381"/>
        <v>9.4554452356138574E-2</v>
      </c>
      <c r="CL37" s="419">
        <f t="shared" si="381"/>
        <v>9.6475209887866425E-2</v>
      </c>
      <c r="CM37" s="419">
        <f t="shared" si="381"/>
        <v>9.7354513611503712E-2</v>
      </c>
      <c r="CN37" s="419">
        <f t="shared" si="381"/>
        <v>0.10000395914165809</v>
      </c>
      <c r="CO37" s="590">
        <f t="shared" si="381"/>
        <v>9.7432284039835934E-2</v>
      </c>
      <c r="CP37" s="419">
        <f t="shared" si="381"/>
        <v>9.5408307641898643E-2</v>
      </c>
      <c r="CQ37" s="419">
        <f t="shared" si="381"/>
        <v>0.11662077355212706</v>
      </c>
      <c r="CR37" s="419">
        <f t="shared" si="381"/>
        <v>6.7498908659703802E-2</v>
      </c>
      <c r="CS37" s="419">
        <f t="shared" si="381"/>
        <v>6.6883560522999888E-2</v>
      </c>
      <c r="CT37" s="590">
        <f t="shared" si="381"/>
        <v>8.37493612371569E-2</v>
      </c>
      <c r="CU37" s="419">
        <f t="shared" si="381"/>
        <v>6.7872557141224324E-2</v>
      </c>
      <c r="CV37" s="419">
        <f t="shared" si="381"/>
        <v>6.9647012582127743E-2</v>
      </c>
      <c r="CW37" s="419">
        <f t="shared" si="381"/>
        <v>0.11454784914659975</v>
      </c>
      <c r="CX37" s="419">
        <f t="shared" si="381"/>
        <v>7.3226262731662634E-2</v>
      </c>
      <c r="CY37" s="590">
        <f t="shared" ref="CY37:DH37" si="382">-CY36/CY$11</f>
        <v>8.1278340000208144E-2</v>
      </c>
      <c r="CZ37" s="419">
        <f t="shared" si="382"/>
        <v>8.9802205507870811E-2</v>
      </c>
      <c r="DA37" s="419">
        <f t="shared" si="382"/>
        <v>0.1003047728180019</v>
      </c>
      <c r="DB37" s="419">
        <f t="shared" si="382"/>
        <v>0.18674059434929</v>
      </c>
      <c r="DC37" s="419">
        <f t="shared" si="382"/>
        <v>0.12371972439996358</v>
      </c>
      <c r="DD37" s="590">
        <f t="shared" si="382"/>
        <v>0.12638967660643188</v>
      </c>
      <c r="DE37" s="419">
        <f t="shared" si="382"/>
        <v>8.1564986737400536E-2</v>
      </c>
      <c r="DF37" s="419">
        <f t="shared" si="382"/>
        <v>7.7331759149940962E-2</v>
      </c>
      <c r="DG37" s="419">
        <f t="shared" si="382"/>
        <v>7.9929988331388563E-2</v>
      </c>
      <c r="DH37" s="419">
        <f t="shared" si="382"/>
        <v>4.6641791044776122E-2</v>
      </c>
      <c r="DI37" s="590">
        <f>-DI36/DI$11</f>
        <v>6.9546742209631723E-2</v>
      </c>
      <c r="DJ37" s="419">
        <f t="shared" ref="DJ37:DK37" si="383">-DJ36/DJ$11</f>
        <v>6.6630843632455666E-2</v>
      </c>
      <c r="DK37" s="419">
        <f t="shared" si="383"/>
        <v>2.9339853300733496E-2</v>
      </c>
      <c r="DL37" s="419">
        <f t="shared" ref="DL37" si="384">-DL36/DL$11</f>
        <v>5.2728954671600367E-2</v>
      </c>
      <c r="DM37" s="420">
        <f>DH37-0.8%</f>
        <v>3.8641791044776122E-2</v>
      </c>
      <c r="DN37" s="590">
        <f>-DN36/DN$11</f>
        <v>4.5883536016817564E-2</v>
      </c>
      <c r="DO37" s="420">
        <f>DJ37-0.5%</f>
        <v>6.1630843632455669E-2</v>
      </c>
      <c r="DP37" s="420">
        <f t="shared" ref="DP37:DR37" si="385">DK37-0.5%</f>
        <v>2.4339853300733495E-2</v>
      </c>
      <c r="DQ37" s="420">
        <f t="shared" si="385"/>
        <v>4.772895467160037E-2</v>
      </c>
      <c r="DR37" s="420">
        <f t="shared" si="385"/>
        <v>3.3641791044776125E-2</v>
      </c>
      <c r="DS37" s="590">
        <f>-DS36/DS$11</f>
        <v>4.0978225176869248E-2</v>
      </c>
      <c r="DT37" s="420">
        <f>DO37-0.2%</f>
        <v>5.9630843632455667E-2</v>
      </c>
      <c r="DU37" s="420">
        <f t="shared" ref="DU37:DW37" si="386">DP37-0.2%</f>
        <v>2.2339853300733493E-2</v>
      </c>
      <c r="DV37" s="420">
        <f t="shared" si="386"/>
        <v>4.5728954671600368E-2</v>
      </c>
      <c r="DW37" s="420">
        <f t="shared" si="386"/>
        <v>3.1641791044776123E-2</v>
      </c>
      <c r="DX37" s="590">
        <f>-DX36/DX$11</f>
        <v>3.8975051944453082E-2</v>
      </c>
      <c r="DY37" s="420">
        <f>DT37-0.2%</f>
        <v>5.7630843632455665E-2</v>
      </c>
      <c r="DZ37" s="420">
        <f t="shared" ref="DZ37" si="387">DU37-0.2%</f>
        <v>2.0339853300733492E-2</v>
      </c>
      <c r="EA37" s="420">
        <f t="shared" ref="EA37" si="388">DV37-0.2%</f>
        <v>4.3728954671600366E-2</v>
      </c>
      <c r="EB37" s="420">
        <f t="shared" ref="EB37" si="389">DW37-0.2%</f>
        <v>2.9641791044776121E-2</v>
      </c>
      <c r="EC37" s="590">
        <f>-EC36/EC$11</f>
        <v>3.6972596649377604E-2</v>
      </c>
      <c r="ED37" s="419"/>
      <c r="EE37" s="139"/>
    </row>
    <row r="38" spans="1:135" s="296" customFormat="1" ht="12" customHeight="1">
      <c r="A38" s="940"/>
      <c r="B38" s="940"/>
      <c r="C38" s="309" t="s">
        <v>238</v>
      </c>
      <c r="D38" s="298"/>
      <c r="E38" s="298"/>
      <c r="F38" s="298"/>
      <c r="G38" s="298"/>
      <c r="H38" s="298"/>
      <c r="I38" s="299"/>
      <c r="J38" s="299"/>
      <c r="K38" s="299"/>
      <c r="L38" s="299"/>
      <c r="M38" s="298"/>
      <c r="N38" s="299"/>
      <c r="O38" s="299"/>
      <c r="P38" s="299"/>
      <c r="Q38" s="299"/>
      <c r="R38" s="298"/>
      <c r="S38" s="299"/>
      <c r="T38" s="299"/>
      <c r="U38" s="299"/>
      <c r="V38" s="299"/>
      <c r="W38" s="298"/>
      <c r="X38" s="299"/>
      <c r="Y38" s="299"/>
      <c r="Z38" s="299"/>
      <c r="AA38" s="299"/>
      <c r="AB38" s="298"/>
      <c r="AC38" s="299"/>
      <c r="AD38" s="299"/>
      <c r="AE38" s="299"/>
      <c r="AF38" s="299"/>
      <c r="AG38" s="298"/>
      <c r="AH38" s="299"/>
      <c r="AI38" s="299"/>
      <c r="AJ38" s="299"/>
      <c r="AK38" s="299"/>
      <c r="AL38" s="298"/>
      <c r="AM38" s="299"/>
      <c r="AN38" s="299"/>
      <c r="AO38" s="299"/>
      <c r="AP38" s="299"/>
      <c r="AQ38" s="298"/>
      <c r="AR38" s="299"/>
      <c r="AS38" s="299"/>
      <c r="AT38" s="299"/>
      <c r="AU38" s="299"/>
      <c r="AV38" s="298"/>
      <c r="AW38" s="299"/>
      <c r="AX38" s="299"/>
      <c r="AY38" s="299"/>
      <c r="AZ38" s="299"/>
      <c r="BA38" s="298"/>
      <c r="BB38" s="299"/>
      <c r="BC38" s="299"/>
      <c r="BD38" s="299"/>
      <c r="BE38" s="299"/>
      <c r="BF38" s="298"/>
      <c r="BG38" s="299"/>
      <c r="BH38" s="299"/>
      <c r="BI38" s="299"/>
      <c r="BJ38" s="299"/>
      <c r="BK38" s="298"/>
      <c r="BL38" s="299"/>
      <c r="BM38" s="299"/>
      <c r="BN38" s="299"/>
      <c r="BO38" s="299"/>
      <c r="BP38" s="298"/>
      <c r="BQ38" s="282">
        <v>0</v>
      </c>
      <c r="BR38" s="282">
        <v>0</v>
      </c>
      <c r="BS38" s="282">
        <v>0</v>
      </c>
      <c r="BT38" s="282">
        <v>0</v>
      </c>
      <c r="BU38" s="300">
        <f>SUM(BQ38:BT38)</f>
        <v>0</v>
      </c>
      <c r="BV38" s="282">
        <v>0</v>
      </c>
      <c r="BW38" s="282">
        <v>0</v>
      </c>
      <c r="BX38" s="282">
        <v>0</v>
      </c>
      <c r="BY38" s="282">
        <v>0</v>
      </c>
      <c r="BZ38" s="300">
        <f>SUM(BV38:BY38)</f>
        <v>0</v>
      </c>
      <c r="CA38" s="282">
        <v>0</v>
      </c>
      <c r="CB38" s="282">
        <v>0</v>
      </c>
      <c r="CC38" s="282">
        <v>0</v>
      </c>
      <c r="CD38" s="282">
        <v>0</v>
      </c>
      <c r="CE38" s="300">
        <f>SUM(CA38:CD38)</f>
        <v>0</v>
      </c>
      <c r="CF38" s="282">
        <v>0</v>
      </c>
      <c r="CG38" s="282">
        <v>0</v>
      </c>
      <c r="CH38" s="282">
        <v>0</v>
      </c>
      <c r="CI38" s="282">
        <v>0</v>
      </c>
      <c r="CJ38" s="300">
        <f>SUM(CF38:CI38)</f>
        <v>0</v>
      </c>
      <c r="CK38" s="282">
        <v>-4.4009999999999998</v>
      </c>
      <c r="CL38" s="282">
        <v>-4.7329999999999997</v>
      </c>
      <c r="CM38" s="282">
        <v>-7.399</v>
      </c>
      <c r="CN38" s="282">
        <v>-8.6359999999999992</v>
      </c>
      <c r="CO38" s="300">
        <f>SUM(CK38:CN38)</f>
        <v>-25.169</v>
      </c>
      <c r="CP38" s="282">
        <v>-14.083</v>
      </c>
      <c r="CQ38" s="282">
        <v>-13.366</v>
      </c>
      <c r="CR38" s="282">
        <v>-11.753</v>
      </c>
      <c r="CS38" s="282">
        <v>-12.647</v>
      </c>
      <c r="CT38" s="300">
        <f>SUM(CP38:CS38)</f>
        <v>-51.848999999999997</v>
      </c>
      <c r="CU38" s="282">
        <v>-10.606</v>
      </c>
      <c r="CV38" s="282">
        <v>-17.986000000000001</v>
      </c>
      <c r="CW38" s="282">
        <v>-25.311</v>
      </c>
      <c r="CX38" s="282">
        <v>-27.814</v>
      </c>
      <c r="CY38" s="300">
        <f>SUM(CU38:CX38)</f>
        <v>-81.716999999999999</v>
      </c>
      <c r="CZ38" s="282">
        <v>-20.492999999999999</v>
      </c>
      <c r="DA38" s="282">
        <v>-42.38</v>
      </c>
      <c r="DB38" s="282">
        <v>-37.738</v>
      </c>
      <c r="DC38" s="282">
        <v>-34.317999999999998</v>
      </c>
      <c r="DD38" s="300">
        <f>SUM(CZ38:DC38)</f>
        <v>-134.929</v>
      </c>
      <c r="DE38" s="282">
        <v>-42</v>
      </c>
      <c r="DF38" s="282">
        <v>-31</v>
      </c>
      <c r="DG38" s="282">
        <v>-34</v>
      </c>
      <c r="DH38" s="282">
        <v>-45</v>
      </c>
      <c r="DI38" s="300">
        <f>SUM(DE38:DH38)</f>
        <v>-152</v>
      </c>
      <c r="DJ38" s="282">
        <v>-51</v>
      </c>
      <c r="DK38" s="302">
        <v>-42</v>
      </c>
      <c r="DL38" s="302">
        <v>-58</v>
      </c>
      <c r="DM38" s="125">
        <f>-DM39*DM$11</f>
        <v>-72.529219812519855</v>
      </c>
      <c r="DN38" s="300">
        <f>SUM(DJ38:DM38)</f>
        <v>-223.52921981251984</v>
      </c>
      <c r="DO38" s="125">
        <f>-DO39*DO$11</f>
        <v>-62.745253748384734</v>
      </c>
      <c r="DP38" s="125">
        <f>-DP39*DP$11</f>
        <v>-67.282907552194345</v>
      </c>
      <c r="DQ38" s="125">
        <f>-DQ39*DQ$11</f>
        <v>-70.606164489493594</v>
      </c>
      <c r="DR38" s="125">
        <f>-DR39*DR$11</f>
        <v>-89.010390357859521</v>
      </c>
      <c r="DS38" s="300">
        <f>SUM(DO38:DR38)</f>
        <v>-289.64471614793223</v>
      </c>
      <c r="DT38" s="125">
        <f>-DT39*DT$11</f>
        <v>-75.094313088686036</v>
      </c>
      <c r="DU38" s="125">
        <f>-DU39*DU$11</f>
        <v>-80.511782889416992</v>
      </c>
      <c r="DV38" s="125">
        <f>-DV39*DV$11</f>
        <v>-84.439758500546475</v>
      </c>
      <c r="DW38" s="125">
        <f>-DW39*DW$11</f>
        <v>-106.65117640080436</v>
      </c>
      <c r="DX38" s="300">
        <f>SUM(DT38:DW38)</f>
        <v>-346.69703087945391</v>
      </c>
      <c r="DY38" s="125">
        <f>-DY39*DY$11</f>
        <v>-88.539011459953187</v>
      </c>
      <c r="DZ38" s="125">
        <f>-DZ39*DZ$11</f>
        <v>-94.912305877407377</v>
      </c>
      <c r="EA38" s="125">
        <f>-EA39*EA$11</f>
        <v>-99.498845429657891</v>
      </c>
      <c r="EB38" s="125">
        <f>-EB39*EB$11</f>
        <v>-125.86045986975775</v>
      </c>
      <c r="EC38" s="300">
        <f>SUM(DY38:EB38)</f>
        <v>-408.8106226367762</v>
      </c>
      <c r="ED38" s="491"/>
      <c r="EE38" s="139"/>
    </row>
    <row r="39" spans="1:135" s="296" customFormat="1" ht="12" customHeight="1">
      <c r="A39" s="940"/>
      <c r="B39" s="940"/>
      <c r="C39" s="303" t="s">
        <v>210</v>
      </c>
      <c r="D39" s="298"/>
      <c r="E39" s="298"/>
      <c r="F39" s="298"/>
      <c r="G39" s="298"/>
      <c r="H39" s="298"/>
      <c r="I39" s="94"/>
      <c r="J39" s="94"/>
      <c r="K39" s="94"/>
      <c r="L39" s="94"/>
      <c r="M39" s="298"/>
      <c r="N39" s="94"/>
      <c r="O39" s="94"/>
      <c r="P39" s="94"/>
      <c r="Q39" s="94"/>
      <c r="R39" s="298"/>
      <c r="S39" s="94"/>
      <c r="T39" s="94"/>
      <c r="U39" s="94"/>
      <c r="V39" s="94"/>
      <c r="W39" s="298"/>
      <c r="X39" s="94"/>
      <c r="Y39" s="94"/>
      <c r="Z39" s="94"/>
      <c r="AA39" s="94"/>
      <c r="AB39" s="298"/>
      <c r="AC39" s="94"/>
      <c r="AD39" s="94"/>
      <c r="AE39" s="94"/>
      <c r="AF39" s="94"/>
      <c r="AG39" s="298"/>
      <c r="AH39" s="94"/>
      <c r="AI39" s="94"/>
      <c r="AJ39" s="94"/>
      <c r="AK39" s="94"/>
      <c r="AL39" s="298"/>
      <c r="AM39" s="94"/>
      <c r="AN39" s="94"/>
      <c r="AO39" s="94"/>
      <c r="AP39" s="94"/>
      <c r="AQ39" s="298"/>
      <c r="AR39" s="94"/>
      <c r="AS39" s="94"/>
      <c r="AT39" s="94"/>
      <c r="AU39" s="94"/>
      <c r="AV39" s="298"/>
      <c r="AW39" s="94"/>
      <c r="AX39" s="94"/>
      <c r="AY39" s="94"/>
      <c r="AZ39" s="94"/>
      <c r="BA39" s="298"/>
      <c r="BB39" s="94"/>
      <c r="BC39" s="94"/>
      <c r="BD39" s="94"/>
      <c r="BE39" s="94"/>
      <c r="BF39" s="298"/>
      <c r="BG39" s="741"/>
      <c r="BH39" s="741"/>
      <c r="BI39" s="741"/>
      <c r="BJ39" s="741"/>
      <c r="BK39" s="298"/>
      <c r="BL39" s="741"/>
      <c r="BM39" s="741"/>
      <c r="BN39" s="741"/>
      <c r="BO39" s="741"/>
      <c r="BP39" s="298"/>
      <c r="BQ39" s="419">
        <f t="shared" ref="BQ39:BZ43" si="390">-BQ38/BQ$11</f>
        <v>0</v>
      </c>
      <c r="BR39" s="419">
        <f t="shared" si="390"/>
        <v>0</v>
      </c>
      <c r="BS39" s="419">
        <f t="shared" si="390"/>
        <v>0</v>
      </c>
      <c r="BT39" s="419">
        <f t="shared" si="390"/>
        <v>0</v>
      </c>
      <c r="BU39" s="590">
        <f t="shared" si="390"/>
        <v>0</v>
      </c>
      <c r="BV39" s="419">
        <f t="shared" si="390"/>
        <v>0</v>
      </c>
      <c r="BW39" s="419">
        <f t="shared" si="390"/>
        <v>0</v>
      </c>
      <c r="BX39" s="419">
        <f t="shared" si="390"/>
        <v>0</v>
      </c>
      <c r="BY39" s="419">
        <f t="shared" si="390"/>
        <v>0</v>
      </c>
      <c r="BZ39" s="590">
        <f t="shared" si="390"/>
        <v>0</v>
      </c>
      <c r="CA39" s="419">
        <f t="shared" ref="CA39:CX43" si="391">-CA38/CA$11</f>
        <v>0</v>
      </c>
      <c r="CB39" s="419">
        <f t="shared" si="391"/>
        <v>0</v>
      </c>
      <c r="CC39" s="419">
        <f t="shared" si="391"/>
        <v>0</v>
      </c>
      <c r="CD39" s="419">
        <f t="shared" si="391"/>
        <v>0</v>
      </c>
      <c r="CE39" s="590">
        <f t="shared" si="391"/>
        <v>0</v>
      </c>
      <c r="CF39" s="419">
        <f t="shared" si="391"/>
        <v>0</v>
      </c>
      <c r="CG39" s="419">
        <f t="shared" si="391"/>
        <v>0</v>
      </c>
      <c r="CH39" s="419">
        <f t="shared" si="391"/>
        <v>0</v>
      </c>
      <c r="CI39" s="419">
        <f t="shared" si="391"/>
        <v>0</v>
      </c>
      <c r="CJ39" s="590">
        <f>-CJ38/CJ$11</f>
        <v>0</v>
      </c>
      <c r="CK39" s="419">
        <f t="shared" si="391"/>
        <v>1.3732440511479585E-2</v>
      </c>
      <c r="CL39" s="419">
        <f t="shared" si="391"/>
        <v>1.3075344149798745E-2</v>
      </c>
      <c r="CM39" s="419">
        <f t="shared" si="391"/>
        <v>1.8944980437944244E-2</v>
      </c>
      <c r="CN39" s="419">
        <f t="shared" si="391"/>
        <v>1.7095573679626254E-2</v>
      </c>
      <c r="CO39" s="590">
        <f t="shared" si="391"/>
        <v>1.5948188189761198E-2</v>
      </c>
      <c r="CP39" s="419">
        <f t="shared" si="391"/>
        <v>2.9963766034540353E-2</v>
      </c>
      <c r="CQ39" s="419">
        <f t="shared" si="391"/>
        <v>1.8710951772332819E-2</v>
      </c>
      <c r="CR39" s="419">
        <f t="shared" si="391"/>
        <v>1.5315250747649547E-2</v>
      </c>
      <c r="CS39" s="419">
        <f t="shared" si="391"/>
        <v>1.29348786594446E-2</v>
      </c>
      <c r="CT39" s="590">
        <f t="shared" si="391"/>
        <v>1.7698979105926591E-2</v>
      </c>
      <c r="CU39" s="419">
        <f t="shared" si="391"/>
        <v>1.0727792629725272E-2</v>
      </c>
      <c r="CV39" s="419">
        <f t="shared" si="391"/>
        <v>1.6066890289384472E-2</v>
      </c>
      <c r="CW39" s="419">
        <f t="shared" si="391"/>
        <v>2.252389342730525E-2</v>
      </c>
      <c r="CX39" s="419">
        <f t="shared" si="391"/>
        <v>2.0154721946864691E-2</v>
      </c>
      <c r="CY39" s="590">
        <f t="shared" ref="CY39:DH39" si="392">-CY38/CY$11</f>
        <v>1.7718896687147215E-2</v>
      </c>
      <c r="CZ39" s="419">
        <f t="shared" si="392"/>
        <v>1.7026095380364117E-2</v>
      </c>
      <c r="DA39" s="419">
        <f t="shared" si="392"/>
        <v>3.2724276734027613E-2</v>
      </c>
      <c r="DB39" s="419">
        <f t="shared" si="392"/>
        <v>2.7622602839994143E-2</v>
      </c>
      <c r="DC39" s="419">
        <f t="shared" si="392"/>
        <v>1.9780077903005108E-2</v>
      </c>
      <c r="DD39" s="590">
        <f t="shared" si="392"/>
        <v>2.4095049451200955E-2</v>
      </c>
      <c r="DE39" s="419">
        <f t="shared" si="392"/>
        <v>2.7851458885941646E-2</v>
      </c>
      <c r="DF39" s="419">
        <f t="shared" si="392"/>
        <v>1.8299881936245571E-2</v>
      </c>
      <c r="DG39" s="419">
        <f t="shared" si="392"/>
        <v>1.9836639439906652E-2</v>
      </c>
      <c r="DH39" s="419">
        <f t="shared" si="392"/>
        <v>2.0988805970149255E-2</v>
      </c>
      <c r="DI39" s="590">
        <f>-DI38/DI$11</f>
        <v>2.1529745042492918E-2</v>
      </c>
      <c r="DJ39" s="419">
        <f t="shared" ref="DJ39:DK39" si="393">-DJ38/DJ$11</f>
        <v>2.7404621171413217E-2</v>
      </c>
      <c r="DK39" s="419">
        <f t="shared" si="393"/>
        <v>2.0537897310513448E-2</v>
      </c>
      <c r="DL39" s="419">
        <f t="shared" ref="DL39" si="394">-DL38/DL$11</f>
        <v>2.6827012025901941E-2</v>
      </c>
      <c r="DM39" s="361">
        <f>DL39</f>
        <v>2.6827012025901941E-2</v>
      </c>
      <c r="DN39" s="590">
        <f>-DN38/DN$11</f>
        <v>2.5483320624845828E-2</v>
      </c>
      <c r="DO39" s="361">
        <f>DM39</f>
        <v>2.6827012025901941E-2</v>
      </c>
      <c r="DP39" s="361">
        <f>DO39</f>
        <v>2.6827012025901941E-2</v>
      </c>
      <c r="DQ39" s="361">
        <f t="shared" ref="DQ39:DR39" si="395">DP39</f>
        <v>2.6827012025901941E-2</v>
      </c>
      <c r="DR39" s="361">
        <f t="shared" si="395"/>
        <v>2.6827012025901941E-2</v>
      </c>
      <c r="DS39" s="590">
        <f>-DS38/DS$11</f>
        <v>2.6827012025901945E-2</v>
      </c>
      <c r="DT39" s="361">
        <f t="shared" ref="DT39" si="396">DR39</f>
        <v>2.6827012025901941E-2</v>
      </c>
      <c r="DU39" s="361">
        <f t="shared" ref="DU39:EB39" si="397">DT39</f>
        <v>2.6827012025901941E-2</v>
      </c>
      <c r="DV39" s="361">
        <f t="shared" si="397"/>
        <v>2.6827012025901941E-2</v>
      </c>
      <c r="DW39" s="361">
        <f t="shared" si="397"/>
        <v>2.6827012025901941E-2</v>
      </c>
      <c r="DX39" s="590">
        <f t="shared" ref="DX39" si="398">-DX38/DX$11</f>
        <v>2.6827012025901945E-2</v>
      </c>
      <c r="DY39" s="361">
        <f t="shared" ref="DY39" si="399">DW39</f>
        <v>2.6827012025901941E-2</v>
      </c>
      <c r="DZ39" s="361">
        <f t="shared" ref="DZ39" si="400">DY39</f>
        <v>2.6827012025901941E-2</v>
      </c>
      <c r="EA39" s="361">
        <f t="shared" si="397"/>
        <v>2.6827012025901941E-2</v>
      </c>
      <c r="EB39" s="361">
        <f t="shared" si="397"/>
        <v>2.6827012025901941E-2</v>
      </c>
      <c r="EC39" s="590">
        <f t="shared" ref="EC39" si="401">-EC38/EC$11</f>
        <v>2.6827012025901941E-2</v>
      </c>
      <c r="ED39" s="419"/>
      <c r="EE39" s="139"/>
    </row>
    <row r="40" spans="1:135" s="296" customFormat="1" ht="12" customHeight="1">
      <c r="A40" s="940"/>
      <c r="B40" s="940"/>
      <c r="C40" s="309" t="s">
        <v>416</v>
      </c>
      <c r="D40" s="298"/>
      <c r="E40" s="298"/>
      <c r="F40" s="298"/>
      <c r="G40" s="298"/>
      <c r="H40" s="298"/>
      <c r="I40" s="299"/>
      <c r="J40" s="299"/>
      <c r="K40" s="299"/>
      <c r="L40" s="299"/>
      <c r="M40" s="298"/>
      <c r="N40" s="299"/>
      <c r="O40" s="299"/>
      <c r="P40" s="299"/>
      <c r="Q40" s="299"/>
      <c r="R40" s="298"/>
      <c r="S40" s="299"/>
      <c r="T40" s="299"/>
      <c r="U40" s="299"/>
      <c r="V40" s="299"/>
      <c r="W40" s="298"/>
      <c r="X40" s="299"/>
      <c r="Y40" s="299"/>
      <c r="Z40" s="299"/>
      <c r="AA40" s="299"/>
      <c r="AB40" s="298"/>
      <c r="AC40" s="299"/>
      <c r="AD40" s="299"/>
      <c r="AE40" s="299"/>
      <c r="AF40" s="299"/>
      <c r="AG40" s="298"/>
      <c r="AH40" s="299"/>
      <c r="AI40" s="299"/>
      <c r="AJ40" s="299"/>
      <c r="AK40" s="299"/>
      <c r="AL40" s="298"/>
      <c r="AM40" s="299"/>
      <c r="AN40" s="299"/>
      <c r="AO40" s="299"/>
      <c r="AP40" s="299"/>
      <c r="AQ40" s="298"/>
      <c r="AR40" s="299"/>
      <c r="AS40" s="299"/>
      <c r="AT40" s="299"/>
      <c r="AU40" s="299"/>
      <c r="AV40" s="298"/>
      <c r="AW40" s="299"/>
      <c r="AX40" s="299"/>
      <c r="AY40" s="299"/>
      <c r="AZ40" s="299"/>
      <c r="BA40" s="298"/>
      <c r="BB40" s="299"/>
      <c r="BC40" s="299"/>
      <c r="BD40" s="299"/>
      <c r="BE40" s="299"/>
      <c r="BF40" s="298"/>
      <c r="BG40" s="299"/>
      <c r="BH40" s="299"/>
      <c r="BI40" s="299"/>
      <c r="BJ40" s="299"/>
      <c r="BK40" s="298"/>
      <c r="BL40" s="299"/>
      <c r="BM40" s="299"/>
      <c r="BN40" s="299"/>
      <c r="BO40" s="299"/>
      <c r="BP40" s="298"/>
      <c r="BQ40" s="282">
        <v>0</v>
      </c>
      <c r="BR40" s="282">
        <v>0</v>
      </c>
      <c r="BS40" s="282">
        <v>0</v>
      </c>
      <c r="BT40" s="282">
        <v>0</v>
      </c>
      <c r="BU40" s="300">
        <f>SUM(BQ40:BT40)</f>
        <v>0</v>
      </c>
      <c r="BV40" s="282">
        <v>0</v>
      </c>
      <c r="BW40" s="282">
        <v>0</v>
      </c>
      <c r="BX40" s="282">
        <v>0</v>
      </c>
      <c r="BY40" s="282">
        <v>0</v>
      </c>
      <c r="BZ40" s="300">
        <f>SUM(BV40:BY40)</f>
        <v>0</v>
      </c>
      <c r="CA40" s="282">
        <v>0</v>
      </c>
      <c r="CB40" s="282">
        <v>0</v>
      </c>
      <c r="CC40" s="282">
        <v>0</v>
      </c>
      <c r="CD40" s="282">
        <v>0</v>
      </c>
      <c r="CE40" s="300">
        <f>SUM(CA40:CD40)</f>
        <v>0</v>
      </c>
      <c r="CF40" s="282">
        <v>0</v>
      </c>
      <c r="CG40" s="282">
        <v>0</v>
      </c>
      <c r="CH40" s="282">
        <v>0</v>
      </c>
      <c r="CI40" s="282">
        <v>0</v>
      </c>
      <c r="CJ40" s="300">
        <f>SUM(CF40:CI40)</f>
        <v>0</v>
      </c>
      <c r="CK40" s="282">
        <v>0</v>
      </c>
      <c r="CL40" s="282">
        <v>0</v>
      </c>
      <c r="CM40" s="282">
        <v>0</v>
      </c>
      <c r="CN40" s="282">
        <v>0</v>
      </c>
      <c r="CO40" s="300">
        <f>SUM(CK40:CN40)</f>
        <v>0</v>
      </c>
      <c r="CP40" s="282">
        <v>0</v>
      </c>
      <c r="CQ40" s="282">
        <v>0</v>
      </c>
      <c r="CR40" s="282">
        <v>0</v>
      </c>
      <c r="CS40" s="282">
        <v>0</v>
      </c>
      <c r="CT40" s="300">
        <f>SUM(CP40:CS40)</f>
        <v>0</v>
      </c>
      <c r="CU40" s="282">
        <v>0</v>
      </c>
      <c r="CV40" s="282">
        <v>0</v>
      </c>
      <c r="CW40" s="282">
        <v>0</v>
      </c>
      <c r="CX40" s="282">
        <v>0</v>
      </c>
      <c r="CY40" s="300">
        <f>SUM(CU40:CX40)</f>
        <v>0</v>
      </c>
      <c r="CZ40" s="282">
        <v>0</v>
      </c>
      <c r="DA40" s="282">
        <v>0</v>
      </c>
      <c r="DB40" s="282">
        <v>0</v>
      </c>
      <c r="DC40" s="282">
        <v>0</v>
      </c>
      <c r="DD40" s="300">
        <f>SUM(CZ40:DC40)</f>
        <v>0</v>
      </c>
      <c r="DE40" s="282">
        <v>0</v>
      </c>
      <c r="DF40" s="282">
        <v>-1340</v>
      </c>
      <c r="DG40" s="282">
        <v>0</v>
      </c>
      <c r="DH40" s="282">
        <v>0</v>
      </c>
      <c r="DI40" s="300">
        <f>SUM(DE40:DH40)</f>
        <v>-1340</v>
      </c>
      <c r="DJ40" s="282">
        <v>0</v>
      </c>
      <c r="DK40" s="282">
        <v>0</v>
      </c>
      <c r="DL40" s="282">
        <v>0</v>
      </c>
      <c r="DM40" s="125">
        <f>-DM41*DM$11</f>
        <v>0</v>
      </c>
      <c r="DN40" s="300">
        <f>SUM(DJ40:DM40)</f>
        <v>0</v>
      </c>
      <c r="DO40" s="125">
        <f>-DO41*DO$11</f>
        <v>0</v>
      </c>
      <c r="DP40" s="125">
        <f>-DP41*DP$11</f>
        <v>0</v>
      </c>
      <c r="DQ40" s="125">
        <f>-DQ41*DQ$11</f>
        <v>0</v>
      </c>
      <c r="DR40" s="125">
        <f>-DR41*DR$11</f>
        <v>0</v>
      </c>
      <c r="DS40" s="300">
        <f>SUM(DO40:DR40)</f>
        <v>0</v>
      </c>
      <c r="DT40" s="125">
        <f>-DT41*DT$11</f>
        <v>0</v>
      </c>
      <c r="DU40" s="125">
        <f>-DU41*DU$11</f>
        <v>0</v>
      </c>
      <c r="DV40" s="125">
        <f>-DV41*DV$11</f>
        <v>0</v>
      </c>
      <c r="DW40" s="125">
        <f>-DW41*DW$11</f>
        <v>0</v>
      </c>
      <c r="DX40" s="300">
        <f>SUM(DT40:DW40)</f>
        <v>0</v>
      </c>
      <c r="DY40" s="125">
        <f>-DY41*DY$11</f>
        <v>0</v>
      </c>
      <c r="DZ40" s="125">
        <f>-DZ41*DZ$11</f>
        <v>0</v>
      </c>
      <c r="EA40" s="125">
        <f>-EA41*EA$11</f>
        <v>0</v>
      </c>
      <c r="EB40" s="125">
        <f>-EB41*EB$11</f>
        <v>0</v>
      </c>
      <c r="EC40" s="300">
        <f>SUM(DY40:EB40)</f>
        <v>0</v>
      </c>
      <c r="ED40" s="491"/>
      <c r="EE40" s="139"/>
    </row>
    <row r="41" spans="1:135" s="296" customFormat="1" ht="12" customHeight="1">
      <c r="A41" s="940"/>
      <c r="B41" s="940"/>
      <c r="C41" s="303" t="s">
        <v>210</v>
      </c>
      <c r="D41" s="298"/>
      <c r="E41" s="298"/>
      <c r="F41" s="298"/>
      <c r="G41" s="298"/>
      <c r="H41" s="298"/>
      <c r="I41" s="94"/>
      <c r="J41" s="94"/>
      <c r="K41" s="94"/>
      <c r="L41" s="94"/>
      <c r="M41" s="298"/>
      <c r="N41" s="94"/>
      <c r="O41" s="94"/>
      <c r="P41" s="94"/>
      <c r="Q41" s="94"/>
      <c r="R41" s="298"/>
      <c r="S41" s="94"/>
      <c r="T41" s="94"/>
      <c r="U41" s="94"/>
      <c r="V41" s="94"/>
      <c r="W41" s="298"/>
      <c r="X41" s="94"/>
      <c r="Y41" s="94"/>
      <c r="Z41" s="94"/>
      <c r="AA41" s="94"/>
      <c r="AB41" s="298"/>
      <c r="AC41" s="94"/>
      <c r="AD41" s="94"/>
      <c r="AE41" s="94"/>
      <c r="AF41" s="94"/>
      <c r="AG41" s="298"/>
      <c r="AH41" s="94"/>
      <c r="AI41" s="94"/>
      <c r="AJ41" s="94"/>
      <c r="AK41" s="94"/>
      <c r="AL41" s="298"/>
      <c r="AM41" s="94"/>
      <c r="AN41" s="94"/>
      <c r="AO41" s="94"/>
      <c r="AP41" s="94"/>
      <c r="AQ41" s="298"/>
      <c r="AR41" s="94"/>
      <c r="AS41" s="94"/>
      <c r="AT41" s="94"/>
      <c r="AU41" s="94"/>
      <c r="AV41" s="298"/>
      <c r="AW41" s="94"/>
      <c r="AX41" s="94"/>
      <c r="AY41" s="94"/>
      <c r="AZ41" s="94"/>
      <c r="BA41" s="298"/>
      <c r="BB41" s="94"/>
      <c r="BC41" s="94"/>
      <c r="BD41" s="94"/>
      <c r="BE41" s="94"/>
      <c r="BF41" s="298"/>
      <c r="BG41" s="741"/>
      <c r="BH41" s="741"/>
      <c r="BI41" s="741"/>
      <c r="BJ41" s="741"/>
      <c r="BK41" s="298"/>
      <c r="BL41" s="741"/>
      <c r="BM41" s="741"/>
      <c r="BN41" s="741"/>
      <c r="BO41" s="741"/>
      <c r="BP41" s="298"/>
      <c r="BQ41" s="419">
        <f t="shared" si="390"/>
        <v>0</v>
      </c>
      <c r="BR41" s="419">
        <f t="shared" si="390"/>
        <v>0</v>
      </c>
      <c r="BS41" s="419">
        <f t="shared" si="390"/>
        <v>0</v>
      </c>
      <c r="BT41" s="419">
        <f t="shared" si="390"/>
        <v>0</v>
      </c>
      <c r="BU41" s="590">
        <f t="shared" si="390"/>
        <v>0</v>
      </c>
      <c r="BV41" s="419">
        <f t="shared" si="390"/>
        <v>0</v>
      </c>
      <c r="BW41" s="419">
        <f t="shared" si="390"/>
        <v>0</v>
      </c>
      <c r="BX41" s="419">
        <f t="shared" si="390"/>
        <v>0</v>
      </c>
      <c r="BY41" s="419">
        <f t="shared" si="390"/>
        <v>0</v>
      </c>
      <c r="BZ41" s="590">
        <f t="shared" si="390"/>
        <v>0</v>
      </c>
      <c r="CA41" s="419">
        <f t="shared" si="391"/>
        <v>0</v>
      </c>
      <c r="CB41" s="419">
        <f t="shared" si="391"/>
        <v>0</v>
      </c>
      <c r="CC41" s="419">
        <f t="shared" si="391"/>
        <v>0</v>
      </c>
      <c r="CD41" s="419">
        <f t="shared" si="391"/>
        <v>0</v>
      </c>
      <c r="CE41" s="590">
        <f t="shared" si="391"/>
        <v>0</v>
      </c>
      <c r="CF41" s="419">
        <f t="shared" si="391"/>
        <v>0</v>
      </c>
      <c r="CG41" s="419">
        <f t="shared" si="391"/>
        <v>0</v>
      </c>
      <c r="CH41" s="419">
        <f t="shared" si="391"/>
        <v>0</v>
      </c>
      <c r="CI41" s="419">
        <f t="shared" si="391"/>
        <v>0</v>
      </c>
      <c r="CJ41" s="590">
        <f>-CJ40/CJ$11</f>
        <v>0</v>
      </c>
      <c r="CK41" s="419">
        <f t="shared" si="391"/>
        <v>0</v>
      </c>
      <c r="CL41" s="419">
        <f t="shared" si="391"/>
        <v>0</v>
      </c>
      <c r="CM41" s="419">
        <f t="shared" si="391"/>
        <v>0</v>
      </c>
      <c r="CN41" s="419">
        <f t="shared" si="391"/>
        <v>0</v>
      </c>
      <c r="CO41" s="590">
        <f t="shared" si="391"/>
        <v>0</v>
      </c>
      <c r="CP41" s="419">
        <f t="shared" si="391"/>
        <v>0</v>
      </c>
      <c r="CQ41" s="419">
        <f t="shared" si="391"/>
        <v>0</v>
      </c>
      <c r="CR41" s="419">
        <f t="shared" si="391"/>
        <v>0</v>
      </c>
      <c r="CS41" s="419">
        <f t="shared" si="391"/>
        <v>0</v>
      </c>
      <c r="CT41" s="590">
        <f t="shared" si="391"/>
        <v>0</v>
      </c>
      <c r="CU41" s="419">
        <f t="shared" si="391"/>
        <v>0</v>
      </c>
      <c r="CV41" s="419">
        <f t="shared" si="391"/>
        <v>0</v>
      </c>
      <c r="CW41" s="419">
        <f t="shared" si="391"/>
        <v>0</v>
      </c>
      <c r="CX41" s="419">
        <f t="shared" si="391"/>
        <v>0</v>
      </c>
      <c r="CY41" s="590">
        <f t="shared" ref="CY41:CY43" si="402">-CY40/CY$11</f>
        <v>0</v>
      </c>
      <c r="CZ41" s="419">
        <f t="shared" ref="CZ41:CZ43" si="403">-CZ40/CZ$11</f>
        <v>0</v>
      </c>
      <c r="DA41" s="419">
        <f t="shared" ref="DA41:DA43" si="404">-DA40/DA$11</f>
        <v>0</v>
      </c>
      <c r="DB41" s="419">
        <f t="shared" ref="DB41:DB43" si="405">-DB40/DB$11</f>
        <v>0</v>
      </c>
      <c r="DC41" s="419">
        <f t="shared" ref="DC41:DC43" si="406">-DC40/DC$11</f>
        <v>0</v>
      </c>
      <c r="DD41" s="590">
        <f t="shared" ref="DD41:DD43" si="407">-DD40/DD$11</f>
        <v>0</v>
      </c>
      <c r="DE41" s="419">
        <f t="shared" ref="DE41:DE43" si="408">-DE40/DE$11</f>
        <v>0</v>
      </c>
      <c r="DF41" s="419">
        <f t="shared" ref="DF41:DF43" si="409">-DF40/DF$11</f>
        <v>0.79102715466351825</v>
      </c>
      <c r="DG41" s="419">
        <f t="shared" ref="DG41:DH43" si="410">-DG40/DG$11</f>
        <v>0</v>
      </c>
      <c r="DH41" s="419">
        <f t="shared" si="410"/>
        <v>0</v>
      </c>
      <c r="DI41" s="590">
        <f>-DI40/DI$11</f>
        <v>0.18980169971671387</v>
      </c>
      <c r="DJ41" s="419">
        <f t="shared" ref="DJ41:DK43" si="411">-DJ40/DJ$11</f>
        <v>0</v>
      </c>
      <c r="DK41" s="419">
        <f t="shared" si="411"/>
        <v>0</v>
      </c>
      <c r="DL41" s="419">
        <f t="shared" ref="DL41:EA43" si="412">-DL40/DL$11</f>
        <v>0</v>
      </c>
      <c r="DM41" s="361">
        <v>0</v>
      </c>
      <c r="DN41" s="590">
        <f>-DN40/DN$11</f>
        <v>0</v>
      </c>
      <c r="DO41" s="361">
        <v>0</v>
      </c>
      <c r="DP41" s="361">
        <v>0</v>
      </c>
      <c r="DQ41" s="361">
        <v>0</v>
      </c>
      <c r="DR41" s="361">
        <v>0</v>
      </c>
      <c r="DS41" s="590">
        <f>-DS40/DS$11</f>
        <v>0</v>
      </c>
      <c r="DT41" s="361">
        <v>0</v>
      </c>
      <c r="DU41" s="361">
        <v>0</v>
      </c>
      <c r="DV41" s="361">
        <v>0</v>
      </c>
      <c r="DW41" s="361">
        <v>0</v>
      </c>
      <c r="DX41" s="590">
        <f>-DX40/DX$11</f>
        <v>0</v>
      </c>
      <c r="DY41" s="361">
        <v>0</v>
      </c>
      <c r="DZ41" s="361">
        <v>0</v>
      </c>
      <c r="EA41" s="361">
        <v>0</v>
      </c>
      <c r="EB41" s="361">
        <v>0</v>
      </c>
      <c r="EC41" s="590">
        <f>-EC40/EC$11</f>
        <v>0</v>
      </c>
      <c r="ED41" s="419"/>
      <c r="EE41" s="139"/>
    </row>
    <row r="42" spans="1:135" s="296" customFormat="1" ht="12" customHeight="1" thickBot="1">
      <c r="A42" s="940" t="s">
        <v>633</v>
      </c>
      <c r="B42" s="940"/>
      <c r="C42" s="309" t="s">
        <v>174</v>
      </c>
      <c r="D42" s="313"/>
      <c r="E42" s="314"/>
      <c r="F42" s="314"/>
      <c r="G42" s="314"/>
      <c r="H42" s="314"/>
      <c r="I42" s="315"/>
      <c r="J42" s="315"/>
      <c r="K42" s="315"/>
      <c r="L42" s="315"/>
      <c r="M42" s="314"/>
      <c r="N42" s="315"/>
      <c r="O42" s="315"/>
      <c r="P42" s="315"/>
      <c r="Q42" s="315"/>
      <c r="R42" s="314"/>
      <c r="S42" s="315"/>
      <c r="T42" s="315"/>
      <c r="U42" s="315"/>
      <c r="V42" s="315"/>
      <c r="W42" s="314"/>
      <c r="X42" s="315"/>
      <c r="Y42" s="315"/>
      <c r="Z42" s="315"/>
      <c r="AA42" s="315"/>
      <c r="AB42" s="314"/>
      <c r="AC42" s="315"/>
      <c r="AD42" s="315"/>
      <c r="AE42" s="315"/>
      <c r="AF42" s="315"/>
      <c r="AG42" s="314"/>
      <c r="AH42" s="315"/>
      <c r="AI42" s="315"/>
      <c r="AJ42" s="315"/>
      <c r="AK42" s="315"/>
      <c r="AL42" s="314"/>
      <c r="AM42" s="315"/>
      <c r="AN42" s="315"/>
      <c r="AO42" s="315"/>
      <c r="AP42" s="315"/>
      <c r="AQ42" s="314"/>
      <c r="AR42" s="315"/>
      <c r="AS42" s="315"/>
      <c r="AT42" s="315"/>
      <c r="AU42" s="315"/>
      <c r="AV42" s="314"/>
      <c r="AW42" s="315"/>
      <c r="AX42" s="315"/>
      <c r="AY42" s="315"/>
      <c r="AZ42" s="315"/>
      <c r="BA42" s="314"/>
      <c r="BB42" s="315"/>
      <c r="BC42" s="315"/>
      <c r="BD42" s="315"/>
      <c r="BE42" s="315"/>
      <c r="BF42" s="314"/>
      <c r="BG42" s="315"/>
      <c r="BH42" s="315"/>
      <c r="BI42" s="315"/>
      <c r="BJ42" s="315"/>
      <c r="BK42" s="314"/>
      <c r="BL42" s="315"/>
      <c r="BM42" s="315"/>
      <c r="BN42" s="315"/>
      <c r="BO42" s="315"/>
      <c r="BP42" s="314"/>
      <c r="BQ42" s="316">
        <f t="shared" ref="BQ42:BT42" si="413">BQ32+BQ34+BQ36+BQ38+BQ40</f>
        <v>-25.041999999999998</v>
      </c>
      <c r="BR42" s="316">
        <f t="shared" si="413"/>
        <v>-28.713000000000001</v>
      </c>
      <c r="BS42" s="316">
        <f t="shared" si="413"/>
        <v>-33.042999999999999</v>
      </c>
      <c r="BT42" s="316">
        <f t="shared" si="413"/>
        <v>-42.985999999999997</v>
      </c>
      <c r="BU42" s="317">
        <f t="shared" ref="BU42" si="414">SUM(BQ42:BT42)</f>
        <v>-129.78399999999999</v>
      </c>
      <c r="BV42" s="316">
        <f t="shared" ref="BV42:BY42" si="415">BV32+BV34+BV36+BV38+BV40</f>
        <v>-49.796999999999997</v>
      </c>
      <c r="BW42" s="316">
        <f t="shared" si="415"/>
        <v>-56.181999999999995</v>
      </c>
      <c r="BX42" s="316">
        <f t="shared" si="415"/>
        <v>-63.241000000000007</v>
      </c>
      <c r="BY42" s="316">
        <f t="shared" si="415"/>
        <v>-77.44</v>
      </c>
      <c r="BZ42" s="317">
        <f t="shared" ref="BZ42" si="416">SUM(BV42:BY42)</f>
        <v>-246.66</v>
      </c>
      <c r="CA42" s="316">
        <f t="shared" ref="CA42:CD42" si="417">CA32+CA34+CA36+CA38+CA40</f>
        <v>-86.701999999999998</v>
      </c>
      <c r="CB42" s="316">
        <f t="shared" si="417"/>
        <v>-102.747</v>
      </c>
      <c r="CC42" s="316">
        <f t="shared" si="417"/>
        <v>-112.703</v>
      </c>
      <c r="CD42" s="316">
        <f t="shared" si="417"/>
        <v>-127.25800000000001</v>
      </c>
      <c r="CE42" s="317">
        <f t="shared" ref="CE42" si="418">SUM(CA42:CD42)</f>
        <v>-429.41000000000008</v>
      </c>
      <c r="CF42" s="316">
        <f t="shared" ref="CF42:CI42" si="419">CF32+CF34+CF36+CF38+CF40</f>
        <v>-144.17500000000001</v>
      </c>
      <c r="CG42" s="316">
        <f t="shared" si="419"/>
        <v>-167.71600000000001</v>
      </c>
      <c r="CH42" s="316">
        <f t="shared" si="419"/>
        <v>-181.095</v>
      </c>
      <c r="CI42" s="316">
        <f t="shared" si="419"/>
        <v>-195.20100000000002</v>
      </c>
      <c r="CJ42" s="317">
        <f t="shared" ref="CJ42" si="420">SUM(CF42:CI42)</f>
        <v>-688.18700000000001</v>
      </c>
      <c r="CK42" s="316">
        <f t="shared" ref="CK42:CN42" si="421">CK32+CK34+CK36+CK38+CK40</f>
        <v>-216.08100000000002</v>
      </c>
      <c r="CL42" s="316">
        <f t="shared" si="421"/>
        <v>-244.38499999999999</v>
      </c>
      <c r="CM42" s="316">
        <f t="shared" si="421"/>
        <v>-252.35399999999998</v>
      </c>
      <c r="CN42" s="316">
        <f t="shared" si="421"/>
        <v>-293.96999999999997</v>
      </c>
      <c r="CO42" s="317">
        <f t="shared" ref="CO42" si="422">SUM(CK42:CN42)</f>
        <v>-1006.79</v>
      </c>
      <c r="CP42" s="316">
        <f t="shared" ref="CP42:CS42" si="423">CP32+CP34+CP36+CP38+CP40</f>
        <v>-330.18299999999999</v>
      </c>
      <c r="CQ42" s="316">
        <f t="shared" si="423"/>
        <v>-374.75</v>
      </c>
      <c r="CR42" s="316">
        <f t="shared" si="423"/>
        <v>-354.58699999999993</v>
      </c>
      <c r="CS42" s="316">
        <f t="shared" si="423"/>
        <v>-391.84699999999998</v>
      </c>
      <c r="CT42" s="317">
        <f t="shared" ref="CT42" si="424">SUM(CP42:CS42)</f>
        <v>-1451.367</v>
      </c>
      <c r="CU42" s="316">
        <f>CU32+CU34+CU36+CU38+CU40</f>
        <v>-439.81700000000001</v>
      </c>
      <c r="CV42" s="316">
        <f>CV32+CV34+CV36+CV38+CV40</f>
        <v>-481.41899999999998</v>
      </c>
      <c r="CW42" s="316">
        <f>CW32+CW34+CW36+CW38+CW40</f>
        <v>-613.01</v>
      </c>
      <c r="CX42" s="316">
        <f>CX32+CX34+CX36+CX38+CX40</f>
        <v>-678.25499999999988</v>
      </c>
      <c r="CY42" s="317">
        <f>SUM(CU42:CX42)</f>
        <v>-2212.5010000000002</v>
      </c>
      <c r="CZ42" s="316">
        <f>CZ32+CZ34+CZ36+CZ38+CZ40</f>
        <v>-735.61299999999994</v>
      </c>
      <c r="DA42" s="316">
        <f>DA32+DA34+DA36+DA38+DA40</f>
        <v>-845.85</v>
      </c>
      <c r="DB42" s="316">
        <f>DB32+DB34+DB36+DB38+DB40</f>
        <v>-1007.6980000000001</v>
      </c>
      <c r="DC42" s="316">
        <f>DC32+DC34+DC36+DC38+DC40</f>
        <v>-987.25700000000006</v>
      </c>
      <c r="DD42" s="317">
        <f>SUM(CZ42:DC42)</f>
        <v>-3576.4180000000001</v>
      </c>
      <c r="DE42" s="316">
        <f>DE32+DE34+DE36+DE38+DE40</f>
        <v>-910</v>
      </c>
      <c r="DF42" s="316">
        <f>DF32+DF34+DF36+DF38+DF40</f>
        <v>-2471</v>
      </c>
      <c r="DG42" s="316">
        <f>DG32+DG34+DG36+DG38+DG40</f>
        <v>-779</v>
      </c>
      <c r="DH42" s="316">
        <f>DH32+DH34+DH36+DH38+DH40</f>
        <v>-773</v>
      </c>
      <c r="DI42" s="317">
        <f>SUM(DE42:DH42)</f>
        <v>-4933</v>
      </c>
      <c r="DJ42" s="316">
        <f>DJ32+DJ34+DJ36+DJ38+DJ40</f>
        <v>-871</v>
      </c>
      <c r="DK42" s="316">
        <f>DK32+DK34+DK36+DK38+DK40</f>
        <v>-804</v>
      </c>
      <c r="DL42" s="316">
        <f>DL32+DL34+DL36+DL38+DL40</f>
        <v>-835</v>
      </c>
      <c r="DM42" s="316">
        <f>DM32+DM34+DM36+DM38+DM40</f>
        <v>-893.05845208144569</v>
      </c>
      <c r="DN42" s="317">
        <f>SUM(DJ42:DM42)</f>
        <v>-3403.0584520814455</v>
      </c>
      <c r="DO42" s="316">
        <f>DO32+DO34+DO36+DO38+DO40</f>
        <v>-1039.5175163187405</v>
      </c>
      <c r="DP42" s="316">
        <f>DP32+DP34+DP36+DP38+DP40</f>
        <v>-944.1301015813159</v>
      </c>
      <c r="DQ42" s="316">
        <f>DQ32+DQ34+DQ36+DQ38+DQ40</f>
        <v>-955.95146919521721</v>
      </c>
      <c r="DR42" s="316">
        <f>DR32+DR34+DR36+DR38+DR40</f>
        <v>-1019.6799089367909</v>
      </c>
      <c r="DS42" s="317">
        <f>SUM(DO42:DR42)</f>
        <v>-3959.2789960320647</v>
      </c>
      <c r="DT42" s="316">
        <f>DT32+DT34+DT36+DT38+DT40</f>
        <v>-1190.9228081648321</v>
      </c>
      <c r="DU42" s="316">
        <f>DU32+DU34+DU36+DU38+DU40</f>
        <v>-1072.7391174015522</v>
      </c>
      <c r="DV42" s="316">
        <f>DV32+DV34+DV36+DV38+DV40</f>
        <v>-1083.4436296047013</v>
      </c>
      <c r="DW42" s="316">
        <f>DW32+DW34+DW36+DW38+DW40</f>
        <v>-1146.2333948652533</v>
      </c>
      <c r="DX42" s="317">
        <f>SUM(DT42:DW42)</f>
        <v>-4493.3389500363392</v>
      </c>
      <c r="DY42" s="316">
        <f>DY32+DY34+DY36+DY38+DY40</f>
        <v>-1338.1352954788774</v>
      </c>
      <c r="DZ42" s="316">
        <f>DZ32+DZ34+DZ36+DZ38+DZ40</f>
        <v>-1193.8529470967876</v>
      </c>
      <c r="EA42" s="316">
        <f>EA32+EA34+EA36+EA38+EA40</f>
        <v>-1202.4881499481253</v>
      </c>
      <c r="EB42" s="316">
        <f>EB32+EB34+EB36+EB38+EB40</f>
        <v>-1258.854003862587</v>
      </c>
      <c r="EC42" s="317">
        <f>SUM(DY42:EB42)</f>
        <v>-4993.3303963863773</v>
      </c>
      <c r="ED42" s="491"/>
      <c r="EE42" s="139"/>
    </row>
    <row r="43" spans="1:135" s="296" customFormat="1" ht="12" customHeight="1" thickBot="1">
      <c r="A43" s="940" t="s">
        <v>634</v>
      </c>
      <c r="B43" s="940"/>
      <c r="C43" s="303" t="s">
        <v>210</v>
      </c>
      <c r="D43" s="298"/>
      <c r="E43" s="298"/>
      <c r="F43" s="298"/>
      <c r="G43" s="298"/>
      <c r="H43" s="298"/>
      <c r="I43" s="94"/>
      <c r="J43" s="94"/>
      <c r="K43" s="94"/>
      <c r="L43" s="94"/>
      <c r="M43" s="298"/>
      <c r="N43" s="94"/>
      <c r="O43" s="94"/>
      <c r="P43" s="94"/>
      <c r="Q43" s="94"/>
      <c r="R43" s="298"/>
      <c r="S43" s="94"/>
      <c r="T43" s="94"/>
      <c r="U43" s="94"/>
      <c r="V43" s="94"/>
      <c r="W43" s="298"/>
      <c r="X43" s="94"/>
      <c r="Y43" s="94"/>
      <c r="Z43" s="94"/>
      <c r="AA43" s="94"/>
      <c r="AB43" s="298"/>
      <c r="AC43" s="94"/>
      <c r="AD43" s="94"/>
      <c r="AE43" s="94"/>
      <c r="AF43" s="94"/>
      <c r="AG43" s="298"/>
      <c r="AH43" s="94"/>
      <c r="AI43" s="94"/>
      <c r="AJ43" s="94"/>
      <c r="AK43" s="94"/>
      <c r="AL43" s="298"/>
      <c r="AM43" s="94"/>
      <c r="AN43" s="94"/>
      <c r="AO43" s="94"/>
      <c r="AP43" s="94"/>
      <c r="AQ43" s="298"/>
      <c r="AR43" s="94"/>
      <c r="AS43" s="94"/>
      <c r="AT43" s="94"/>
      <c r="AU43" s="94"/>
      <c r="AV43" s="298"/>
      <c r="AW43" s="94"/>
      <c r="AX43" s="94"/>
      <c r="AY43" s="94"/>
      <c r="AZ43" s="94"/>
      <c r="BA43" s="298"/>
      <c r="BB43" s="94"/>
      <c r="BC43" s="94"/>
      <c r="BD43" s="94"/>
      <c r="BE43" s="94"/>
      <c r="BF43" s="298"/>
      <c r="BG43" s="741"/>
      <c r="BH43" s="741"/>
      <c r="BI43" s="741"/>
      <c r="BJ43" s="741"/>
      <c r="BK43" s="298"/>
      <c r="BL43" s="741"/>
      <c r="BM43" s="741"/>
      <c r="BN43" s="741"/>
      <c r="BO43" s="741"/>
      <c r="BP43" s="298"/>
      <c r="BQ43" s="419">
        <f t="shared" si="390"/>
        <v>0.67050444468244619</v>
      </c>
      <c r="BR43" s="419">
        <f t="shared" si="390"/>
        <v>0.63911766015225036</v>
      </c>
      <c r="BS43" s="419">
        <f t="shared" si="390"/>
        <v>0.62598037358390479</v>
      </c>
      <c r="BT43" s="419">
        <f t="shared" si="390"/>
        <v>0.61257178686959368</v>
      </c>
      <c r="BU43" s="590">
        <f t="shared" si="390"/>
        <v>0.63237393596546354</v>
      </c>
      <c r="BV43" s="419">
        <f t="shared" si="390"/>
        <v>0.68475839498363622</v>
      </c>
      <c r="BW43" s="419">
        <f t="shared" si="390"/>
        <v>0.64840098330005658</v>
      </c>
      <c r="BX43" s="419">
        <f t="shared" si="390"/>
        <v>0.63509008013818313</v>
      </c>
      <c r="BY43" s="419">
        <f t="shared" si="390"/>
        <v>0.59394246182401089</v>
      </c>
      <c r="BZ43" s="590">
        <f t="shared" si="390"/>
        <v>0.6335499447769245</v>
      </c>
      <c r="CA43" s="419">
        <f t="shared" si="391"/>
        <v>0.68066164752431713</v>
      </c>
      <c r="CB43" s="419">
        <f t="shared" si="391"/>
        <v>0.67750486301144042</v>
      </c>
      <c r="CC43" s="419">
        <f t="shared" si="391"/>
        <v>0.65732899402762224</v>
      </c>
      <c r="CD43" s="419">
        <f t="shared" si="391"/>
        <v>0.57114005403610191</v>
      </c>
      <c r="CE43" s="590">
        <f t="shared" si="391"/>
        <v>0.63776540760191547</v>
      </c>
      <c r="CF43" s="419">
        <f t="shared" si="391"/>
        <v>0.67264626294672025</v>
      </c>
      <c r="CG43" s="419">
        <f t="shared" si="391"/>
        <v>0.68465849944685531</v>
      </c>
      <c r="CH43" s="419">
        <f t="shared" si="391"/>
        <v>0.67056327389063342</v>
      </c>
      <c r="CI43" s="419">
        <f t="shared" si="391"/>
        <v>0.56767249652476881</v>
      </c>
      <c r="CJ43" s="590">
        <f>-CJ42/CJ$11</f>
        <v>0.64123034319795691</v>
      </c>
      <c r="CK43" s="419">
        <f t="shared" si="391"/>
        <v>0.67423755468325841</v>
      </c>
      <c r="CL43" s="419">
        <f t="shared" si="391"/>
        <v>0.6751358504222621</v>
      </c>
      <c r="CM43" s="419">
        <f t="shared" si="391"/>
        <v>0.64614699194985548</v>
      </c>
      <c r="CN43" s="419">
        <f t="shared" si="391"/>
        <v>0.58193443661414201</v>
      </c>
      <c r="CO43" s="590">
        <f t="shared" si="391"/>
        <v>0.63794653691325343</v>
      </c>
      <c r="CP43" s="419">
        <f t="shared" si="391"/>
        <v>0.70251552656270944</v>
      </c>
      <c r="CQ43" s="419">
        <f t="shared" si="391"/>
        <v>0.52460939523280903</v>
      </c>
      <c r="CR43" s="419">
        <f t="shared" si="391"/>
        <v>0.46205979893276683</v>
      </c>
      <c r="CS43" s="419">
        <f t="shared" si="391"/>
        <v>0.40076645829583207</v>
      </c>
      <c r="CT43" s="590">
        <f t="shared" si="391"/>
        <v>0.49543316569328938</v>
      </c>
      <c r="CU43" s="419">
        <f t="shared" si="391"/>
        <v>0.44486758165452384</v>
      </c>
      <c r="CV43" s="419">
        <f t="shared" si="391"/>
        <v>0.43005149873374754</v>
      </c>
      <c r="CW43" s="419">
        <f t="shared" si="391"/>
        <v>0.54550874757506185</v>
      </c>
      <c r="CX43" s="419">
        <f t="shared" si="391"/>
        <v>0.49148058294638342</v>
      </c>
      <c r="CY43" s="590">
        <f t="shared" si="402"/>
        <v>0.47974199541356027</v>
      </c>
      <c r="CZ43" s="419">
        <f t="shared" si="403"/>
        <v>0.61116562245819495</v>
      </c>
      <c r="DA43" s="419">
        <f t="shared" si="404"/>
        <v>0.6531342490674199</v>
      </c>
      <c r="DB43" s="419">
        <f t="shared" si="405"/>
        <v>0.73759186063533899</v>
      </c>
      <c r="DC43" s="419">
        <f t="shared" si="406"/>
        <v>0.56903142287683184</v>
      </c>
      <c r="DD43" s="590">
        <f t="shared" si="407"/>
        <v>0.63866158178127175</v>
      </c>
      <c r="DE43" s="419">
        <f t="shared" si="408"/>
        <v>0.60344827586206895</v>
      </c>
      <c r="DF43" s="419">
        <f t="shared" si="409"/>
        <v>1.4586776859504131</v>
      </c>
      <c r="DG43" s="419">
        <f t="shared" si="410"/>
        <v>0.45449241540256707</v>
      </c>
      <c r="DH43" s="419">
        <f t="shared" si="410"/>
        <v>0.36054104477611942</v>
      </c>
      <c r="DI43" s="590">
        <f>-DI42/DI$11</f>
        <v>0.69872521246458918</v>
      </c>
      <c r="DJ43" s="419">
        <f t="shared" si="411"/>
        <v>0.46802794196668457</v>
      </c>
      <c r="DK43" s="419">
        <f t="shared" si="411"/>
        <v>0.39315403422982886</v>
      </c>
      <c r="DL43" s="419">
        <f t="shared" si="412"/>
        <v>0.38621646623496764</v>
      </c>
      <c r="DM43" s="1433">
        <f t="shared" si="412"/>
        <v>0.33032328068261835</v>
      </c>
      <c r="DN43" s="1432">
        <f>-DN42/DN$11</f>
        <v>0.38796372891301872</v>
      </c>
      <c r="DO43" s="419">
        <f t="shared" si="412"/>
        <v>0.4444503328211733</v>
      </c>
      <c r="DP43" s="419">
        <f t="shared" si="412"/>
        <v>0.3764431489452173</v>
      </c>
      <c r="DQ43" s="419">
        <f t="shared" si="412"/>
        <v>0.36321646623496762</v>
      </c>
      <c r="DR43" s="419">
        <f t="shared" si="412"/>
        <v>0.30732328068261833</v>
      </c>
      <c r="DS43" s="590">
        <f>-DS42/DS$11</f>
        <v>0.36671003929588325</v>
      </c>
      <c r="DT43" s="419">
        <f t="shared" si="412"/>
        <v>0.42545033282117323</v>
      </c>
      <c r="DU43" s="419">
        <f t="shared" si="412"/>
        <v>0.35744314894521728</v>
      </c>
      <c r="DV43" s="419">
        <f t="shared" si="412"/>
        <v>0.3442164662349676</v>
      </c>
      <c r="DW43" s="419">
        <f t="shared" si="412"/>
        <v>0.28832328068261837</v>
      </c>
      <c r="DX43" s="590">
        <f>-DX42/DX$11</f>
        <v>0.3476893290470407</v>
      </c>
      <c r="DY43" s="419">
        <f t="shared" si="412"/>
        <v>0.40545033282117326</v>
      </c>
      <c r="DZ43" s="419">
        <f t="shared" si="412"/>
        <v>0.33744314894521726</v>
      </c>
      <c r="EA43" s="419">
        <f t="shared" si="412"/>
        <v>0.32421646623496758</v>
      </c>
      <c r="EB43" s="419">
        <f t="shared" ref="EB43" si="425">-EB42/EB$11</f>
        <v>0.26832328068261835</v>
      </c>
      <c r="EC43" s="590">
        <f>-EC42/EC$11</f>
        <v>0.32767283229863042</v>
      </c>
      <c r="ED43" s="419"/>
      <c r="EE43" s="139"/>
    </row>
    <row r="44" spans="1:135" s="320" customFormat="1" ht="12" customHeight="1">
      <c r="A44" s="940" t="s">
        <v>635</v>
      </c>
      <c r="B44" s="940"/>
      <c r="C44" s="318" t="s">
        <v>140</v>
      </c>
      <c r="D44" s="319"/>
      <c r="E44" s="319"/>
      <c r="F44" s="319"/>
      <c r="G44" s="319"/>
      <c r="H44" s="319"/>
      <c r="M44" s="319"/>
      <c r="R44" s="319"/>
      <c r="W44" s="319"/>
      <c r="AB44" s="319"/>
      <c r="AG44" s="319"/>
      <c r="AL44" s="319"/>
      <c r="AQ44" s="319"/>
      <c r="AV44" s="319"/>
      <c r="BA44" s="319"/>
      <c r="BF44" s="319"/>
      <c r="BK44" s="319"/>
      <c r="BP44" s="319"/>
      <c r="BQ44" s="748" t="e">
        <f t="shared" ref="BQ44:CV44" si="426">BQ42/BL42-1</f>
        <v>#DIV/0!</v>
      </c>
      <c r="BR44" s="748" t="e">
        <f t="shared" si="426"/>
        <v>#DIV/0!</v>
      </c>
      <c r="BS44" s="748" t="e">
        <f t="shared" si="426"/>
        <v>#DIV/0!</v>
      </c>
      <c r="BT44" s="748" t="e">
        <f t="shared" si="426"/>
        <v>#DIV/0!</v>
      </c>
      <c r="BU44" s="590" t="e">
        <f t="shared" si="426"/>
        <v>#DIV/0!</v>
      </c>
      <c r="BV44" s="748">
        <f t="shared" si="426"/>
        <v>0.98853925405319076</v>
      </c>
      <c r="BW44" s="748">
        <f t="shared" si="426"/>
        <v>0.95667467697558584</v>
      </c>
      <c r="BX44" s="748">
        <f t="shared" si="426"/>
        <v>0.9139000696062709</v>
      </c>
      <c r="BY44" s="748">
        <f t="shared" si="426"/>
        <v>0.80151677290280565</v>
      </c>
      <c r="BZ44" s="590">
        <f t="shared" si="426"/>
        <v>0.90054243974603976</v>
      </c>
      <c r="CA44" s="748">
        <f t="shared" si="426"/>
        <v>0.74110890214269953</v>
      </c>
      <c r="CB44" s="748">
        <f t="shared" si="426"/>
        <v>0.82882417856252899</v>
      </c>
      <c r="CC44" s="748">
        <f t="shared" si="426"/>
        <v>0.78211919482614123</v>
      </c>
      <c r="CD44" s="748">
        <f t="shared" si="426"/>
        <v>0.64331095041322328</v>
      </c>
      <c r="CE44" s="590">
        <f t="shared" si="426"/>
        <v>0.74089840265953177</v>
      </c>
      <c r="CF44" s="748">
        <f t="shared" si="426"/>
        <v>0.66287974902539748</v>
      </c>
      <c r="CG44" s="748">
        <f t="shared" si="426"/>
        <v>0.6323201650656467</v>
      </c>
      <c r="CH44" s="748">
        <f t="shared" si="426"/>
        <v>0.60683389084585149</v>
      </c>
      <c r="CI44" s="748">
        <f t="shared" si="426"/>
        <v>0.53389963695799092</v>
      </c>
      <c r="CJ44" s="590">
        <f t="shared" si="426"/>
        <v>0.60263384644046458</v>
      </c>
      <c r="CK44" s="748">
        <f t="shared" si="426"/>
        <v>0.49874111323044912</v>
      </c>
      <c r="CL44" s="748">
        <f t="shared" si="426"/>
        <v>0.45713587254644739</v>
      </c>
      <c r="CM44" s="748">
        <f t="shared" si="426"/>
        <v>0.39348960490350371</v>
      </c>
      <c r="CN44" s="748">
        <f t="shared" si="426"/>
        <v>0.50598613736609921</v>
      </c>
      <c r="CO44" s="590">
        <f t="shared" si="426"/>
        <v>0.46295992223044014</v>
      </c>
      <c r="CP44" s="748">
        <f t="shared" si="426"/>
        <v>0.52805198050730962</v>
      </c>
      <c r="CQ44" s="748">
        <f t="shared" si="426"/>
        <v>0.533441086809747</v>
      </c>
      <c r="CR44" s="748">
        <f t="shared" si="426"/>
        <v>0.40511741442576676</v>
      </c>
      <c r="CS44" s="748">
        <f t="shared" si="426"/>
        <v>0.33294894036806477</v>
      </c>
      <c r="CT44" s="590">
        <f t="shared" si="426"/>
        <v>0.44157868075765561</v>
      </c>
      <c r="CU44" s="748">
        <f t="shared" si="426"/>
        <v>0.33204011108991072</v>
      </c>
      <c r="CV44" s="748">
        <f t="shared" si="426"/>
        <v>0.28464042695130076</v>
      </c>
      <c r="CW44" s="748">
        <f t="shared" ref="CW44:DN44" si="427">CW42/CR42-1</f>
        <v>0.72879998420697922</v>
      </c>
      <c r="CX44" s="748">
        <f t="shared" si="427"/>
        <v>0.73091793480618694</v>
      </c>
      <c r="CY44" s="590">
        <f t="shared" si="427"/>
        <v>0.52442559325105242</v>
      </c>
      <c r="CZ44" s="748">
        <f t="shared" si="427"/>
        <v>0.67254335325828674</v>
      </c>
      <c r="DA44" s="748">
        <f t="shared" si="427"/>
        <v>0.75699338829585061</v>
      </c>
      <c r="DB44" s="748">
        <f t="shared" si="427"/>
        <v>0.64385246570202792</v>
      </c>
      <c r="DC44" s="748">
        <f t="shared" si="427"/>
        <v>0.45558381434711159</v>
      </c>
      <c r="DD44" s="590">
        <f t="shared" si="427"/>
        <v>0.61645938239123943</v>
      </c>
      <c r="DE44" s="748">
        <f t="shared" si="427"/>
        <v>0.23706351029685457</v>
      </c>
      <c r="DF44" s="748">
        <f t="shared" si="427"/>
        <v>1.9213217473547317</v>
      </c>
      <c r="DG44" s="748">
        <f t="shared" si="427"/>
        <v>-0.22695093172756131</v>
      </c>
      <c r="DH44" s="748">
        <f t="shared" si="427"/>
        <v>-0.21702251794618832</v>
      </c>
      <c r="DI44" s="590">
        <f t="shared" si="427"/>
        <v>0.37931304450430559</v>
      </c>
      <c r="DJ44" s="748">
        <f t="shared" si="427"/>
        <v>-4.2857142857142816E-2</v>
      </c>
      <c r="DK44" s="748">
        <f t="shared" si="427"/>
        <v>-0.67462565762849047</v>
      </c>
      <c r="DL44" s="748">
        <f t="shared" si="427"/>
        <v>7.1887034659820381E-2</v>
      </c>
      <c r="DM44" s="748">
        <f t="shared" si="427"/>
        <v>0.15531494447793759</v>
      </c>
      <c r="DN44" s="590">
        <f t="shared" si="427"/>
        <v>-0.31014424243230376</v>
      </c>
      <c r="DO44" s="748">
        <f t="shared" ref="DO44" si="428">DO42/DJ42-1</f>
        <v>0.19347590851749774</v>
      </c>
      <c r="DP44" s="748">
        <f t="shared" ref="DP44" si="429">DP42/DK42-1</f>
        <v>0.17429117112103976</v>
      </c>
      <c r="DQ44" s="748">
        <f t="shared" ref="DQ44" si="430">DQ42/DL42-1</f>
        <v>0.14485205891642772</v>
      </c>
      <c r="DR44" s="748">
        <f t="shared" ref="DR44:DS44" si="431">DR42/DM42-1</f>
        <v>0.14178406414521838</v>
      </c>
      <c r="DS44" s="590">
        <f t="shared" si="431"/>
        <v>0.16344724952062251</v>
      </c>
      <c r="DT44" s="748">
        <f t="shared" ref="DT44" si="432">DT42/DO42-1</f>
        <v>0.14564958210830881</v>
      </c>
      <c r="DU44" s="748">
        <f t="shared" ref="DU44" si="433">DU42/DP42-1</f>
        <v>0.13621959050434906</v>
      </c>
      <c r="DV44" s="748">
        <f t="shared" ref="DV44" si="434">DV42/DQ42-1</f>
        <v>0.13336677071778058</v>
      </c>
      <c r="DW44" s="748">
        <f t="shared" ref="DW44" si="435">DW42/DR42-1</f>
        <v>0.12411099289032612</v>
      </c>
      <c r="DX44" s="590">
        <f t="shared" ref="DX44" si="436">DX42/DS42-1</f>
        <v>0.13488818407076186</v>
      </c>
      <c r="DY44" s="748">
        <f t="shared" ref="DY44" si="437">DY42/DT42-1</f>
        <v>0.12361211516378146</v>
      </c>
      <c r="DZ44" s="748">
        <f t="shared" ref="DZ44" si="438">DZ42/DU42-1</f>
        <v>0.11290147597917755</v>
      </c>
      <c r="EA44" s="748">
        <f t="shared" ref="EA44" si="439">EA42/DV42-1</f>
        <v>0.10987606285234963</v>
      </c>
      <c r="EB44" s="748">
        <f t="shared" ref="EB44" si="440">EB42/DW42-1</f>
        <v>9.8252772517217535E-2</v>
      </c>
      <c r="EC44" s="590">
        <f t="shared" ref="EC44" si="441">EC42/DX42-1</f>
        <v>0.11127392166709216</v>
      </c>
      <c r="ED44" s="419"/>
      <c r="EE44" s="321"/>
    </row>
    <row r="45" spans="1:135" s="320" customFormat="1" ht="12" customHeight="1">
      <c r="A45" s="940" t="s">
        <v>137</v>
      </c>
      <c r="B45" s="940"/>
      <c r="C45" s="291" t="s">
        <v>239</v>
      </c>
      <c r="D45" s="292"/>
      <c r="E45" s="292"/>
      <c r="F45" s="292"/>
      <c r="G45" s="292"/>
      <c r="H45" s="292"/>
      <c r="I45" s="293"/>
      <c r="J45" s="293"/>
      <c r="K45" s="293"/>
      <c r="L45" s="293"/>
      <c r="M45" s="292"/>
      <c r="N45" s="293"/>
      <c r="O45" s="293"/>
      <c r="P45" s="293"/>
      <c r="Q45" s="293"/>
      <c r="R45" s="292"/>
      <c r="S45" s="293"/>
      <c r="T45" s="293"/>
      <c r="U45" s="293"/>
      <c r="V45" s="293"/>
      <c r="W45" s="292"/>
      <c r="X45" s="293"/>
      <c r="Y45" s="293"/>
      <c r="Z45" s="293"/>
      <c r="AA45" s="293"/>
      <c r="AB45" s="292"/>
      <c r="AC45" s="293"/>
      <c r="AD45" s="293"/>
      <c r="AE45" s="293"/>
      <c r="AF45" s="293"/>
      <c r="AG45" s="292"/>
      <c r="AH45" s="293"/>
      <c r="AI45" s="293"/>
      <c r="AJ45" s="293"/>
      <c r="AK45" s="293"/>
      <c r="AL45" s="292"/>
      <c r="AM45" s="293"/>
      <c r="AN45" s="293"/>
      <c r="AO45" s="293"/>
      <c r="AP45" s="293"/>
      <c r="AQ45" s="292"/>
      <c r="AR45" s="293"/>
      <c r="AS45" s="293"/>
      <c r="AT45" s="293"/>
      <c r="AU45" s="293"/>
      <c r="AV45" s="292"/>
      <c r="AW45" s="293"/>
      <c r="AX45" s="293"/>
      <c r="AY45" s="293"/>
      <c r="AZ45" s="293"/>
      <c r="BA45" s="292"/>
      <c r="BB45" s="293"/>
      <c r="BC45" s="293"/>
      <c r="BD45" s="293"/>
      <c r="BE45" s="293"/>
      <c r="BF45" s="292"/>
      <c r="BG45" s="293"/>
      <c r="BH45" s="293"/>
      <c r="BI45" s="293"/>
      <c r="BJ45" s="293"/>
      <c r="BK45" s="292"/>
      <c r="BL45" s="293"/>
      <c r="BM45" s="293"/>
      <c r="BN45" s="293"/>
      <c r="BO45" s="293"/>
      <c r="BP45" s="292"/>
      <c r="BQ45" s="294">
        <f>BQ27+BQ42</f>
        <v>-3.4759999999999991</v>
      </c>
      <c r="BR45" s="294">
        <f>BR27+BR42</f>
        <v>-3.4609999999999985</v>
      </c>
      <c r="BS45" s="294">
        <f>BS27+BS42</f>
        <v>-4.2999999999999972</v>
      </c>
      <c r="BT45" s="294">
        <f>BT27+BT42</f>
        <v>-6.5189999999999984</v>
      </c>
      <c r="BU45" s="295">
        <f>SUM(BQ45:BT45)</f>
        <v>-17.755999999999993</v>
      </c>
      <c r="BV45" s="294">
        <f>BV27+BV42</f>
        <v>-9.7119999999999891</v>
      </c>
      <c r="BW45" s="294">
        <f>BW27+BW42</f>
        <v>-8.659000000000006</v>
      </c>
      <c r="BX45" s="294">
        <f>BX27+BX42</f>
        <v>-9.4890000000000043</v>
      </c>
      <c r="BY45" s="294">
        <f>BY27+BY42</f>
        <v>-9.305000000000021</v>
      </c>
      <c r="BZ45" s="295">
        <f>SUM(BV45:BY45)</f>
        <v>-37.16500000000002</v>
      </c>
      <c r="CA45" s="294">
        <f>CA27+CA42</f>
        <v>-14.460999999999984</v>
      </c>
      <c r="CB45" s="294">
        <f>CB27+CB42</f>
        <v>-15.906999999999996</v>
      </c>
      <c r="CC45" s="294">
        <f>CC27+CC42</f>
        <v>-12.675999999999988</v>
      </c>
      <c r="CD45" s="294">
        <f>CD27+CD42</f>
        <v>-6.113000000000028</v>
      </c>
      <c r="CE45" s="295">
        <f>SUM(CA45:CD45)</f>
        <v>-49.156999999999996</v>
      </c>
      <c r="CF45" s="294">
        <f>CF27+CF42</f>
        <v>-20.333000000000027</v>
      </c>
      <c r="CG45" s="294">
        <f>CG27+CG42</f>
        <v>-30.761000000000024</v>
      </c>
      <c r="CH45" s="294">
        <f>CH27+CH42</f>
        <v>-31.368000000000023</v>
      </c>
      <c r="CI45" s="294">
        <f>CI27+CI42</f>
        <v>-9.4580000000000553</v>
      </c>
      <c r="CJ45" s="295">
        <f>SUM(CF45:CI45)</f>
        <v>-91.92000000000013</v>
      </c>
      <c r="CK45" s="294">
        <f>CK27+CK42</f>
        <v>-35.790000000000049</v>
      </c>
      <c r="CL45" s="294">
        <f>CL27+CL42</f>
        <v>-39.620000000000005</v>
      </c>
      <c r="CM45" s="294">
        <f>CM27+CM42</f>
        <v>-35.657999999999959</v>
      </c>
      <c r="CN45" s="294">
        <f>CN27+CN42</f>
        <v>-30.078999999999951</v>
      </c>
      <c r="CO45" s="295">
        <f>SUM(CK45:CN45)</f>
        <v>-141.14699999999996</v>
      </c>
      <c r="CP45" s="294">
        <f>CP27+CP42</f>
        <v>-73.233000000000004</v>
      </c>
      <c r="CQ45" s="294">
        <f>CQ27+CQ42</f>
        <v>0.28400000000004866</v>
      </c>
      <c r="CR45" s="294">
        <f>CR27+CR42</f>
        <v>50.561000000000035</v>
      </c>
      <c r="CS45" s="294">
        <f>CS27+CS42</f>
        <v>112.54099999999994</v>
      </c>
      <c r="CT45" s="295">
        <f>SUM(CP45:CS45)</f>
        <v>90.15300000000002</v>
      </c>
      <c r="CU45" s="294">
        <f>CU27+CU42</f>
        <v>118.89899999999989</v>
      </c>
      <c r="CV45" s="294">
        <f>CV27+CV42</f>
        <v>139.44099999999992</v>
      </c>
      <c r="CW45" s="294">
        <f>CW27+CW42</f>
        <v>-4.1009999999999991</v>
      </c>
      <c r="CX45" s="294">
        <f>CX27+CX42</f>
        <v>14.404000000000224</v>
      </c>
      <c r="CY45" s="295">
        <f>SUM(CU45:CX45)</f>
        <v>268.64300000000003</v>
      </c>
      <c r="CZ45" s="294">
        <f>CZ27+CZ42</f>
        <v>-97.975999999999885</v>
      </c>
      <c r="DA45" s="294">
        <f>DA27+DA42</f>
        <v>-190.20799999999997</v>
      </c>
      <c r="DB45" s="294">
        <f>DB27+DB42</f>
        <v>-345.36599999999999</v>
      </c>
      <c r="DC45" s="294">
        <f>DC27+DC42</f>
        <v>-188.74899999999991</v>
      </c>
      <c r="DD45" s="295">
        <f>SUM(CZ45:DC45)</f>
        <v>-822.29899999999975</v>
      </c>
      <c r="DE45" s="294">
        <f>DE27+DE42</f>
        <v>-193</v>
      </c>
      <c r="DF45" s="294">
        <f>DF27+DF42</f>
        <v>-1636</v>
      </c>
      <c r="DG45" s="294">
        <f>DG27+DG42</f>
        <v>122</v>
      </c>
      <c r="DH45" s="294">
        <f>DH27+DH42</f>
        <v>289</v>
      </c>
      <c r="DI45" s="295">
        <f>SUM(DE45:DH45)</f>
        <v>-1418</v>
      </c>
      <c r="DJ45" s="294">
        <f>DJ27+DJ42</f>
        <v>86</v>
      </c>
      <c r="DK45" s="294">
        <f>DK27+DK42</f>
        <v>241</v>
      </c>
      <c r="DL45" s="294">
        <f>DL27+DL42</f>
        <v>283</v>
      </c>
      <c r="DM45" s="294">
        <f>DM27+DM42</f>
        <v>422.82872057970485</v>
      </c>
      <c r="DN45" s="295">
        <f>SUM(DJ45:DM45)</f>
        <v>1032.8287205797049</v>
      </c>
      <c r="DO45" s="294">
        <f>DO27+DO42</f>
        <v>146.7847387939612</v>
      </c>
      <c r="DP45" s="294">
        <f>DP27+DP42</f>
        <v>327.80463666424646</v>
      </c>
      <c r="DQ45" s="294">
        <f>DQ27+DQ42</f>
        <v>406.86576647565562</v>
      </c>
      <c r="DR45" s="294">
        <f>DR27+DR42</f>
        <v>598.48405578390282</v>
      </c>
      <c r="DS45" s="295">
        <f>SUM(DO45:DR45)</f>
        <v>1479.9391977177661</v>
      </c>
      <c r="DT45" s="294">
        <f>DT27+DT42</f>
        <v>221.71562736484998</v>
      </c>
      <c r="DU45" s="294">
        <f>DU27+DU42</f>
        <v>440.85453986038874</v>
      </c>
      <c r="DV45" s="294">
        <f>DV27+DV42</f>
        <v>537.85156433333782</v>
      </c>
      <c r="DW45" s="294">
        <f>DW27+DW42</f>
        <v>782.60500673022966</v>
      </c>
      <c r="DX45" s="295">
        <f>SUM(DT45:DW45)</f>
        <v>1983.0267382888062</v>
      </c>
      <c r="DY45" s="294">
        <f>DY27+DY42</f>
        <v>321.1042723091598</v>
      </c>
      <c r="DZ45" s="294">
        <f>DZ27+DZ42</f>
        <v>582.97688271482298</v>
      </c>
      <c r="EA45" s="294">
        <f>EA27+EA42</f>
        <v>700.37339097898735</v>
      </c>
      <c r="EB45" s="294">
        <f>EB27+EB42</f>
        <v>1008.5384765969484</v>
      </c>
      <c r="EC45" s="295">
        <f>SUM(DY45:EB45)</f>
        <v>2612.9930225999187</v>
      </c>
      <c r="ED45" s="1167">
        <f>+(EC45/DN45)^(0.333333333333333)-1</f>
        <v>0.36260500964114195</v>
      </c>
      <c r="EE45" s="139"/>
    </row>
    <row r="46" spans="1:135" s="19" customFormat="1" ht="12" customHeight="1">
      <c r="A46" s="940"/>
      <c r="B46" s="940"/>
      <c r="C46" s="283" t="s">
        <v>140</v>
      </c>
      <c r="D46" s="284"/>
      <c r="E46" s="284"/>
      <c r="F46" s="284"/>
      <c r="G46" s="284"/>
      <c r="H46" s="284"/>
      <c r="I46" s="99"/>
      <c r="J46" s="99"/>
      <c r="K46" s="99"/>
      <c r="L46" s="99"/>
      <c r="M46" s="284"/>
      <c r="N46" s="738"/>
      <c r="O46" s="738"/>
      <c r="P46" s="738"/>
      <c r="Q46" s="738"/>
      <c r="R46" s="284"/>
      <c r="S46" s="738"/>
      <c r="T46" s="738"/>
      <c r="U46" s="738"/>
      <c r="V46" s="738"/>
      <c r="W46" s="284"/>
      <c r="X46" s="738"/>
      <c r="Y46" s="738"/>
      <c r="Z46" s="738"/>
      <c r="AA46" s="738"/>
      <c r="AB46" s="284"/>
      <c r="AC46" s="738"/>
      <c r="AD46" s="738"/>
      <c r="AE46" s="738"/>
      <c r="AF46" s="738"/>
      <c r="AG46" s="284"/>
      <c r="AH46" s="738"/>
      <c r="AI46" s="738"/>
      <c r="AJ46" s="738"/>
      <c r="AK46" s="738"/>
      <c r="AL46" s="284"/>
      <c r="AM46" s="738"/>
      <c r="AN46" s="738"/>
      <c r="AO46" s="738"/>
      <c r="AP46" s="738"/>
      <c r="AQ46" s="284"/>
      <c r="AR46" s="738"/>
      <c r="AS46" s="738"/>
      <c r="AT46" s="738"/>
      <c r="AU46" s="738"/>
      <c r="AV46" s="284"/>
      <c r="AW46" s="738"/>
      <c r="AX46" s="738"/>
      <c r="AY46" s="738"/>
      <c r="AZ46" s="738"/>
      <c r="BA46" s="284"/>
      <c r="BB46" s="738"/>
      <c r="BC46" s="738"/>
      <c r="BD46" s="738"/>
      <c r="BE46" s="738"/>
      <c r="BF46" s="284"/>
      <c r="BG46" s="285"/>
      <c r="BH46" s="285"/>
      <c r="BI46" s="285"/>
      <c r="BJ46" s="285"/>
      <c r="BK46" s="284"/>
      <c r="BL46" s="738"/>
      <c r="BM46" s="738"/>
      <c r="BN46" s="738"/>
      <c r="BO46" s="738"/>
      <c r="BP46" s="284"/>
      <c r="BQ46" s="287"/>
      <c r="BR46" s="287"/>
      <c r="BS46" s="287"/>
      <c r="BT46" s="287"/>
      <c r="BU46" s="286"/>
      <c r="BV46" s="287" t="str">
        <f t="shared" ref="BV46:DA46" si="442">+IF(BQ45&lt;=0,"nm",BV45/BQ45-1)</f>
        <v>nm</v>
      </c>
      <c r="BW46" s="287" t="str">
        <f t="shared" si="442"/>
        <v>nm</v>
      </c>
      <c r="BX46" s="287" t="str">
        <f t="shared" si="442"/>
        <v>nm</v>
      </c>
      <c r="BY46" s="287" t="str">
        <f t="shared" si="442"/>
        <v>nm</v>
      </c>
      <c r="BZ46" s="286" t="str">
        <f t="shared" si="442"/>
        <v>nm</v>
      </c>
      <c r="CA46" s="287" t="str">
        <f t="shared" si="442"/>
        <v>nm</v>
      </c>
      <c r="CB46" s="287" t="str">
        <f t="shared" si="442"/>
        <v>nm</v>
      </c>
      <c r="CC46" s="287" t="str">
        <f t="shared" si="442"/>
        <v>nm</v>
      </c>
      <c r="CD46" s="287" t="str">
        <f t="shared" si="442"/>
        <v>nm</v>
      </c>
      <c r="CE46" s="286" t="str">
        <f t="shared" si="442"/>
        <v>nm</v>
      </c>
      <c r="CF46" s="287" t="str">
        <f t="shared" si="442"/>
        <v>nm</v>
      </c>
      <c r="CG46" s="287" t="str">
        <f t="shared" si="442"/>
        <v>nm</v>
      </c>
      <c r="CH46" s="287" t="str">
        <f t="shared" si="442"/>
        <v>nm</v>
      </c>
      <c r="CI46" s="287" t="str">
        <f t="shared" si="442"/>
        <v>nm</v>
      </c>
      <c r="CJ46" s="286" t="str">
        <f t="shared" si="442"/>
        <v>nm</v>
      </c>
      <c r="CK46" s="287" t="str">
        <f t="shared" si="442"/>
        <v>nm</v>
      </c>
      <c r="CL46" s="287" t="str">
        <f t="shared" si="442"/>
        <v>nm</v>
      </c>
      <c r="CM46" s="287" t="str">
        <f t="shared" si="442"/>
        <v>nm</v>
      </c>
      <c r="CN46" s="287" t="str">
        <f t="shared" si="442"/>
        <v>nm</v>
      </c>
      <c r="CO46" s="286" t="str">
        <f t="shared" si="442"/>
        <v>nm</v>
      </c>
      <c r="CP46" s="287" t="str">
        <f t="shared" si="442"/>
        <v>nm</v>
      </c>
      <c r="CQ46" s="287" t="str">
        <f t="shared" si="442"/>
        <v>nm</v>
      </c>
      <c r="CR46" s="287" t="str">
        <f t="shared" si="442"/>
        <v>nm</v>
      </c>
      <c r="CS46" s="287" t="str">
        <f t="shared" si="442"/>
        <v>nm</v>
      </c>
      <c r="CT46" s="286" t="str">
        <f t="shared" si="442"/>
        <v>nm</v>
      </c>
      <c r="CU46" s="287" t="str">
        <f t="shared" si="442"/>
        <v>nm</v>
      </c>
      <c r="CV46" s="287">
        <f t="shared" si="442"/>
        <v>489.98943661963392</v>
      </c>
      <c r="CW46" s="287">
        <f t="shared" si="442"/>
        <v>-1.0811099464013765</v>
      </c>
      <c r="CX46" s="288">
        <f t="shared" si="442"/>
        <v>-0.87201108929190041</v>
      </c>
      <c r="CY46" s="286">
        <f t="shared" si="442"/>
        <v>1.9798564662296316</v>
      </c>
      <c r="CZ46" s="287">
        <f t="shared" si="442"/>
        <v>-1.8240271154509289</v>
      </c>
      <c r="DA46" s="287">
        <f t="shared" si="442"/>
        <v>-2.3640751285489925</v>
      </c>
      <c r="DB46" s="287" t="str">
        <f t="shared" ref="DB46:EC46" si="443">+IF(CW45&lt;=0,"nm",DB45/CW45-1)</f>
        <v>nm</v>
      </c>
      <c r="DC46" s="287">
        <f t="shared" si="443"/>
        <v>-14.103929464037558</v>
      </c>
      <c r="DD46" s="286">
        <f t="shared" si="443"/>
        <v>-4.0609358888934377</v>
      </c>
      <c r="DE46" s="287" t="str">
        <f t="shared" si="443"/>
        <v>nm</v>
      </c>
      <c r="DF46" s="287" t="str">
        <f t="shared" si="443"/>
        <v>nm</v>
      </c>
      <c r="DG46" s="287" t="str">
        <f t="shared" si="443"/>
        <v>nm</v>
      </c>
      <c r="DH46" s="287" t="str">
        <f t="shared" si="443"/>
        <v>nm</v>
      </c>
      <c r="DI46" s="286" t="str">
        <f t="shared" si="443"/>
        <v>nm</v>
      </c>
      <c r="DJ46" s="287" t="str">
        <f t="shared" si="443"/>
        <v>nm</v>
      </c>
      <c r="DK46" s="287" t="str">
        <f t="shared" si="443"/>
        <v>nm</v>
      </c>
      <c r="DL46" s="287">
        <f t="shared" si="443"/>
        <v>1.319672131147541</v>
      </c>
      <c r="DM46" s="287">
        <f t="shared" si="443"/>
        <v>0.46307515771524166</v>
      </c>
      <c r="DN46" s="286" t="str">
        <f t="shared" si="443"/>
        <v>nm</v>
      </c>
      <c r="DO46" s="287">
        <f t="shared" si="443"/>
        <v>0.70679928830187433</v>
      </c>
      <c r="DP46" s="287">
        <f t="shared" si="443"/>
        <v>0.3601852143744666</v>
      </c>
      <c r="DQ46" s="287">
        <f t="shared" si="443"/>
        <v>0.43768822076203406</v>
      </c>
      <c r="DR46" s="287">
        <f t="shared" si="443"/>
        <v>0.41542905355003268</v>
      </c>
      <c r="DS46" s="286">
        <f t="shared" si="443"/>
        <v>0.43289895820006596</v>
      </c>
      <c r="DT46" s="287">
        <f t="shared" si="443"/>
        <v>0.51048146548850548</v>
      </c>
      <c r="DU46" s="287">
        <f t="shared" si="443"/>
        <v>0.34486975030781375</v>
      </c>
      <c r="DV46" s="287">
        <f t="shared" si="443"/>
        <v>0.32193860641632432</v>
      </c>
      <c r="DW46" s="287">
        <f t="shared" si="443"/>
        <v>0.30764554070728356</v>
      </c>
      <c r="DX46" s="286">
        <f t="shared" si="443"/>
        <v>0.33993797944324888</v>
      </c>
      <c r="DY46" s="287">
        <f t="shared" si="443"/>
        <v>0.4482708148522081</v>
      </c>
      <c r="DZ46" s="287">
        <f t="shared" si="443"/>
        <v>0.32237922036470801</v>
      </c>
      <c r="EA46" s="287">
        <f t="shared" si="443"/>
        <v>0.30216854876511112</v>
      </c>
      <c r="EB46" s="287">
        <f t="shared" si="443"/>
        <v>0.28869412784705051</v>
      </c>
      <c r="EC46" s="286">
        <f t="shared" si="443"/>
        <v>0.31767916798475615</v>
      </c>
      <c r="ED46" s="287"/>
      <c r="EE46" s="139"/>
    </row>
    <row r="47" spans="1:135" s="99" customFormat="1" ht="12" customHeight="1">
      <c r="A47" s="940" t="s">
        <v>438</v>
      </c>
      <c r="B47" s="940"/>
      <c r="C47" s="283" t="s">
        <v>65</v>
      </c>
      <c r="D47" s="744"/>
      <c r="E47" s="744"/>
      <c r="F47" s="744"/>
      <c r="G47" s="744"/>
      <c r="H47" s="744"/>
      <c r="I47" s="738"/>
      <c r="J47" s="738"/>
      <c r="K47" s="738"/>
      <c r="L47" s="738"/>
      <c r="M47" s="744"/>
      <c r="N47" s="738"/>
      <c r="O47" s="738"/>
      <c r="P47" s="738"/>
      <c r="Q47" s="738"/>
      <c r="R47" s="744"/>
      <c r="S47" s="738"/>
      <c r="T47" s="738"/>
      <c r="U47" s="738"/>
      <c r="V47" s="738"/>
      <c r="W47" s="744"/>
      <c r="X47" s="738"/>
      <c r="Y47" s="738"/>
      <c r="Z47" s="738"/>
      <c r="AA47" s="738"/>
      <c r="AB47" s="744"/>
      <c r="AC47" s="738"/>
      <c r="AD47" s="738"/>
      <c r="AE47" s="738"/>
      <c r="AF47" s="738"/>
      <c r="AG47" s="744"/>
      <c r="AH47" s="738"/>
      <c r="AI47" s="738"/>
      <c r="AJ47" s="738"/>
      <c r="AK47" s="738"/>
      <c r="AL47" s="744"/>
      <c r="AM47" s="738"/>
      <c r="AN47" s="738"/>
      <c r="AO47" s="738"/>
      <c r="AP47" s="738"/>
      <c r="AQ47" s="744"/>
      <c r="AR47" s="738"/>
      <c r="AS47" s="738"/>
      <c r="AT47" s="738"/>
      <c r="AU47" s="738"/>
      <c r="AV47" s="744"/>
      <c r="AW47" s="738"/>
      <c r="AX47" s="738"/>
      <c r="AY47" s="738"/>
      <c r="AZ47" s="738"/>
      <c r="BA47" s="744"/>
      <c r="BB47" s="738"/>
      <c r="BC47" s="738"/>
      <c r="BD47" s="738"/>
      <c r="BE47" s="738"/>
      <c r="BF47" s="744"/>
      <c r="BG47" s="738"/>
      <c r="BH47" s="738"/>
      <c r="BI47" s="738"/>
      <c r="BJ47" s="738"/>
      <c r="BK47" s="744"/>
      <c r="BL47" s="738"/>
      <c r="BM47" s="738"/>
      <c r="BN47" s="738"/>
      <c r="BO47" s="738"/>
      <c r="BP47" s="744"/>
      <c r="BQ47" s="287">
        <f t="shared" ref="BQ47:CV47" si="444">BQ45/BQ11</f>
        <v>-9.3070579415229712E-2</v>
      </c>
      <c r="BR47" s="287">
        <f t="shared" si="444"/>
        <v>-7.7037795485910124E-2</v>
      </c>
      <c r="BS47" s="287">
        <f t="shared" si="444"/>
        <v>-8.1460993445231639E-2</v>
      </c>
      <c r="BT47" s="287">
        <f t="shared" si="444"/>
        <v>-9.2898978239493793E-2</v>
      </c>
      <c r="BU47" s="286">
        <f t="shared" si="444"/>
        <v>-8.6516300984734382E-2</v>
      </c>
      <c r="BV47" s="287">
        <f t="shared" si="444"/>
        <v>-0.13354968235197034</v>
      </c>
      <c r="BW47" s="287">
        <f t="shared" si="444"/>
        <v>-9.9934215841287144E-2</v>
      </c>
      <c r="BX47" s="287">
        <f t="shared" si="444"/>
        <v>-9.5292132800417803E-2</v>
      </c>
      <c r="BY47" s="287">
        <f t="shared" si="444"/>
        <v>-7.1366665899695689E-2</v>
      </c>
      <c r="BZ47" s="286">
        <f t="shared" si="444"/>
        <v>-9.5458865230010584E-2</v>
      </c>
      <c r="CA47" s="287">
        <f t="shared" si="444"/>
        <v>-0.11352734752196189</v>
      </c>
      <c r="CB47" s="287">
        <f t="shared" si="444"/>
        <v>-0.10488938709571063</v>
      </c>
      <c r="CC47" s="287">
        <f t="shared" si="444"/>
        <v>-7.393150429264643E-2</v>
      </c>
      <c r="CD47" s="287">
        <f t="shared" si="444"/>
        <v>-2.7435439424811851E-2</v>
      </c>
      <c r="CE47" s="286">
        <f t="shared" si="444"/>
        <v>-7.3008626118365547E-2</v>
      </c>
      <c r="CF47" s="287">
        <f t="shared" si="444"/>
        <v>-9.486330129700489E-2</v>
      </c>
      <c r="CG47" s="287">
        <f t="shared" si="444"/>
        <v>-0.1255740662875619</v>
      </c>
      <c r="CH47" s="287">
        <f t="shared" si="444"/>
        <v>-0.11615024586764629</v>
      </c>
      <c r="CI47" s="287">
        <f t="shared" si="444"/>
        <v>-2.7505220117372831E-2</v>
      </c>
      <c r="CJ47" s="286">
        <f t="shared" si="444"/>
        <v>-8.5648076971457293E-2</v>
      </c>
      <c r="CK47" s="287">
        <f t="shared" si="444"/>
        <v>-0.11167553871980346</v>
      </c>
      <c r="CL47" s="287">
        <f t="shared" si="444"/>
        <v>-0.10945386334566372</v>
      </c>
      <c r="CM47" s="287">
        <f t="shared" si="444"/>
        <v>-9.1301542432249624E-2</v>
      </c>
      <c r="CN47" s="287">
        <f t="shared" si="444"/>
        <v>-5.954351096682229E-2</v>
      </c>
      <c r="CO47" s="286">
        <f t="shared" si="444"/>
        <v>-8.9436962867822448E-2</v>
      </c>
      <c r="CP47" s="287">
        <f t="shared" si="444"/>
        <v>-0.15581456209667641</v>
      </c>
      <c r="CQ47" s="287">
        <f t="shared" si="444"/>
        <v>3.9756922814180993E-4</v>
      </c>
      <c r="CR47" s="287">
        <f t="shared" si="444"/>
        <v>6.5885679660674656E-2</v>
      </c>
      <c r="CS47" s="287">
        <f t="shared" si="444"/>
        <v>0.11510272627599857</v>
      </c>
      <c r="CT47" s="286">
        <f t="shared" si="444"/>
        <v>3.0774288093050984E-2</v>
      </c>
      <c r="CU47" s="287">
        <f t="shared" si="444"/>
        <v>0.12026436129376804</v>
      </c>
      <c r="CV47" s="287">
        <f t="shared" si="444"/>
        <v>0.12456261808306789</v>
      </c>
      <c r="CW47" s="287">
        <f t="shared" ref="CW47:EC47" si="445">CW45/CW11</f>
        <v>-3.6494206844999723E-3</v>
      </c>
      <c r="CX47" s="288">
        <f t="shared" si="445"/>
        <v>1.0437499637687623E-2</v>
      </c>
      <c r="CY47" s="286">
        <f t="shared" si="445"/>
        <v>5.825051779587221E-2</v>
      </c>
      <c r="CZ47" s="287">
        <f t="shared" si="445"/>
        <v>-8.1400903771363525E-2</v>
      </c>
      <c r="DA47" s="287">
        <f t="shared" si="445"/>
        <v>-0.14687161937295712</v>
      </c>
      <c r="DB47" s="287">
        <f t="shared" si="445"/>
        <v>-0.2527931488801054</v>
      </c>
      <c r="DC47" s="287">
        <f t="shared" si="445"/>
        <v>-0.10879042846652805</v>
      </c>
      <c r="DD47" s="286">
        <f t="shared" si="445"/>
        <v>-0.14684267332206632</v>
      </c>
      <c r="DE47" s="287">
        <f t="shared" si="445"/>
        <v>-0.12798408488063662</v>
      </c>
      <c r="DF47" s="287">
        <f t="shared" si="445"/>
        <v>-0.96576151121605669</v>
      </c>
      <c r="DG47" s="287">
        <f t="shared" si="445"/>
        <v>7.1178529754959155E-2</v>
      </c>
      <c r="DH47" s="287">
        <f t="shared" si="445"/>
        <v>0.13479477611940299</v>
      </c>
      <c r="DI47" s="286">
        <f t="shared" si="445"/>
        <v>-0.2008498583569405</v>
      </c>
      <c r="DJ47" s="287">
        <f t="shared" si="445"/>
        <v>4.6211714132186998E-2</v>
      </c>
      <c r="DK47" s="287">
        <f t="shared" si="445"/>
        <v>0.11784841075794621</v>
      </c>
      <c r="DL47" s="287">
        <f t="shared" ref="DL47" si="446">DL45/DL11</f>
        <v>0.13089731729879742</v>
      </c>
      <c r="DM47" s="287">
        <f t="shared" si="445"/>
        <v>0.15639532868559036</v>
      </c>
      <c r="DN47" s="286">
        <f t="shared" si="445"/>
        <v>0.11774704648974821</v>
      </c>
      <c r="DO47" s="287">
        <f t="shared" si="445"/>
        <v>6.2758467256112477E-2</v>
      </c>
      <c r="DP47" s="287">
        <f t="shared" si="445"/>
        <v>0.13070212405901521</v>
      </c>
      <c r="DQ47" s="287">
        <f t="shared" si="445"/>
        <v>0.15458979947557422</v>
      </c>
      <c r="DR47" s="287">
        <f t="shared" si="445"/>
        <v>0.18037825581120645</v>
      </c>
      <c r="DS47" s="286">
        <f t="shared" si="445"/>
        <v>0.1370725735404085</v>
      </c>
      <c r="DT47" s="287">
        <f t="shared" si="445"/>
        <v>7.9206634390845299E-2</v>
      </c>
      <c r="DU47" s="287">
        <f t="shared" si="445"/>
        <v>0.1468953936686789</v>
      </c>
      <c r="DV47" s="287">
        <f t="shared" si="445"/>
        <v>0.17087863159186137</v>
      </c>
      <c r="DW47" s="287">
        <f t="shared" si="445"/>
        <v>0.19685628078008335</v>
      </c>
      <c r="DX47" s="286">
        <f t="shared" si="445"/>
        <v>0.15344429694367939</v>
      </c>
      <c r="DY47" s="287">
        <f t="shared" si="445"/>
        <v>9.7293475867444204E-2</v>
      </c>
      <c r="DZ47" s="287">
        <f t="shared" si="445"/>
        <v>0.16477871545565478</v>
      </c>
      <c r="EA47" s="287">
        <f t="shared" si="445"/>
        <v>0.18883561212474684</v>
      </c>
      <c r="EB47" s="287">
        <f t="shared" si="445"/>
        <v>0.21496881441756355</v>
      </c>
      <c r="EC47" s="286">
        <f t="shared" si="445"/>
        <v>0.17147009240796537</v>
      </c>
      <c r="ED47" s="287"/>
      <c r="EE47" s="139"/>
    </row>
    <row r="48" spans="1:135" ht="12" customHeight="1">
      <c r="A48" s="940"/>
      <c r="B48" s="940"/>
      <c r="C48" s="312" t="s">
        <v>60</v>
      </c>
      <c r="D48" s="322"/>
      <c r="E48" s="322"/>
      <c r="F48" s="322"/>
      <c r="G48" s="322"/>
      <c r="H48" s="322"/>
      <c r="M48" s="322"/>
      <c r="R48" s="322"/>
      <c r="W48" s="322"/>
      <c r="AB48" s="322"/>
      <c r="AG48" s="322"/>
      <c r="AL48" s="322"/>
      <c r="AQ48" s="322"/>
      <c r="AV48" s="322"/>
      <c r="BA48" s="322"/>
      <c r="BF48" s="322"/>
      <c r="BK48" s="322"/>
      <c r="BP48" s="322"/>
      <c r="BQ48" s="382"/>
      <c r="BR48" s="382"/>
      <c r="BS48" s="382"/>
      <c r="BT48" s="382"/>
      <c r="BU48" s="300"/>
      <c r="BV48" s="382"/>
      <c r="BW48" s="382"/>
      <c r="BX48" s="382"/>
      <c r="BY48" s="382"/>
      <c r="BZ48" s="300"/>
      <c r="CA48" s="382"/>
      <c r="CB48" s="382"/>
      <c r="CC48" s="382"/>
      <c r="CD48" s="382"/>
      <c r="CE48" s="300"/>
      <c r="CF48" s="382"/>
      <c r="CG48" s="382"/>
      <c r="CH48" s="382"/>
      <c r="CI48" s="382"/>
      <c r="CJ48" s="300"/>
      <c r="CK48" s="382"/>
      <c r="CL48" s="382"/>
      <c r="CM48" s="382"/>
      <c r="CN48" s="382"/>
      <c r="CO48" s="300"/>
      <c r="CP48" s="382"/>
      <c r="CQ48" s="382"/>
      <c r="CR48" s="382"/>
      <c r="CS48" s="382"/>
      <c r="CT48" s="300"/>
      <c r="CU48" s="382"/>
      <c r="CV48" s="382"/>
      <c r="CW48" s="382"/>
      <c r="CX48" s="382"/>
      <c r="CY48" s="323"/>
      <c r="CZ48" s="382"/>
      <c r="DA48" s="382"/>
      <c r="DB48" s="382"/>
      <c r="DC48" s="382"/>
      <c r="DD48" s="323"/>
      <c r="DE48" s="382"/>
      <c r="DF48" s="382"/>
      <c r="DG48" s="382"/>
      <c r="DH48" s="382"/>
      <c r="DI48" s="323"/>
      <c r="DJ48" s="382"/>
      <c r="DK48" s="382"/>
      <c r="DL48" s="382"/>
      <c r="DM48" s="382"/>
      <c r="DN48" s="323"/>
      <c r="DO48" s="382"/>
      <c r="DP48" s="382"/>
      <c r="DQ48" s="382"/>
      <c r="DR48" s="382"/>
      <c r="DS48" s="323"/>
      <c r="DT48" s="382"/>
      <c r="DU48" s="382"/>
      <c r="DV48" s="382"/>
      <c r="DW48" s="382"/>
      <c r="DX48" s="323"/>
      <c r="DY48" s="382"/>
      <c r="DZ48" s="382"/>
      <c r="EA48" s="382"/>
      <c r="EB48" s="382"/>
      <c r="EC48" s="323"/>
      <c r="ED48" s="275"/>
    </row>
    <row r="49" spans="1:135" ht="12" customHeight="1">
      <c r="A49" s="940"/>
      <c r="B49" s="940"/>
      <c r="C49" s="324" t="s">
        <v>280</v>
      </c>
      <c r="D49" s="322"/>
      <c r="E49" s="322"/>
      <c r="F49" s="322"/>
      <c r="G49" s="322"/>
      <c r="H49" s="322"/>
      <c r="M49" s="322"/>
      <c r="R49" s="322"/>
      <c r="W49" s="322"/>
      <c r="AB49" s="322"/>
      <c r="AG49" s="322"/>
      <c r="AL49" s="322"/>
      <c r="AQ49" s="322"/>
      <c r="AV49" s="322"/>
      <c r="BA49" s="322"/>
      <c r="BF49" s="322"/>
      <c r="BG49" s="325"/>
      <c r="BH49" s="325"/>
      <c r="BI49" s="325"/>
      <c r="BJ49" s="325"/>
      <c r="BK49" s="322"/>
      <c r="BL49" s="325"/>
      <c r="BM49" s="325"/>
      <c r="BN49" s="325"/>
      <c r="BO49" s="325"/>
      <c r="BP49" s="322"/>
      <c r="BQ49" s="282">
        <v>1.0999999999999999E-2</v>
      </c>
      <c r="BR49" s="282">
        <v>0.03</v>
      </c>
      <c r="BS49" s="282">
        <v>5.7000000000000002E-2</v>
      </c>
      <c r="BT49" s="282">
        <v>0.10200000000000001</v>
      </c>
      <c r="BU49" s="300">
        <f t="shared" ref="BU49:BU55" si="447">SUM(BQ49:BT49)</f>
        <v>0.2</v>
      </c>
      <c r="BV49" s="282">
        <v>0.20300000000000001</v>
      </c>
      <c r="BW49" s="282">
        <v>0.23100000000000001</v>
      </c>
      <c r="BX49" s="282">
        <v>0.40400000000000003</v>
      </c>
      <c r="BY49" s="282">
        <v>0.69799999999999995</v>
      </c>
      <c r="BZ49" s="300">
        <f t="shared" ref="BZ49:BZ55" si="448">SUM(BV49:BY49)</f>
        <v>1.536</v>
      </c>
      <c r="CA49" s="282">
        <v>0.71499999999999997</v>
      </c>
      <c r="CB49" s="282">
        <v>1.4350000000000001</v>
      </c>
      <c r="CC49" s="282">
        <v>2.734</v>
      </c>
      <c r="CD49" s="282">
        <v>2.9659999999999993</v>
      </c>
      <c r="CE49" s="300">
        <f t="shared" ref="CE49:CE55" si="449">SUM(CA49:CD49)</f>
        <v>7.85</v>
      </c>
      <c r="CF49" s="282">
        <v>4.649</v>
      </c>
      <c r="CG49" s="282">
        <v>7.444</v>
      </c>
      <c r="CH49" s="282">
        <v>8.0779999999999994</v>
      </c>
      <c r="CI49" s="282">
        <v>9.2650000000000006</v>
      </c>
      <c r="CJ49" s="300">
        <f t="shared" ref="CJ49:CJ55" si="450">SUM(CF49:CI49)</f>
        <v>29.436</v>
      </c>
      <c r="CK49" s="282">
        <v>12.077999999999999</v>
      </c>
      <c r="CL49" s="282">
        <v>12.173999999999999</v>
      </c>
      <c r="CM49" s="282">
        <v>11.644</v>
      </c>
      <c r="CN49" s="282">
        <v>12.286000000000005</v>
      </c>
      <c r="CO49" s="300">
        <f t="shared" ref="CO49:CO61" si="451">SUM(CK49:CN49)</f>
        <v>48.182000000000002</v>
      </c>
      <c r="CP49" s="282">
        <v>10.467000000000001</v>
      </c>
      <c r="CQ49" s="282">
        <v>5.952</v>
      </c>
      <c r="CR49" s="282">
        <v>3.7879999999999998</v>
      </c>
      <c r="CS49" s="282">
        <v>3.2270000000000003</v>
      </c>
      <c r="CT49" s="300">
        <f t="shared" ref="CT49:CT54" si="452">SUM(CP49:CS49)</f>
        <v>23.434000000000001</v>
      </c>
      <c r="CU49" s="282">
        <v>2.83</v>
      </c>
      <c r="CV49" s="282">
        <v>3.0920000000000001</v>
      </c>
      <c r="CW49" s="282">
        <v>4.516</v>
      </c>
      <c r="CX49" s="282">
        <v>4.9179999999999993</v>
      </c>
      <c r="CY49" s="300">
        <f t="shared" ref="CY49:CY61" si="453">SUM(CU49:CX49)</f>
        <v>15.356</v>
      </c>
      <c r="CZ49" s="282">
        <v>6.1890000000000001</v>
      </c>
      <c r="DA49" s="282">
        <v>12.505000000000001</v>
      </c>
      <c r="DB49" s="282">
        <v>20.884</v>
      </c>
      <c r="DC49" s="282">
        <f>79.141-SUM(CZ49:DB49)</f>
        <v>39.563000000000002</v>
      </c>
      <c r="DD49" s="300">
        <f t="shared" ref="DD49:DD61" si="454">SUM(CZ49:DC49)</f>
        <v>79.141000000000005</v>
      </c>
      <c r="DE49" s="282">
        <v>52</v>
      </c>
      <c r="DF49" s="282">
        <v>58</v>
      </c>
      <c r="DG49" s="282">
        <v>63</v>
      </c>
      <c r="DH49" s="282">
        <f>241-DG49-DF49-DE49</f>
        <v>68</v>
      </c>
      <c r="DI49" s="300">
        <f t="shared" ref="DI49:DI61" si="455">SUM(DE49:DH49)</f>
        <v>241</v>
      </c>
      <c r="DJ49" s="282">
        <v>79</v>
      </c>
      <c r="DK49" s="282">
        <v>80</v>
      </c>
      <c r="DL49" s="282">
        <v>77</v>
      </c>
      <c r="DM49" s="326">
        <f>DL49</f>
        <v>77</v>
      </c>
      <c r="DN49" s="300">
        <f t="shared" ref="DN49:DN61" si="456">SUM(DJ49:DM49)</f>
        <v>313</v>
      </c>
      <c r="DO49" s="326">
        <f>DM49</f>
        <v>77</v>
      </c>
      <c r="DP49" s="326">
        <f t="shared" ref="DP49:DR49" si="457">DO49</f>
        <v>77</v>
      </c>
      <c r="DQ49" s="326">
        <f t="shared" si="457"/>
        <v>77</v>
      </c>
      <c r="DR49" s="326">
        <f t="shared" si="457"/>
        <v>77</v>
      </c>
      <c r="DS49" s="300">
        <f t="shared" ref="DS49:DS61" si="458">SUM(DO49:DR49)</f>
        <v>308</v>
      </c>
      <c r="DT49" s="326">
        <f t="shared" ref="DT49" si="459">DR49</f>
        <v>77</v>
      </c>
      <c r="DU49" s="326">
        <f t="shared" ref="DU49:EB49" si="460">DT49</f>
        <v>77</v>
      </c>
      <c r="DV49" s="326">
        <f t="shared" si="460"/>
        <v>77</v>
      </c>
      <c r="DW49" s="326">
        <f t="shared" si="460"/>
        <v>77</v>
      </c>
      <c r="DX49" s="300">
        <f t="shared" ref="DX49" si="461">SUM(DT49:DW49)</f>
        <v>308</v>
      </c>
      <c r="DY49" s="326">
        <f t="shared" ref="DY49" si="462">DW49</f>
        <v>77</v>
      </c>
      <c r="DZ49" s="326">
        <f t="shared" si="460"/>
        <v>77</v>
      </c>
      <c r="EA49" s="326">
        <f t="shared" si="460"/>
        <v>77</v>
      </c>
      <c r="EB49" s="326">
        <f t="shared" si="460"/>
        <v>77</v>
      </c>
      <c r="EC49" s="300">
        <f t="shared" ref="EC49" si="463">SUM(DY49:EB49)</f>
        <v>308</v>
      </c>
      <c r="ED49" s="491"/>
    </row>
    <row r="50" spans="1:135" ht="12" customHeight="1">
      <c r="A50" s="940"/>
      <c r="B50" s="940"/>
      <c r="C50" s="324" t="s">
        <v>279</v>
      </c>
      <c r="D50" s="322"/>
      <c r="E50" s="322"/>
      <c r="F50" s="322"/>
      <c r="G50" s="322"/>
      <c r="H50" s="322"/>
      <c r="M50" s="322"/>
      <c r="R50" s="322"/>
      <c r="W50" s="322"/>
      <c r="AB50" s="322"/>
      <c r="AG50" s="322"/>
      <c r="AL50" s="322"/>
      <c r="AQ50" s="322"/>
      <c r="AV50" s="322"/>
      <c r="BA50" s="322"/>
      <c r="BF50" s="322"/>
      <c r="BG50" s="325"/>
      <c r="BH50" s="325"/>
      <c r="BI50" s="325"/>
      <c r="BJ50" s="325"/>
      <c r="BK50" s="322"/>
      <c r="BL50" s="325"/>
      <c r="BM50" s="325"/>
      <c r="BN50" s="325"/>
      <c r="BO50" s="325"/>
      <c r="BP50" s="322"/>
      <c r="BQ50" s="282">
        <v>0</v>
      </c>
      <c r="BR50" s="282">
        <v>0</v>
      </c>
      <c r="BS50" s="282">
        <v>0</v>
      </c>
      <c r="BT50" s="282">
        <v>0</v>
      </c>
      <c r="BU50" s="300">
        <f t="shared" si="447"/>
        <v>0</v>
      </c>
      <c r="BV50" s="282">
        <v>0</v>
      </c>
      <c r="BW50" s="282">
        <v>0</v>
      </c>
      <c r="BX50" s="282">
        <v>0</v>
      </c>
      <c r="BY50" s="282">
        <v>0</v>
      </c>
      <c r="BZ50" s="300">
        <f t="shared" si="448"/>
        <v>0</v>
      </c>
      <c r="CA50" s="282">
        <v>0</v>
      </c>
      <c r="CB50" s="282">
        <v>0</v>
      </c>
      <c r="CC50" s="282">
        <v>0</v>
      </c>
      <c r="CD50" s="282">
        <v>0</v>
      </c>
      <c r="CE50" s="300">
        <f t="shared" si="449"/>
        <v>0</v>
      </c>
      <c r="CF50" s="282">
        <v>0</v>
      </c>
      <c r="CG50" s="282">
        <v>0</v>
      </c>
      <c r="CH50" s="282">
        <v>0</v>
      </c>
      <c r="CI50" s="282">
        <v>0</v>
      </c>
      <c r="CJ50" s="300">
        <f t="shared" si="450"/>
        <v>0</v>
      </c>
      <c r="CK50" s="282">
        <v>0</v>
      </c>
      <c r="CL50" s="282">
        <v>0</v>
      </c>
      <c r="CM50" s="282">
        <v>0</v>
      </c>
      <c r="CN50" s="282">
        <v>0</v>
      </c>
      <c r="CO50" s="300">
        <f t="shared" si="451"/>
        <v>0</v>
      </c>
      <c r="CP50" s="282">
        <v>0</v>
      </c>
      <c r="CQ50" s="282">
        <v>0</v>
      </c>
      <c r="CR50" s="282">
        <v>-1.238</v>
      </c>
      <c r="CS50" s="282">
        <v>-7.8470000000000013</v>
      </c>
      <c r="CT50" s="300">
        <f t="shared" si="452"/>
        <v>-9.0850000000000009</v>
      </c>
      <c r="CU50" s="282">
        <v>-0.873</v>
      </c>
      <c r="CV50" s="282">
        <v>-0.87</v>
      </c>
      <c r="CW50" s="282">
        <v>-0.872</v>
      </c>
      <c r="CX50" s="282">
        <v>-0.87800000000000011</v>
      </c>
      <c r="CY50" s="300">
        <f t="shared" si="453"/>
        <v>-3.4929999999999999</v>
      </c>
      <c r="CZ50" s="282">
        <v>-0.874</v>
      </c>
      <c r="DA50" s="282">
        <v>-0.86899999999999999</v>
      </c>
      <c r="DB50" s="282">
        <v>-0.877</v>
      </c>
      <c r="DC50" s="282">
        <f>-3.499-SUM(CZ50:DB50)</f>
        <v>-0.879</v>
      </c>
      <c r="DD50" s="300">
        <f t="shared" si="454"/>
        <v>-3.4990000000000001</v>
      </c>
      <c r="DE50" s="282">
        <v>0</v>
      </c>
      <c r="DF50" s="282">
        <v>0</v>
      </c>
      <c r="DG50" s="282">
        <v>0</v>
      </c>
      <c r="DH50" s="282">
        <f>DG50</f>
        <v>0</v>
      </c>
      <c r="DI50" s="300">
        <f t="shared" si="455"/>
        <v>0</v>
      </c>
      <c r="DJ50" s="282">
        <f>DI50</f>
        <v>0</v>
      </c>
      <c r="DK50" s="282">
        <f>DJ50</f>
        <v>0</v>
      </c>
      <c r="DL50" s="282">
        <f>DK50</f>
        <v>0</v>
      </c>
      <c r="DM50" s="326">
        <f>DL50</f>
        <v>0</v>
      </c>
      <c r="DN50" s="300">
        <f t="shared" si="456"/>
        <v>0</v>
      </c>
      <c r="DO50" s="326">
        <f>DM50</f>
        <v>0</v>
      </c>
      <c r="DP50" s="326">
        <f>DO50</f>
        <v>0</v>
      </c>
      <c r="DQ50" s="326">
        <f>DP50</f>
        <v>0</v>
      </c>
      <c r="DR50" s="326">
        <f>DQ50</f>
        <v>0</v>
      </c>
      <c r="DS50" s="300">
        <f t="shared" si="458"/>
        <v>0</v>
      </c>
      <c r="DT50" s="326">
        <f>DR50</f>
        <v>0</v>
      </c>
      <c r="DU50" s="326">
        <f>DT50</f>
        <v>0</v>
      </c>
      <c r="DV50" s="326">
        <f>DU50</f>
        <v>0</v>
      </c>
      <c r="DW50" s="326">
        <f>DV50</f>
        <v>0</v>
      </c>
      <c r="DX50" s="300">
        <f t="shared" ref="DX50:DX61" si="464">SUM(DT50:DW50)</f>
        <v>0</v>
      </c>
      <c r="DY50" s="326">
        <f>DW50</f>
        <v>0</v>
      </c>
      <c r="DZ50" s="326">
        <f>DY50</f>
        <v>0</v>
      </c>
      <c r="EA50" s="326">
        <f>DZ50</f>
        <v>0</v>
      </c>
      <c r="EB50" s="326">
        <f>EA50</f>
        <v>0</v>
      </c>
      <c r="EC50" s="300">
        <f t="shared" ref="EC50:EC61" si="465">SUM(DY50:EB50)</f>
        <v>0</v>
      </c>
      <c r="ED50" s="491"/>
    </row>
    <row r="51" spans="1:135" ht="12" customHeight="1">
      <c r="A51" s="940"/>
      <c r="B51" s="940"/>
      <c r="C51" s="94" t="s">
        <v>281</v>
      </c>
      <c r="D51" s="327"/>
      <c r="E51" s="327"/>
      <c r="F51" s="327"/>
      <c r="G51" s="327"/>
      <c r="H51" s="327"/>
      <c r="I51" s="119"/>
      <c r="J51" s="119"/>
      <c r="K51" s="119"/>
      <c r="L51" s="119"/>
      <c r="M51" s="327"/>
      <c r="N51" s="119"/>
      <c r="O51" s="119"/>
      <c r="P51" s="119"/>
      <c r="Q51" s="119"/>
      <c r="R51" s="327"/>
      <c r="S51" s="119"/>
      <c r="T51" s="119"/>
      <c r="U51" s="119"/>
      <c r="V51" s="119"/>
      <c r="W51" s="327"/>
      <c r="X51" s="119"/>
      <c r="Y51" s="119"/>
      <c r="Z51" s="119"/>
      <c r="AA51" s="119"/>
      <c r="AB51" s="327"/>
      <c r="AC51" s="119"/>
      <c r="AD51" s="119"/>
      <c r="AE51" s="119"/>
      <c r="AF51" s="119"/>
      <c r="AG51" s="327"/>
      <c r="AH51" s="119"/>
      <c r="AI51" s="119"/>
      <c r="AJ51" s="119"/>
      <c r="AK51" s="119"/>
      <c r="AL51" s="327"/>
      <c r="AM51" s="119"/>
      <c r="AN51" s="119"/>
      <c r="AO51" s="119"/>
      <c r="AP51" s="119"/>
      <c r="AQ51" s="327"/>
      <c r="AR51" s="119"/>
      <c r="AS51" s="119"/>
      <c r="AT51" s="119"/>
      <c r="AU51" s="119"/>
      <c r="AV51" s="327"/>
      <c r="AW51" s="119"/>
      <c r="AX51" s="119"/>
      <c r="AY51" s="119"/>
      <c r="AZ51" s="119"/>
      <c r="BA51" s="327"/>
      <c r="BB51" s="119"/>
      <c r="BC51" s="119"/>
      <c r="BD51" s="119"/>
      <c r="BE51" s="119"/>
      <c r="BF51" s="327"/>
      <c r="BG51" s="328"/>
      <c r="BH51" s="328"/>
      <c r="BI51" s="328"/>
      <c r="BJ51" s="328"/>
      <c r="BK51" s="327"/>
      <c r="BL51" s="328"/>
      <c r="BM51" s="328"/>
      <c r="BN51" s="328"/>
      <c r="BO51" s="328"/>
      <c r="BP51" s="327"/>
      <c r="BQ51" s="329">
        <f>SUM(BQ49:BQ50)</f>
        <v>1.0999999999999999E-2</v>
      </c>
      <c r="BR51" s="329">
        <f>SUM(BR49:BR50)</f>
        <v>0.03</v>
      </c>
      <c r="BS51" s="329">
        <f>SUM(BS49:BS50)</f>
        <v>5.7000000000000002E-2</v>
      </c>
      <c r="BT51" s="329">
        <f>SUM(BT49:BT50)</f>
        <v>0.10200000000000001</v>
      </c>
      <c r="BU51" s="317">
        <f t="shared" si="447"/>
        <v>0.2</v>
      </c>
      <c r="BV51" s="329">
        <f>SUM(BV49:BV50)</f>
        <v>0.20300000000000001</v>
      </c>
      <c r="BW51" s="329">
        <f>SUM(BW49:BW50)</f>
        <v>0.23100000000000001</v>
      </c>
      <c r="BX51" s="329">
        <f>SUM(BX49:BX50)</f>
        <v>0.40400000000000003</v>
      </c>
      <c r="BY51" s="329">
        <f>SUM(BY49:BY50)</f>
        <v>0.69799999999999995</v>
      </c>
      <c r="BZ51" s="317">
        <f t="shared" si="448"/>
        <v>1.536</v>
      </c>
      <c r="CA51" s="329">
        <f>SUM(CA49:CA50)</f>
        <v>0.71499999999999997</v>
      </c>
      <c r="CB51" s="329">
        <f>SUM(CB49:CB50)</f>
        <v>1.4350000000000001</v>
      </c>
      <c r="CC51" s="329">
        <f>SUM(CC49:CC50)</f>
        <v>2.734</v>
      </c>
      <c r="CD51" s="329">
        <f>SUM(CD49:CD50)</f>
        <v>2.9659999999999993</v>
      </c>
      <c r="CE51" s="317">
        <f t="shared" si="449"/>
        <v>7.85</v>
      </c>
      <c r="CF51" s="329">
        <f>SUM(CF49:CF50)</f>
        <v>4.649</v>
      </c>
      <c r="CG51" s="329">
        <f>SUM(CG49:CG50)</f>
        <v>7.444</v>
      </c>
      <c r="CH51" s="329">
        <f>SUM(CH49:CH50)</f>
        <v>8.0779999999999994</v>
      </c>
      <c r="CI51" s="329">
        <f>SUM(CI49:CI50)</f>
        <v>9.2650000000000006</v>
      </c>
      <c r="CJ51" s="317">
        <f t="shared" si="450"/>
        <v>29.436</v>
      </c>
      <c r="CK51" s="329">
        <f>SUM(CK49:CK50)</f>
        <v>12.077999999999999</v>
      </c>
      <c r="CL51" s="329">
        <f>SUM(CL49:CL50)</f>
        <v>12.173999999999999</v>
      </c>
      <c r="CM51" s="329">
        <f>SUM(CM49:CM50)</f>
        <v>11.644</v>
      </c>
      <c r="CN51" s="329">
        <f>SUM(CN49:CN50)</f>
        <v>12.286000000000005</v>
      </c>
      <c r="CO51" s="317">
        <f t="shared" si="451"/>
        <v>48.182000000000002</v>
      </c>
      <c r="CP51" s="329">
        <f>SUM(CP49:CP50)</f>
        <v>10.467000000000001</v>
      </c>
      <c r="CQ51" s="329">
        <f>SUM(CQ49:CQ50)</f>
        <v>5.952</v>
      </c>
      <c r="CR51" s="329">
        <f>SUM(CR49:CR50)</f>
        <v>2.5499999999999998</v>
      </c>
      <c r="CS51" s="329">
        <f>SUM(CS49:CS50)</f>
        <v>-4.620000000000001</v>
      </c>
      <c r="CT51" s="317">
        <f t="shared" si="452"/>
        <v>14.349</v>
      </c>
      <c r="CU51" s="329">
        <f>SUM(CU49:CU50)</f>
        <v>1.9570000000000001</v>
      </c>
      <c r="CV51" s="329">
        <f>SUM(CV49:CV50)</f>
        <v>2.222</v>
      </c>
      <c r="CW51" s="329">
        <f>SUM(CW49:CW50)</f>
        <v>3.6440000000000001</v>
      </c>
      <c r="CX51" s="329">
        <f>SUM(CX49:CX50)</f>
        <v>4.0399999999999991</v>
      </c>
      <c r="CY51" s="317">
        <f t="shared" si="453"/>
        <v>11.863</v>
      </c>
      <c r="CZ51" s="329">
        <f>SUM(CZ49:CZ50)</f>
        <v>5.3150000000000004</v>
      </c>
      <c r="DA51" s="329">
        <f>SUM(DA49:DA50)</f>
        <v>11.636000000000001</v>
      </c>
      <c r="DB51" s="329">
        <f>SUM(DB49:DB50)</f>
        <v>20.007000000000001</v>
      </c>
      <c r="DC51" s="329">
        <f>SUM(DC49:DC50)</f>
        <v>38.684000000000005</v>
      </c>
      <c r="DD51" s="317">
        <f t="shared" si="454"/>
        <v>75.641999999999996</v>
      </c>
      <c r="DE51" s="329">
        <f>SUM(DE49:DE50)</f>
        <v>52</v>
      </c>
      <c r="DF51" s="329">
        <f>SUM(DF49:DF50)</f>
        <v>58</v>
      </c>
      <c r="DG51" s="329">
        <f>SUM(DG49:DG50)</f>
        <v>63</v>
      </c>
      <c r="DH51" s="329">
        <f>SUM(DH49:DH50)</f>
        <v>68</v>
      </c>
      <c r="DI51" s="317">
        <f t="shared" si="455"/>
        <v>241</v>
      </c>
      <c r="DJ51" s="329">
        <f>SUM(DJ49:DJ50)</f>
        <v>79</v>
      </c>
      <c r="DK51" s="329">
        <f>SUM(DK49:DK50)</f>
        <v>80</v>
      </c>
      <c r="DL51" s="329">
        <f>SUM(DL49:DL50)</f>
        <v>77</v>
      </c>
      <c r="DM51" s="329">
        <f>SUM(DM49:DM50)</f>
        <v>77</v>
      </c>
      <c r="DN51" s="317">
        <f t="shared" si="456"/>
        <v>313</v>
      </c>
      <c r="DO51" s="329">
        <f>SUM(DO49:DO50)</f>
        <v>77</v>
      </c>
      <c r="DP51" s="329">
        <f>SUM(DP49:DP50)</f>
        <v>77</v>
      </c>
      <c r="DQ51" s="329">
        <f>SUM(DQ49:DQ50)</f>
        <v>77</v>
      </c>
      <c r="DR51" s="329">
        <f>SUM(DR49:DR50)</f>
        <v>77</v>
      </c>
      <c r="DS51" s="317">
        <f t="shared" si="458"/>
        <v>308</v>
      </c>
      <c r="DT51" s="329">
        <f>SUM(DT49:DT50)</f>
        <v>77</v>
      </c>
      <c r="DU51" s="329">
        <f>SUM(DU49:DU50)</f>
        <v>77</v>
      </c>
      <c r="DV51" s="329">
        <f>SUM(DV49:DV50)</f>
        <v>77</v>
      </c>
      <c r="DW51" s="329">
        <f>SUM(DW49:DW50)</f>
        <v>77</v>
      </c>
      <c r="DX51" s="317">
        <f t="shared" si="464"/>
        <v>308</v>
      </c>
      <c r="DY51" s="329">
        <f>SUM(DY49:DY50)</f>
        <v>77</v>
      </c>
      <c r="DZ51" s="329">
        <f>SUM(DZ49:DZ50)</f>
        <v>77</v>
      </c>
      <c r="EA51" s="329">
        <f>SUM(EA49:EA50)</f>
        <v>77</v>
      </c>
      <c r="EB51" s="329">
        <f>SUM(EB49:EB50)</f>
        <v>77</v>
      </c>
      <c r="EC51" s="317">
        <f t="shared" si="465"/>
        <v>308</v>
      </c>
      <c r="ED51" s="491"/>
    </row>
    <row r="52" spans="1:135" ht="12" customHeight="1">
      <c r="A52" s="940"/>
      <c r="B52" s="940"/>
      <c r="C52" s="123" t="s">
        <v>252</v>
      </c>
      <c r="D52" s="322"/>
      <c r="E52" s="322"/>
      <c r="F52" s="322"/>
      <c r="G52" s="322"/>
      <c r="H52" s="322"/>
      <c r="M52" s="322"/>
      <c r="R52" s="322"/>
      <c r="W52" s="322"/>
      <c r="AB52" s="322"/>
      <c r="AG52" s="322"/>
      <c r="AL52" s="322"/>
      <c r="AQ52" s="322"/>
      <c r="AV52" s="322"/>
      <c r="BA52" s="322"/>
      <c r="BF52" s="322"/>
      <c r="BG52" s="325"/>
      <c r="BH52" s="325"/>
      <c r="BI52" s="325"/>
      <c r="BJ52" s="325"/>
      <c r="BK52" s="322"/>
      <c r="BL52" s="325"/>
      <c r="BM52" s="325"/>
      <c r="BN52" s="325"/>
      <c r="BO52" s="325"/>
      <c r="BP52" s="322"/>
      <c r="BQ52" s="282">
        <v>0</v>
      </c>
      <c r="BR52" s="282">
        <v>0</v>
      </c>
      <c r="BS52" s="282">
        <v>0</v>
      </c>
      <c r="BT52" s="282">
        <v>0</v>
      </c>
      <c r="BU52" s="300">
        <f t="shared" si="447"/>
        <v>0</v>
      </c>
      <c r="BV52" s="282">
        <v>0</v>
      </c>
      <c r="BW52" s="282">
        <v>0</v>
      </c>
      <c r="BX52" s="282">
        <v>0</v>
      </c>
      <c r="BY52" s="282">
        <v>0</v>
      </c>
      <c r="BZ52" s="300">
        <f t="shared" si="448"/>
        <v>0</v>
      </c>
      <c r="CA52" s="282">
        <v>0</v>
      </c>
      <c r="CB52" s="282">
        <v>0</v>
      </c>
      <c r="CC52" s="282">
        <v>0</v>
      </c>
      <c r="CD52" s="282">
        <v>0</v>
      </c>
      <c r="CE52" s="300">
        <f t="shared" si="449"/>
        <v>0</v>
      </c>
      <c r="CF52" s="282">
        <v>0</v>
      </c>
      <c r="CG52" s="282">
        <v>0</v>
      </c>
      <c r="CH52" s="282">
        <v>0</v>
      </c>
      <c r="CI52" s="282">
        <v>0</v>
      </c>
      <c r="CJ52" s="300">
        <f t="shared" si="450"/>
        <v>0</v>
      </c>
      <c r="CK52" s="282">
        <v>0</v>
      </c>
      <c r="CL52" s="282">
        <v>0</v>
      </c>
      <c r="CM52" s="282">
        <v>0</v>
      </c>
      <c r="CN52" s="282">
        <v>0</v>
      </c>
      <c r="CO52" s="300">
        <f t="shared" si="451"/>
        <v>0</v>
      </c>
      <c r="CP52" s="282">
        <v>0</v>
      </c>
      <c r="CQ52" s="282">
        <v>0</v>
      </c>
      <c r="CR52" s="282">
        <v>133.239</v>
      </c>
      <c r="CS52" s="282">
        <v>1.9540000000000077</v>
      </c>
      <c r="CT52" s="300">
        <f t="shared" si="452"/>
        <v>135.19300000000001</v>
      </c>
      <c r="CU52" s="282">
        <v>1250.944</v>
      </c>
      <c r="CV52" s="282">
        <v>777.74900000000002</v>
      </c>
      <c r="CW52" s="282">
        <v>1340.8420000000001</v>
      </c>
      <c r="CX52" s="282">
        <v>-509.73499999999967</v>
      </c>
      <c r="CY52" s="300">
        <f t="shared" si="453"/>
        <v>2859.8</v>
      </c>
      <c r="CZ52" s="282">
        <f>-1677.442+122.322</f>
        <v>-1555.12</v>
      </c>
      <c r="DA52" s="302">
        <f>-1018.478+1.461</f>
        <v>-1017.0169999999999</v>
      </c>
      <c r="DB52" s="302">
        <f>173.008-1.088</f>
        <v>171.92000000000002</v>
      </c>
      <c r="DC52" s="302">
        <f>-2998.296+124.006-SUM(CZ52:DB52)</f>
        <v>-474.07300000000032</v>
      </c>
      <c r="DD52" s="300">
        <f t="shared" si="454"/>
        <v>-2874.29</v>
      </c>
      <c r="DE52" s="302">
        <v>215</v>
      </c>
      <c r="DF52" s="302">
        <v>281</v>
      </c>
      <c r="DG52" s="302">
        <f>555-10</f>
        <v>545</v>
      </c>
      <c r="DH52" s="302">
        <f>1424-5-58-DG52-DF52-DE52</f>
        <v>320</v>
      </c>
      <c r="DI52" s="300">
        <f t="shared" si="455"/>
        <v>1361</v>
      </c>
      <c r="DJ52" s="302">
        <f>-373-44</f>
        <v>-417</v>
      </c>
      <c r="DK52" s="302">
        <v>-120</v>
      </c>
      <c r="DL52" s="302">
        <f>512-28</f>
        <v>484</v>
      </c>
      <c r="DM52" s="326">
        <v>0</v>
      </c>
      <c r="DN52" s="300">
        <f t="shared" si="456"/>
        <v>-53</v>
      </c>
      <c r="DO52" s="326">
        <v>0</v>
      </c>
      <c r="DP52" s="326">
        <v>0</v>
      </c>
      <c r="DQ52" s="326">
        <v>0</v>
      </c>
      <c r="DR52" s="326">
        <v>0</v>
      </c>
      <c r="DS52" s="300">
        <f t="shared" si="458"/>
        <v>0</v>
      </c>
      <c r="DT52" s="326">
        <v>0</v>
      </c>
      <c r="DU52" s="326">
        <v>0</v>
      </c>
      <c r="DV52" s="326">
        <v>0</v>
      </c>
      <c r="DW52" s="326">
        <v>0</v>
      </c>
      <c r="DX52" s="300">
        <f t="shared" si="464"/>
        <v>0</v>
      </c>
      <c r="DY52" s="326">
        <v>0</v>
      </c>
      <c r="DZ52" s="326">
        <v>0</v>
      </c>
      <c r="EA52" s="326">
        <v>0</v>
      </c>
      <c r="EB52" s="326">
        <v>0</v>
      </c>
      <c r="EC52" s="300">
        <f t="shared" si="465"/>
        <v>0</v>
      </c>
      <c r="ED52" s="491"/>
    </row>
    <row r="53" spans="1:135" ht="12" customHeight="1">
      <c r="A53" s="940"/>
      <c r="B53" s="940"/>
      <c r="C53" s="123" t="s">
        <v>278</v>
      </c>
      <c r="D53" s="322"/>
      <c r="E53" s="322"/>
      <c r="F53" s="322"/>
      <c r="G53" s="322"/>
      <c r="H53" s="322"/>
      <c r="M53" s="322"/>
      <c r="R53" s="322"/>
      <c r="W53" s="322"/>
      <c r="AB53" s="322"/>
      <c r="AG53" s="322"/>
      <c r="AL53" s="322"/>
      <c r="AQ53" s="322"/>
      <c r="AV53" s="322"/>
      <c r="BA53" s="322"/>
      <c r="BF53" s="322"/>
      <c r="BG53" s="325"/>
      <c r="BH53" s="325"/>
      <c r="BI53" s="325"/>
      <c r="BJ53" s="325"/>
      <c r="BK53" s="322"/>
      <c r="BL53" s="325"/>
      <c r="BM53" s="325"/>
      <c r="BN53" s="325"/>
      <c r="BO53" s="325"/>
      <c r="BP53" s="322"/>
      <c r="BQ53" s="282">
        <v>-1.0649999999999999</v>
      </c>
      <c r="BR53" s="282">
        <v>0.13500000000000001</v>
      </c>
      <c r="BS53" s="282">
        <v>-0.41399999999999998</v>
      </c>
      <c r="BT53" s="282">
        <v>0.10999999999999988</v>
      </c>
      <c r="BU53" s="300">
        <f t="shared" si="447"/>
        <v>-1.234</v>
      </c>
      <c r="BV53" s="282">
        <v>0.57999999999999996</v>
      </c>
      <c r="BW53" s="282">
        <v>-1.0999999999999999E-2</v>
      </c>
      <c r="BX53" s="282">
        <v>-3.5000000000000003E-2</v>
      </c>
      <c r="BY53" s="282">
        <v>-0.2599999999999999</v>
      </c>
      <c r="BZ53" s="300">
        <f t="shared" si="448"/>
        <v>0.27400000000000002</v>
      </c>
      <c r="CA53" s="282">
        <v>0.14799999999999999</v>
      </c>
      <c r="CB53" s="282">
        <v>0.442</v>
      </c>
      <c r="CC53" s="282">
        <v>0.56200000000000006</v>
      </c>
      <c r="CD53" s="282">
        <v>0.15999999999999992</v>
      </c>
      <c r="CE53" s="300">
        <f t="shared" si="449"/>
        <v>1.3120000000000001</v>
      </c>
      <c r="CF53" s="282">
        <v>-0.218</v>
      </c>
      <c r="CG53" s="282">
        <v>-0.63600000000000001</v>
      </c>
      <c r="CH53" s="282">
        <v>0.106</v>
      </c>
      <c r="CI53" s="282">
        <v>-1.321</v>
      </c>
      <c r="CJ53" s="300">
        <f t="shared" si="450"/>
        <v>-2.069</v>
      </c>
      <c r="CK53" s="282">
        <v>-0.439</v>
      </c>
      <c r="CL53" s="282">
        <v>-1.232</v>
      </c>
      <c r="CM53" s="282">
        <v>-0.432</v>
      </c>
      <c r="CN53" s="282">
        <v>-0.74699999999999989</v>
      </c>
      <c r="CO53" s="300">
        <f t="shared" si="451"/>
        <v>-2.85</v>
      </c>
      <c r="CP53" s="282">
        <v>2.6419999999999999</v>
      </c>
      <c r="CQ53" s="282">
        <v>-1.8680000000000001</v>
      </c>
      <c r="CR53" s="282">
        <v>1.7000000000000001E-2</v>
      </c>
      <c r="CS53" s="282">
        <v>-0.12199999999999989</v>
      </c>
      <c r="CT53" s="300">
        <f t="shared" si="452"/>
        <v>0.66899999999999993</v>
      </c>
      <c r="CU53" s="282">
        <v>-2.2559999999999998</v>
      </c>
      <c r="CV53" s="282">
        <v>-9.7000000000000003E-2</v>
      </c>
      <c r="CW53" s="282">
        <v>6.7000000000000004E-2</v>
      </c>
      <c r="CX53" s="282">
        <v>2.5719999999999996</v>
      </c>
      <c r="CY53" s="300">
        <f t="shared" si="453"/>
        <v>0.28600000000000003</v>
      </c>
      <c r="CZ53" s="282">
        <v>-5.0759999999999996</v>
      </c>
      <c r="DA53" s="302">
        <v>-2.661</v>
      </c>
      <c r="DB53" s="302">
        <v>-3.694</v>
      </c>
      <c r="DC53" s="302">
        <f>-1.901-SUM(CZ53:DB53)</f>
        <v>9.5300000000000011</v>
      </c>
      <c r="DD53" s="300">
        <f t="shared" si="454"/>
        <v>-1.9009999999999998</v>
      </c>
      <c r="DE53" s="302">
        <v>2</v>
      </c>
      <c r="DF53" s="302">
        <v>-4</v>
      </c>
      <c r="DG53" s="302">
        <v>-2</v>
      </c>
      <c r="DH53" s="282">
        <f>1-DG53-DF53-DE53</f>
        <v>5</v>
      </c>
      <c r="DI53" s="300">
        <f t="shared" si="455"/>
        <v>1</v>
      </c>
      <c r="DJ53" s="282">
        <v>-4</v>
      </c>
      <c r="DK53" s="302">
        <v>2</v>
      </c>
      <c r="DL53" s="302">
        <v>16</v>
      </c>
      <c r="DM53" s="326">
        <v>0</v>
      </c>
      <c r="DN53" s="300">
        <f t="shared" si="456"/>
        <v>14</v>
      </c>
      <c r="DO53" s="326">
        <v>0</v>
      </c>
      <c r="DP53" s="326">
        <v>0</v>
      </c>
      <c r="DQ53" s="326">
        <v>0</v>
      </c>
      <c r="DR53" s="326">
        <v>0</v>
      </c>
      <c r="DS53" s="300">
        <f t="shared" si="458"/>
        <v>0</v>
      </c>
      <c r="DT53" s="326">
        <v>0</v>
      </c>
      <c r="DU53" s="326">
        <v>0</v>
      </c>
      <c r="DV53" s="326">
        <v>0</v>
      </c>
      <c r="DW53" s="326">
        <v>0</v>
      </c>
      <c r="DX53" s="300">
        <f t="shared" si="464"/>
        <v>0</v>
      </c>
      <c r="DY53" s="326">
        <v>0</v>
      </c>
      <c r="DZ53" s="326">
        <v>0</v>
      </c>
      <c r="EA53" s="326">
        <v>0</v>
      </c>
      <c r="EB53" s="326">
        <v>0</v>
      </c>
      <c r="EC53" s="300">
        <f t="shared" si="465"/>
        <v>0</v>
      </c>
      <c r="ED53" s="491"/>
    </row>
    <row r="54" spans="1:135" s="338" customFormat="1" ht="12" customHeight="1">
      <c r="A54" s="940"/>
      <c r="B54" s="940"/>
      <c r="C54" s="296" t="s">
        <v>150</v>
      </c>
      <c r="D54" s="330"/>
      <c r="E54" s="330"/>
      <c r="F54" s="330"/>
      <c r="G54" s="330"/>
      <c r="H54" s="330"/>
      <c r="I54" s="296"/>
      <c r="J54" s="296"/>
      <c r="K54" s="296"/>
      <c r="L54" s="296"/>
      <c r="M54" s="330"/>
      <c r="N54" s="296"/>
      <c r="O54" s="296"/>
      <c r="P54" s="296"/>
      <c r="Q54" s="296"/>
      <c r="R54" s="330"/>
      <c r="S54" s="296"/>
      <c r="T54" s="296"/>
      <c r="U54" s="296"/>
      <c r="V54" s="296"/>
      <c r="W54" s="330"/>
      <c r="X54" s="296"/>
      <c r="Y54" s="296"/>
      <c r="Z54" s="296"/>
      <c r="AA54" s="296"/>
      <c r="AB54" s="330"/>
      <c r="AC54" s="296"/>
      <c r="AD54" s="296"/>
      <c r="AE54" s="296"/>
      <c r="AF54" s="296"/>
      <c r="AG54" s="330"/>
      <c r="AH54" s="296"/>
      <c r="AI54" s="296"/>
      <c r="AJ54" s="296"/>
      <c r="AK54" s="296"/>
      <c r="AL54" s="330"/>
      <c r="AM54" s="296"/>
      <c r="AN54" s="296"/>
      <c r="AO54" s="296"/>
      <c r="AP54" s="296"/>
      <c r="AQ54" s="330"/>
      <c r="AR54" s="296"/>
      <c r="AS54" s="296"/>
      <c r="AT54" s="296"/>
      <c r="AU54" s="296"/>
      <c r="AV54" s="330"/>
      <c r="AW54" s="296"/>
      <c r="AX54" s="296"/>
      <c r="AY54" s="296"/>
      <c r="AZ54" s="296"/>
      <c r="BA54" s="330"/>
      <c r="BB54" s="296"/>
      <c r="BC54" s="296"/>
      <c r="BD54" s="296"/>
      <c r="BE54" s="296"/>
      <c r="BF54" s="330"/>
      <c r="BG54" s="296"/>
      <c r="BH54" s="296"/>
      <c r="BI54" s="296"/>
      <c r="BJ54" s="296"/>
      <c r="BK54" s="330"/>
      <c r="BL54" s="296"/>
      <c r="BM54" s="296"/>
      <c r="BN54" s="296"/>
      <c r="BO54" s="296"/>
      <c r="BP54" s="330"/>
      <c r="BQ54" s="179">
        <f>SUM(BQ51:BQ53)</f>
        <v>-1.054</v>
      </c>
      <c r="BR54" s="179">
        <f>SUM(BR51:BR53)</f>
        <v>0.16500000000000001</v>
      </c>
      <c r="BS54" s="179">
        <f>SUM(BS51:BS53)</f>
        <v>-0.35699999999999998</v>
      </c>
      <c r="BT54" s="179">
        <f>SUM(BT51:BT53)</f>
        <v>0.21199999999999988</v>
      </c>
      <c r="BU54" s="331">
        <f t="shared" si="447"/>
        <v>-1.034</v>
      </c>
      <c r="BV54" s="332">
        <f>SUM(BV51:BV53)</f>
        <v>0.78299999999999992</v>
      </c>
      <c r="BW54" s="332">
        <f>SUM(BW51:BW53)</f>
        <v>0.22</v>
      </c>
      <c r="BX54" s="332">
        <f>SUM(BX51:BX53)</f>
        <v>0.36899999999999999</v>
      </c>
      <c r="BY54" s="332">
        <f>SUM(BY51:BY53)</f>
        <v>0.43800000000000006</v>
      </c>
      <c r="BZ54" s="331">
        <f t="shared" si="448"/>
        <v>1.81</v>
      </c>
      <c r="CA54" s="332">
        <f>SUM(CA51:CA53)</f>
        <v>0.86299999999999999</v>
      </c>
      <c r="CB54" s="332">
        <f>SUM(CB51:CB53)</f>
        <v>1.877</v>
      </c>
      <c r="CC54" s="332">
        <f>SUM(CC51:CC53)</f>
        <v>3.2960000000000003</v>
      </c>
      <c r="CD54" s="332">
        <f>SUM(CD51:CD53)</f>
        <v>3.1259999999999994</v>
      </c>
      <c r="CE54" s="331">
        <f t="shared" si="449"/>
        <v>9.161999999999999</v>
      </c>
      <c r="CF54" s="332">
        <f>SUM(CF51:CF53)</f>
        <v>4.431</v>
      </c>
      <c r="CG54" s="332">
        <f>SUM(CG51:CG53)</f>
        <v>6.8079999999999998</v>
      </c>
      <c r="CH54" s="332">
        <f>SUM(CH51:CH53)</f>
        <v>8.1839999999999993</v>
      </c>
      <c r="CI54" s="332">
        <f>SUM(CI51:CI53)</f>
        <v>7.9440000000000008</v>
      </c>
      <c r="CJ54" s="333">
        <f t="shared" si="450"/>
        <v>27.367000000000004</v>
      </c>
      <c r="CK54" s="332">
        <f>SUM(CK51:CK53)</f>
        <v>11.638999999999999</v>
      </c>
      <c r="CL54" s="332">
        <f>SUM(CL51:CL53)</f>
        <v>10.942</v>
      </c>
      <c r="CM54" s="332">
        <f>SUM(CM51:CM53)</f>
        <v>11.212</v>
      </c>
      <c r="CN54" s="332">
        <f>SUM(CN51:CN53)</f>
        <v>11.539000000000005</v>
      </c>
      <c r="CO54" s="331">
        <f t="shared" si="451"/>
        <v>45.332000000000008</v>
      </c>
      <c r="CP54" s="332">
        <f>SUM(CP51:CP53)</f>
        <v>13.109</v>
      </c>
      <c r="CQ54" s="332">
        <f>SUM(CQ51:CQ53)</f>
        <v>4.0839999999999996</v>
      </c>
      <c r="CR54" s="332">
        <f>SUM(CR51:CR53)</f>
        <v>135.80600000000001</v>
      </c>
      <c r="CS54" s="332">
        <f>SUM(CS51:CS53)</f>
        <v>-2.7879999999999932</v>
      </c>
      <c r="CT54" s="333">
        <f t="shared" si="452"/>
        <v>150.21100000000004</v>
      </c>
      <c r="CU54" s="332">
        <f>SUM(CU51:CU53)</f>
        <v>1250.645</v>
      </c>
      <c r="CV54" s="332">
        <f>SUM(CV51:CV53)</f>
        <v>779.87400000000002</v>
      </c>
      <c r="CW54" s="332">
        <f>SUM(CW51:CW53)</f>
        <v>1344.5530000000001</v>
      </c>
      <c r="CX54" s="332">
        <f>SUM(CX51:CX53)</f>
        <v>-503.12299999999965</v>
      </c>
      <c r="CY54" s="333">
        <f t="shared" si="453"/>
        <v>2871.9490000000005</v>
      </c>
      <c r="CZ54" s="332">
        <f>SUM(CZ51:CZ53)</f>
        <v>-1554.8809999999999</v>
      </c>
      <c r="DA54" s="332">
        <f>SUM(DA51:DA53)</f>
        <v>-1008.0419999999999</v>
      </c>
      <c r="DB54" s="332">
        <f>SUM(DB51:DB53)</f>
        <v>188.23300000000003</v>
      </c>
      <c r="DC54" s="332">
        <f>SUM(DC51:DC53)</f>
        <v>-425.85900000000026</v>
      </c>
      <c r="DD54" s="334">
        <f t="shared" si="454"/>
        <v>-2800.549</v>
      </c>
      <c r="DE54" s="332">
        <f>SUM(DE51:DE53)</f>
        <v>269</v>
      </c>
      <c r="DF54" s="332">
        <f>SUM(DF51:DF53)</f>
        <v>335</v>
      </c>
      <c r="DG54" s="332">
        <f>SUM(DG51:DG53)</f>
        <v>606</v>
      </c>
      <c r="DH54" s="335">
        <f>SUM(DH51:DH53)</f>
        <v>393</v>
      </c>
      <c r="DI54" s="336">
        <f t="shared" si="455"/>
        <v>1603</v>
      </c>
      <c r="DJ54" s="337">
        <f>SUM(DJ51:DJ53)</f>
        <v>-342</v>
      </c>
      <c r="DK54" s="337">
        <f>SUM(DK51:DK53)</f>
        <v>-38</v>
      </c>
      <c r="DL54" s="337">
        <f>SUM(DL51:DL53)</f>
        <v>577</v>
      </c>
      <c r="DM54" s="332">
        <f>SUM(DM51:DM53)</f>
        <v>77</v>
      </c>
      <c r="DN54" s="334">
        <f t="shared" si="456"/>
        <v>274</v>
      </c>
      <c r="DO54" s="332">
        <f>SUM(DO51:DO53)</f>
        <v>77</v>
      </c>
      <c r="DP54" s="332">
        <f>SUM(DP51:DP53)</f>
        <v>77</v>
      </c>
      <c r="DQ54" s="332">
        <f>SUM(DQ51:DQ53)</f>
        <v>77</v>
      </c>
      <c r="DR54" s="332">
        <f>SUM(DR51:DR53)</f>
        <v>77</v>
      </c>
      <c r="DS54" s="334">
        <f t="shared" si="458"/>
        <v>308</v>
      </c>
      <c r="DT54" s="332">
        <f>SUM(DT51:DT53)</f>
        <v>77</v>
      </c>
      <c r="DU54" s="332">
        <f>SUM(DU51:DU53)</f>
        <v>77</v>
      </c>
      <c r="DV54" s="332">
        <f>SUM(DV51:DV53)</f>
        <v>77</v>
      </c>
      <c r="DW54" s="332">
        <f>SUM(DW51:DW53)</f>
        <v>77</v>
      </c>
      <c r="DX54" s="334">
        <f t="shared" si="464"/>
        <v>308</v>
      </c>
      <c r="DY54" s="332">
        <f>SUM(DY51:DY53)</f>
        <v>77</v>
      </c>
      <c r="DZ54" s="332">
        <f>SUM(DZ51:DZ53)</f>
        <v>77</v>
      </c>
      <c r="EA54" s="332">
        <f>SUM(EA51:EA53)</f>
        <v>77</v>
      </c>
      <c r="EB54" s="332">
        <f>SUM(EB51:EB53)</f>
        <v>77</v>
      </c>
      <c r="EC54" s="334">
        <f t="shared" si="465"/>
        <v>308</v>
      </c>
      <c r="ED54" s="1170"/>
      <c r="EE54" s="139"/>
    </row>
    <row r="55" spans="1:135" s="320" customFormat="1" ht="12" customHeight="1">
      <c r="A55" s="940"/>
      <c r="B55" s="940"/>
      <c r="C55" s="291" t="s">
        <v>240</v>
      </c>
      <c r="D55" s="339"/>
      <c r="E55" s="339"/>
      <c r="F55" s="339"/>
      <c r="G55" s="339"/>
      <c r="H55" s="339"/>
      <c r="I55" s="340"/>
      <c r="J55" s="340"/>
      <c r="K55" s="340"/>
      <c r="L55" s="340"/>
      <c r="M55" s="339"/>
      <c r="N55" s="340"/>
      <c r="O55" s="340"/>
      <c r="P55" s="340"/>
      <c r="Q55" s="340"/>
      <c r="R55" s="339"/>
      <c r="S55" s="340"/>
      <c r="T55" s="340"/>
      <c r="U55" s="340"/>
      <c r="V55" s="340"/>
      <c r="W55" s="339"/>
      <c r="X55" s="340"/>
      <c r="Y55" s="340"/>
      <c r="Z55" s="340"/>
      <c r="AA55" s="340"/>
      <c r="AB55" s="339"/>
      <c r="AC55" s="340"/>
      <c r="AD55" s="340"/>
      <c r="AE55" s="340"/>
      <c r="AF55" s="340"/>
      <c r="AG55" s="339"/>
      <c r="AH55" s="340"/>
      <c r="AI55" s="340"/>
      <c r="AJ55" s="340"/>
      <c r="AK55" s="340"/>
      <c r="AL55" s="339"/>
      <c r="AM55" s="340"/>
      <c r="AN55" s="340"/>
      <c r="AO55" s="340"/>
      <c r="AP55" s="340"/>
      <c r="AQ55" s="339"/>
      <c r="AR55" s="340"/>
      <c r="AS55" s="340"/>
      <c r="AT55" s="340"/>
      <c r="AU55" s="340"/>
      <c r="AV55" s="339"/>
      <c r="AW55" s="340"/>
      <c r="AX55" s="340"/>
      <c r="AY55" s="340"/>
      <c r="AZ55" s="340"/>
      <c r="BA55" s="339"/>
      <c r="BB55" s="340"/>
      <c r="BC55" s="340"/>
      <c r="BD55" s="340"/>
      <c r="BE55" s="340"/>
      <c r="BF55" s="339"/>
      <c r="BG55" s="340"/>
      <c r="BH55" s="340"/>
      <c r="BI55" s="340"/>
      <c r="BJ55" s="340"/>
      <c r="BK55" s="339"/>
      <c r="BL55" s="340"/>
      <c r="BM55" s="340"/>
      <c r="BN55" s="340"/>
      <c r="BO55" s="340"/>
      <c r="BP55" s="339"/>
      <c r="BQ55" s="341">
        <f>BQ45+BQ54</f>
        <v>-4.5299999999999994</v>
      </c>
      <c r="BR55" s="294">
        <f>BR45+BR54</f>
        <v>-3.2959999999999985</v>
      </c>
      <c r="BS55" s="294">
        <f>BS45+BS54</f>
        <v>-4.6569999999999974</v>
      </c>
      <c r="BT55" s="294">
        <f>BT45+BT54</f>
        <v>-6.3069999999999986</v>
      </c>
      <c r="BU55" s="295">
        <f t="shared" si="447"/>
        <v>-18.789999999999992</v>
      </c>
      <c r="BV55" s="294">
        <f>BV45+BV54</f>
        <v>-8.9289999999999896</v>
      </c>
      <c r="BW55" s="294">
        <f>BW45+BW54</f>
        <v>-8.4390000000000054</v>
      </c>
      <c r="BX55" s="294">
        <f>BX45+BX54</f>
        <v>-9.1200000000000045</v>
      </c>
      <c r="BY55" s="294">
        <f>BY45+BY54</f>
        <v>-8.8670000000000204</v>
      </c>
      <c r="BZ55" s="295">
        <f t="shared" si="448"/>
        <v>-35.355000000000018</v>
      </c>
      <c r="CA55" s="294">
        <f>CA45+CA54</f>
        <v>-13.597999999999985</v>
      </c>
      <c r="CB55" s="294">
        <f>CB45+CB54</f>
        <v>-14.029999999999996</v>
      </c>
      <c r="CC55" s="294">
        <f>CC45+CC54</f>
        <v>-9.3799999999999883</v>
      </c>
      <c r="CD55" s="294">
        <f>CD45+CD54</f>
        <v>-2.9870000000000285</v>
      </c>
      <c r="CE55" s="295">
        <f t="shared" si="449"/>
        <v>-39.994999999999997</v>
      </c>
      <c r="CF55" s="294">
        <f>CF45+CF54</f>
        <v>-15.902000000000026</v>
      </c>
      <c r="CG55" s="294">
        <f>CG45+CG54</f>
        <v>-23.953000000000024</v>
      </c>
      <c r="CH55" s="294">
        <f>CH45+CH54</f>
        <v>-23.184000000000026</v>
      </c>
      <c r="CI55" s="294">
        <f>CI45+CI54</f>
        <v>-1.5140000000000544</v>
      </c>
      <c r="CJ55" s="295">
        <f t="shared" si="450"/>
        <v>-64.553000000000125</v>
      </c>
      <c r="CK55" s="294">
        <f>CK45+CK54</f>
        <v>-24.15100000000005</v>
      </c>
      <c r="CL55" s="294">
        <f>CL45+CL54</f>
        <v>-28.678000000000004</v>
      </c>
      <c r="CM55" s="294">
        <f>CM45+CM54</f>
        <v>-24.445999999999959</v>
      </c>
      <c r="CN55" s="294">
        <f>CN45+CN54</f>
        <v>-18.539999999999946</v>
      </c>
      <c r="CO55" s="295">
        <f t="shared" si="451"/>
        <v>-95.814999999999955</v>
      </c>
      <c r="CP55" s="294">
        <f>CP45+CP54</f>
        <v>-60.124000000000002</v>
      </c>
      <c r="CQ55" s="294">
        <f>CQ45+CQ54</f>
        <v>4.3680000000000483</v>
      </c>
      <c r="CR55" s="294">
        <f>CR45+CR54</f>
        <v>186.36700000000005</v>
      </c>
      <c r="CS55" s="294">
        <f>CS45+CS54</f>
        <v>109.75299999999994</v>
      </c>
      <c r="CT55" s="295">
        <f t="shared" ref="CT55:CT61" si="466">SUM(CP55:CS55)</f>
        <v>240.36400000000003</v>
      </c>
      <c r="CU55" s="294">
        <f>CU45+CU54</f>
        <v>1369.5439999999999</v>
      </c>
      <c r="CV55" s="294">
        <f>CV45+CV54</f>
        <v>919.31499999999994</v>
      </c>
      <c r="CW55" s="294">
        <f>CW45+CW54</f>
        <v>1340.4520000000002</v>
      </c>
      <c r="CX55" s="294">
        <f>CX45+CX54</f>
        <v>-488.71899999999943</v>
      </c>
      <c r="CY55" s="295">
        <f t="shared" si="453"/>
        <v>3140.5920000000006</v>
      </c>
      <c r="CZ55" s="294">
        <f>CZ45+CZ54</f>
        <v>-1652.8569999999997</v>
      </c>
      <c r="DA55" s="294">
        <f>DA45+DA54</f>
        <v>-1198.25</v>
      </c>
      <c r="DB55" s="294">
        <f>DB45+DB54</f>
        <v>-157.13299999999995</v>
      </c>
      <c r="DC55" s="294">
        <f>DC45+DC54</f>
        <v>-614.60800000000017</v>
      </c>
      <c r="DD55" s="295">
        <f t="shared" si="454"/>
        <v>-3622.848</v>
      </c>
      <c r="DE55" s="294">
        <f>DE45+DE54</f>
        <v>76</v>
      </c>
      <c r="DF55" s="294">
        <f>DF45+DF54</f>
        <v>-1301</v>
      </c>
      <c r="DG55" s="294">
        <f>DG45+DG54</f>
        <v>728</v>
      </c>
      <c r="DH55" s="342">
        <f>DH45+DH54</f>
        <v>682</v>
      </c>
      <c r="DI55" s="295">
        <f t="shared" si="455"/>
        <v>185</v>
      </c>
      <c r="DJ55" s="342">
        <f>DJ45+DJ54</f>
        <v>-256</v>
      </c>
      <c r="DK55" s="342">
        <f>DK45+DK54</f>
        <v>203</v>
      </c>
      <c r="DL55" s="342">
        <f>DL45+DL54</f>
        <v>860</v>
      </c>
      <c r="DM55" s="294">
        <f>DM45+DM54</f>
        <v>499.82872057970485</v>
      </c>
      <c r="DN55" s="295">
        <f t="shared" si="456"/>
        <v>1306.8287205797049</v>
      </c>
      <c r="DO55" s="294">
        <f>DO45+DO54</f>
        <v>223.7847387939612</v>
      </c>
      <c r="DP55" s="294">
        <f>DP45+DP54</f>
        <v>404.80463666424646</v>
      </c>
      <c r="DQ55" s="294">
        <f>DQ45+DQ54</f>
        <v>483.86576647565562</v>
      </c>
      <c r="DR55" s="294">
        <f>DR45+DR54</f>
        <v>675.48405578390282</v>
      </c>
      <c r="DS55" s="295">
        <f t="shared" si="458"/>
        <v>1787.9391977177661</v>
      </c>
      <c r="DT55" s="294">
        <f>DT45+DT54</f>
        <v>298.71562736484998</v>
      </c>
      <c r="DU55" s="294">
        <f>DU45+DU54</f>
        <v>517.85453986038874</v>
      </c>
      <c r="DV55" s="294">
        <f>DV45+DV54</f>
        <v>614.85156433333782</v>
      </c>
      <c r="DW55" s="294">
        <f>DW45+DW54</f>
        <v>859.60500673022966</v>
      </c>
      <c r="DX55" s="295">
        <f t="shared" si="464"/>
        <v>2291.026738288806</v>
      </c>
      <c r="DY55" s="294">
        <f>DY45+DY54</f>
        <v>398.1042723091598</v>
      </c>
      <c r="DZ55" s="294">
        <f>DZ45+DZ54</f>
        <v>659.97688271482298</v>
      </c>
      <c r="EA55" s="294">
        <f>EA45+EA54</f>
        <v>777.37339097898735</v>
      </c>
      <c r="EB55" s="294">
        <f>EB45+EB54</f>
        <v>1085.5384765969484</v>
      </c>
      <c r="EC55" s="295">
        <f t="shared" si="465"/>
        <v>2920.9930225999187</v>
      </c>
      <c r="ED55" s="1167">
        <f>+(EC55/DN55)^(0.333333333333333)-1</f>
        <v>0.30748670956246626</v>
      </c>
      <c r="EE55" s="139"/>
    </row>
    <row r="56" spans="1:135" s="296" customFormat="1" ht="12" customHeight="1">
      <c r="A56" s="940"/>
      <c r="B56" s="940"/>
      <c r="C56" s="301" t="s">
        <v>31</v>
      </c>
      <c r="D56" s="343"/>
      <c r="E56" s="343"/>
      <c r="F56" s="343"/>
      <c r="G56" s="343"/>
      <c r="H56" s="343"/>
      <c r="I56" s="299"/>
      <c r="J56" s="299"/>
      <c r="K56" s="299"/>
      <c r="L56" s="299"/>
      <c r="M56" s="343"/>
      <c r="N56" s="299"/>
      <c r="O56" s="299"/>
      <c r="P56" s="299"/>
      <c r="Q56" s="299"/>
      <c r="R56" s="343"/>
      <c r="S56" s="299"/>
      <c r="T56" s="299"/>
      <c r="U56" s="299"/>
      <c r="V56" s="299"/>
      <c r="W56" s="343"/>
      <c r="X56" s="299"/>
      <c r="Y56" s="299"/>
      <c r="Z56" s="299"/>
      <c r="AA56" s="299"/>
      <c r="AB56" s="343"/>
      <c r="AC56" s="299"/>
      <c r="AD56" s="299"/>
      <c r="AE56" s="299"/>
      <c r="AF56" s="299"/>
      <c r="AG56" s="343"/>
      <c r="AH56" s="299"/>
      <c r="AI56" s="299"/>
      <c r="AJ56" s="299"/>
      <c r="AK56" s="299"/>
      <c r="AL56" s="343"/>
      <c r="AM56" s="299"/>
      <c r="AN56" s="299"/>
      <c r="AO56" s="299"/>
      <c r="AP56" s="299"/>
      <c r="AQ56" s="343"/>
      <c r="AR56" s="299"/>
      <c r="AS56" s="299"/>
      <c r="AT56" s="299"/>
      <c r="AU56" s="299"/>
      <c r="AV56" s="343"/>
      <c r="AW56" s="299"/>
      <c r="AX56" s="299"/>
      <c r="AY56" s="299"/>
      <c r="AZ56" s="299"/>
      <c r="BA56" s="343"/>
      <c r="BB56" s="299"/>
      <c r="BC56" s="299"/>
      <c r="BD56" s="299"/>
      <c r="BE56" s="299"/>
      <c r="BF56" s="343"/>
      <c r="BK56" s="343"/>
      <c r="BP56" s="343"/>
      <c r="BQ56" s="125">
        <f>BQ58-BQ57</f>
        <v>0</v>
      </c>
      <c r="BR56" s="125">
        <f>BR58-BR57</f>
        <v>0</v>
      </c>
      <c r="BS56" s="125">
        <f>BS58-BS57</f>
        <v>0</v>
      </c>
      <c r="BT56" s="125">
        <f>BT58-BT57</f>
        <v>0</v>
      </c>
      <c r="BU56" s="300">
        <f>SUM(BQ56:BT56)</f>
        <v>0</v>
      </c>
      <c r="BV56" s="125">
        <f>BV58-BV57</f>
        <v>0</v>
      </c>
      <c r="BW56" s="125">
        <f>BW58-BW57</f>
        <v>0</v>
      </c>
      <c r="BX56" s="125">
        <f>BX58-BX57</f>
        <v>0</v>
      </c>
      <c r="BY56" s="125">
        <f>BY58-BY57</f>
        <v>0</v>
      </c>
      <c r="BZ56" s="300">
        <f>SUM(BV56:BY56)</f>
        <v>0</v>
      </c>
      <c r="CA56" s="125">
        <f>CA58-CA57</f>
        <v>0</v>
      </c>
      <c r="CB56" s="125">
        <f>CB58-CB57</f>
        <v>0</v>
      </c>
      <c r="CC56" s="125">
        <f>CC58-CC57</f>
        <v>0</v>
      </c>
      <c r="CD56" s="125">
        <f>CD58-CD57</f>
        <v>0</v>
      </c>
      <c r="CE56" s="300">
        <f t="shared" ref="CE56:CE61" si="467">SUM(CA56:CD56)</f>
        <v>0</v>
      </c>
      <c r="CF56" s="125">
        <f>CF58-CF57</f>
        <v>0</v>
      </c>
      <c r="CG56" s="125">
        <f>CG58-CG57</f>
        <v>0</v>
      </c>
      <c r="CH56" s="125">
        <f>CH58-CH57</f>
        <v>0</v>
      </c>
      <c r="CI56" s="125">
        <f>CI58-CI57</f>
        <v>0</v>
      </c>
      <c r="CJ56" s="300">
        <f>SUM(CF56:CI56)</f>
        <v>0</v>
      </c>
      <c r="CK56" s="125">
        <f>CK58-CK57</f>
        <v>0</v>
      </c>
      <c r="CL56" s="125">
        <f>CL58-CL57</f>
        <v>0</v>
      </c>
      <c r="CM56" s="125">
        <f>CM58-CM57</f>
        <v>-33.042999999999999</v>
      </c>
      <c r="CN56" s="125">
        <f>CN58-CN57</f>
        <v>41.933999999999997</v>
      </c>
      <c r="CO56" s="300">
        <f t="shared" si="451"/>
        <v>8.8909999999999982</v>
      </c>
      <c r="CP56" s="125">
        <f>CP58-CP57</f>
        <v>35.338000000000001</v>
      </c>
      <c r="CQ56" s="125">
        <f>CQ58-CQ57</f>
        <v>38.714999999999996</v>
      </c>
      <c r="CR56" s="125">
        <f>CR58-CR57</f>
        <v>-14.625</v>
      </c>
      <c r="CS56" s="125">
        <f>CS58-CS57</f>
        <v>61.714999999999996</v>
      </c>
      <c r="CT56" s="300">
        <f>SUM(CP56:CS56)</f>
        <v>121.143</v>
      </c>
      <c r="CU56" s="125">
        <f>CU58-CU57</f>
        <v>-212.053</v>
      </c>
      <c r="CV56" s="125">
        <f>CV58-CV57</f>
        <v>-67.611999999999995</v>
      </c>
      <c r="CW56" s="125">
        <f>CW58-CW57</f>
        <v>-370.52499999999998</v>
      </c>
      <c r="CX56" s="125">
        <f>CX58-CX57</f>
        <v>233.29399999999998</v>
      </c>
      <c r="CY56" s="300">
        <f t="shared" si="453"/>
        <v>-416.89599999999996</v>
      </c>
      <c r="CZ56" s="125">
        <f>CZ58</f>
        <v>178.44900000000001</v>
      </c>
      <c r="DA56" s="125">
        <f>DA58</f>
        <v>-5.657</v>
      </c>
      <c r="DB56" s="125">
        <f>DB58</f>
        <v>-1.276</v>
      </c>
      <c r="DC56" s="125">
        <f>DC58</f>
        <v>-9.0859999999999843</v>
      </c>
      <c r="DD56" s="300">
        <f t="shared" si="454"/>
        <v>162.43</v>
      </c>
      <c r="DE56" s="125">
        <f>DE58</f>
        <v>-8</v>
      </c>
      <c r="DF56" s="125">
        <f>DF58</f>
        <v>-10</v>
      </c>
      <c r="DG56" s="125">
        <f>DG58</f>
        <v>-10</v>
      </c>
      <c r="DH56" s="125">
        <f>DH58</f>
        <v>-25</v>
      </c>
      <c r="DI56" s="300">
        <f t="shared" si="455"/>
        <v>-53</v>
      </c>
      <c r="DJ56" s="125">
        <f>DJ58</f>
        <v>-17</v>
      </c>
      <c r="DK56" s="125">
        <f>DK58</f>
        <v>-32</v>
      </c>
      <c r="DL56" s="125">
        <f>DL58</f>
        <v>-32</v>
      </c>
      <c r="DM56" s="125">
        <f>DM58</f>
        <v>-104.96403132173802</v>
      </c>
      <c r="DN56" s="300">
        <f t="shared" si="456"/>
        <v>-185.96403132173802</v>
      </c>
      <c r="DO56" s="125">
        <f>DO58</f>
        <v>-46.994795146731846</v>
      </c>
      <c r="DP56" s="125">
        <f>DP58</f>
        <v>-85.008973699491747</v>
      </c>
      <c r="DQ56" s="125">
        <f>DQ58</f>
        <v>-101.61181095988768</v>
      </c>
      <c r="DR56" s="125">
        <f>DR58</f>
        <v>-141.85165171461958</v>
      </c>
      <c r="DS56" s="300">
        <f t="shared" si="458"/>
        <v>-375.46723152073082</v>
      </c>
      <c r="DT56" s="125">
        <f>DT58</f>
        <v>-62.730281746618495</v>
      </c>
      <c r="DU56" s="125">
        <f>DU58</f>
        <v>-108.74945337068164</v>
      </c>
      <c r="DV56" s="125">
        <f>DV58</f>
        <v>-129.11882851000092</v>
      </c>
      <c r="DW56" s="125">
        <f>DW58</f>
        <v>-180.51705141334821</v>
      </c>
      <c r="DX56" s="300">
        <f t="shared" si="464"/>
        <v>-481.11561504064923</v>
      </c>
      <c r="DY56" s="125">
        <f>DY58</f>
        <v>-83.601897184923558</v>
      </c>
      <c r="DZ56" s="125">
        <f>DZ58</f>
        <v>-138.59514537011282</v>
      </c>
      <c r="EA56" s="125">
        <f>EA58</f>
        <v>-163.24841210558733</v>
      </c>
      <c r="EB56" s="125">
        <f>EB58</f>
        <v>-227.96308008535917</v>
      </c>
      <c r="EC56" s="300">
        <f t="shared" si="465"/>
        <v>-613.40853474598282</v>
      </c>
      <c r="ED56" s="491"/>
      <c r="EE56" s="139"/>
    </row>
    <row r="57" spans="1:135" s="338" customFormat="1" ht="12" customHeight="1">
      <c r="A57" s="940"/>
      <c r="B57" s="940"/>
      <c r="C57" s="309" t="s">
        <v>32</v>
      </c>
      <c r="D57" s="343"/>
      <c r="E57" s="343"/>
      <c r="F57" s="343"/>
      <c r="G57" s="343"/>
      <c r="H57" s="343"/>
      <c r="I57" s="299"/>
      <c r="J57" s="299"/>
      <c r="K57" s="299"/>
      <c r="L57" s="299"/>
      <c r="M57" s="343"/>
      <c r="N57" s="299"/>
      <c r="O57" s="299"/>
      <c r="P57" s="299"/>
      <c r="Q57" s="299"/>
      <c r="R57" s="343"/>
      <c r="S57" s="299"/>
      <c r="T57" s="299"/>
      <c r="U57" s="299"/>
      <c r="V57" s="299"/>
      <c r="W57" s="343"/>
      <c r="X57" s="299"/>
      <c r="Y57" s="299"/>
      <c r="Z57" s="299"/>
      <c r="AA57" s="299"/>
      <c r="AB57" s="343"/>
      <c r="AC57" s="299"/>
      <c r="AD57" s="299"/>
      <c r="AE57" s="299"/>
      <c r="AF57" s="299"/>
      <c r="AG57" s="343"/>
      <c r="AH57" s="299"/>
      <c r="AI57" s="299"/>
      <c r="AJ57" s="299"/>
      <c r="AK57" s="299"/>
      <c r="AL57" s="343"/>
      <c r="AM57" s="299"/>
      <c r="AN57" s="299"/>
      <c r="AO57" s="299"/>
      <c r="AP57" s="299"/>
      <c r="AQ57" s="343"/>
      <c r="AR57" s="299"/>
      <c r="AS57" s="299"/>
      <c r="AT57" s="299"/>
      <c r="AU57" s="299"/>
      <c r="AV57" s="343"/>
      <c r="AW57" s="299"/>
      <c r="AX57" s="299"/>
      <c r="AY57" s="299"/>
      <c r="AZ57" s="299"/>
      <c r="BA57" s="343"/>
      <c r="BB57" s="299"/>
      <c r="BC57" s="299"/>
      <c r="BD57" s="299"/>
      <c r="BE57" s="299"/>
      <c r="BF57" s="343"/>
      <c r="BG57" s="296"/>
      <c r="BH57" s="296"/>
      <c r="BI57" s="296"/>
      <c r="BJ57" s="296"/>
      <c r="BK57" s="343"/>
      <c r="BL57" s="296"/>
      <c r="BM57" s="296"/>
      <c r="BN57" s="296"/>
      <c r="BO57" s="296"/>
      <c r="BP57" s="343"/>
      <c r="BQ57" s="125">
        <f>'Cash Flow'!BQ13</f>
        <v>0</v>
      </c>
      <c r="BR57" s="125">
        <f>'Cash Flow'!BR13</f>
        <v>0</v>
      </c>
      <c r="BS57" s="125">
        <f>'Cash Flow'!BS13</f>
        <v>0</v>
      </c>
      <c r="BT57" s="125">
        <f>'Cash Flow'!BT13</f>
        <v>0</v>
      </c>
      <c r="BU57" s="300">
        <f>SUM(BQ57:BT57)</f>
        <v>0</v>
      </c>
      <c r="BV57" s="125">
        <f>'Cash Flow'!BV13</f>
        <v>0</v>
      </c>
      <c r="BW57" s="125">
        <f>'Cash Flow'!BW13</f>
        <v>0</v>
      </c>
      <c r="BX57" s="125">
        <f>'Cash Flow'!BX13</f>
        <v>0</v>
      </c>
      <c r="BY57" s="125">
        <f>'Cash Flow'!BY13</f>
        <v>0</v>
      </c>
      <c r="BZ57" s="300">
        <f>SUM(BV57:BY57)</f>
        <v>0</v>
      </c>
      <c r="CA57" s="125">
        <f>'Cash Flow'!CA13</f>
        <v>0</v>
      </c>
      <c r="CB57" s="125">
        <f>'Cash Flow'!CB13</f>
        <v>0</v>
      </c>
      <c r="CC57" s="125">
        <f>'Cash Flow'!CC13</f>
        <v>0</v>
      </c>
      <c r="CD57" s="125">
        <f>'Cash Flow'!CD13</f>
        <v>0</v>
      </c>
      <c r="CE57" s="300">
        <f t="shared" si="467"/>
        <v>0</v>
      </c>
      <c r="CF57" s="125">
        <f>'Cash Flow'!CF13</f>
        <v>0</v>
      </c>
      <c r="CG57" s="125">
        <f>'Cash Flow'!CG13</f>
        <v>0</v>
      </c>
      <c r="CH57" s="125">
        <f>'Cash Flow'!CH13</f>
        <v>0</v>
      </c>
      <c r="CI57" s="125">
        <f>'Cash Flow'!CI13</f>
        <v>0</v>
      </c>
      <c r="CJ57" s="300">
        <f>SUM(CF57:CI57)</f>
        <v>0</v>
      </c>
      <c r="CK57" s="125">
        <f>'Cash Flow'!CK13</f>
        <v>0</v>
      </c>
      <c r="CL57" s="125">
        <f>'Cash Flow'!CL13</f>
        <v>0</v>
      </c>
      <c r="CM57" s="125">
        <f>'Cash Flow'!CM13</f>
        <v>-15.295</v>
      </c>
      <c r="CN57" s="125">
        <f>'Cash Flow'!CN13</f>
        <v>-22.622999999999998</v>
      </c>
      <c r="CO57" s="300">
        <f t="shared" si="451"/>
        <v>-37.917999999999999</v>
      </c>
      <c r="CP57" s="125">
        <f>'Cash Flow'!CP13</f>
        <v>-6.6429999999999998</v>
      </c>
      <c r="CQ57" s="125">
        <f>'Cash Flow'!CQ13</f>
        <v>-7.085</v>
      </c>
      <c r="CR57" s="125">
        <f>'Cash Flow'!CR13</f>
        <v>19.326000000000001</v>
      </c>
      <c r="CS57" s="125">
        <f>'Cash Flow'!CS13</f>
        <v>-47.595999999999997</v>
      </c>
      <c r="CT57" s="300">
        <f t="shared" si="466"/>
        <v>-41.997999999999998</v>
      </c>
      <c r="CU57" s="125">
        <f>'Cash Flow'!CU13</f>
        <v>100.95399999999999</v>
      </c>
      <c r="CV57" s="125">
        <f>'Cash Flow'!CV13</f>
        <v>27.39</v>
      </c>
      <c r="CW57" s="125">
        <f>'Cash Flow'!CW13</f>
        <v>178.505</v>
      </c>
      <c r="CX57" s="125">
        <f>'Cash Flow'!CX13</f>
        <v>-115.886</v>
      </c>
      <c r="CY57" s="300">
        <f t="shared" si="453"/>
        <v>190.96299999999999</v>
      </c>
      <c r="CZ57" s="125">
        <f>'Cash Flow'!CZ13</f>
        <v>-184.214</v>
      </c>
      <c r="DA57" s="125">
        <f>'Cash Flow'!DA13</f>
        <v>3.8089999999999975</v>
      </c>
      <c r="DB57" s="125">
        <f>'Cash Flow'!DB13</f>
        <v>-0.82499999999998863</v>
      </c>
      <c r="DC57" s="125">
        <f>'Cash Flow'!DC13</f>
        <v>-5.3410000000000082</v>
      </c>
      <c r="DD57" s="300">
        <f t="shared" si="454"/>
        <v>-186.571</v>
      </c>
      <c r="DE57" s="125">
        <f>'Cash Flow'!DE13</f>
        <v>1</v>
      </c>
      <c r="DF57" s="125">
        <f>'Cash Flow'!DF13</f>
        <v>2</v>
      </c>
      <c r="DG57" s="125">
        <f>'Cash Flow'!DG13</f>
        <v>-1</v>
      </c>
      <c r="DH57" s="344">
        <f>DH58-DH56</f>
        <v>0</v>
      </c>
      <c r="DI57" s="300">
        <f t="shared" si="455"/>
        <v>2</v>
      </c>
      <c r="DJ57" s="344">
        <f>DJ58-DJ56</f>
        <v>0</v>
      </c>
      <c r="DK57" s="344">
        <f>DK58-DK56</f>
        <v>0</v>
      </c>
      <c r="DL57" s="344">
        <f>DL58-DL56</f>
        <v>0</v>
      </c>
      <c r="DM57" s="344">
        <f>DM58-DM56</f>
        <v>0</v>
      </c>
      <c r="DN57" s="300">
        <f t="shared" si="456"/>
        <v>0</v>
      </c>
      <c r="DO57" s="344">
        <f>DO58-DO56</f>
        <v>0</v>
      </c>
      <c r="DP57" s="344">
        <f>DP58-DP56</f>
        <v>0</v>
      </c>
      <c r="DQ57" s="344">
        <f>DQ58-DQ56</f>
        <v>0</v>
      </c>
      <c r="DR57" s="344">
        <f>DR58-DR56</f>
        <v>0</v>
      </c>
      <c r="DS57" s="300">
        <f t="shared" si="458"/>
        <v>0</v>
      </c>
      <c r="DT57" s="344">
        <f>DT58-DT56</f>
        <v>0</v>
      </c>
      <c r="DU57" s="344">
        <f>DU58-DU56</f>
        <v>0</v>
      </c>
      <c r="DV57" s="344">
        <f>DV58-DV56</f>
        <v>0</v>
      </c>
      <c r="DW57" s="344">
        <f>DW58-DW56</f>
        <v>0</v>
      </c>
      <c r="DX57" s="300">
        <f t="shared" si="464"/>
        <v>0</v>
      </c>
      <c r="DY57" s="344">
        <f>DY58-DY56</f>
        <v>0</v>
      </c>
      <c r="DZ57" s="344">
        <f>DZ58-DZ56</f>
        <v>0</v>
      </c>
      <c r="EA57" s="344">
        <f>EA58-EA56</f>
        <v>0</v>
      </c>
      <c r="EB57" s="344">
        <f>EB58-EB56</f>
        <v>0</v>
      </c>
      <c r="EC57" s="300">
        <f t="shared" si="465"/>
        <v>0</v>
      </c>
      <c r="ED57" s="491"/>
      <c r="EE57" s="139"/>
    </row>
    <row r="58" spans="1:135" s="296" customFormat="1" ht="12" customHeight="1">
      <c r="A58" s="940"/>
      <c r="B58" s="940"/>
      <c r="C58" s="309" t="s">
        <v>34</v>
      </c>
      <c r="D58" s="314"/>
      <c r="E58" s="314"/>
      <c r="F58" s="314"/>
      <c r="G58" s="314"/>
      <c r="H58" s="314"/>
      <c r="I58" s="315"/>
      <c r="J58" s="315"/>
      <c r="K58" s="315"/>
      <c r="L58" s="315"/>
      <c r="M58" s="314"/>
      <c r="N58" s="315"/>
      <c r="O58" s="315"/>
      <c r="P58" s="315"/>
      <c r="Q58" s="315"/>
      <c r="R58" s="314"/>
      <c r="S58" s="315"/>
      <c r="T58" s="315"/>
      <c r="U58" s="315"/>
      <c r="V58" s="315"/>
      <c r="W58" s="314"/>
      <c r="X58" s="315"/>
      <c r="Y58" s="315"/>
      <c r="Z58" s="315"/>
      <c r="AA58" s="315"/>
      <c r="AB58" s="314"/>
      <c r="AC58" s="315"/>
      <c r="AD58" s="315"/>
      <c r="AE58" s="315"/>
      <c r="AF58" s="315"/>
      <c r="AG58" s="314"/>
      <c r="AH58" s="315"/>
      <c r="AI58" s="315"/>
      <c r="AJ58" s="315"/>
      <c r="AK58" s="315"/>
      <c r="AL58" s="314"/>
      <c r="AM58" s="315"/>
      <c r="AN58" s="315"/>
      <c r="AO58" s="315"/>
      <c r="AP58" s="315"/>
      <c r="AQ58" s="314"/>
      <c r="AR58" s="315"/>
      <c r="AS58" s="315"/>
      <c r="AT58" s="315"/>
      <c r="AU58" s="315"/>
      <c r="AV58" s="314"/>
      <c r="AW58" s="315"/>
      <c r="AX58" s="315"/>
      <c r="AY58" s="315"/>
      <c r="AZ58" s="315"/>
      <c r="BA58" s="314"/>
      <c r="BB58" s="315"/>
      <c r="BC58" s="315"/>
      <c r="BD58" s="315"/>
      <c r="BE58" s="315"/>
      <c r="BF58" s="314"/>
      <c r="BG58" s="345"/>
      <c r="BH58" s="345"/>
      <c r="BI58" s="345"/>
      <c r="BJ58" s="345"/>
      <c r="BK58" s="314"/>
      <c r="BL58" s="345"/>
      <c r="BM58" s="345"/>
      <c r="BN58" s="345"/>
      <c r="BO58" s="345"/>
      <c r="BP58" s="314"/>
      <c r="BQ58" s="346">
        <v>0</v>
      </c>
      <c r="BR58" s="346">
        <v>0</v>
      </c>
      <c r="BS58" s="346">
        <v>0</v>
      </c>
      <c r="BT58" s="346">
        <v>0</v>
      </c>
      <c r="BU58" s="797">
        <f>SUM(BQ58:BT58)</f>
        <v>0</v>
      </c>
      <c r="BV58" s="346">
        <v>0</v>
      </c>
      <c r="BW58" s="346">
        <v>0</v>
      </c>
      <c r="BX58" s="346">
        <v>0</v>
      </c>
      <c r="BY58" s="346">
        <v>0</v>
      </c>
      <c r="BZ58" s="797">
        <f>SUM(BV58:BY58)</f>
        <v>0</v>
      </c>
      <c r="CA58" s="346">
        <v>0</v>
      </c>
      <c r="CB58" s="346">
        <v>0</v>
      </c>
      <c r="CC58" s="346">
        <v>0</v>
      </c>
      <c r="CD58" s="346">
        <v>0</v>
      </c>
      <c r="CE58" s="797">
        <f t="shared" si="467"/>
        <v>0</v>
      </c>
      <c r="CF58" s="346">
        <v>0</v>
      </c>
      <c r="CG58" s="346">
        <v>0</v>
      </c>
      <c r="CH58" s="346">
        <v>0</v>
      </c>
      <c r="CI58" s="346">
        <v>0</v>
      </c>
      <c r="CJ58" s="797">
        <f>SUM(CF58:CI58)</f>
        <v>0</v>
      </c>
      <c r="CK58" s="346">
        <v>0</v>
      </c>
      <c r="CL58" s="346">
        <v>0</v>
      </c>
      <c r="CM58" s="346">
        <v>-48.338000000000001</v>
      </c>
      <c r="CN58" s="346">
        <v>19.311</v>
      </c>
      <c r="CO58" s="797">
        <f t="shared" si="451"/>
        <v>-29.027000000000001</v>
      </c>
      <c r="CP58" s="346">
        <v>28.695</v>
      </c>
      <c r="CQ58" s="346">
        <v>31.63</v>
      </c>
      <c r="CR58" s="346">
        <v>4.7009999999999996</v>
      </c>
      <c r="CS58" s="346">
        <v>14.119</v>
      </c>
      <c r="CT58" s="797">
        <f t="shared" si="466"/>
        <v>79.144999999999996</v>
      </c>
      <c r="CU58" s="346">
        <v>-111.099</v>
      </c>
      <c r="CV58" s="346">
        <v>-40.222000000000001</v>
      </c>
      <c r="CW58" s="346">
        <v>-192.02</v>
      </c>
      <c r="CX58" s="346">
        <v>117.408</v>
      </c>
      <c r="CY58" s="797">
        <f t="shared" si="453"/>
        <v>-225.93299999999999</v>
      </c>
      <c r="CZ58" s="346">
        <v>178.44900000000001</v>
      </c>
      <c r="DA58" s="346">
        <v>-5.657</v>
      </c>
      <c r="DB58" s="346">
        <v>-1.276</v>
      </c>
      <c r="DC58" s="346">
        <f>162.43-SUM(CZ58:DB58)</f>
        <v>-9.0859999999999843</v>
      </c>
      <c r="DD58" s="797">
        <f t="shared" si="454"/>
        <v>162.43</v>
      </c>
      <c r="DE58" s="346">
        <v>-8</v>
      </c>
      <c r="DF58" s="346">
        <v>-10</v>
      </c>
      <c r="DG58" s="346">
        <v>-10</v>
      </c>
      <c r="DH58" s="346">
        <f>-53-DG58-DF58-DE58</f>
        <v>-25</v>
      </c>
      <c r="DI58" s="797">
        <f t="shared" si="455"/>
        <v>-53</v>
      </c>
      <c r="DJ58" s="347">
        <v>-17</v>
      </c>
      <c r="DK58" s="347">
        <v>-32</v>
      </c>
      <c r="DL58" s="347">
        <v>-32</v>
      </c>
      <c r="DM58" s="796">
        <f>-DM59*DM55</f>
        <v>-104.96403132173802</v>
      </c>
      <c r="DN58" s="797">
        <f t="shared" si="456"/>
        <v>-185.96403132173802</v>
      </c>
      <c r="DO58" s="796">
        <f>-DO59*DO55</f>
        <v>-46.994795146731846</v>
      </c>
      <c r="DP58" s="796">
        <f>-DP59*DP55</f>
        <v>-85.008973699491747</v>
      </c>
      <c r="DQ58" s="796">
        <f>-DQ59*DQ55</f>
        <v>-101.61181095988768</v>
      </c>
      <c r="DR58" s="796">
        <f>-DR59*DR55</f>
        <v>-141.85165171461958</v>
      </c>
      <c r="DS58" s="797">
        <f t="shared" si="458"/>
        <v>-375.46723152073082</v>
      </c>
      <c r="DT58" s="796">
        <f>-DT59*DT55</f>
        <v>-62.730281746618495</v>
      </c>
      <c r="DU58" s="796">
        <f>-DU59*DU55</f>
        <v>-108.74945337068164</v>
      </c>
      <c r="DV58" s="796">
        <f>-DV59*DV55</f>
        <v>-129.11882851000092</v>
      </c>
      <c r="DW58" s="796">
        <f>-DW59*DW55</f>
        <v>-180.51705141334821</v>
      </c>
      <c r="DX58" s="797">
        <f t="shared" si="464"/>
        <v>-481.11561504064923</v>
      </c>
      <c r="DY58" s="796">
        <f>-DY59*DY55</f>
        <v>-83.601897184923558</v>
      </c>
      <c r="DZ58" s="796">
        <f>-DZ59*DZ55</f>
        <v>-138.59514537011282</v>
      </c>
      <c r="EA58" s="796">
        <f>-EA59*EA55</f>
        <v>-163.24841210558733</v>
      </c>
      <c r="EB58" s="796">
        <f>-EB59*EB55</f>
        <v>-227.96308008535917</v>
      </c>
      <c r="EC58" s="797">
        <f t="shared" si="465"/>
        <v>-613.40853474598282</v>
      </c>
      <c r="ED58" s="1171"/>
      <c r="EE58" s="139"/>
    </row>
    <row r="59" spans="1:135" s="358" customFormat="1" ht="12" customHeight="1">
      <c r="A59" s="940"/>
      <c r="B59" s="940"/>
      <c r="C59" s="749" t="s">
        <v>241</v>
      </c>
      <c r="D59" s="750"/>
      <c r="E59" s="750"/>
      <c r="F59" s="750"/>
      <c r="G59" s="750"/>
      <c r="H59" s="750"/>
      <c r="I59" s="751"/>
      <c r="J59" s="751"/>
      <c r="K59" s="751"/>
      <c r="L59" s="751"/>
      <c r="M59" s="750"/>
      <c r="N59" s="751"/>
      <c r="O59" s="751"/>
      <c r="P59" s="751"/>
      <c r="Q59" s="751"/>
      <c r="R59" s="750"/>
      <c r="S59" s="751"/>
      <c r="T59" s="751"/>
      <c r="U59" s="751"/>
      <c r="V59" s="751"/>
      <c r="W59" s="750"/>
      <c r="X59" s="751"/>
      <c r="Y59" s="751"/>
      <c r="Z59" s="751"/>
      <c r="AA59" s="751"/>
      <c r="AB59" s="750"/>
      <c r="AC59" s="751"/>
      <c r="AD59" s="751"/>
      <c r="AE59" s="751"/>
      <c r="AF59" s="751"/>
      <c r="AG59" s="750"/>
      <c r="AH59" s="751"/>
      <c r="AI59" s="751"/>
      <c r="AJ59" s="751"/>
      <c r="AK59" s="751"/>
      <c r="AL59" s="750"/>
      <c r="AM59" s="751"/>
      <c r="AN59" s="751"/>
      <c r="AO59" s="751"/>
      <c r="AP59" s="751"/>
      <c r="AQ59" s="750"/>
      <c r="AR59" s="751"/>
      <c r="AS59" s="751"/>
      <c r="AT59" s="751"/>
      <c r="AU59" s="751"/>
      <c r="AV59" s="750"/>
      <c r="AW59" s="751"/>
      <c r="AX59" s="751"/>
      <c r="AY59" s="751"/>
      <c r="AZ59" s="751"/>
      <c r="BA59" s="750"/>
      <c r="BB59" s="751"/>
      <c r="BC59" s="751"/>
      <c r="BD59" s="751"/>
      <c r="BE59" s="751"/>
      <c r="BF59" s="750"/>
      <c r="BG59" s="751"/>
      <c r="BH59" s="751"/>
      <c r="BI59" s="751"/>
      <c r="BJ59" s="751"/>
      <c r="BK59" s="750"/>
      <c r="BL59" s="751"/>
      <c r="BM59" s="751"/>
      <c r="BN59" s="751"/>
      <c r="BO59" s="751"/>
      <c r="BP59" s="750"/>
      <c r="BQ59" s="360">
        <f t="shared" ref="BQ59:CD59" si="468">-BQ61/BQ55</f>
        <v>0</v>
      </c>
      <c r="BR59" s="360">
        <f t="shared" si="468"/>
        <v>0</v>
      </c>
      <c r="BS59" s="360">
        <f t="shared" si="468"/>
        <v>0</v>
      </c>
      <c r="BT59" s="360">
        <f t="shared" si="468"/>
        <v>0</v>
      </c>
      <c r="BU59" s="359">
        <f t="shared" si="468"/>
        <v>0</v>
      </c>
      <c r="BV59" s="360">
        <f t="shared" si="468"/>
        <v>0</v>
      </c>
      <c r="BW59" s="360">
        <f t="shared" si="468"/>
        <v>0</v>
      </c>
      <c r="BX59" s="360">
        <f t="shared" si="468"/>
        <v>0</v>
      </c>
      <c r="BY59" s="360">
        <f t="shared" si="468"/>
        <v>0</v>
      </c>
      <c r="BZ59" s="359">
        <f t="shared" si="468"/>
        <v>0</v>
      </c>
      <c r="CA59" s="360">
        <f t="shared" si="468"/>
        <v>0</v>
      </c>
      <c r="CB59" s="360">
        <f t="shared" si="468"/>
        <v>0</v>
      </c>
      <c r="CC59" s="360">
        <f t="shared" si="468"/>
        <v>0</v>
      </c>
      <c r="CD59" s="360">
        <f t="shared" si="468"/>
        <v>0</v>
      </c>
      <c r="CE59" s="593">
        <f>SUM(CA59:CD59)</f>
        <v>0</v>
      </c>
      <c r="CF59" s="360">
        <f t="shared" ref="CF59:DL59" si="469">-CF61/CF55</f>
        <v>0</v>
      </c>
      <c r="CG59" s="360">
        <f t="shared" si="469"/>
        <v>0</v>
      </c>
      <c r="CH59" s="360">
        <f t="shared" si="469"/>
        <v>0</v>
      </c>
      <c r="CI59" s="360">
        <f t="shared" si="469"/>
        <v>0</v>
      </c>
      <c r="CJ59" s="359">
        <f t="shared" si="469"/>
        <v>0</v>
      </c>
      <c r="CK59" s="360">
        <f t="shared" si="469"/>
        <v>0</v>
      </c>
      <c r="CL59" s="360">
        <f t="shared" si="469"/>
        <v>0</v>
      </c>
      <c r="CM59" s="360">
        <f t="shared" si="469"/>
        <v>-1.9773378057759994</v>
      </c>
      <c r="CN59" s="360">
        <f t="shared" si="469"/>
        <v>1.0415857605178025</v>
      </c>
      <c r="CO59" s="359">
        <f t="shared" si="469"/>
        <v>-0.30294839012680702</v>
      </c>
      <c r="CP59" s="360">
        <f t="shared" si="469"/>
        <v>0.47726365511276692</v>
      </c>
      <c r="CQ59" s="360">
        <f t="shared" si="469"/>
        <v>-7.241300366300286</v>
      </c>
      <c r="CR59" s="360">
        <f t="shared" si="469"/>
        <v>-2.5224422778710814E-2</v>
      </c>
      <c r="CS59" s="360">
        <f t="shared" si="469"/>
        <v>-0.12864340838063659</v>
      </c>
      <c r="CT59" s="359">
        <f t="shared" si="469"/>
        <v>-0.32927143831855016</v>
      </c>
      <c r="CU59" s="360">
        <f t="shared" si="469"/>
        <v>8.1121161496089222E-2</v>
      </c>
      <c r="CV59" s="360">
        <f t="shared" si="469"/>
        <v>4.3752141540168502E-2</v>
      </c>
      <c r="CW59" s="360">
        <f t="shared" si="469"/>
        <v>0.14325018725027078</v>
      </c>
      <c r="CX59" s="360">
        <f t="shared" si="469"/>
        <v>0.2402362093554786</v>
      </c>
      <c r="CY59" s="359">
        <f t="shared" si="469"/>
        <v>7.1939621574531154E-2</v>
      </c>
      <c r="CZ59" s="360">
        <f t="shared" si="469"/>
        <v>0.10796396784476821</v>
      </c>
      <c r="DA59" s="360">
        <f t="shared" si="469"/>
        <v>-4.7210515334863345E-3</v>
      </c>
      <c r="DB59" s="360">
        <f t="shared" si="469"/>
        <v>-8.1205093774064027E-3</v>
      </c>
      <c r="DC59" s="360">
        <f t="shared" si="469"/>
        <v>-1.4783406659203885E-2</v>
      </c>
      <c r="DD59" s="359">
        <f t="shared" si="469"/>
        <v>4.4834892327803987E-2</v>
      </c>
      <c r="DE59" s="360">
        <f t="shared" si="469"/>
        <v>0.10526315789473684</v>
      </c>
      <c r="DF59" s="360">
        <f t="shared" si="469"/>
        <v>-7.6863950807071479E-3</v>
      </c>
      <c r="DG59" s="360">
        <f t="shared" si="469"/>
        <v>1.3736263736263736E-2</v>
      </c>
      <c r="DH59" s="360">
        <f t="shared" si="469"/>
        <v>3.6656891495601175E-2</v>
      </c>
      <c r="DI59" s="359">
        <f t="shared" si="469"/>
        <v>0.2864864864864865</v>
      </c>
      <c r="DJ59" s="360">
        <f t="shared" si="469"/>
        <v>-6.640625E-2</v>
      </c>
      <c r="DK59" s="360">
        <f t="shared" si="469"/>
        <v>0.15763546798029557</v>
      </c>
      <c r="DL59" s="360">
        <f t="shared" si="469"/>
        <v>3.7209302325581395E-2</v>
      </c>
      <c r="DM59" s="361">
        <v>0.21</v>
      </c>
      <c r="DN59" s="359">
        <f>-DN61/DN55</f>
        <v>0.14230176333991573</v>
      </c>
      <c r="DO59" s="361">
        <v>0.21</v>
      </c>
      <c r="DP59" s="361">
        <v>0.21</v>
      </c>
      <c r="DQ59" s="361">
        <v>0.21</v>
      </c>
      <c r="DR59" s="361">
        <v>0.21</v>
      </c>
      <c r="DS59" s="359">
        <f>-DS61/DS55</f>
        <v>0.20999999999999996</v>
      </c>
      <c r="DT59" s="361">
        <v>0.21</v>
      </c>
      <c r="DU59" s="361">
        <v>0.21</v>
      </c>
      <c r="DV59" s="361">
        <v>0.21</v>
      </c>
      <c r="DW59" s="361">
        <v>0.21</v>
      </c>
      <c r="DX59" s="359">
        <f>-DX61/DX55</f>
        <v>0.21</v>
      </c>
      <c r="DY59" s="361">
        <v>0.21</v>
      </c>
      <c r="DZ59" s="361">
        <v>0.21</v>
      </c>
      <c r="EA59" s="361">
        <v>0.21</v>
      </c>
      <c r="EB59" s="361">
        <v>0.21</v>
      </c>
      <c r="EC59" s="359">
        <f>-EC61/EC55</f>
        <v>0.20999999999999996</v>
      </c>
      <c r="ED59" s="892"/>
      <c r="EE59" s="139"/>
    </row>
    <row r="60" spans="1:135" s="356" customFormat="1" ht="12" customHeight="1">
      <c r="A60" s="940"/>
      <c r="B60" s="940"/>
      <c r="C60" s="348" t="s">
        <v>56</v>
      </c>
      <c r="D60" s="349"/>
      <c r="E60" s="349"/>
      <c r="F60" s="349"/>
      <c r="G60" s="349"/>
      <c r="H60" s="349"/>
      <c r="I60" s="350"/>
      <c r="J60" s="350"/>
      <c r="K60" s="350"/>
      <c r="L60" s="350"/>
      <c r="M60" s="349"/>
      <c r="N60" s="350"/>
      <c r="O60" s="350"/>
      <c r="P60" s="350"/>
      <c r="Q60" s="350"/>
      <c r="R60" s="349"/>
      <c r="S60" s="350"/>
      <c r="T60" s="350"/>
      <c r="U60" s="350"/>
      <c r="V60" s="350"/>
      <c r="W60" s="349"/>
      <c r="X60" s="350"/>
      <c r="Y60" s="350"/>
      <c r="Z60" s="350"/>
      <c r="AA60" s="350"/>
      <c r="AB60" s="349"/>
      <c r="AC60" s="350"/>
      <c r="AD60" s="350"/>
      <c r="AE60" s="350"/>
      <c r="AF60" s="350"/>
      <c r="AG60" s="349"/>
      <c r="AH60" s="350"/>
      <c r="AI60" s="350"/>
      <c r="AJ60" s="350"/>
      <c r="AK60" s="350"/>
      <c r="AL60" s="349"/>
      <c r="AM60" s="350"/>
      <c r="AN60" s="350"/>
      <c r="AO60" s="350"/>
      <c r="AP60" s="350"/>
      <c r="AQ60" s="349"/>
      <c r="AR60" s="350"/>
      <c r="AS60" s="350"/>
      <c r="AT60" s="350"/>
      <c r="AU60" s="350"/>
      <c r="AV60" s="349"/>
      <c r="AW60" s="350"/>
      <c r="AX60" s="350"/>
      <c r="AY60" s="350"/>
      <c r="AZ60" s="350"/>
      <c r="BA60" s="349"/>
      <c r="BB60" s="350"/>
      <c r="BC60" s="350"/>
      <c r="BD60" s="350"/>
      <c r="BE60" s="350"/>
      <c r="BF60" s="349"/>
      <c r="BG60" s="350"/>
      <c r="BH60" s="350"/>
      <c r="BI60" s="350"/>
      <c r="BJ60" s="350"/>
      <c r="BK60" s="349"/>
      <c r="BL60" s="350"/>
      <c r="BM60" s="350"/>
      <c r="BN60" s="350"/>
      <c r="BO60" s="350"/>
      <c r="BP60" s="349"/>
      <c r="BQ60" s="351">
        <v>0</v>
      </c>
      <c r="BR60" s="351">
        <v>0</v>
      </c>
      <c r="BS60" s="351">
        <v>0</v>
      </c>
      <c r="BT60" s="351">
        <v>0</v>
      </c>
      <c r="BU60" s="352">
        <f>SUM(BQ60:BT60)</f>
        <v>0</v>
      </c>
      <c r="BV60" s="353">
        <v>0</v>
      </c>
      <c r="BW60" s="353">
        <v>0</v>
      </c>
      <c r="BX60" s="353">
        <v>0</v>
      </c>
      <c r="BY60" s="353">
        <v>0</v>
      </c>
      <c r="BZ60" s="352">
        <f>SUM(BV60:BY60)</f>
        <v>0</v>
      </c>
      <c r="CA60" s="353">
        <v>0</v>
      </c>
      <c r="CB60" s="353">
        <v>0</v>
      </c>
      <c r="CC60" s="353">
        <v>0</v>
      </c>
      <c r="CD60" s="353">
        <v>0</v>
      </c>
      <c r="CE60" s="352">
        <f t="shared" si="467"/>
        <v>0</v>
      </c>
      <c r="CF60" s="353">
        <v>0</v>
      </c>
      <c r="CG60" s="353">
        <v>0</v>
      </c>
      <c r="CH60" s="353">
        <v>0</v>
      </c>
      <c r="CI60" s="353">
        <v>0</v>
      </c>
      <c r="CJ60" s="352">
        <f>SUM(CF60:CI60)</f>
        <v>0</v>
      </c>
      <c r="CK60" s="353">
        <v>0</v>
      </c>
      <c r="CL60" s="353">
        <v>0</v>
      </c>
      <c r="CM60" s="353">
        <v>0</v>
      </c>
      <c r="CN60" s="353">
        <v>0</v>
      </c>
      <c r="CO60" s="352">
        <f t="shared" si="451"/>
        <v>0</v>
      </c>
      <c r="CP60" s="353">
        <v>0</v>
      </c>
      <c r="CQ60" s="353">
        <v>0</v>
      </c>
      <c r="CR60" s="353">
        <v>0</v>
      </c>
      <c r="CS60" s="353">
        <v>0</v>
      </c>
      <c r="CT60" s="352">
        <f t="shared" si="466"/>
        <v>0</v>
      </c>
      <c r="CU60" s="353">
        <v>0</v>
      </c>
      <c r="CV60" s="353">
        <v>0</v>
      </c>
      <c r="CW60" s="353">
        <v>0</v>
      </c>
      <c r="CX60" s="354">
        <v>0</v>
      </c>
      <c r="CY60" s="352">
        <f t="shared" si="453"/>
        <v>0</v>
      </c>
      <c r="CZ60" s="353">
        <v>0</v>
      </c>
      <c r="DA60" s="353">
        <v>0</v>
      </c>
      <c r="DB60" s="353">
        <v>0</v>
      </c>
      <c r="DC60" s="353">
        <v>0</v>
      </c>
      <c r="DD60" s="352">
        <f t="shared" si="454"/>
        <v>0</v>
      </c>
      <c r="DE60" s="353">
        <v>0</v>
      </c>
      <c r="DF60" s="353">
        <v>0</v>
      </c>
      <c r="DG60" s="353">
        <v>0</v>
      </c>
      <c r="DH60" s="353">
        <v>0</v>
      </c>
      <c r="DI60" s="352">
        <f t="shared" si="455"/>
        <v>0</v>
      </c>
      <c r="DJ60" s="353">
        <v>0</v>
      </c>
      <c r="DK60" s="353">
        <v>0</v>
      </c>
      <c r="DL60" s="353">
        <v>0</v>
      </c>
      <c r="DM60" s="353">
        <v>0</v>
      </c>
      <c r="DN60" s="352">
        <f t="shared" si="456"/>
        <v>0</v>
      </c>
      <c r="DO60" s="353">
        <v>0</v>
      </c>
      <c r="DP60" s="353">
        <v>0</v>
      </c>
      <c r="DQ60" s="353">
        <v>0</v>
      </c>
      <c r="DR60" s="353">
        <v>0</v>
      </c>
      <c r="DS60" s="352">
        <f t="shared" si="458"/>
        <v>0</v>
      </c>
      <c r="DT60" s="353">
        <v>0</v>
      </c>
      <c r="DU60" s="353">
        <v>0</v>
      </c>
      <c r="DV60" s="353">
        <v>0</v>
      </c>
      <c r="DW60" s="353">
        <v>0</v>
      </c>
      <c r="DX60" s="352">
        <f t="shared" si="464"/>
        <v>0</v>
      </c>
      <c r="DY60" s="353">
        <v>0</v>
      </c>
      <c r="DZ60" s="353">
        <v>0</v>
      </c>
      <c r="EA60" s="353">
        <v>0</v>
      </c>
      <c r="EB60" s="353">
        <v>0</v>
      </c>
      <c r="EC60" s="352">
        <f t="shared" si="465"/>
        <v>0</v>
      </c>
      <c r="ED60" s="1172"/>
      <c r="EE60" s="355"/>
    </row>
    <row r="61" spans="1:135" s="296" customFormat="1" ht="12" customHeight="1">
      <c r="A61" s="940"/>
      <c r="B61" s="940"/>
      <c r="C61" s="309" t="s">
        <v>193</v>
      </c>
      <c r="D61" s="314"/>
      <c r="E61" s="314"/>
      <c r="F61" s="314"/>
      <c r="G61" s="314"/>
      <c r="H61" s="314"/>
      <c r="I61" s="315"/>
      <c r="J61" s="315"/>
      <c r="K61" s="315"/>
      <c r="L61" s="315"/>
      <c r="M61" s="314"/>
      <c r="N61" s="315"/>
      <c r="O61" s="315"/>
      <c r="P61" s="315"/>
      <c r="Q61" s="315"/>
      <c r="R61" s="314"/>
      <c r="S61" s="315"/>
      <c r="T61" s="315"/>
      <c r="U61" s="315"/>
      <c r="V61" s="315"/>
      <c r="W61" s="314"/>
      <c r="X61" s="315"/>
      <c r="Y61" s="315"/>
      <c r="Z61" s="315"/>
      <c r="AA61" s="315"/>
      <c r="AB61" s="314"/>
      <c r="AC61" s="315"/>
      <c r="AD61" s="315"/>
      <c r="AE61" s="315"/>
      <c r="AF61" s="315"/>
      <c r="AG61" s="314"/>
      <c r="AH61" s="315"/>
      <c r="AI61" s="315"/>
      <c r="AJ61" s="315"/>
      <c r="AK61" s="315"/>
      <c r="AL61" s="314"/>
      <c r="AM61" s="315"/>
      <c r="AN61" s="315"/>
      <c r="AO61" s="315"/>
      <c r="AP61" s="315"/>
      <c r="AQ61" s="314"/>
      <c r="AR61" s="315"/>
      <c r="AS61" s="315"/>
      <c r="AT61" s="315"/>
      <c r="AU61" s="315"/>
      <c r="AV61" s="314"/>
      <c r="AW61" s="315"/>
      <c r="AX61" s="315"/>
      <c r="AY61" s="315"/>
      <c r="AZ61" s="315"/>
      <c r="BA61" s="314"/>
      <c r="BB61" s="315"/>
      <c r="BC61" s="315"/>
      <c r="BD61" s="315"/>
      <c r="BE61" s="315"/>
      <c r="BF61" s="314"/>
      <c r="BG61" s="315"/>
      <c r="BH61" s="315"/>
      <c r="BI61" s="315"/>
      <c r="BJ61" s="315"/>
      <c r="BK61" s="314"/>
      <c r="BL61" s="315"/>
      <c r="BM61" s="315"/>
      <c r="BN61" s="315"/>
      <c r="BO61" s="315"/>
      <c r="BP61" s="314"/>
      <c r="BQ61" s="357">
        <f>BQ58+BQ60</f>
        <v>0</v>
      </c>
      <c r="BR61" s="357">
        <f>BR58+BR60</f>
        <v>0</v>
      </c>
      <c r="BS61" s="357">
        <f>BS58+BS60</f>
        <v>0</v>
      </c>
      <c r="BT61" s="357">
        <f>BT58+BT60</f>
        <v>0</v>
      </c>
      <c r="BU61" s="317">
        <f>SUM(BQ61:BT61)</f>
        <v>0</v>
      </c>
      <c r="BV61" s="357">
        <f>BV58+BV60</f>
        <v>0</v>
      </c>
      <c r="BW61" s="357">
        <f>BW58+BW60</f>
        <v>0</v>
      </c>
      <c r="BX61" s="357">
        <f>BX58+BX60</f>
        <v>0</v>
      </c>
      <c r="BY61" s="357">
        <f>BY58+BY60</f>
        <v>0</v>
      </c>
      <c r="BZ61" s="317">
        <f>SUM(BV61:BY61)</f>
        <v>0</v>
      </c>
      <c r="CA61" s="357">
        <f>CA58+CA60</f>
        <v>0</v>
      </c>
      <c r="CB61" s="357">
        <f>CB58+CB60</f>
        <v>0</v>
      </c>
      <c r="CC61" s="357">
        <f>CC58+CC60</f>
        <v>0</v>
      </c>
      <c r="CD61" s="357">
        <f>CD58+CD60</f>
        <v>0</v>
      </c>
      <c r="CE61" s="1258">
        <f t="shared" si="467"/>
        <v>0</v>
      </c>
      <c r="CF61" s="357">
        <f>CF58+CF60</f>
        <v>0</v>
      </c>
      <c r="CG61" s="357">
        <f>CG58+CG60</f>
        <v>0</v>
      </c>
      <c r="CH61" s="357">
        <f>CH58+CH60</f>
        <v>0</v>
      </c>
      <c r="CI61" s="357">
        <f>CI58+CI60</f>
        <v>0</v>
      </c>
      <c r="CJ61" s="317">
        <f>SUM(CF61:CI61)</f>
        <v>0</v>
      </c>
      <c r="CK61" s="357">
        <f>CK58+CK60</f>
        <v>0</v>
      </c>
      <c r="CL61" s="357">
        <f>CL58+CL60</f>
        <v>0</v>
      </c>
      <c r="CM61" s="357">
        <f>CM58+CM60</f>
        <v>-48.338000000000001</v>
      </c>
      <c r="CN61" s="357">
        <f>CN58+CN60</f>
        <v>19.311</v>
      </c>
      <c r="CO61" s="317">
        <f t="shared" si="451"/>
        <v>-29.027000000000001</v>
      </c>
      <c r="CP61" s="357">
        <f>CP58+CP60</f>
        <v>28.695</v>
      </c>
      <c r="CQ61" s="357">
        <f>CQ58+CQ60</f>
        <v>31.63</v>
      </c>
      <c r="CR61" s="357">
        <f>CR58+CR60</f>
        <v>4.7009999999999996</v>
      </c>
      <c r="CS61" s="357">
        <f>CS58+CS60</f>
        <v>14.119</v>
      </c>
      <c r="CT61" s="317">
        <f t="shared" si="466"/>
        <v>79.144999999999996</v>
      </c>
      <c r="CU61" s="357">
        <f>CU58+CU60</f>
        <v>-111.099</v>
      </c>
      <c r="CV61" s="357">
        <f>CV58+CV60</f>
        <v>-40.222000000000001</v>
      </c>
      <c r="CW61" s="357">
        <f>CW58+CW60</f>
        <v>-192.02</v>
      </c>
      <c r="CX61" s="357">
        <f>CX58+CX60</f>
        <v>117.408</v>
      </c>
      <c r="CY61" s="317">
        <f t="shared" si="453"/>
        <v>-225.93299999999999</v>
      </c>
      <c r="CZ61" s="357">
        <f>CZ58+CZ60</f>
        <v>178.44900000000001</v>
      </c>
      <c r="DA61" s="357">
        <f>DA58+DA60</f>
        <v>-5.657</v>
      </c>
      <c r="DB61" s="357">
        <f>DB58+DB60</f>
        <v>-1.276</v>
      </c>
      <c r="DC61" s="357">
        <f>DC58+DC60</f>
        <v>-9.0859999999999843</v>
      </c>
      <c r="DD61" s="317">
        <f t="shared" si="454"/>
        <v>162.43</v>
      </c>
      <c r="DE61" s="357">
        <f>DE58+DE60</f>
        <v>-8</v>
      </c>
      <c r="DF61" s="357">
        <f>DF58+DF60</f>
        <v>-10</v>
      </c>
      <c r="DG61" s="357">
        <f>DG58+DG60</f>
        <v>-10</v>
      </c>
      <c r="DH61" s="357">
        <f>DH58+DH60</f>
        <v>-25</v>
      </c>
      <c r="DI61" s="317">
        <f t="shared" si="455"/>
        <v>-53</v>
      </c>
      <c r="DJ61" s="357">
        <f>DJ58+DJ60</f>
        <v>-17</v>
      </c>
      <c r="DK61" s="357">
        <f>DK58+DK60</f>
        <v>-32</v>
      </c>
      <c r="DL61" s="357">
        <f>DL58+DL60</f>
        <v>-32</v>
      </c>
      <c r="DM61" s="357">
        <f>DM58+DM60</f>
        <v>-104.96403132173802</v>
      </c>
      <c r="DN61" s="317">
        <f t="shared" si="456"/>
        <v>-185.96403132173802</v>
      </c>
      <c r="DO61" s="357">
        <f>DO58+DO60</f>
        <v>-46.994795146731846</v>
      </c>
      <c r="DP61" s="357">
        <f>DP58+DP60</f>
        <v>-85.008973699491747</v>
      </c>
      <c r="DQ61" s="357">
        <f>DQ58+DQ60</f>
        <v>-101.61181095988768</v>
      </c>
      <c r="DR61" s="357">
        <f>DR58+DR60</f>
        <v>-141.85165171461958</v>
      </c>
      <c r="DS61" s="317">
        <f t="shared" si="458"/>
        <v>-375.46723152073082</v>
      </c>
      <c r="DT61" s="357">
        <f>DT58+DT60</f>
        <v>-62.730281746618495</v>
      </c>
      <c r="DU61" s="357">
        <f>DU58+DU60</f>
        <v>-108.74945337068164</v>
      </c>
      <c r="DV61" s="357">
        <f>DV58+DV60</f>
        <v>-129.11882851000092</v>
      </c>
      <c r="DW61" s="357">
        <f>DW58+DW60</f>
        <v>-180.51705141334821</v>
      </c>
      <c r="DX61" s="317">
        <f t="shared" si="464"/>
        <v>-481.11561504064923</v>
      </c>
      <c r="DY61" s="357">
        <f>DY58+DY60</f>
        <v>-83.601897184923558</v>
      </c>
      <c r="DZ61" s="357">
        <f>DZ58+DZ60</f>
        <v>-138.59514537011282</v>
      </c>
      <c r="EA61" s="357">
        <f>EA58+EA60</f>
        <v>-163.24841210558733</v>
      </c>
      <c r="EB61" s="357">
        <f>EB58+EB60</f>
        <v>-227.96308008535917</v>
      </c>
      <c r="EC61" s="317">
        <f t="shared" si="465"/>
        <v>-613.40853474598282</v>
      </c>
      <c r="ED61" s="491"/>
      <c r="EE61" s="139"/>
    </row>
    <row r="62" spans="1:135" s="296" customFormat="1" ht="12" customHeight="1">
      <c r="A62" s="940"/>
      <c r="B62" s="940"/>
      <c r="C62" s="309" t="s">
        <v>30</v>
      </c>
      <c r="D62" s="343"/>
      <c r="E62" s="343"/>
      <c r="F62" s="343"/>
      <c r="G62" s="343"/>
      <c r="H62" s="343"/>
      <c r="I62" s="299"/>
      <c r="J62" s="299"/>
      <c r="K62" s="299"/>
      <c r="L62" s="299"/>
      <c r="M62" s="343"/>
      <c r="N62" s="299"/>
      <c r="O62" s="299"/>
      <c r="P62" s="299"/>
      <c r="Q62" s="299"/>
      <c r="R62" s="343"/>
      <c r="S62" s="299"/>
      <c r="T62" s="299"/>
      <c r="U62" s="299"/>
      <c r="V62" s="299"/>
      <c r="W62" s="343"/>
      <c r="X62" s="299"/>
      <c r="Y62" s="299"/>
      <c r="Z62" s="299"/>
      <c r="AA62" s="299"/>
      <c r="AB62" s="343"/>
      <c r="AC62" s="299"/>
      <c r="AD62" s="299"/>
      <c r="AE62" s="299"/>
      <c r="AF62" s="299"/>
      <c r="AG62" s="343"/>
      <c r="AH62" s="299"/>
      <c r="AI62" s="299"/>
      <c r="AJ62" s="299"/>
      <c r="AK62" s="299"/>
      <c r="AL62" s="343"/>
      <c r="AM62" s="299"/>
      <c r="AN62" s="299"/>
      <c r="AO62" s="299"/>
      <c r="AP62" s="299"/>
      <c r="AQ62" s="343"/>
      <c r="AR62" s="299"/>
      <c r="AS62" s="299"/>
      <c r="AT62" s="299"/>
      <c r="AU62" s="299"/>
      <c r="AV62" s="343"/>
      <c r="AW62" s="299"/>
      <c r="AX62" s="299"/>
      <c r="AY62" s="299"/>
      <c r="AZ62" s="299"/>
      <c r="BA62" s="343"/>
      <c r="BB62" s="299"/>
      <c r="BC62" s="299"/>
      <c r="BD62" s="299"/>
      <c r="BE62" s="299"/>
      <c r="BF62" s="343"/>
      <c r="BG62" s="362"/>
      <c r="BH62" s="362"/>
      <c r="BI62" s="362"/>
      <c r="BJ62" s="362"/>
      <c r="BK62" s="343"/>
      <c r="BL62" s="362"/>
      <c r="BM62" s="362"/>
      <c r="BN62" s="362"/>
      <c r="BO62" s="362"/>
      <c r="BP62" s="343"/>
      <c r="BQ62" s="363"/>
      <c r="BR62" s="363"/>
      <c r="BS62" s="363"/>
      <c r="BT62" s="363"/>
      <c r="BU62" s="364"/>
      <c r="BV62" s="363"/>
      <c r="BW62" s="363"/>
      <c r="BX62" s="363"/>
      <c r="BY62" s="363"/>
      <c r="BZ62" s="364"/>
      <c r="CA62" s="363"/>
      <c r="CB62" s="363"/>
      <c r="CC62" s="363"/>
      <c r="CD62" s="363"/>
      <c r="CE62" s="364"/>
      <c r="CF62" s="363"/>
      <c r="CG62" s="363"/>
      <c r="CH62" s="363"/>
      <c r="CI62" s="363"/>
      <c r="CJ62" s="364"/>
      <c r="CK62" s="363"/>
      <c r="CL62" s="363"/>
      <c r="CM62" s="363"/>
      <c r="CN62" s="363"/>
      <c r="CO62" s="364"/>
      <c r="CP62" s="363"/>
      <c r="CQ62" s="363"/>
      <c r="CR62" s="363"/>
      <c r="CS62" s="363"/>
      <c r="CT62" s="365"/>
      <c r="CU62" s="363"/>
      <c r="CV62" s="363"/>
      <c r="CW62" s="363"/>
      <c r="CX62" s="366"/>
      <c r="CY62" s="365"/>
      <c r="CZ62" s="363"/>
      <c r="DA62" s="363"/>
      <c r="DB62" s="363"/>
      <c r="DC62" s="363"/>
      <c r="DD62" s="364"/>
      <c r="DE62" s="363"/>
      <c r="DF62" s="363"/>
      <c r="DG62" s="363"/>
      <c r="DH62" s="367"/>
      <c r="DI62" s="364"/>
      <c r="DJ62" s="367"/>
      <c r="DK62" s="367"/>
      <c r="DL62" s="367"/>
      <c r="DM62" s="367"/>
      <c r="DN62" s="364"/>
      <c r="DO62" s="367"/>
      <c r="DP62" s="367"/>
      <c r="DQ62" s="367"/>
      <c r="DR62" s="367"/>
      <c r="DS62" s="364"/>
      <c r="DT62" s="367"/>
      <c r="DU62" s="367"/>
      <c r="DV62" s="367"/>
      <c r="DW62" s="367"/>
      <c r="DX62" s="364"/>
      <c r="DY62" s="367"/>
      <c r="DZ62" s="367"/>
      <c r="EA62" s="367"/>
      <c r="EB62" s="367"/>
      <c r="EC62" s="364"/>
      <c r="ED62" s="1173"/>
      <c r="EE62" s="139"/>
    </row>
    <row r="63" spans="1:135" s="320" customFormat="1" ht="12" customHeight="1">
      <c r="A63" s="940" t="s">
        <v>443</v>
      </c>
      <c r="B63" s="940"/>
      <c r="C63" s="291" t="s">
        <v>242</v>
      </c>
      <c r="D63" s="292"/>
      <c r="E63" s="292"/>
      <c r="F63" s="292"/>
      <c r="G63" s="292"/>
      <c r="H63" s="292"/>
      <c r="I63" s="293"/>
      <c r="J63" s="293"/>
      <c r="K63" s="293"/>
      <c r="L63" s="293"/>
      <c r="M63" s="292"/>
      <c r="N63" s="293"/>
      <c r="O63" s="293"/>
      <c r="P63" s="293"/>
      <c r="Q63" s="293"/>
      <c r="R63" s="292"/>
      <c r="S63" s="293"/>
      <c r="T63" s="293"/>
      <c r="U63" s="293"/>
      <c r="V63" s="293"/>
      <c r="W63" s="292"/>
      <c r="X63" s="293"/>
      <c r="Y63" s="293"/>
      <c r="Z63" s="293"/>
      <c r="AA63" s="293"/>
      <c r="AB63" s="292"/>
      <c r="AC63" s="293"/>
      <c r="AD63" s="293"/>
      <c r="AE63" s="293"/>
      <c r="AF63" s="293"/>
      <c r="AG63" s="292"/>
      <c r="AH63" s="293"/>
      <c r="AI63" s="293"/>
      <c r="AJ63" s="293"/>
      <c r="AK63" s="293"/>
      <c r="AL63" s="292"/>
      <c r="AM63" s="293"/>
      <c r="AN63" s="293"/>
      <c r="AO63" s="293"/>
      <c r="AP63" s="293"/>
      <c r="AQ63" s="292"/>
      <c r="AR63" s="293"/>
      <c r="AS63" s="293"/>
      <c r="AT63" s="293"/>
      <c r="AU63" s="293"/>
      <c r="AV63" s="292"/>
      <c r="AW63" s="293"/>
      <c r="AX63" s="293"/>
      <c r="AY63" s="293"/>
      <c r="AZ63" s="293"/>
      <c r="BA63" s="292"/>
      <c r="BB63" s="293"/>
      <c r="BC63" s="293"/>
      <c r="BD63" s="293"/>
      <c r="BE63" s="293"/>
      <c r="BF63" s="292"/>
      <c r="BG63" s="293"/>
      <c r="BH63" s="293"/>
      <c r="BI63" s="293"/>
      <c r="BJ63" s="293"/>
      <c r="BK63" s="292"/>
      <c r="BL63" s="293"/>
      <c r="BM63" s="293"/>
      <c r="BN63" s="293"/>
      <c r="BO63" s="293"/>
      <c r="BP63" s="292"/>
      <c r="BQ63" s="294">
        <f>BQ55+BQ61</f>
        <v>-4.5299999999999994</v>
      </c>
      <c r="BR63" s="294">
        <f>BR55+BR61</f>
        <v>-3.2959999999999985</v>
      </c>
      <c r="BS63" s="294">
        <f>BS55+BS61</f>
        <v>-4.6569999999999974</v>
      </c>
      <c r="BT63" s="294">
        <f>BT55+BT61</f>
        <v>-6.3069999999999986</v>
      </c>
      <c r="BU63" s="295">
        <f>SUM(BQ63:BT63)</f>
        <v>-18.789999999999992</v>
      </c>
      <c r="BV63" s="294">
        <f>BV55+BV61</f>
        <v>-8.9289999999999896</v>
      </c>
      <c r="BW63" s="294">
        <f>BW55+BW61</f>
        <v>-8.4390000000000054</v>
      </c>
      <c r="BX63" s="294">
        <f>BX55+BX61</f>
        <v>-9.1200000000000045</v>
      </c>
      <c r="BY63" s="294">
        <f>BY55+BY61</f>
        <v>-8.8670000000000204</v>
      </c>
      <c r="BZ63" s="295">
        <f>SUM(BV63:BY63)</f>
        <v>-35.355000000000018</v>
      </c>
      <c r="CA63" s="294">
        <f>CA55+CA61</f>
        <v>-13.597999999999985</v>
      </c>
      <c r="CB63" s="294">
        <f>CB55+CB61</f>
        <v>-14.029999999999996</v>
      </c>
      <c r="CC63" s="294">
        <f>CC55+CC61</f>
        <v>-9.3799999999999883</v>
      </c>
      <c r="CD63" s="294">
        <f>CD55+CD61</f>
        <v>-2.9870000000000285</v>
      </c>
      <c r="CE63" s="295">
        <f>SUM(CA63:CD63)</f>
        <v>-39.994999999999997</v>
      </c>
      <c r="CF63" s="294">
        <f>CF55+CF61</f>
        <v>-15.902000000000026</v>
      </c>
      <c r="CG63" s="294">
        <f>CG55+CG61</f>
        <v>-23.953000000000024</v>
      </c>
      <c r="CH63" s="294">
        <f>CH55+CH61</f>
        <v>-23.184000000000026</v>
      </c>
      <c r="CI63" s="294">
        <f>CI55+CI61</f>
        <v>-1.5140000000000544</v>
      </c>
      <c r="CJ63" s="295">
        <f>SUM(CF63:CI63)</f>
        <v>-64.553000000000125</v>
      </c>
      <c r="CK63" s="294">
        <f>CK55+CK61</f>
        <v>-24.15100000000005</v>
      </c>
      <c r="CL63" s="294">
        <f>CL55+CL61</f>
        <v>-28.678000000000004</v>
      </c>
      <c r="CM63" s="294">
        <f>CM55+CM61</f>
        <v>-72.783999999999963</v>
      </c>
      <c r="CN63" s="294">
        <f>CN55+CN61</f>
        <v>0.77100000000005409</v>
      </c>
      <c r="CO63" s="295">
        <f>SUM(CK63:CN63)</f>
        <v>-124.84199999999996</v>
      </c>
      <c r="CP63" s="294">
        <f>CP55+CP61</f>
        <v>-31.429000000000002</v>
      </c>
      <c r="CQ63" s="294">
        <f>CQ55+CQ61</f>
        <v>35.998000000000047</v>
      </c>
      <c r="CR63" s="294">
        <f>CR55+CR61</f>
        <v>191.06800000000004</v>
      </c>
      <c r="CS63" s="294">
        <f>CS55+CS61</f>
        <v>123.87199999999994</v>
      </c>
      <c r="CT63" s="295">
        <f>SUM(CP63:CS63)</f>
        <v>319.50900000000001</v>
      </c>
      <c r="CU63" s="294">
        <f>CU55+CU61</f>
        <v>1258.4449999999999</v>
      </c>
      <c r="CV63" s="294">
        <f>CV55+CV61</f>
        <v>879.09299999999996</v>
      </c>
      <c r="CW63" s="294">
        <f>CW55+CW61</f>
        <v>1148.4320000000002</v>
      </c>
      <c r="CX63" s="294">
        <f>CX55+CX61</f>
        <v>-371.31099999999941</v>
      </c>
      <c r="CY63" s="295">
        <f>SUM(CU63:CX63)</f>
        <v>2914.659000000001</v>
      </c>
      <c r="CZ63" s="294">
        <f>CZ55+CZ61</f>
        <v>-1474.4079999999997</v>
      </c>
      <c r="DA63" s="294">
        <f>DA55+DA61</f>
        <v>-1203.9069999999999</v>
      </c>
      <c r="DB63" s="294">
        <f>DB55+DB61</f>
        <v>-158.40899999999996</v>
      </c>
      <c r="DC63" s="294">
        <f>DC55+DC61</f>
        <v>-623.69400000000019</v>
      </c>
      <c r="DD63" s="295">
        <f>SUM(CZ63:DC63)</f>
        <v>-3460.4179999999997</v>
      </c>
      <c r="DE63" s="294">
        <f>DE55+DE61</f>
        <v>68</v>
      </c>
      <c r="DF63" s="294">
        <f>DF55+DF61</f>
        <v>-1311</v>
      </c>
      <c r="DG63" s="294">
        <f>DG55+DG61</f>
        <v>718</v>
      </c>
      <c r="DH63" s="294">
        <f>DH55+DH61</f>
        <v>657</v>
      </c>
      <c r="DI63" s="295">
        <f>SUM(DE63:DH63)</f>
        <v>132</v>
      </c>
      <c r="DJ63" s="294">
        <f>DJ55+DJ61</f>
        <v>-273</v>
      </c>
      <c r="DK63" s="294">
        <f>DK55+DK61</f>
        <v>171</v>
      </c>
      <c r="DL63" s="294">
        <f>DL55+DL61</f>
        <v>828</v>
      </c>
      <c r="DM63" s="294">
        <f>DM55+DM61</f>
        <v>394.8646892579668</v>
      </c>
      <c r="DN63" s="295">
        <f>SUM(DJ63:DM63)</f>
        <v>1120.8646892579668</v>
      </c>
      <c r="DO63" s="294">
        <f>DO55+DO61</f>
        <v>176.78994364722934</v>
      </c>
      <c r="DP63" s="294">
        <f>DP55+DP61</f>
        <v>319.79566296475468</v>
      </c>
      <c r="DQ63" s="294">
        <f>DQ55+DQ61</f>
        <v>382.25395551576793</v>
      </c>
      <c r="DR63" s="294">
        <f>DR55+DR61</f>
        <v>533.63240406928321</v>
      </c>
      <c r="DS63" s="295">
        <f>SUM(DO63:DR63)</f>
        <v>1412.4719661970353</v>
      </c>
      <c r="DT63" s="294">
        <f>DT55+DT61</f>
        <v>235.98534561823149</v>
      </c>
      <c r="DU63" s="294">
        <f>DU55+DU61</f>
        <v>409.10508648970711</v>
      </c>
      <c r="DV63" s="294">
        <f>DV55+DV61</f>
        <v>485.7327358233369</v>
      </c>
      <c r="DW63" s="294">
        <f>DW55+DW61</f>
        <v>679.08795531688145</v>
      </c>
      <c r="DX63" s="295">
        <f>SUM(DT63:DW63)</f>
        <v>1809.9111232481569</v>
      </c>
      <c r="DY63" s="294">
        <f>DY55+DY61</f>
        <v>314.50237512423621</v>
      </c>
      <c r="DZ63" s="294">
        <f>DZ55+DZ61</f>
        <v>521.38173734471013</v>
      </c>
      <c r="EA63" s="294">
        <f>EA55+EA61</f>
        <v>614.12497887339998</v>
      </c>
      <c r="EB63" s="294">
        <f>EB55+EB61</f>
        <v>857.57539651158925</v>
      </c>
      <c r="EC63" s="295">
        <f>SUM(DY63:EB63)</f>
        <v>2307.5844878539356</v>
      </c>
      <c r="ED63" s="1167">
        <f>+(EC63/DN63)^(0.333333333333333)-1</f>
        <v>0.27213970507594354</v>
      </c>
      <c r="EE63" s="139"/>
    </row>
    <row r="64" spans="1:135" s="19" customFormat="1" ht="12" customHeight="1">
      <c r="A64" s="940" t="s">
        <v>444</v>
      </c>
      <c r="B64" s="940"/>
      <c r="C64" s="283" t="s">
        <v>140</v>
      </c>
      <c r="D64" s="368"/>
      <c r="E64" s="368"/>
      <c r="F64" s="368"/>
      <c r="G64" s="368"/>
      <c r="H64" s="368"/>
      <c r="I64" s="99"/>
      <c r="J64" s="99"/>
      <c r="K64" s="99"/>
      <c r="L64" s="99"/>
      <c r="M64" s="368"/>
      <c r="N64" s="738"/>
      <c r="O64" s="738"/>
      <c r="P64" s="738"/>
      <c r="Q64" s="738"/>
      <c r="R64" s="368"/>
      <c r="S64" s="738"/>
      <c r="T64" s="738"/>
      <c r="U64" s="738"/>
      <c r="V64" s="738"/>
      <c r="W64" s="368"/>
      <c r="X64" s="738"/>
      <c r="Y64" s="738"/>
      <c r="Z64" s="738"/>
      <c r="AA64" s="738"/>
      <c r="AB64" s="368"/>
      <c r="AC64" s="738"/>
      <c r="AD64" s="738"/>
      <c r="AE64" s="738"/>
      <c r="AF64" s="738"/>
      <c r="AG64" s="368"/>
      <c r="AH64" s="738"/>
      <c r="AI64" s="738"/>
      <c r="AJ64" s="738"/>
      <c r="AK64" s="738"/>
      <c r="AL64" s="368"/>
      <c r="AM64" s="738"/>
      <c r="AN64" s="738"/>
      <c r="AO64" s="738"/>
      <c r="AP64" s="738"/>
      <c r="AQ64" s="368"/>
      <c r="AR64" s="738"/>
      <c r="AS64" s="738"/>
      <c r="AT64" s="738"/>
      <c r="AU64" s="738"/>
      <c r="AV64" s="368"/>
      <c r="AW64" s="738"/>
      <c r="AX64" s="738"/>
      <c r="AY64" s="738"/>
      <c r="AZ64" s="738"/>
      <c r="BA64" s="368"/>
      <c r="BB64" s="738"/>
      <c r="BC64" s="738"/>
      <c r="BD64" s="738"/>
      <c r="BE64" s="738"/>
      <c r="BF64" s="368"/>
      <c r="BG64" s="738"/>
      <c r="BH64" s="738"/>
      <c r="BI64" s="738"/>
      <c r="BJ64" s="738"/>
      <c r="BK64" s="368"/>
      <c r="BL64" s="738"/>
      <c r="BM64" s="738"/>
      <c r="BN64" s="738"/>
      <c r="BO64" s="738"/>
      <c r="BP64" s="368"/>
      <c r="BQ64" s="287"/>
      <c r="BR64" s="287"/>
      <c r="BS64" s="287"/>
      <c r="BT64" s="287"/>
      <c r="BU64" s="286"/>
      <c r="BV64" s="287" t="str">
        <f t="shared" ref="BV64:DA64" si="470">+IF(BQ63&lt;=0,"nm",BV63/BQ63-1)</f>
        <v>nm</v>
      </c>
      <c r="BW64" s="287" t="str">
        <f t="shared" si="470"/>
        <v>nm</v>
      </c>
      <c r="BX64" s="287" t="str">
        <f t="shared" si="470"/>
        <v>nm</v>
      </c>
      <c r="BY64" s="287" t="str">
        <f t="shared" si="470"/>
        <v>nm</v>
      </c>
      <c r="BZ64" s="286" t="str">
        <f t="shared" si="470"/>
        <v>nm</v>
      </c>
      <c r="CA64" s="287" t="str">
        <f t="shared" si="470"/>
        <v>nm</v>
      </c>
      <c r="CB64" s="287" t="str">
        <f t="shared" si="470"/>
        <v>nm</v>
      </c>
      <c r="CC64" s="287" t="str">
        <f t="shared" si="470"/>
        <v>nm</v>
      </c>
      <c r="CD64" s="287" t="str">
        <f t="shared" si="470"/>
        <v>nm</v>
      </c>
      <c r="CE64" s="286" t="str">
        <f t="shared" si="470"/>
        <v>nm</v>
      </c>
      <c r="CF64" s="287" t="str">
        <f t="shared" si="470"/>
        <v>nm</v>
      </c>
      <c r="CG64" s="287" t="str">
        <f t="shared" si="470"/>
        <v>nm</v>
      </c>
      <c r="CH64" s="287" t="str">
        <f t="shared" si="470"/>
        <v>nm</v>
      </c>
      <c r="CI64" s="287" t="str">
        <f t="shared" si="470"/>
        <v>nm</v>
      </c>
      <c r="CJ64" s="286" t="str">
        <f t="shared" si="470"/>
        <v>nm</v>
      </c>
      <c r="CK64" s="287" t="str">
        <f t="shared" si="470"/>
        <v>nm</v>
      </c>
      <c r="CL64" s="287" t="str">
        <f t="shared" si="470"/>
        <v>nm</v>
      </c>
      <c r="CM64" s="287" t="str">
        <f t="shared" si="470"/>
        <v>nm</v>
      </c>
      <c r="CN64" s="287" t="str">
        <f t="shared" si="470"/>
        <v>nm</v>
      </c>
      <c r="CO64" s="286" t="str">
        <f t="shared" si="470"/>
        <v>nm</v>
      </c>
      <c r="CP64" s="287" t="str">
        <f t="shared" si="470"/>
        <v>nm</v>
      </c>
      <c r="CQ64" s="287" t="str">
        <f t="shared" si="470"/>
        <v>nm</v>
      </c>
      <c r="CR64" s="287" t="str">
        <f t="shared" si="470"/>
        <v>nm</v>
      </c>
      <c r="CS64" s="287">
        <f t="shared" si="470"/>
        <v>159.66407263293289</v>
      </c>
      <c r="CT64" s="286" t="str">
        <f t="shared" si="470"/>
        <v>nm</v>
      </c>
      <c r="CU64" s="287" t="str">
        <f t="shared" si="470"/>
        <v>nm</v>
      </c>
      <c r="CV64" s="287">
        <f t="shared" si="470"/>
        <v>23.420606700372211</v>
      </c>
      <c r="CW64" s="287">
        <f t="shared" si="470"/>
        <v>5.0105930872778277</v>
      </c>
      <c r="CX64" s="288">
        <f t="shared" si="470"/>
        <v>-3.9975377809351555</v>
      </c>
      <c r="CY64" s="286">
        <f t="shared" si="470"/>
        <v>8.1223064139038357</v>
      </c>
      <c r="CZ64" s="287">
        <f t="shared" si="470"/>
        <v>-2.171610996110279</v>
      </c>
      <c r="DA64" s="287">
        <f t="shared" si="470"/>
        <v>-2.3694876423768587</v>
      </c>
      <c r="DB64" s="287">
        <f t="shared" ref="DB64:EC64" si="471">+IF(CW63&lt;=0,"nm",DB63/CW63-1)</f>
        <v>-1.1379350279337392</v>
      </c>
      <c r="DC64" s="287" t="str">
        <f t="shared" si="471"/>
        <v>nm</v>
      </c>
      <c r="DD64" s="286">
        <f t="shared" si="471"/>
        <v>-2.1872462610548951</v>
      </c>
      <c r="DE64" s="287" t="str">
        <f t="shared" si="471"/>
        <v>nm</v>
      </c>
      <c r="DF64" s="287" t="str">
        <f t="shared" si="471"/>
        <v>nm</v>
      </c>
      <c r="DG64" s="287" t="str">
        <f t="shared" si="471"/>
        <v>nm</v>
      </c>
      <c r="DH64" s="287" t="str">
        <f t="shared" si="471"/>
        <v>nm</v>
      </c>
      <c r="DI64" s="286" t="str">
        <f t="shared" si="471"/>
        <v>nm</v>
      </c>
      <c r="DJ64" s="287">
        <f t="shared" si="471"/>
        <v>-5.0147058823529411</v>
      </c>
      <c r="DK64" s="287" t="str">
        <f t="shared" si="471"/>
        <v>nm</v>
      </c>
      <c r="DL64" s="287">
        <f t="shared" si="471"/>
        <v>0.15320334261838431</v>
      </c>
      <c r="DM64" s="287">
        <f t="shared" si="471"/>
        <v>-0.39898829641100941</v>
      </c>
      <c r="DN64" s="286">
        <f t="shared" si="471"/>
        <v>7.4913991610452033</v>
      </c>
      <c r="DO64" s="287" t="str">
        <f t="shared" si="471"/>
        <v>nm</v>
      </c>
      <c r="DP64" s="287">
        <f t="shared" si="471"/>
        <v>0.87015007581727888</v>
      </c>
      <c r="DQ64" s="287">
        <f t="shared" si="471"/>
        <v>-0.53834063343506289</v>
      </c>
      <c r="DR64" s="287">
        <f t="shared" si="471"/>
        <v>0.35143105622356341</v>
      </c>
      <c r="DS64" s="286">
        <f t="shared" si="471"/>
        <v>0.26016278301363727</v>
      </c>
      <c r="DT64" s="287">
        <f t="shared" si="471"/>
        <v>0.33483466734466538</v>
      </c>
      <c r="DU64" s="287">
        <f t="shared" si="471"/>
        <v>0.27927027745462385</v>
      </c>
      <c r="DV64" s="287">
        <f t="shared" si="471"/>
        <v>0.27070689214437826</v>
      </c>
      <c r="DW64" s="287">
        <f t="shared" si="471"/>
        <v>0.2725763093440503</v>
      </c>
      <c r="DX64" s="286">
        <f t="shared" si="471"/>
        <v>0.28137843905050652</v>
      </c>
      <c r="DY64" s="287">
        <f t="shared" si="471"/>
        <v>0.33271993775845177</v>
      </c>
      <c r="DZ64" s="287">
        <f t="shared" si="471"/>
        <v>0.27444452431130517</v>
      </c>
      <c r="EA64" s="287">
        <f t="shared" si="471"/>
        <v>0.26432693038988408</v>
      </c>
      <c r="EB64" s="287">
        <f t="shared" si="471"/>
        <v>0.26283405529026149</v>
      </c>
      <c r="EC64" s="286">
        <f t="shared" si="471"/>
        <v>0.2749711619610522</v>
      </c>
      <c r="ED64" s="287"/>
      <c r="EE64" s="139"/>
    </row>
    <row r="65" spans="1:135" s="99" customFormat="1" ht="12" customHeight="1">
      <c r="A65" s="940" t="s">
        <v>531</v>
      </c>
      <c r="B65" s="940"/>
      <c r="C65" s="283" t="s">
        <v>65</v>
      </c>
      <c r="D65" s="744"/>
      <c r="E65" s="744"/>
      <c r="F65" s="744"/>
      <c r="G65" s="744"/>
      <c r="H65" s="744"/>
      <c r="I65" s="738"/>
      <c r="J65" s="738"/>
      <c r="K65" s="738"/>
      <c r="L65" s="738"/>
      <c r="M65" s="744"/>
      <c r="N65" s="738"/>
      <c r="O65" s="738"/>
      <c r="P65" s="738"/>
      <c r="Q65" s="738"/>
      <c r="R65" s="744"/>
      <c r="S65" s="738"/>
      <c r="T65" s="738"/>
      <c r="U65" s="738"/>
      <c r="V65" s="738"/>
      <c r="W65" s="744"/>
      <c r="X65" s="738"/>
      <c r="Y65" s="738"/>
      <c r="Z65" s="738"/>
      <c r="AA65" s="738"/>
      <c r="AB65" s="744"/>
      <c r="AC65" s="738"/>
      <c r="AD65" s="738"/>
      <c r="AE65" s="738"/>
      <c r="AF65" s="738"/>
      <c r="AG65" s="744"/>
      <c r="AH65" s="738"/>
      <c r="AI65" s="738"/>
      <c r="AJ65" s="738"/>
      <c r="AK65" s="738"/>
      <c r="AL65" s="744"/>
      <c r="AM65" s="738"/>
      <c r="AN65" s="738"/>
      <c r="AO65" s="738"/>
      <c r="AP65" s="738"/>
      <c r="AQ65" s="744"/>
      <c r="AR65" s="738"/>
      <c r="AS65" s="738"/>
      <c r="AT65" s="738"/>
      <c r="AU65" s="738"/>
      <c r="AV65" s="744"/>
      <c r="AW65" s="738"/>
      <c r="AX65" s="738"/>
      <c r="AY65" s="738"/>
      <c r="AZ65" s="738"/>
      <c r="BA65" s="744"/>
      <c r="BB65" s="738"/>
      <c r="BC65" s="738"/>
      <c r="BD65" s="738"/>
      <c r="BE65" s="738"/>
      <c r="BF65" s="744"/>
      <c r="BG65" s="738"/>
      <c r="BH65" s="738"/>
      <c r="BI65" s="738"/>
      <c r="BJ65" s="738"/>
      <c r="BK65" s="744"/>
      <c r="BL65" s="738"/>
      <c r="BM65" s="738"/>
      <c r="BN65" s="738"/>
      <c r="BO65" s="738"/>
      <c r="BP65" s="744"/>
      <c r="BQ65" s="287">
        <f t="shared" ref="BQ65:CV65" si="472">BQ63/BQ11</f>
        <v>-0.12129163542893862</v>
      </c>
      <c r="BR65" s="287">
        <f t="shared" si="472"/>
        <v>-7.3365089257890717E-2</v>
      </c>
      <c r="BS65" s="287">
        <f t="shared" si="472"/>
        <v>-8.8224150342893895E-2</v>
      </c>
      <c r="BT65" s="287">
        <f t="shared" si="472"/>
        <v>-8.9877873256095628E-2</v>
      </c>
      <c r="BU65" s="286">
        <f t="shared" si="472"/>
        <v>-9.1554477106508173E-2</v>
      </c>
      <c r="BV65" s="287">
        <f t="shared" si="472"/>
        <v>-0.12278265174225116</v>
      </c>
      <c r="BW65" s="287">
        <f t="shared" si="472"/>
        <v>-9.7395178136577221E-2</v>
      </c>
      <c r="BX65" s="287">
        <f t="shared" si="472"/>
        <v>-9.1586495008937757E-2</v>
      </c>
      <c r="BY65" s="287">
        <f t="shared" si="472"/>
        <v>-6.8007332244234456E-2</v>
      </c>
      <c r="BZ65" s="286">
        <f t="shared" si="472"/>
        <v>-9.0809852824082452E-2</v>
      </c>
      <c r="CA65" s="287">
        <f t="shared" si="472"/>
        <v>-0.10675229040893698</v>
      </c>
      <c r="CB65" s="287">
        <f t="shared" si="472"/>
        <v>-9.2512610860176023E-2</v>
      </c>
      <c r="CC65" s="287">
        <f t="shared" si="472"/>
        <v>-5.4707913400522508E-2</v>
      </c>
      <c r="CD65" s="287">
        <f t="shared" si="472"/>
        <v>-1.3405800353658336E-2</v>
      </c>
      <c r="CE65" s="286">
        <f t="shared" si="472"/>
        <v>-5.9401102622292458E-2</v>
      </c>
      <c r="CF65" s="287">
        <f t="shared" si="472"/>
        <v>-7.4190538396939565E-2</v>
      </c>
      <c r="CG65" s="287">
        <f t="shared" si="472"/>
        <v>-9.7782114033548029E-2</v>
      </c>
      <c r="CH65" s="287">
        <f t="shared" si="472"/>
        <v>-8.5846317909828884E-2</v>
      </c>
      <c r="CI65" s="287">
        <f t="shared" si="472"/>
        <v>-4.4029290820156181E-3</v>
      </c>
      <c r="CJ65" s="286">
        <f t="shared" si="472"/>
        <v>-6.0148393306554457E-2</v>
      </c>
      <c r="CK65" s="287">
        <f t="shared" si="472"/>
        <v>-7.5358366460519008E-2</v>
      </c>
      <c r="CL65" s="287">
        <f t="shared" si="472"/>
        <v>-7.9225590434804247E-2</v>
      </c>
      <c r="CM65" s="287">
        <f t="shared" si="472"/>
        <v>-0.18636186730576199</v>
      </c>
      <c r="CN65" s="287">
        <f t="shared" si="472"/>
        <v>1.526249109193234E-3</v>
      </c>
      <c r="CO65" s="286">
        <f t="shared" si="472"/>
        <v>-7.9105395923007152E-2</v>
      </c>
      <c r="CP65" s="287">
        <f t="shared" si="472"/>
        <v>-6.687007048921173E-2</v>
      </c>
      <c r="CQ65" s="287">
        <f t="shared" si="472"/>
        <v>5.0393299558614227E-2</v>
      </c>
      <c r="CR65" s="287">
        <f t="shared" si="472"/>
        <v>0.24897935249314254</v>
      </c>
      <c r="CS65" s="287">
        <f t="shared" si="472"/>
        <v>0.12669164934788651</v>
      </c>
      <c r="CT65" s="286">
        <f t="shared" si="472"/>
        <v>0.10906638730072904</v>
      </c>
      <c r="CU65" s="287">
        <f t="shared" si="472"/>
        <v>1.272896190450181</v>
      </c>
      <c r="CV65" s="287">
        <f t="shared" si="472"/>
        <v>0.78529360531334724</v>
      </c>
      <c r="CW65" s="287">
        <f t="shared" ref="CW65:EC65" si="473">CW63/CW11</f>
        <v>1.0219730542652217</v>
      </c>
      <c r="CX65" s="288">
        <f t="shared" si="473"/>
        <v>-0.26906126270267716</v>
      </c>
      <c r="CY65" s="286">
        <f t="shared" si="473"/>
        <v>0.63199262943162171</v>
      </c>
      <c r="CZ65" s="287">
        <f t="shared" si="473"/>
        <v>-1.2249749298576047</v>
      </c>
      <c r="DA65" s="287">
        <f t="shared" si="473"/>
        <v>-0.9296126906567479</v>
      </c>
      <c r="DB65" s="287">
        <f t="shared" si="473"/>
        <v>-0.11594861660079048</v>
      </c>
      <c r="DC65" s="287">
        <f t="shared" si="473"/>
        <v>-0.35948236807613709</v>
      </c>
      <c r="DD65" s="286">
        <f t="shared" si="473"/>
        <v>-0.61794679299354405</v>
      </c>
      <c r="DE65" s="287">
        <f t="shared" si="473"/>
        <v>4.5092838196286469E-2</v>
      </c>
      <c r="DF65" s="287">
        <f t="shared" si="473"/>
        <v>-0.7739079102715466</v>
      </c>
      <c r="DG65" s="287">
        <f t="shared" si="473"/>
        <v>0.41890315052508753</v>
      </c>
      <c r="DH65" s="287">
        <f t="shared" si="473"/>
        <v>0.30643656716417911</v>
      </c>
      <c r="DI65" s="286">
        <f t="shared" si="473"/>
        <v>1.8696883852691217E-2</v>
      </c>
      <c r="DJ65" s="287">
        <f t="shared" si="473"/>
        <v>-0.14669532509403546</v>
      </c>
      <c r="DK65" s="287">
        <f t="shared" si="473"/>
        <v>8.361858190709047E-2</v>
      </c>
      <c r="DL65" s="287">
        <f t="shared" si="473"/>
        <v>0.38297872340425532</v>
      </c>
      <c r="DM65" s="287">
        <f t="shared" si="473"/>
        <v>0.14605202971587677</v>
      </c>
      <c r="DN65" s="286">
        <f t="shared" si="473"/>
        <v>0.12778353665523387</v>
      </c>
      <c r="DO65" s="287">
        <f t="shared" si="473"/>
        <v>7.5587325908373457E-2</v>
      </c>
      <c r="DP65" s="287">
        <f t="shared" si="473"/>
        <v>0.12750878950246791</v>
      </c>
      <c r="DQ65" s="287">
        <f t="shared" si="473"/>
        <v>0.14523847224552222</v>
      </c>
      <c r="DR65" s="287">
        <f t="shared" si="473"/>
        <v>0.16083249229468813</v>
      </c>
      <c r="DS65" s="286">
        <f t="shared" si="473"/>
        <v>0.13082373097413655</v>
      </c>
      <c r="DT65" s="287">
        <f t="shared" si="473"/>
        <v>8.4304409274778211E-2</v>
      </c>
      <c r="DU65" s="287">
        <f t="shared" si="473"/>
        <v>0.1363162841666454</v>
      </c>
      <c r="DV65" s="287">
        <f t="shared" si="473"/>
        <v>0.1543201706956869</v>
      </c>
      <c r="DW65" s="287">
        <f t="shared" si="473"/>
        <v>0.17081762582221025</v>
      </c>
      <c r="DX65" s="286">
        <f t="shared" si="473"/>
        <v>0.14004881249206411</v>
      </c>
      <c r="DY65" s="287">
        <f t="shared" si="473"/>
        <v>9.529312401967345E-2</v>
      </c>
      <c r="DZ65" s="287">
        <f t="shared" si="473"/>
        <v>0.14736881596679904</v>
      </c>
      <c r="EA65" s="287">
        <f t="shared" si="473"/>
        <v>0.1655811996862899</v>
      </c>
      <c r="EB65" s="287">
        <f t="shared" si="473"/>
        <v>0.18279120781173983</v>
      </c>
      <c r="EC65" s="286">
        <f t="shared" si="473"/>
        <v>0.15142854265175187</v>
      </c>
      <c r="ED65" s="287"/>
      <c r="EE65" s="139"/>
    </row>
    <row r="66" spans="1:135" s="99" customFormat="1" ht="12" customHeight="1">
      <c r="A66" s="940"/>
      <c r="B66" s="940"/>
      <c r="C66" s="312" t="s">
        <v>361</v>
      </c>
      <c r="D66" s="744"/>
      <c r="E66" s="744"/>
      <c r="F66" s="744"/>
      <c r="G66" s="744"/>
      <c r="H66" s="744"/>
      <c r="I66" s="738"/>
      <c r="J66" s="738"/>
      <c r="K66" s="738"/>
      <c r="L66" s="738"/>
      <c r="M66" s="744"/>
      <c r="N66" s="738"/>
      <c r="O66" s="738"/>
      <c r="P66" s="738"/>
      <c r="Q66" s="738"/>
      <c r="R66" s="744"/>
      <c r="S66" s="738"/>
      <c r="T66" s="738"/>
      <c r="U66" s="738"/>
      <c r="V66" s="738"/>
      <c r="W66" s="744"/>
      <c r="X66" s="738"/>
      <c r="Y66" s="738"/>
      <c r="Z66" s="738"/>
      <c r="AA66" s="738"/>
      <c r="AB66" s="744"/>
      <c r="AC66" s="738"/>
      <c r="AD66" s="738"/>
      <c r="AE66" s="738"/>
      <c r="AF66" s="738"/>
      <c r="AG66" s="744"/>
      <c r="AH66" s="738"/>
      <c r="AI66" s="738"/>
      <c r="AJ66" s="738"/>
      <c r="AK66" s="738"/>
      <c r="AL66" s="744"/>
      <c r="AM66" s="738"/>
      <c r="AN66" s="738"/>
      <c r="AO66" s="738"/>
      <c r="AP66" s="738"/>
      <c r="AQ66" s="744"/>
      <c r="AR66" s="738"/>
      <c r="AS66" s="738"/>
      <c r="AT66" s="738"/>
      <c r="AU66" s="738"/>
      <c r="AV66" s="744"/>
      <c r="AW66" s="738"/>
      <c r="AX66" s="738"/>
      <c r="AY66" s="738"/>
      <c r="AZ66" s="738"/>
      <c r="BA66" s="744"/>
      <c r="BB66" s="738"/>
      <c r="BC66" s="738"/>
      <c r="BD66" s="738"/>
      <c r="BE66" s="738"/>
      <c r="BF66" s="744"/>
      <c r="BG66" s="738"/>
      <c r="BH66" s="738"/>
      <c r="BI66" s="738"/>
      <c r="BJ66" s="738"/>
      <c r="BK66" s="744"/>
      <c r="BL66" s="738"/>
      <c r="BM66" s="738"/>
      <c r="BN66" s="738"/>
      <c r="BO66" s="738"/>
      <c r="BP66" s="744"/>
      <c r="BQ66" s="287"/>
      <c r="BR66" s="287"/>
      <c r="BS66" s="287"/>
      <c r="BT66" s="287"/>
      <c r="BU66" s="286"/>
      <c r="BV66" s="287"/>
      <c r="BW66" s="287"/>
      <c r="BX66" s="287"/>
      <c r="BY66" s="287"/>
      <c r="BZ66" s="286"/>
      <c r="CA66" s="287"/>
      <c r="CB66" s="287"/>
      <c r="CC66" s="287"/>
      <c r="CD66" s="287"/>
      <c r="CE66" s="286"/>
      <c r="CF66" s="287"/>
      <c r="CG66" s="287"/>
      <c r="CH66" s="287"/>
      <c r="CI66" s="287"/>
      <c r="CJ66" s="286"/>
      <c r="CK66" s="287"/>
      <c r="CL66" s="287"/>
      <c r="CM66" s="287"/>
      <c r="CN66" s="287"/>
      <c r="CO66" s="286"/>
      <c r="CP66" s="287"/>
      <c r="CQ66" s="287"/>
      <c r="CR66" s="287"/>
      <c r="CS66" s="287"/>
      <c r="CT66" s="286"/>
      <c r="CU66" s="287"/>
      <c r="CV66" s="287"/>
      <c r="CW66" s="287"/>
      <c r="CX66" s="288"/>
      <c r="CY66" s="286"/>
      <c r="CZ66" s="287"/>
      <c r="DA66" s="287"/>
      <c r="DB66" s="287"/>
      <c r="DC66" s="287"/>
      <c r="DD66" s="286"/>
      <c r="DE66" s="287"/>
      <c r="DF66" s="287"/>
      <c r="DG66" s="287"/>
      <c r="DH66" s="287"/>
      <c r="DI66" s="286"/>
      <c r="DJ66" s="287"/>
      <c r="DK66" s="287"/>
      <c r="DL66" s="287"/>
      <c r="DM66" s="287"/>
      <c r="DN66" s="286"/>
      <c r="DO66" s="287"/>
      <c r="DP66" s="287"/>
      <c r="DQ66" s="287"/>
      <c r="DR66" s="287"/>
      <c r="DS66" s="286"/>
      <c r="DT66" s="287"/>
      <c r="DU66" s="287"/>
      <c r="DV66" s="287"/>
      <c r="DW66" s="287"/>
      <c r="DX66" s="286"/>
      <c r="DY66" s="287"/>
      <c r="DZ66" s="287"/>
      <c r="EA66" s="287"/>
      <c r="EB66" s="287"/>
      <c r="EC66" s="286"/>
      <c r="ED66" s="287"/>
      <c r="EE66" s="139"/>
    </row>
    <row r="67" spans="1:135" s="296" customFormat="1" ht="12" customHeight="1">
      <c r="A67" s="940"/>
      <c r="B67" s="940"/>
      <c r="C67" s="301" t="s">
        <v>66</v>
      </c>
      <c r="D67" s="369"/>
      <c r="E67" s="369"/>
      <c r="F67" s="369"/>
      <c r="G67" s="369"/>
      <c r="H67" s="369"/>
      <c r="I67" s="370"/>
      <c r="J67" s="370"/>
      <c r="K67" s="370"/>
      <c r="L67" s="370"/>
      <c r="M67" s="369"/>
      <c r="N67" s="370"/>
      <c r="O67" s="370"/>
      <c r="P67" s="370"/>
      <c r="Q67" s="370"/>
      <c r="R67" s="369"/>
      <c r="S67" s="370"/>
      <c r="T67" s="370"/>
      <c r="U67" s="370"/>
      <c r="V67" s="370"/>
      <c r="W67" s="369"/>
      <c r="X67" s="370"/>
      <c r="Y67" s="370"/>
      <c r="Z67" s="370"/>
      <c r="AA67" s="370"/>
      <c r="AB67" s="369"/>
      <c r="AC67" s="370"/>
      <c r="AD67" s="370"/>
      <c r="AE67" s="370"/>
      <c r="AF67" s="370"/>
      <c r="AG67" s="369"/>
      <c r="AH67" s="370"/>
      <c r="AI67" s="370"/>
      <c r="AJ67" s="370"/>
      <c r="AK67" s="370"/>
      <c r="AL67" s="369"/>
      <c r="AM67" s="370"/>
      <c r="AN67" s="370"/>
      <c r="AO67" s="370"/>
      <c r="AP67" s="370"/>
      <c r="AQ67" s="369"/>
      <c r="AR67" s="370"/>
      <c r="AS67" s="370"/>
      <c r="AT67" s="370"/>
      <c r="AU67" s="370"/>
      <c r="AV67" s="369"/>
      <c r="AW67" s="370"/>
      <c r="AX67" s="370"/>
      <c r="AY67" s="370"/>
      <c r="AZ67" s="370"/>
      <c r="BA67" s="369"/>
      <c r="BB67" s="370"/>
      <c r="BC67" s="370"/>
      <c r="BD67" s="370"/>
      <c r="BE67" s="370"/>
      <c r="BF67" s="369"/>
      <c r="BG67" s="179"/>
      <c r="BH67" s="179"/>
      <c r="BI67" s="179"/>
      <c r="BJ67" s="179"/>
      <c r="BK67" s="369"/>
      <c r="BL67" s="179"/>
      <c r="BM67" s="179"/>
      <c r="BN67" s="370"/>
      <c r="BO67" s="371"/>
      <c r="BP67" s="369"/>
      <c r="BQ67" s="372">
        <v>39.344619000000002</v>
      </c>
      <c r="BR67" s="372">
        <v>53.040539000000003</v>
      </c>
      <c r="BS67" s="372">
        <v>75.901840000000007</v>
      </c>
      <c r="BT67" s="372">
        <v>61.716065</v>
      </c>
      <c r="BU67" s="300">
        <v>101.777</v>
      </c>
      <c r="BV67" s="372">
        <v>80.488495</v>
      </c>
      <c r="BW67" s="372">
        <v>81.349248000000003</v>
      </c>
      <c r="BX67" s="372">
        <v>84.912756999999999</v>
      </c>
      <c r="BY67" s="372">
        <v>89.137155000000007</v>
      </c>
      <c r="BZ67" s="300">
        <v>101.777</v>
      </c>
      <c r="CA67" s="372">
        <v>90.242889000000005</v>
      </c>
      <c r="CB67" s="372">
        <v>94.290537999999998</v>
      </c>
      <c r="CC67" s="372">
        <v>98.777974999999998</v>
      </c>
      <c r="CD67" s="372">
        <v>99.551790999999994</v>
      </c>
      <c r="CE67" s="300">
        <v>101.777</v>
      </c>
      <c r="CF67" s="372">
        <v>102.25664399999999</v>
      </c>
      <c r="CG67" s="372">
        <v>105.978076</v>
      </c>
      <c r="CH67" s="372">
        <v>106.647222</v>
      </c>
      <c r="CI67" s="372">
        <v>107.734499</v>
      </c>
      <c r="CJ67" s="300">
        <v>101.777</v>
      </c>
      <c r="CK67" s="372">
        <v>110.92127600000001</v>
      </c>
      <c r="CL67" s="372">
        <v>112.013409</v>
      </c>
      <c r="CM67" s="372">
        <v>113.086997</v>
      </c>
      <c r="CN67" s="372">
        <v>116.02724000000001</v>
      </c>
      <c r="CO67" s="300">
        <v>101.777</v>
      </c>
      <c r="CP67" s="372">
        <v>116.806549</v>
      </c>
      <c r="CQ67" s="372">
        <v>120.511484</v>
      </c>
      <c r="CR67" s="372">
        <v>120.511484</v>
      </c>
      <c r="CS67" s="372">
        <v>122.181067</v>
      </c>
      <c r="CT67" s="300">
        <f>AVERAGE(CP67:CS67)</f>
        <v>120.002646</v>
      </c>
      <c r="CU67" s="372">
        <v>123.24365</v>
      </c>
      <c r="CV67" s="372">
        <v>124.547501</v>
      </c>
      <c r="CW67" s="372">
        <v>125.07146</v>
      </c>
      <c r="CX67" s="372">
        <v>125.73475500000001</v>
      </c>
      <c r="CY67" s="300">
        <f>AVERAGE(CU67:CX67)</f>
        <v>124.64934150000001</v>
      </c>
      <c r="CZ67" s="372">
        <v>126.01306599999999</v>
      </c>
      <c r="DA67" s="372">
        <v>1262.011665</v>
      </c>
      <c r="DB67" s="372">
        <v>1269.4252260000001</v>
      </c>
      <c r="DC67" s="372">
        <v>1273.338804</v>
      </c>
      <c r="DD67" s="373">
        <v>1266.268155</v>
      </c>
      <c r="DE67" s="372">
        <v>1276.884726</v>
      </c>
      <c r="DF67" s="372">
        <v>1280.4076419999999</v>
      </c>
      <c r="DG67" s="372">
        <v>1283.329213</v>
      </c>
      <c r="DH67" s="372">
        <v>1285.4985320000001</v>
      </c>
      <c r="DI67" s="373">
        <v>1281.5545589999999</v>
      </c>
      <c r="DJ67" s="372">
        <v>1287.3767190000001</v>
      </c>
      <c r="DK67" s="372">
        <v>1288.900183</v>
      </c>
      <c r="DL67" s="372">
        <v>1290.5854260000001</v>
      </c>
      <c r="DM67" s="374">
        <f t="shared" ref="DM67:DM68" si="474">DL67+2.5</f>
        <v>1293.0854260000001</v>
      </c>
      <c r="DN67" s="300">
        <f>AVERAGE(DJ67:DM67)</f>
        <v>1289.9869385000002</v>
      </c>
      <c r="DO67" s="374">
        <f>DM67+2.5</f>
        <v>1295.5854260000001</v>
      </c>
      <c r="DP67" s="374">
        <f t="shared" ref="DP67:DP68" si="475">DO67+2.5</f>
        <v>1298.0854260000001</v>
      </c>
      <c r="DQ67" s="374">
        <f t="shared" ref="DQ67:DQ68" si="476">DP67+2.5</f>
        <v>1300.5854260000001</v>
      </c>
      <c r="DR67" s="374">
        <f t="shared" ref="DR67:DR68" si="477">DQ67+2.5</f>
        <v>1303.0854260000001</v>
      </c>
      <c r="DS67" s="300">
        <f>AVERAGE(DO67:DR67)</f>
        <v>1299.3354260000001</v>
      </c>
      <c r="DT67" s="374">
        <f>DR67+2.5</f>
        <v>1305.5854260000001</v>
      </c>
      <c r="DU67" s="374">
        <f t="shared" ref="DU67:DU68" si="478">DT67+2.5</f>
        <v>1308.0854260000001</v>
      </c>
      <c r="DV67" s="374">
        <f t="shared" ref="DV67:DV68" si="479">DU67+2.5</f>
        <v>1310.5854260000001</v>
      </c>
      <c r="DW67" s="374">
        <f t="shared" ref="DW67:DW68" si="480">DV67+2.5</f>
        <v>1313.0854260000001</v>
      </c>
      <c r="DX67" s="300">
        <f>AVERAGE(DT67:DW67)</f>
        <v>1309.3354260000001</v>
      </c>
      <c r="DY67" s="374">
        <f>DW67+2.5</f>
        <v>1315.5854260000001</v>
      </c>
      <c r="DZ67" s="374">
        <f t="shared" ref="DZ67:DZ68" si="481">DY67+2.5</f>
        <v>1318.0854260000001</v>
      </c>
      <c r="EA67" s="374">
        <f t="shared" ref="EA67:EA68" si="482">DZ67+2.5</f>
        <v>1320.5854260000001</v>
      </c>
      <c r="EB67" s="374">
        <f t="shared" ref="EB67:EB68" si="483">EA67+2.5</f>
        <v>1323.0854260000001</v>
      </c>
      <c r="EC67" s="300">
        <f>AVERAGE(DY67:EB67)</f>
        <v>1319.3354260000001</v>
      </c>
      <c r="ED67" s="491"/>
      <c r="EE67" s="139"/>
    </row>
    <row r="68" spans="1:135" s="296" customFormat="1" ht="12" customHeight="1">
      <c r="A68" s="940"/>
      <c r="B68" s="940"/>
      <c r="C68" s="301" t="s">
        <v>162</v>
      </c>
      <c r="D68" s="369"/>
      <c r="E68" s="369"/>
      <c r="F68" s="369"/>
      <c r="G68" s="369"/>
      <c r="H68" s="369"/>
      <c r="I68" s="370"/>
      <c r="J68" s="370"/>
      <c r="K68" s="370"/>
      <c r="L68" s="370"/>
      <c r="M68" s="369"/>
      <c r="N68" s="370"/>
      <c r="O68" s="370"/>
      <c r="P68" s="370"/>
      <c r="Q68" s="370"/>
      <c r="R68" s="369"/>
      <c r="S68" s="370"/>
      <c r="T68" s="370"/>
      <c r="U68" s="370"/>
      <c r="V68" s="370"/>
      <c r="W68" s="369"/>
      <c r="X68" s="370"/>
      <c r="Y68" s="370"/>
      <c r="Z68" s="370"/>
      <c r="AA68" s="370"/>
      <c r="AB68" s="369"/>
      <c r="AC68" s="370"/>
      <c r="AD68" s="370"/>
      <c r="AE68" s="370"/>
      <c r="AF68" s="370"/>
      <c r="AG68" s="369"/>
      <c r="AH68" s="370"/>
      <c r="AI68" s="370"/>
      <c r="AJ68" s="370"/>
      <c r="AK68" s="370"/>
      <c r="AL68" s="369"/>
      <c r="AM68" s="370"/>
      <c r="AN68" s="370"/>
      <c r="AO68" s="370"/>
      <c r="AP68" s="370"/>
      <c r="AQ68" s="369"/>
      <c r="AR68" s="370"/>
      <c r="AS68" s="370"/>
      <c r="AT68" s="370"/>
      <c r="AU68" s="370"/>
      <c r="AV68" s="369"/>
      <c r="AW68" s="370"/>
      <c r="AX68" s="370"/>
      <c r="AY68" s="370"/>
      <c r="AZ68" s="370"/>
      <c r="BA68" s="369"/>
      <c r="BB68" s="370"/>
      <c r="BC68" s="370"/>
      <c r="BD68" s="370"/>
      <c r="BE68" s="370"/>
      <c r="BF68" s="369"/>
      <c r="BG68" s="179"/>
      <c r="BH68" s="179"/>
      <c r="BI68" s="179"/>
      <c r="BJ68" s="179"/>
      <c r="BK68" s="369"/>
      <c r="BL68" s="179"/>
      <c r="BM68" s="179"/>
      <c r="BN68" s="370"/>
      <c r="BO68" s="371"/>
      <c r="BP68" s="369"/>
      <c r="BQ68" s="372">
        <v>39.344619000000002</v>
      </c>
      <c r="BR68" s="372">
        <v>53.040539000000003</v>
      </c>
      <c r="BS68" s="372">
        <v>75.901840000000007</v>
      </c>
      <c r="BT68" s="372">
        <v>61.716065</v>
      </c>
      <c r="BU68" s="300">
        <v>102.01900000000001</v>
      </c>
      <c r="BV68" s="372">
        <v>80.488495</v>
      </c>
      <c r="BW68" s="372">
        <v>81.349248000000003</v>
      </c>
      <c r="BX68" s="372">
        <v>84.912756999999999</v>
      </c>
      <c r="BY68" s="372">
        <v>89.137155000000007</v>
      </c>
      <c r="BZ68" s="300">
        <v>102.01900000000001</v>
      </c>
      <c r="CA68" s="372">
        <v>90.242889000000005</v>
      </c>
      <c r="CB68" s="372">
        <v>94.290537999999998</v>
      </c>
      <c r="CC68" s="372">
        <v>98.777974999999998</v>
      </c>
      <c r="CD68" s="372">
        <v>99.551790999999994</v>
      </c>
      <c r="CE68" s="300">
        <v>102.01900000000001</v>
      </c>
      <c r="CF68" s="372">
        <v>102.25664399999999</v>
      </c>
      <c r="CG68" s="372">
        <v>105.978076</v>
      </c>
      <c r="CH68" s="372">
        <v>106.647222</v>
      </c>
      <c r="CI68" s="372">
        <v>107.734499</v>
      </c>
      <c r="CJ68" s="300">
        <v>102.01900000000001</v>
      </c>
      <c r="CK68" s="372">
        <v>110.92127600000001</v>
      </c>
      <c r="CL68" s="372">
        <v>112.013409</v>
      </c>
      <c r="CM68" s="372">
        <v>113.086997</v>
      </c>
      <c r="CN68" s="372">
        <v>116.02724000000001</v>
      </c>
      <c r="CO68" s="300">
        <v>102.01900000000001</v>
      </c>
      <c r="CP68" s="372">
        <v>116.806549</v>
      </c>
      <c r="CQ68" s="372">
        <v>124.90827899999999</v>
      </c>
      <c r="CR68" s="372">
        <v>124.90827899999999</v>
      </c>
      <c r="CS68" s="372">
        <v>125.454919</v>
      </c>
      <c r="CT68" s="300">
        <f>AVERAGE(CP68:CS68)</f>
        <v>123.01950650000001</v>
      </c>
      <c r="CU68" s="372">
        <v>126.67438799999999</v>
      </c>
      <c r="CV68" s="372">
        <v>127.47506300000001</v>
      </c>
      <c r="CW68" s="372">
        <v>127.61918799999999</v>
      </c>
      <c r="CX68" s="372">
        <v>125.73475500000001</v>
      </c>
      <c r="CY68" s="300">
        <f>AVERAGE(CU68:CX68)</f>
        <v>126.8758485</v>
      </c>
      <c r="CZ68" s="372">
        <v>126.01306599999999</v>
      </c>
      <c r="DA68" s="372">
        <v>1262.011665</v>
      </c>
      <c r="DB68" s="372">
        <v>1269.4252260000001</v>
      </c>
      <c r="DC68" s="372">
        <v>1273.338804</v>
      </c>
      <c r="DD68" s="373">
        <v>1266.268155</v>
      </c>
      <c r="DE68" s="372">
        <v>1291.682051</v>
      </c>
      <c r="DF68" s="372">
        <v>1280.4076419999999</v>
      </c>
      <c r="DG68" s="372">
        <v>1295.8301879999999</v>
      </c>
      <c r="DH68" s="372">
        <v>1297.295576</v>
      </c>
      <c r="DI68" s="373">
        <v>1295.511385</v>
      </c>
      <c r="DJ68" s="372">
        <v>1287.3767190000001</v>
      </c>
      <c r="DK68" s="372">
        <v>1299.9130789999999</v>
      </c>
      <c r="DL68" s="372">
        <v>1301.6006560000001</v>
      </c>
      <c r="DM68" s="374">
        <f t="shared" si="474"/>
        <v>1304.1006560000001</v>
      </c>
      <c r="DN68" s="300">
        <f>AVERAGE(DJ68:DM68)</f>
        <v>1298.2477775</v>
      </c>
      <c r="DO68" s="374">
        <f>DM68+2.5</f>
        <v>1306.6006560000001</v>
      </c>
      <c r="DP68" s="374">
        <f t="shared" si="475"/>
        <v>1309.1006560000001</v>
      </c>
      <c r="DQ68" s="374">
        <f t="shared" si="476"/>
        <v>1311.6006560000001</v>
      </c>
      <c r="DR68" s="374">
        <f t="shared" si="477"/>
        <v>1314.1006560000001</v>
      </c>
      <c r="DS68" s="300">
        <f>AVERAGE(DO68:DR68)</f>
        <v>1310.3506560000001</v>
      </c>
      <c r="DT68" s="374">
        <f>DR68+2.5</f>
        <v>1316.6006560000001</v>
      </c>
      <c r="DU68" s="374">
        <f t="shared" si="478"/>
        <v>1319.1006560000001</v>
      </c>
      <c r="DV68" s="374">
        <f t="shared" si="479"/>
        <v>1321.6006560000001</v>
      </c>
      <c r="DW68" s="374">
        <f t="shared" si="480"/>
        <v>1324.1006560000001</v>
      </c>
      <c r="DX68" s="300">
        <f>AVERAGE(DT68:DW68)</f>
        <v>1320.3506560000001</v>
      </c>
      <c r="DY68" s="374">
        <f>DW68+2.5</f>
        <v>1326.6006560000001</v>
      </c>
      <c r="DZ68" s="374">
        <f t="shared" si="481"/>
        <v>1329.1006560000001</v>
      </c>
      <c r="EA68" s="374">
        <f t="shared" si="482"/>
        <v>1331.6006560000001</v>
      </c>
      <c r="EB68" s="374">
        <f t="shared" si="483"/>
        <v>1334.1006560000001</v>
      </c>
      <c r="EC68" s="300">
        <f>AVERAGE(DY68:EB68)</f>
        <v>1330.3506560000001</v>
      </c>
      <c r="ED68" s="491"/>
      <c r="EE68" s="139"/>
    </row>
    <row r="69" spans="1:135" s="296" customFormat="1" ht="12" customHeight="1">
      <c r="A69" s="940"/>
      <c r="B69" s="940"/>
      <c r="C69" s="301" t="s">
        <v>206</v>
      </c>
      <c r="D69" s="343"/>
      <c r="E69" s="343"/>
      <c r="F69" s="343"/>
      <c r="G69" s="343"/>
      <c r="H69" s="343"/>
      <c r="I69" s="299"/>
      <c r="J69" s="299"/>
      <c r="K69" s="299"/>
      <c r="L69" s="299"/>
      <c r="M69" s="343"/>
      <c r="N69" s="299"/>
      <c r="O69" s="299"/>
      <c r="P69" s="299"/>
      <c r="Q69" s="299"/>
      <c r="R69" s="343"/>
      <c r="S69" s="299"/>
      <c r="T69" s="299"/>
      <c r="U69" s="299"/>
      <c r="V69" s="299"/>
      <c r="W69" s="343"/>
      <c r="X69" s="299"/>
      <c r="Y69" s="299"/>
      <c r="Z69" s="299"/>
      <c r="AA69" s="299"/>
      <c r="AB69" s="343"/>
      <c r="AC69" s="299"/>
      <c r="AD69" s="299"/>
      <c r="AE69" s="299"/>
      <c r="AF69" s="299"/>
      <c r="AG69" s="343"/>
      <c r="AH69" s="299"/>
      <c r="AI69" s="299"/>
      <c r="AJ69" s="299"/>
      <c r="AK69" s="299"/>
      <c r="AL69" s="343"/>
      <c r="AM69" s="299"/>
      <c r="AN69" s="299"/>
      <c r="AO69" s="299"/>
      <c r="AP69" s="299"/>
      <c r="AQ69" s="343"/>
      <c r="AR69" s="299"/>
      <c r="AS69" s="299"/>
      <c r="AT69" s="299"/>
      <c r="AU69" s="299"/>
      <c r="AV69" s="343"/>
      <c r="AW69" s="299"/>
      <c r="AX69" s="299"/>
      <c r="AY69" s="299"/>
      <c r="AZ69" s="299"/>
      <c r="BA69" s="343"/>
      <c r="BB69" s="299"/>
      <c r="BC69" s="299"/>
      <c r="BD69" s="299"/>
      <c r="BE69" s="299"/>
      <c r="BF69" s="343"/>
      <c r="BG69" s="375"/>
      <c r="BH69" s="375"/>
      <c r="BI69" s="375"/>
      <c r="BJ69" s="375"/>
      <c r="BK69" s="343"/>
      <c r="BL69" s="375"/>
      <c r="BM69" s="375"/>
      <c r="BN69" s="375"/>
      <c r="BO69" s="362"/>
      <c r="BP69" s="343"/>
      <c r="BQ69" s="344">
        <f t="shared" ref="BQ69:CN69" si="484">BQ68</f>
        <v>39.344619000000002</v>
      </c>
      <c r="BR69" s="344">
        <f t="shared" si="484"/>
        <v>53.040539000000003</v>
      </c>
      <c r="BS69" s="344">
        <f t="shared" si="484"/>
        <v>75.901840000000007</v>
      </c>
      <c r="BT69" s="344">
        <f t="shared" si="484"/>
        <v>61.716065</v>
      </c>
      <c r="BU69" s="300">
        <f t="shared" si="484"/>
        <v>102.01900000000001</v>
      </c>
      <c r="BV69" s="344">
        <f t="shared" si="484"/>
        <v>80.488495</v>
      </c>
      <c r="BW69" s="344">
        <f t="shared" si="484"/>
        <v>81.349248000000003</v>
      </c>
      <c r="BX69" s="344">
        <f t="shared" si="484"/>
        <v>84.912756999999999</v>
      </c>
      <c r="BY69" s="344">
        <f t="shared" si="484"/>
        <v>89.137155000000007</v>
      </c>
      <c r="BZ69" s="300">
        <f t="shared" si="484"/>
        <v>102.01900000000001</v>
      </c>
      <c r="CA69" s="344">
        <f t="shared" si="484"/>
        <v>90.242889000000005</v>
      </c>
      <c r="CB69" s="344">
        <f t="shared" si="484"/>
        <v>94.290537999999998</v>
      </c>
      <c r="CC69" s="344">
        <f t="shared" si="484"/>
        <v>98.777974999999998</v>
      </c>
      <c r="CD69" s="344">
        <f t="shared" si="484"/>
        <v>99.551790999999994</v>
      </c>
      <c r="CE69" s="300">
        <f t="shared" si="484"/>
        <v>102.01900000000001</v>
      </c>
      <c r="CF69" s="344">
        <f t="shared" si="484"/>
        <v>102.25664399999999</v>
      </c>
      <c r="CG69" s="344">
        <f t="shared" si="484"/>
        <v>105.978076</v>
      </c>
      <c r="CH69" s="344">
        <f t="shared" si="484"/>
        <v>106.647222</v>
      </c>
      <c r="CI69" s="344">
        <f t="shared" si="484"/>
        <v>107.734499</v>
      </c>
      <c r="CJ69" s="300">
        <f t="shared" si="484"/>
        <v>102.01900000000001</v>
      </c>
      <c r="CK69" s="344">
        <f t="shared" si="484"/>
        <v>110.92127600000001</v>
      </c>
      <c r="CL69" s="344">
        <f t="shared" si="484"/>
        <v>112.013409</v>
      </c>
      <c r="CM69" s="344">
        <f t="shared" si="484"/>
        <v>113.086997</v>
      </c>
      <c r="CN69" s="344">
        <f t="shared" si="484"/>
        <v>116.02724000000001</v>
      </c>
      <c r="CO69" s="300">
        <f t="shared" ref="CO69:CY69" si="485">CO68</f>
        <v>102.01900000000001</v>
      </c>
      <c r="CP69" s="344">
        <f t="shared" si="485"/>
        <v>116.806549</v>
      </c>
      <c r="CQ69" s="344">
        <f t="shared" si="485"/>
        <v>124.90827899999999</v>
      </c>
      <c r="CR69" s="344">
        <f t="shared" si="485"/>
        <v>124.90827899999999</v>
      </c>
      <c r="CS69" s="344">
        <f t="shared" si="485"/>
        <v>125.454919</v>
      </c>
      <c r="CT69" s="300">
        <f t="shared" si="485"/>
        <v>123.01950650000001</v>
      </c>
      <c r="CU69" s="344">
        <f t="shared" si="485"/>
        <v>126.67438799999999</v>
      </c>
      <c r="CV69" s="344">
        <f t="shared" si="485"/>
        <v>127.47506300000001</v>
      </c>
      <c r="CW69" s="344">
        <f t="shared" si="485"/>
        <v>127.61918799999999</v>
      </c>
      <c r="CX69" s="344">
        <f t="shared" si="485"/>
        <v>125.73475500000001</v>
      </c>
      <c r="CY69" s="300">
        <f t="shared" si="485"/>
        <v>126.8758485</v>
      </c>
      <c r="CZ69" s="344">
        <f t="shared" ref="CZ69:DN69" si="486">CZ68</f>
        <v>126.01306599999999</v>
      </c>
      <c r="DA69" s="344">
        <f t="shared" ref="DA69:DB69" si="487">DA68</f>
        <v>1262.011665</v>
      </c>
      <c r="DB69" s="344">
        <f t="shared" si="487"/>
        <v>1269.4252260000001</v>
      </c>
      <c r="DC69" s="344">
        <f t="shared" ref="DC69:DE69" si="488">DC68</f>
        <v>1273.338804</v>
      </c>
      <c r="DD69" s="300">
        <f t="shared" si="486"/>
        <v>1266.268155</v>
      </c>
      <c r="DE69" s="344">
        <f t="shared" si="488"/>
        <v>1291.682051</v>
      </c>
      <c r="DF69" s="344">
        <f t="shared" ref="DF69:DG69" si="489">DF68</f>
        <v>1280.4076419999999</v>
      </c>
      <c r="DG69" s="344">
        <f t="shared" si="489"/>
        <v>1295.8301879999999</v>
      </c>
      <c r="DH69" s="344">
        <f t="shared" si="486"/>
        <v>1297.295576</v>
      </c>
      <c r="DI69" s="300">
        <f t="shared" si="486"/>
        <v>1295.511385</v>
      </c>
      <c r="DJ69" s="344">
        <f t="shared" ref="DJ69:DK69" si="490">DJ68</f>
        <v>1287.3767190000001</v>
      </c>
      <c r="DK69" s="344">
        <f t="shared" si="490"/>
        <v>1299.9130789999999</v>
      </c>
      <c r="DL69" s="344">
        <f t="shared" ref="DL69" si="491">DL68</f>
        <v>1301.6006560000001</v>
      </c>
      <c r="DM69" s="344">
        <f t="shared" si="486"/>
        <v>1304.1006560000001</v>
      </c>
      <c r="DN69" s="300">
        <f t="shared" si="486"/>
        <v>1298.2477775</v>
      </c>
      <c r="DO69" s="344">
        <f t="shared" ref="DO69:DS69" si="492">DO68</f>
        <v>1306.6006560000001</v>
      </c>
      <c r="DP69" s="344">
        <f t="shared" si="492"/>
        <v>1309.1006560000001</v>
      </c>
      <c r="DQ69" s="344">
        <f t="shared" si="492"/>
        <v>1311.6006560000001</v>
      </c>
      <c r="DR69" s="344">
        <f t="shared" si="492"/>
        <v>1314.1006560000001</v>
      </c>
      <c r="DS69" s="300">
        <f t="shared" si="492"/>
        <v>1310.3506560000001</v>
      </c>
      <c r="DT69" s="344">
        <f t="shared" ref="DT69:EC69" si="493">DT68</f>
        <v>1316.6006560000001</v>
      </c>
      <c r="DU69" s="344">
        <f t="shared" si="493"/>
        <v>1319.1006560000001</v>
      </c>
      <c r="DV69" s="344">
        <f t="shared" si="493"/>
        <v>1321.6006560000001</v>
      </c>
      <c r="DW69" s="344">
        <f t="shared" si="493"/>
        <v>1324.1006560000001</v>
      </c>
      <c r="DX69" s="300">
        <f t="shared" si="493"/>
        <v>1320.3506560000001</v>
      </c>
      <c r="DY69" s="344">
        <f t="shared" si="493"/>
        <v>1326.6006560000001</v>
      </c>
      <c r="DZ69" s="344">
        <f t="shared" si="493"/>
        <v>1329.1006560000001</v>
      </c>
      <c r="EA69" s="344">
        <f t="shared" si="493"/>
        <v>1331.6006560000001</v>
      </c>
      <c r="EB69" s="344">
        <f t="shared" si="493"/>
        <v>1334.1006560000001</v>
      </c>
      <c r="EC69" s="300">
        <f t="shared" si="493"/>
        <v>1330.3506560000001</v>
      </c>
      <c r="ED69" s="491"/>
      <c r="EE69" s="139"/>
    </row>
    <row r="70" spans="1:135" ht="12" customHeight="1">
      <c r="A70" s="940" t="s">
        <v>88</v>
      </c>
      <c r="B70" s="940"/>
      <c r="C70" s="291" t="s">
        <v>243</v>
      </c>
      <c r="D70" s="376"/>
      <c r="E70" s="376"/>
      <c r="F70" s="376"/>
      <c r="G70" s="376"/>
      <c r="H70" s="376"/>
      <c r="I70" s="377"/>
      <c r="J70" s="377"/>
      <c r="K70" s="377"/>
      <c r="L70" s="377"/>
      <c r="M70" s="376"/>
      <c r="N70" s="377"/>
      <c r="O70" s="377"/>
      <c r="P70" s="377"/>
      <c r="Q70" s="377"/>
      <c r="R70" s="376"/>
      <c r="S70" s="377"/>
      <c r="T70" s="377"/>
      <c r="U70" s="377"/>
      <c r="V70" s="377"/>
      <c r="W70" s="376"/>
      <c r="X70" s="377"/>
      <c r="Y70" s="377"/>
      <c r="Z70" s="377"/>
      <c r="AA70" s="377"/>
      <c r="AB70" s="376"/>
      <c r="AC70" s="377"/>
      <c r="AD70" s="377"/>
      <c r="AE70" s="377"/>
      <c r="AF70" s="377"/>
      <c r="AG70" s="376"/>
      <c r="AH70" s="377"/>
      <c r="AI70" s="377"/>
      <c r="AJ70" s="377"/>
      <c r="AK70" s="377"/>
      <c r="AL70" s="376"/>
      <c r="AM70" s="377"/>
      <c r="AN70" s="377"/>
      <c r="AO70" s="377"/>
      <c r="AP70" s="377"/>
      <c r="AQ70" s="376"/>
      <c r="AR70" s="377"/>
      <c r="AS70" s="377"/>
      <c r="AT70" s="377"/>
      <c r="AU70" s="377"/>
      <c r="AV70" s="376"/>
      <c r="AW70" s="377"/>
      <c r="AX70" s="377"/>
      <c r="AY70" s="377"/>
      <c r="AZ70" s="377"/>
      <c r="BA70" s="376"/>
      <c r="BB70" s="377"/>
      <c r="BC70" s="377"/>
      <c r="BD70" s="377"/>
      <c r="BE70" s="377"/>
      <c r="BF70" s="376"/>
      <c r="BG70" s="377"/>
      <c r="BH70" s="377"/>
      <c r="BI70" s="377"/>
      <c r="BJ70" s="377"/>
      <c r="BK70" s="376"/>
      <c r="BL70" s="377"/>
      <c r="BM70" s="377"/>
      <c r="BN70" s="377"/>
      <c r="BO70" s="377"/>
      <c r="BP70" s="376"/>
      <c r="BQ70" s="378">
        <f>IF(BQ63&lt;0,BQ63/BQ67,BQ63/BQ68)</f>
        <v>-0.11513645614410446</v>
      </c>
      <c r="BR70" s="378">
        <f>IF(BR63&lt;0,BR63/BR67,BR63/BR68)</f>
        <v>-6.2141148301679182E-2</v>
      </c>
      <c r="BS70" s="378">
        <f>IF(BS63&lt;0,BS63/BS67,BS63/BS68)</f>
        <v>-6.1355561340805401E-2</v>
      </c>
      <c r="BT70" s="378">
        <f>IF(BT63&lt;0,BT63/BT67,BT63/BT68)</f>
        <v>-0.10219381290754682</v>
      </c>
      <c r="BU70" s="379">
        <f>IFERROR(BU63/BU68,"")</f>
        <v>-0.18418137797861173</v>
      </c>
      <c r="BV70" s="378">
        <f>IF(BV63&lt;0,BV63/BV67,BV63/BV68)</f>
        <v>-0.11093510942153893</v>
      </c>
      <c r="BW70" s="378">
        <f>IF(BW63&lt;0,BW63/BW67,BW63/BW68)</f>
        <v>-0.10373789810570842</v>
      </c>
      <c r="BX70" s="378">
        <f>IF(BX63&lt;0,BX63/BX67,BX63/BX68)</f>
        <v>-0.10740435621469697</v>
      </c>
      <c r="BY70" s="378">
        <f>IF(BY63&lt;0,BY63/BY67,BY63/BY68)</f>
        <v>-9.9475914392825521E-2</v>
      </c>
      <c r="BZ70" s="379">
        <f>IFERROR(BZ63/BZ68,"")</f>
        <v>-0.3465530930512945</v>
      </c>
      <c r="CA70" s="378">
        <f>IF(CA63&lt;0,CA63/CA67,CA63/CA68)</f>
        <v>-0.15068223270201361</v>
      </c>
      <c r="CB70" s="378">
        <f>IF(CB63&lt;0,CB63/CB67,CB63/CB68)</f>
        <v>-0.14879541783927455</v>
      </c>
      <c r="CC70" s="378">
        <f>IF(CC63&lt;0,CC63/CC67,CC63/CC68)</f>
        <v>-9.4960440320830508E-2</v>
      </c>
      <c r="CD70" s="378">
        <f>IF(CD63&lt;0,CD63/CD67,CD63/CD68)</f>
        <v>-3.0004482792278731E-2</v>
      </c>
      <c r="CE70" s="379">
        <f>IFERROR(CE63/CE68,"")</f>
        <v>-0.39203481704388393</v>
      </c>
      <c r="CF70" s="378">
        <f>IF(CF63&lt;0,CF63/CF67,CF63/CF68)</f>
        <v>-0.15551067762403806</v>
      </c>
      <c r="CG70" s="378">
        <f>IF(CG63&lt;0,CG63/CG67,CG63/CG68)</f>
        <v>-0.22601844555094605</v>
      </c>
      <c r="CH70" s="378">
        <f>IF(CH63&lt;0,CH63/CH67,CH63/CH68)</f>
        <v>-0.21738962877063994</v>
      </c>
      <c r="CI70" s="378">
        <f>IF(CI63&lt;0,CI63/CI67,CI63/CI68)</f>
        <v>-1.405306576865461E-2</v>
      </c>
      <c r="CJ70" s="379">
        <f>IFERROR(CJ63/CJ68,"")</f>
        <v>-0.63275468295121617</v>
      </c>
      <c r="CK70" s="378">
        <f>IF(CK63&lt;0,CK63/CK67,CK63/CK68)</f>
        <v>-0.21773099689188616</v>
      </c>
      <c r="CL70" s="378">
        <f>IF(CL63&lt;0,CL63/CL67,CL63/CL68)</f>
        <v>-0.25602291954171313</v>
      </c>
      <c r="CM70" s="378">
        <f>IF(CM63&lt;0,CM63/CM67,CM63/CM68)</f>
        <v>-0.64361068850382475</v>
      </c>
      <c r="CN70" s="378">
        <f>IF(CN63&lt;0,CN63/CN67,CN63/CN68)</f>
        <v>6.644991296871787E-3</v>
      </c>
      <c r="CO70" s="379">
        <f>IFERROR(CO63/CO68,"")</f>
        <v>-1.2237132298885496</v>
      </c>
      <c r="CP70" s="378">
        <f t="shared" ref="CP70:CY70" si="494">IF(CP63&lt;0,CP63/CP67,CP63/CP68)</f>
        <v>-0.26906881736571125</v>
      </c>
      <c r="CQ70" s="378">
        <f t="shared" si="494"/>
        <v>0.28819546861261336</v>
      </c>
      <c r="CR70" s="378">
        <f t="shared" si="494"/>
        <v>1.5296664202698691</v>
      </c>
      <c r="CS70" s="378">
        <f t="shared" si="494"/>
        <v>0.98738256727900753</v>
      </c>
      <c r="CT70" s="379">
        <f t="shared" si="494"/>
        <v>2.5972222543422414</v>
      </c>
      <c r="CU70" s="378">
        <f t="shared" si="494"/>
        <v>9.9344865198796146</v>
      </c>
      <c r="CV70" s="378">
        <f t="shared" si="494"/>
        <v>6.8961958465554938</v>
      </c>
      <c r="CW70" s="378">
        <f t="shared" si="494"/>
        <v>8.9988975638992486</v>
      </c>
      <c r="CX70" s="380">
        <f t="shared" si="494"/>
        <v>-2.9531293873360585</v>
      </c>
      <c r="CY70" s="379">
        <f t="shared" si="494"/>
        <v>22.972528140373388</v>
      </c>
      <c r="CZ70" s="378">
        <f t="shared" ref="CZ70:DN70" si="495">IF(CZ63&lt;0,CZ63/CZ67,CZ63/CZ68)</f>
        <v>-11.700437476856564</v>
      </c>
      <c r="DA70" s="378">
        <f t="shared" ref="DA70:DB70" si="496">IF(DA63&lt;0,DA63/DA67,DA63/DA68)</f>
        <v>-0.95395869419321089</v>
      </c>
      <c r="DB70" s="378">
        <f t="shared" si="496"/>
        <v>-0.12478797234804594</v>
      </c>
      <c r="DC70" s="378">
        <f t="shared" ref="DC70:DE70" si="497">IF(DC63&lt;0,DC63/DC67,DC63/DC68)</f>
        <v>-0.48980993749720064</v>
      </c>
      <c r="DD70" s="379">
        <f t="shared" si="495"/>
        <v>-2.732768715959693</v>
      </c>
      <c r="DE70" s="378">
        <f t="shared" si="497"/>
        <v>5.2644534270144469E-2</v>
      </c>
      <c r="DF70" s="378">
        <f t="shared" ref="DF70:DG70" si="498">IF(DF63&lt;0,DF63/DF67,DF63/DF68)</f>
        <v>-1.0238926705812337</v>
      </c>
      <c r="DG70" s="378">
        <f t="shared" si="498"/>
        <v>0.5540849461982128</v>
      </c>
      <c r="DH70" s="378">
        <f t="shared" si="495"/>
        <v>0.50643817195904783</v>
      </c>
      <c r="DI70" s="379">
        <f t="shared" si="495"/>
        <v>0.10189026629048112</v>
      </c>
      <c r="DJ70" s="378">
        <f t="shared" ref="DJ70:DK70" si="499">IF(DJ63&lt;0,DJ63/DJ67,DJ63/DJ68)</f>
        <v>-0.21205914008764981</v>
      </c>
      <c r="DK70" s="378">
        <f t="shared" si="499"/>
        <v>0.13154725709164128</v>
      </c>
      <c r="DL70" s="378">
        <f t="shared" ref="DL70" si="500">IF(DL63&lt;0,DL63/DL67,DL63/DL68)</f>
        <v>0.63613981460685431</v>
      </c>
      <c r="DM70" s="378">
        <f t="shared" si="495"/>
        <v>0.302786972340858</v>
      </c>
      <c r="DN70" s="379">
        <f t="shared" si="495"/>
        <v>0.86336730837035214</v>
      </c>
      <c r="DO70" s="378">
        <f t="shared" ref="DO70:DS70" si="501">IF(DO63&lt;0,DO63/DO67,DO63/DO68)</f>
        <v>0.13530526166154727</v>
      </c>
      <c r="DP70" s="378">
        <f t="shared" si="501"/>
        <v>0.24428653480466567</v>
      </c>
      <c r="DQ70" s="378">
        <f t="shared" si="501"/>
        <v>0.29144080842528025</v>
      </c>
      <c r="DR70" s="378">
        <f t="shared" si="501"/>
        <v>0.40608183371098111</v>
      </c>
      <c r="DS70" s="379">
        <f t="shared" si="501"/>
        <v>1.0779343374458044</v>
      </c>
      <c r="DT70" s="378">
        <f t="shared" ref="DT70:EC70" si="502">IF(DT63&lt;0,DT63/DT67,DT63/DT68)</f>
        <v>0.17923836247749178</v>
      </c>
      <c r="DU70" s="378">
        <f t="shared" si="502"/>
        <v>0.31013940037772758</v>
      </c>
      <c r="DV70" s="378">
        <f t="shared" si="502"/>
        <v>0.36753366731329534</v>
      </c>
      <c r="DW70" s="378">
        <f t="shared" si="502"/>
        <v>0.51286732035036575</v>
      </c>
      <c r="DX70" s="379">
        <f t="shared" si="502"/>
        <v>1.3707806445382316</v>
      </c>
      <c r="DY70" s="378">
        <f t="shared" si="502"/>
        <v>0.23707388783639813</v>
      </c>
      <c r="DZ70" s="378">
        <f t="shared" si="502"/>
        <v>0.3922816040989977</v>
      </c>
      <c r="EA70" s="378">
        <f t="shared" si="502"/>
        <v>0.46119305822375622</v>
      </c>
      <c r="EB70" s="378">
        <f t="shared" si="502"/>
        <v>0.64281161444207335</v>
      </c>
      <c r="EC70" s="379">
        <f t="shared" si="502"/>
        <v>1.7345686097470046</v>
      </c>
      <c r="ED70" s="1174"/>
    </row>
    <row r="71" spans="1:135" s="99" customFormat="1" ht="12" customHeight="1">
      <c r="A71" s="940"/>
      <c r="B71" s="940"/>
      <c r="C71" s="283" t="s">
        <v>140</v>
      </c>
      <c r="D71" s="284"/>
      <c r="E71" s="284"/>
      <c r="F71" s="284"/>
      <c r="G71" s="284"/>
      <c r="H71" s="284"/>
      <c r="M71" s="284"/>
      <c r="N71" s="738"/>
      <c r="O71" s="738"/>
      <c r="P71" s="738"/>
      <c r="Q71" s="738"/>
      <c r="R71" s="284"/>
      <c r="S71" s="738"/>
      <c r="T71" s="738"/>
      <c r="U71" s="738"/>
      <c r="V71" s="738"/>
      <c r="W71" s="284"/>
      <c r="X71" s="738"/>
      <c r="Y71" s="738"/>
      <c r="Z71" s="738"/>
      <c r="AA71" s="738"/>
      <c r="AB71" s="284"/>
      <c r="AC71" s="738"/>
      <c r="AD71" s="738"/>
      <c r="AE71" s="738"/>
      <c r="AF71" s="738"/>
      <c r="AG71" s="284"/>
      <c r="AH71" s="738"/>
      <c r="AI71" s="738"/>
      <c r="AJ71" s="738"/>
      <c r="AK71" s="738"/>
      <c r="AL71" s="284"/>
      <c r="AM71" s="738"/>
      <c r="AN71" s="738"/>
      <c r="AO71" s="738"/>
      <c r="AP71" s="738"/>
      <c r="AQ71" s="284"/>
      <c r="AR71" s="738"/>
      <c r="AS71" s="738"/>
      <c r="AT71" s="738"/>
      <c r="AU71" s="738"/>
      <c r="AV71" s="284"/>
      <c r="AW71" s="738"/>
      <c r="AX71" s="738"/>
      <c r="AY71" s="738"/>
      <c r="AZ71" s="738"/>
      <c r="BA71" s="284"/>
      <c r="BB71" s="738"/>
      <c r="BC71" s="738"/>
      <c r="BD71" s="738"/>
      <c r="BE71" s="738"/>
      <c r="BF71" s="284"/>
      <c r="BG71" s="738"/>
      <c r="BH71" s="738"/>
      <c r="BI71" s="738"/>
      <c r="BJ71" s="738"/>
      <c r="BK71" s="284"/>
      <c r="BL71" s="738"/>
      <c r="BM71" s="738"/>
      <c r="BN71" s="738"/>
      <c r="BO71" s="738"/>
      <c r="BP71" s="284"/>
      <c r="BQ71" s="287"/>
      <c r="BR71" s="287"/>
      <c r="BS71" s="287"/>
      <c r="BT71" s="287"/>
      <c r="BU71" s="286"/>
      <c r="BV71" s="287" t="str">
        <f t="shared" ref="BV71:DA71" si="503">+IF(BQ70&lt;=0,"nm",BV70/BQ70-1)</f>
        <v>nm</v>
      </c>
      <c r="BW71" s="287" t="str">
        <f t="shared" si="503"/>
        <v>nm</v>
      </c>
      <c r="BX71" s="287" t="str">
        <f t="shared" si="503"/>
        <v>nm</v>
      </c>
      <c r="BY71" s="287" t="str">
        <f t="shared" si="503"/>
        <v>nm</v>
      </c>
      <c r="BZ71" s="286" t="str">
        <f t="shared" si="503"/>
        <v>nm</v>
      </c>
      <c r="CA71" s="287" t="str">
        <f t="shared" si="503"/>
        <v>nm</v>
      </c>
      <c r="CB71" s="287" t="str">
        <f t="shared" si="503"/>
        <v>nm</v>
      </c>
      <c r="CC71" s="287" t="str">
        <f t="shared" si="503"/>
        <v>nm</v>
      </c>
      <c r="CD71" s="287" t="str">
        <f t="shared" si="503"/>
        <v>nm</v>
      </c>
      <c r="CE71" s="286" t="str">
        <f t="shared" si="503"/>
        <v>nm</v>
      </c>
      <c r="CF71" s="287" t="str">
        <f t="shared" si="503"/>
        <v>nm</v>
      </c>
      <c r="CG71" s="287" t="str">
        <f t="shared" si="503"/>
        <v>nm</v>
      </c>
      <c r="CH71" s="287" t="str">
        <f t="shared" si="503"/>
        <v>nm</v>
      </c>
      <c r="CI71" s="287" t="str">
        <f t="shared" si="503"/>
        <v>nm</v>
      </c>
      <c r="CJ71" s="286" t="str">
        <f t="shared" si="503"/>
        <v>nm</v>
      </c>
      <c r="CK71" s="287" t="str">
        <f t="shared" si="503"/>
        <v>nm</v>
      </c>
      <c r="CL71" s="287" t="str">
        <f t="shared" si="503"/>
        <v>nm</v>
      </c>
      <c r="CM71" s="287" t="str">
        <f t="shared" si="503"/>
        <v>nm</v>
      </c>
      <c r="CN71" s="287" t="str">
        <f t="shared" si="503"/>
        <v>nm</v>
      </c>
      <c r="CO71" s="286" t="str">
        <f t="shared" si="503"/>
        <v>nm</v>
      </c>
      <c r="CP71" s="287" t="str">
        <f t="shared" si="503"/>
        <v>nm</v>
      </c>
      <c r="CQ71" s="287" t="str">
        <f t="shared" si="503"/>
        <v>nm</v>
      </c>
      <c r="CR71" s="287" t="str">
        <f t="shared" si="503"/>
        <v>nm</v>
      </c>
      <c r="CS71" s="287">
        <f t="shared" si="503"/>
        <v>147.5904981912964</v>
      </c>
      <c r="CT71" s="286" t="str">
        <f t="shared" si="503"/>
        <v>nm</v>
      </c>
      <c r="CU71" s="287" t="str">
        <f t="shared" si="503"/>
        <v>nm</v>
      </c>
      <c r="CV71" s="287">
        <f t="shared" si="503"/>
        <v>22.928883683543351</v>
      </c>
      <c r="CW71" s="287">
        <f t="shared" si="503"/>
        <v>4.8829150229444345</v>
      </c>
      <c r="CX71" s="288">
        <f t="shared" si="503"/>
        <v>-3.9908664434639389</v>
      </c>
      <c r="CY71" s="286">
        <f t="shared" si="503"/>
        <v>7.8450374633769204</v>
      </c>
      <c r="CZ71" s="287">
        <f t="shared" si="503"/>
        <v>-2.1777596611000636</v>
      </c>
      <c r="DA71" s="287">
        <f t="shared" si="503"/>
        <v>-1.138331148856466</v>
      </c>
      <c r="DB71" s="287">
        <f t="shared" ref="DB71:EC71" si="504">+IF(CW70&lt;=0,"nm",DB70/CW70-1)</f>
        <v>-1.0138670288734764</v>
      </c>
      <c r="DC71" s="287" t="str">
        <f t="shared" si="504"/>
        <v>nm</v>
      </c>
      <c r="DD71" s="286">
        <f t="shared" si="504"/>
        <v>-1.1189581181166104</v>
      </c>
      <c r="DE71" s="287" t="str">
        <f t="shared" si="504"/>
        <v>nm</v>
      </c>
      <c r="DF71" s="287" t="str">
        <f t="shared" si="504"/>
        <v>nm</v>
      </c>
      <c r="DG71" s="287" t="str">
        <f t="shared" si="504"/>
        <v>nm</v>
      </c>
      <c r="DH71" s="287" t="str">
        <f t="shared" si="504"/>
        <v>nm</v>
      </c>
      <c r="DI71" s="286" t="str">
        <f t="shared" si="504"/>
        <v>nm</v>
      </c>
      <c r="DJ71" s="287">
        <f t="shared" si="504"/>
        <v>-5.028132132378115</v>
      </c>
      <c r="DK71" s="287" t="str">
        <f t="shared" si="504"/>
        <v>nm</v>
      </c>
      <c r="DL71" s="287">
        <f t="shared" si="504"/>
        <v>0.14809077375527191</v>
      </c>
      <c r="DM71" s="287">
        <f t="shared" si="504"/>
        <v>-0.40212450580178172</v>
      </c>
      <c r="DN71" s="286">
        <f t="shared" si="504"/>
        <v>7.4735013441711882</v>
      </c>
      <c r="DO71" s="287" t="str">
        <f t="shared" si="504"/>
        <v>nm</v>
      </c>
      <c r="DP71" s="287">
        <f t="shared" si="504"/>
        <v>0.85702492173200939</v>
      </c>
      <c r="DQ71" s="287">
        <f t="shared" si="504"/>
        <v>-0.54186044996193827</v>
      </c>
      <c r="DR71" s="287">
        <f t="shared" si="504"/>
        <v>0.34114698057035442</v>
      </c>
      <c r="DS71" s="286">
        <f t="shared" si="504"/>
        <v>0.24852345808698506</v>
      </c>
      <c r="DT71" s="287">
        <f t="shared" si="504"/>
        <v>0.32469617423924579</v>
      </c>
      <c r="DU71" s="287">
        <f t="shared" si="504"/>
        <v>0.26957222847226769</v>
      </c>
      <c r="DV71" s="287">
        <f t="shared" si="504"/>
        <v>0.26109198399209022</v>
      </c>
      <c r="DW71" s="287">
        <f t="shared" si="504"/>
        <v>0.26296543645778203</v>
      </c>
      <c r="DX71" s="286">
        <f t="shared" si="504"/>
        <v>0.27167360470799617</v>
      </c>
      <c r="DY71" s="287">
        <f t="shared" si="504"/>
        <v>0.32267381022390884</v>
      </c>
      <c r="DZ71" s="287">
        <f t="shared" si="504"/>
        <v>0.26485575074056</v>
      </c>
      <c r="EA71" s="287">
        <f t="shared" si="504"/>
        <v>0.25483213985570252</v>
      </c>
      <c r="EB71" s="287">
        <f t="shared" si="504"/>
        <v>0.25336824737231467</v>
      </c>
      <c r="EC71" s="286">
        <f t="shared" si="504"/>
        <v>0.26538743938226572</v>
      </c>
      <c r="ED71" s="287"/>
      <c r="EE71" s="139"/>
    </row>
    <row r="72" spans="1:135" s="99" customFormat="1" ht="12" customHeight="1">
      <c r="A72" s="940"/>
      <c r="B72" s="940"/>
      <c r="C72" s="283"/>
      <c r="D72" s="284"/>
      <c r="E72" s="284"/>
      <c r="F72" s="284"/>
      <c r="G72" s="284"/>
      <c r="H72" s="284"/>
      <c r="M72" s="284"/>
      <c r="N72" s="738"/>
      <c r="O72" s="738"/>
      <c r="P72" s="738"/>
      <c r="Q72" s="738"/>
      <c r="R72" s="284"/>
      <c r="S72" s="738"/>
      <c r="T72" s="738"/>
      <c r="U72" s="738"/>
      <c r="V72" s="738"/>
      <c r="W72" s="284"/>
      <c r="X72" s="738"/>
      <c r="Y72" s="738"/>
      <c r="Z72" s="738"/>
      <c r="AA72" s="738"/>
      <c r="AB72" s="284"/>
      <c r="AC72" s="738"/>
      <c r="AD72" s="738"/>
      <c r="AE72" s="738"/>
      <c r="AF72" s="738"/>
      <c r="AG72" s="284"/>
      <c r="AH72" s="738"/>
      <c r="AI72" s="738"/>
      <c r="AJ72" s="738"/>
      <c r="AK72" s="738"/>
      <c r="AL72" s="284"/>
      <c r="AM72" s="738"/>
      <c r="AN72" s="738"/>
      <c r="AO72" s="738"/>
      <c r="AP72" s="738"/>
      <c r="AQ72" s="284"/>
      <c r="AR72" s="738"/>
      <c r="AS72" s="738"/>
      <c r="AT72" s="738"/>
      <c r="AU72" s="738"/>
      <c r="AV72" s="284"/>
      <c r="AW72" s="738"/>
      <c r="AX72" s="738"/>
      <c r="AY72" s="738"/>
      <c r="AZ72" s="738"/>
      <c r="BA72" s="284"/>
      <c r="BB72" s="738"/>
      <c r="BC72" s="738"/>
      <c r="BD72" s="738"/>
      <c r="BE72" s="738"/>
      <c r="BF72" s="284"/>
      <c r="BG72" s="738"/>
      <c r="BH72" s="738"/>
      <c r="BI72" s="738"/>
      <c r="BJ72" s="738"/>
      <c r="BK72" s="284"/>
      <c r="BL72" s="738"/>
      <c r="BM72" s="738"/>
      <c r="BN72" s="738"/>
      <c r="BO72" s="738"/>
      <c r="BP72" s="284"/>
      <c r="BQ72" s="287"/>
      <c r="BR72" s="287"/>
      <c r="BS72" s="287"/>
      <c r="BT72" s="287"/>
      <c r="BU72" s="286"/>
      <c r="BV72" s="287"/>
      <c r="BW72" s="287"/>
      <c r="BX72" s="287"/>
      <c r="BY72" s="287"/>
      <c r="BZ72" s="286"/>
      <c r="CA72" s="287"/>
      <c r="CB72" s="287"/>
      <c r="CC72" s="287"/>
      <c r="CD72" s="287"/>
      <c r="CE72" s="286"/>
      <c r="CF72" s="287"/>
      <c r="CG72" s="287"/>
      <c r="CH72" s="287"/>
      <c r="CI72" s="287"/>
      <c r="CJ72" s="286"/>
      <c r="CK72" s="287"/>
      <c r="CL72" s="287"/>
      <c r="CM72" s="287"/>
      <c r="CN72" s="287"/>
      <c r="CO72" s="286"/>
      <c r="CP72" s="287"/>
      <c r="CQ72" s="287"/>
      <c r="CR72" s="287"/>
      <c r="CS72" s="287"/>
      <c r="CT72" s="286"/>
      <c r="CU72" s="287"/>
      <c r="CV72" s="287"/>
      <c r="CW72" s="287"/>
      <c r="CX72" s="288"/>
      <c r="CY72" s="286"/>
      <c r="CZ72" s="287"/>
      <c r="DA72" s="287"/>
      <c r="DB72" s="287"/>
      <c r="DC72" s="287"/>
      <c r="DD72" s="286"/>
      <c r="DE72" s="287"/>
      <c r="DF72" s="287"/>
      <c r="DG72" s="287"/>
      <c r="DH72" s="287"/>
      <c r="DI72" s="286"/>
      <c r="DJ72" s="287"/>
      <c r="DK72" s="287"/>
      <c r="DL72" s="287"/>
      <c r="DM72" s="287"/>
      <c r="DN72" s="286"/>
      <c r="DO72" s="287"/>
      <c r="DP72" s="287"/>
      <c r="DQ72" s="287"/>
      <c r="DR72" s="287"/>
      <c r="DS72" s="286"/>
      <c r="DT72" s="287"/>
      <c r="DU72" s="287"/>
      <c r="DV72" s="287"/>
      <c r="DW72" s="287"/>
      <c r="DX72" s="286"/>
      <c r="DY72" s="287"/>
      <c r="DZ72" s="287"/>
      <c r="EA72" s="287"/>
      <c r="EB72" s="287"/>
      <c r="EC72" s="286"/>
      <c r="ED72" s="287"/>
      <c r="EE72" s="139"/>
    </row>
    <row r="73" spans="1:135" s="99" customFormat="1" ht="12" customHeight="1">
      <c r="A73" s="940"/>
      <c r="B73" s="940"/>
      <c r="C73" s="566"/>
      <c r="D73" s="267" t="str">
        <f t="shared" ref="D73:AH73" si="505">D4</f>
        <v>1998A</v>
      </c>
      <c r="E73" s="267" t="str">
        <f t="shared" si="505"/>
        <v>1999A</v>
      </c>
      <c r="F73" s="267" t="str">
        <f t="shared" si="505"/>
        <v>2000A</v>
      </c>
      <c r="G73" s="267" t="str">
        <f t="shared" si="505"/>
        <v>2001A</v>
      </c>
      <c r="H73" s="267" t="str">
        <f t="shared" si="505"/>
        <v>2002A</v>
      </c>
      <c r="I73" s="809" t="str">
        <f t="shared" si="505"/>
        <v>1Q03A</v>
      </c>
      <c r="J73" s="809" t="str">
        <f t="shared" si="505"/>
        <v>2Q03A</v>
      </c>
      <c r="K73" s="809" t="str">
        <f t="shared" si="505"/>
        <v>3Q03A</v>
      </c>
      <c r="L73" s="809" t="str">
        <f t="shared" si="505"/>
        <v>4Q03A</v>
      </c>
      <c r="M73" s="267" t="str">
        <f t="shared" si="505"/>
        <v>2003A</v>
      </c>
      <c r="N73" s="809" t="str">
        <f t="shared" si="505"/>
        <v>1Q04A</v>
      </c>
      <c r="O73" s="809" t="str">
        <f t="shared" si="505"/>
        <v>2Q04A</v>
      </c>
      <c r="P73" s="809" t="str">
        <f t="shared" si="505"/>
        <v>3Q04A</v>
      </c>
      <c r="Q73" s="809" t="str">
        <f t="shared" si="505"/>
        <v>4Q04A</v>
      </c>
      <c r="R73" s="267" t="str">
        <f t="shared" si="505"/>
        <v>2004A</v>
      </c>
      <c r="S73" s="809" t="str">
        <f t="shared" si="505"/>
        <v>1Q05A</v>
      </c>
      <c r="T73" s="809" t="str">
        <f t="shared" si="505"/>
        <v>2Q05A</v>
      </c>
      <c r="U73" s="809" t="str">
        <f t="shared" si="505"/>
        <v>3Q05A</v>
      </c>
      <c r="V73" s="809" t="str">
        <f t="shared" si="505"/>
        <v>4Q05A</v>
      </c>
      <c r="W73" s="267" t="str">
        <f t="shared" si="505"/>
        <v>2005A</v>
      </c>
      <c r="X73" s="809" t="str">
        <f t="shared" si="505"/>
        <v>1Q06A</v>
      </c>
      <c r="Y73" s="809" t="str">
        <f t="shared" si="505"/>
        <v>2Q06A</v>
      </c>
      <c r="Z73" s="809" t="str">
        <f t="shared" si="505"/>
        <v>3Q06A</v>
      </c>
      <c r="AA73" s="809" t="str">
        <f t="shared" si="505"/>
        <v>4Q06A</v>
      </c>
      <c r="AB73" s="267" t="str">
        <f t="shared" si="505"/>
        <v>2006A</v>
      </c>
      <c r="AC73" s="809" t="str">
        <f t="shared" si="505"/>
        <v>1Q07A</v>
      </c>
      <c r="AD73" s="809" t="str">
        <f t="shared" si="505"/>
        <v>2Q07A</v>
      </c>
      <c r="AE73" s="809" t="str">
        <f t="shared" si="505"/>
        <v>3Q07A</v>
      </c>
      <c r="AF73" s="809" t="str">
        <f t="shared" si="505"/>
        <v>4Q07A</v>
      </c>
      <c r="AG73" s="267" t="str">
        <f t="shared" si="505"/>
        <v>2007A</v>
      </c>
      <c r="AH73" s="809" t="str">
        <f t="shared" si="505"/>
        <v>1Q08A</v>
      </c>
      <c r="AI73" s="809" t="str">
        <f t="shared" ref="AI73:BN73" si="506">AI4</f>
        <v>2Q08A</v>
      </c>
      <c r="AJ73" s="809" t="str">
        <f t="shared" si="506"/>
        <v>3Q08A</v>
      </c>
      <c r="AK73" s="809" t="str">
        <f t="shared" si="506"/>
        <v>4Q08A</v>
      </c>
      <c r="AL73" s="267" t="str">
        <f t="shared" si="506"/>
        <v>2008A</v>
      </c>
      <c r="AM73" s="809" t="str">
        <f t="shared" si="506"/>
        <v>1Q09A</v>
      </c>
      <c r="AN73" s="809" t="str">
        <f t="shared" si="506"/>
        <v>2Q09A</v>
      </c>
      <c r="AO73" s="809" t="str">
        <f t="shared" si="506"/>
        <v>3Q09A</v>
      </c>
      <c r="AP73" s="809" t="str">
        <f t="shared" si="506"/>
        <v>4Q09A</v>
      </c>
      <c r="AQ73" s="267" t="str">
        <f t="shared" si="506"/>
        <v>2009A</v>
      </c>
      <c r="AR73" s="809" t="str">
        <f t="shared" si="506"/>
        <v>1Q10A</v>
      </c>
      <c r="AS73" s="809" t="str">
        <f t="shared" si="506"/>
        <v>2Q10A</v>
      </c>
      <c r="AT73" s="809" t="str">
        <f t="shared" si="506"/>
        <v>3Q10A</v>
      </c>
      <c r="AU73" s="809" t="str">
        <f t="shared" si="506"/>
        <v>4Q10A</v>
      </c>
      <c r="AV73" s="267" t="str">
        <f t="shared" si="506"/>
        <v>2010A</v>
      </c>
      <c r="AW73" s="809" t="str">
        <f t="shared" si="506"/>
        <v>1Q11A</v>
      </c>
      <c r="AX73" s="809" t="str">
        <f t="shared" si="506"/>
        <v>2Q11A</v>
      </c>
      <c r="AY73" s="809" t="str">
        <f t="shared" si="506"/>
        <v>3Q11A</v>
      </c>
      <c r="AZ73" s="809" t="str">
        <f t="shared" si="506"/>
        <v>4Q11A</v>
      </c>
      <c r="BA73" s="267" t="str">
        <f t="shared" si="506"/>
        <v>2011A</v>
      </c>
      <c r="BB73" s="809" t="str">
        <f t="shared" si="506"/>
        <v>1Q12A</v>
      </c>
      <c r="BC73" s="809" t="str">
        <f t="shared" si="506"/>
        <v>2Q12A</v>
      </c>
      <c r="BD73" s="809" t="str">
        <f t="shared" si="506"/>
        <v>3Q12A</v>
      </c>
      <c r="BE73" s="809" t="str">
        <f t="shared" si="506"/>
        <v>4Q12A</v>
      </c>
      <c r="BF73" s="267" t="str">
        <f t="shared" si="506"/>
        <v>2012A</v>
      </c>
      <c r="BG73" s="809" t="str">
        <f t="shared" si="506"/>
        <v>1Q13A</v>
      </c>
      <c r="BH73" s="809" t="str">
        <f t="shared" si="506"/>
        <v>2Q13A</v>
      </c>
      <c r="BI73" s="809" t="str">
        <f t="shared" si="506"/>
        <v>3Q13A</v>
      </c>
      <c r="BJ73" s="809" t="str">
        <f t="shared" si="506"/>
        <v>4Q13A</v>
      </c>
      <c r="BK73" s="267" t="str">
        <f t="shared" si="506"/>
        <v>2013A</v>
      </c>
      <c r="BL73" s="809" t="str">
        <f t="shared" si="506"/>
        <v>1Q14A</v>
      </c>
      <c r="BM73" s="809" t="str">
        <f t="shared" si="506"/>
        <v>2Q14A</v>
      </c>
      <c r="BN73" s="809" t="str">
        <f t="shared" si="506"/>
        <v>3Q14A</v>
      </c>
      <c r="BO73" s="809" t="str">
        <f t="shared" ref="BO73:CT73" si="507">BO4</f>
        <v>4Q14A</v>
      </c>
      <c r="BP73" s="267" t="str">
        <f t="shared" si="507"/>
        <v>2014A</v>
      </c>
      <c r="BQ73" s="809" t="str">
        <f t="shared" si="507"/>
        <v>1Q15A</v>
      </c>
      <c r="BR73" s="809" t="str">
        <f t="shared" si="507"/>
        <v>2Q15A</v>
      </c>
      <c r="BS73" s="809" t="str">
        <f t="shared" si="507"/>
        <v>3Q15A</v>
      </c>
      <c r="BT73" s="809" t="str">
        <f t="shared" si="507"/>
        <v>4Q15A</v>
      </c>
      <c r="BU73" s="267" t="str">
        <f t="shared" si="507"/>
        <v>2015A</v>
      </c>
      <c r="BV73" s="809" t="str">
        <f t="shared" si="507"/>
        <v>1Q16A</v>
      </c>
      <c r="BW73" s="809" t="str">
        <f t="shared" si="507"/>
        <v>2Q16A</v>
      </c>
      <c r="BX73" s="809" t="str">
        <f t="shared" si="507"/>
        <v>3Q16A</v>
      </c>
      <c r="BY73" s="809" t="str">
        <f t="shared" si="507"/>
        <v>4Q16A</v>
      </c>
      <c r="BZ73" s="267" t="str">
        <f t="shared" si="507"/>
        <v>2016A</v>
      </c>
      <c r="CA73" s="809" t="str">
        <f t="shared" si="507"/>
        <v>1Q17A</v>
      </c>
      <c r="CB73" s="809" t="str">
        <f t="shared" si="507"/>
        <v>2Q17A</v>
      </c>
      <c r="CC73" s="809" t="str">
        <f t="shared" si="507"/>
        <v>3Q17A</v>
      </c>
      <c r="CD73" s="809" t="str">
        <f t="shared" si="507"/>
        <v>4Q17A</v>
      </c>
      <c r="CE73" s="267" t="str">
        <f t="shared" si="507"/>
        <v>2017A</v>
      </c>
      <c r="CF73" s="809" t="str">
        <f t="shared" si="507"/>
        <v>1Q18A</v>
      </c>
      <c r="CG73" s="809" t="str">
        <f t="shared" si="507"/>
        <v>2Q18A</v>
      </c>
      <c r="CH73" s="809" t="str">
        <f t="shared" si="507"/>
        <v>3Q18A</v>
      </c>
      <c r="CI73" s="809" t="str">
        <f t="shared" si="507"/>
        <v>4Q18A</v>
      </c>
      <c r="CJ73" s="267" t="str">
        <f t="shared" si="507"/>
        <v>2018A</v>
      </c>
      <c r="CK73" s="809" t="str">
        <f t="shared" si="507"/>
        <v>1Q19A</v>
      </c>
      <c r="CL73" s="809" t="str">
        <f t="shared" si="507"/>
        <v>2Q19A</v>
      </c>
      <c r="CM73" s="809" t="str">
        <f t="shared" si="507"/>
        <v>3Q19A</v>
      </c>
      <c r="CN73" s="809" t="str">
        <f t="shared" si="507"/>
        <v>4Q19A</v>
      </c>
      <c r="CO73" s="267" t="str">
        <f t="shared" si="507"/>
        <v>2019A</v>
      </c>
      <c r="CP73" s="809" t="str">
        <f t="shared" si="507"/>
        <v>1Q20A</v>
      </c>
      <c r="CQ73" s="809" t="str">
        <f t="shared" si="507"/>
        <v>2Q20A</v>
      </c>
      <c r="CR73" s="809" t="str">
        <f t="shared" si="507"/>
        <v>3Q20A</v>
      </c>
      <c r="CS73" s="809" t="str">
        <f t="shared" si="507"/>
        <v>4Q20A</v>
      </c>
      <c r="CT73" s="267" t="str">
        <f t="shared" si="507"/>
        <v>2020A</v>
      </c>
      <c r="CU73" s="809" t="str">
        <f t="shared" ref="CU73:EC73" si="508">CU4</f>
        <v>1Q21A</v>
      </c>
      <c r="CV73" s="809" t="str">
        <f t="shared" si="508"/>
        <v>2Q21A</v>
      </c>
      <c r="CW73" s="809" t="str">
        <f t="shared" si="508"/>
        <v>3Q21A</v>
      </c>
      <c r="CX73" s="809" t="str">
        <f t="shared" si="508"/>
        <v>4Q21A</v>
      </c>
      <c r="CY73" s="267" t="str">
        <f t="shared" si="508"/>
        <v>2021A</v>
      </c>
      <c r="CZ73" s="809" t="str">
        <f t="shared" si="508"/>
        <v>1Q22A</v>
      </c>
      <c r="DA73" s="809" t="str">
        <f t="shared" si="508"/>
        <v>2Q22A</v>
      </c>
      <c r="DB73" s="809" t="str">
        <f t="shared" si="508"/>
        <v>3Q22A</v>
      </c>
      <c r="DC73" s="809" t="str">
        <f t="shared" si="508"/>
        <v>4Q22A</v>
      </c>
      <c r="DD73" s="267" t="str">
        <f t="shared" si="508"/>
        <v>2022A</v>
      </c>
      <c r="DE73" s="809" t="str">
        <f t="shared" si="508"/>
        <v>1Q23A</v>
      </c>
      <c r="DF73" s="809" t="str">
        <f t="shared" si="508"/>
        <v>2Q23A</v>
      </c>
      <c r="DG73" s="809" t="str">
        <f t="shared" si="508"/>
        <v>3Q23A</v>
      </c>
      <c r="DH73" s="809" t="str">
        <f t="shared" si="508"/>
        <v>4Q23A</v>
      </c>
      <c r="DI73" s="267" t="str">
        <f t="shared" si="508"/>
        <v>2023A</v>
      </c>
      <c r="DJ73" s="809" t="str">
        <f t="shared" si="508"/>
        <v>1Q24A</v>
      </c>
      <c r="DK73" s="809" t="str">
        <f t="shared" si="508"/>
        <v>2Q24A</v>
      </c>
      <c r="DL73" s="809" t="str">
        <f t="shared" si="508"/>
        <v>3Q24A</v>
      </c>
      <c r="DM73" s="809" t="str">
        <f t="shared" si="508"/>
        <v>4Q24E</v>
      </c>
      <c r="DN73" s="267" t="str">
        <f t="shared" si="508"/>
        <v>2024E</v>
      </c>
      <c r="DO73" s="809" t="str">
        <f t="shared" si="508"/>
        <v>1Q25E</v>
      </c>
      <c r="DP73" s="809" t="str">
        <f t="shared" si="508"/>
        <v>2Q25E</v>
      </c>
      <c r="DQ73" s="809" t="str">
        <f t="shared" si="508"/>
        <v>3Q25E</v>
      </c>
      <c r="DR73" s="809" t="str">
        <f t="shared" si="508"/>
        <v>4Q25E</v>
      </c>
      <c r="DS73" s="267" t="str">
        <f t="shared" si="508"/>
        <v>2025E</v>
      </c>
      <c r="DT73" s="809" t="str">
        <f t="shared" si="508"/>
        <v>1Q26E</v>
      </c>
      <c r="DU73" s="809" t="str">
        <f t="shared" si="508"/>
        <v>2Q26E</v>
      </c>
      <c r="DV73" s="809" t="str">
        <f t="shared" si="508"/>
        <v>3Q26E</v>
      </c>
      <c r="DW73" s="809" t="str">
        <f t="shared" si="508"/>
        <v>4Q26E</v>
      </c>
      <c r="DX73" s="267" t="str">
        <f t="shared" si="508"/>
        <v>2026E</v>
      </c>
      <c r="DY73" s="809" t="str">
        <f t="shared" si="508"/>
        <v>1Q27E</v>
      </c>
      <c r="DZ73" s="809" t="str">
        <f t="shared" si="508"/>
        <v>2Q27E</v>
      </c>
      <c r="EA73" s="809" t="str">
        <f t="shared" si="508"/>
        <v>3Q27E</v>
      </c>
      <c r="EB73" s="809" t="str">
        <f t="shared" si="508"/>
        <v>4Q27E</v>
      </c>
      <c r="EC73" s="267" t="str">
        <f t="shared" si="508"/>
        <v>2027E</v>
      </c>
      <c r="ED73" s="134"/>
      <c r="EE73" s="139"/>
    </row>
    <row r="74" spans="1:135" s="99" customFormat="1" ht="12" customHeight="1">
      <c r="A74" s="940"/>
      <c r="B74" s="940"/>
      <c r="C74" s="268" t="str">
        <f t="shared" ref="C74:AH74" si="509">C5</f>
        <v>$ in millions, except per share figures</v>
      </c>
      <c r="D74" s="806">
        <f t="shared" si="509"/>
        <v>1998</v>
      </c>
      <c r="E74" s="806">
        <f t="shared" si="509"/>
        <v>1999</v>
      </c>
      <c r="F74" s="806">
        <f t="shared" si="509"/>
        <v>2000</v>
      </c>
      <c r="G74" s="806">
        <f t="shared" si="509"/>
        <v>2001</v>
      </c>
      <c r="H74" s="806">
        <f t="shared" si="509"/>
        <v>2002</v>
      </c>
      <c r="I74" s="807">
        <f t="shared" si="509"/>
        <v>37711</v>
      </c>
      <c r="J74" s="808">
        <f t="shared" si="509"/>
        <v>37802</v>
      </c>
      <c r="K74" s="808">
        <f t="shared" si="509"/>
        <v>37894</v>
      </c>
      <c r="L74" s="808">
        <f t="shared" si="509"/>
        <v>37986</v>
      </c>
      <c r="M74" s="806">
        <f t="shared" si="509"/>
        <v>2003</v>
      </c>
      <c r="N74" s="808">
        <f t="shared" si="509"/>
        <v>38077</v>
      </c>
      <c r="O74" s="808">
        <f t="shared" si="509"/>
        <v>38168</v>
      </c>
      <c r="P74" s="808">
        <f t="shared" si="509"/>
        <v>38260</v>
      </c>
      <c r="Q74" s="808">
        <f t="shared" si="509"/>
        <v>38352</v>
      </c>
      <c r="R74" s="806">
        <f t="shared" si="509"/>
        <v>2004</v>
      </c>
      <c r="S74" s="808">
        <f t="shared" si="509"/>
        <v>38442</v>
      </c>
      <c r="T74" s="808">
        <f t="shared" si="509"/>
        <v>38533</v>
      </c>
      <c r="U74" s="808">
        <f t="shared" si="509"/>
        <v>38625</v>
      </c>
      <c r="V74" s="808">
        <f t="shared" si="509"/>
        <v>38717</v>
      </c>
      <c r="W74" s="806">
        <f t="shared" si="509"/>
        <v>2005</v>
      </c>
      <c r="X74" s="808">
        <f t="shared" si="509"/>
        <v>38807</v>
      </c>
      <c r="Y74" s="808">
        <f t="shared" si="509"/>
        <v>38898</v>
      </c>
      <c r="Z74" s="808">
        <f t="shared" si="509"/>
        <v>38990</v>
      </c>
      <c r="AA74" s="808">
        <f t="shared" si="509"/>
        <v>39082</v>
      </c>
      <c r="AB74" s="806">
        <f t="shared" si="509"/>
        <v>2006</v>
      </c>
      <c r="AC74" s="808">
        <f t="shared" si="509"/>
        <v>39172</v>
      </c>
      <c r="AD74" s="808">
        <f t="shared" si="509"/>
        <v>39263</v>
      </c>
      <c r="AE74" s="808">
        <f t="shared" si="509"/>
        <v>39355</v>
      </c>
      <c r="AF74" s="808">
        <f t="shared" si="509"/>
        <v>39447</v>
      </c>
      <c r="AG74" s="806">
        <f t="shared" si="509"/>
        <v>2007</v>
      </c>
      <c r="AH74" s="808">
        <f t="shared" si="509"/>
        <v>39538</v>
      </c>
      <c r="AI74" s="808">
        <f t="shared" ref="AI74:BN74" si="510">AI5</f>
        <v>39629</v>
      </c>
      <c r="AJ74" s="808">
        <f t="shared" si="510"/>
        <v>39721</v>
      </c>
      <c r="AK74" s="808">
        <f t="shared" si="510"/>
        <v>39813</v>
      </c>
      <c r="AL74" s="806">
        <f t="shared" si="510"/>
        <v>2008</v>
      </c>
      <c r="AM74" s="808">
        <f t="shared" si="510"/>
        <v>39903</v>
      </c>
      <c r="AN74" s="808">
        <f t="shared" si="510"/>
        <v>39994</v>
      </c>
      <c r="AO74" s="808">
        <f t="shared" si="510"/>
        <v>40086</v>
      </c>
      <c r="AP74" s="808">
        <f t="shared" si="510"/>
        <v>40178</v>
      </c>
      <c r="AQ74" s="806">
        <f t="shared" si="510"/>
        <v>2009</v>
      </c>
      <c r="AR74" s="808">
        <f t="shared" si="510"/>
        <v>40268</v>
      </c>
      <c r="AS74" s="808">
        <f t="shared" si="510"/>
        <v>40359</v>
      </c>
      <c r="AT74" s="808">
        <f t="shared" si="510"/>
        <v>40451</v>
      </c>
      <c r="AU74" s="808">
        <f t="shared" si="510"/>
        <v>40543</v>
      </c>
      <c r="AV74" s="806">
        <f t="shared" si="510"/>
        <v>2010</v>
      </c>
      <c r="AW74" s="808">
        <f t="shared" si="510"/>
        <v>40633</v>
      </c>
      <c r="AX74" s="808">
        <f t="shared" si="510"/>
        <v>40724</v>
      </c>
      <c r="AY74" s="808">
        <f t="shared" si="510"/>
        <v>40816</v>
      </c>
      <c r="AZ74" s="808">
        <f t="shared" si="510"/>
        <v>40908</v>
      </c>
      <c r="BA74" s="806">
        <f t="shared" si="510"/>
        <v>2011</v>
      </c>
      <c r="BB74" s="808">
        <f t="shared" si="510"/>
        <v>40999</v>
      </c>
      <c r="BC74" s="808">
        <f t="shared" si="510"/>
        <v>41090</v>
      </c>
      <c r="BD74" s="808">
        <f t="shared" si="510"/>
        <v>41182</v>
      </c>
      <c r="BE74" s="808">
        <f t="shared" si="510"/>
        <v>41274</v>
      </c>
      <c r="BF74" s="806">
        <f t="shared" si="510"/>
        <v>2012</v>
      </c>
      <c r="BG74" s="808">
        <f t="shared" si="510"/>
        <v>41364</v>
      </c>
      <c r="BH74" s="808">
        <f t="shared" si="510"/>
        <v>41455</v>
      </c>
      <c r="BI74" s="808">
        <f t="shared" si="510"/>
        <v>41547</v>
      </c>
      <c r="BJ74" s="808">
        <f t="shared" si="510"/>
        <v>41639</v>
      </c>
      <c r="BK74" s="806">
        <f t="shared" si="510"/>
        <v>2013</v>
      </c>
      <c r="BL74" s="808">
        <f t="shared" si="510"/>
        <v>41729</v>
      </c>
      <c r="BM74" s="808">
        <f t="shared" si="510"/>
        <v>41820</v>
      </c>
      <c r="BN74" s="808">
        <f t="shared" si="510"/>
        <v>41912</v>
      </c>
      <c r="BO74" s="808">
        <f t="shared" ref="BO74:CT74" si="511">BO5</f>
        <v>42004</v>
      </c>
      <c r="BP74" s="806">
        <f t="shared" si="511"/>
        <v>2014</v>
      </c>
      <c r="BQ74" s="808">
        <f t="shared" si="511"/>
        <v>42094</v>
      </c>
      <c r="BR74" s="808">
        <f t="shared" si="511"/>
        <v>42185</v>
      </c>
      <c r="BS74" s="808">
        <f t="shared" si="511"/>
        <v>42277</v>
      </c>
      <c r="BT74" s="808">
        <f t="shared" si="511"/>
        <v>42369</v>
      </c>
      <c r="BU74" s="806">
        <f t="shared" si="511"/>
        <v>2015</v>
      </c>
      <c r="BV74" s="808">
        <f t="shared" si="511"/>
        <v>42460</v>
      </c>
      <c r="BW74" s="808">
        <f t="shared" si="511"/>
        <v>42551</v>
      </c>
      <c r="BX74" s="808">
        <f t="shared" si="511"/>
        <v>42643</v>
      </c>
      <c r="BY74" s="808">
        <f t="shared" si="511"/>
        <v>42735</v>
      </c>
      <c r="BZ74" s="806">
        <f t="shared" si="511"/>
        <v>2016</v>
      </c>
      <c r="CA74" s="808">
        <f t="shared" si="511"/>
        <v>42825</v>
      </c>
      <c r="CB74" s="808">
        <f t="shared" si="511"/>
        <v>42916</v>
      </c>
      <c r="CC74" s="808">
        <f t="shared" si="511"/>
        <v>43008</v>
      </c>
      <c r="CD74" s="808">
        <f t="shared" si="511"/>
        <v>43100</v>
      </c>
      <c r="CE74" s="806">
        <f t="shared" si="511"/>
        <v>2017</v>
      </c>
      <c r="CF74" s="808">
        <f t="shared" si="511"/>
        <v>43190</v>
      </c>
      <c r="CG74" s="808">
        <f t="shared" si="511"/>
        <v>43281</v>
      </c>
      <c r="CH74" s="808">
        <f t="shared" si="511"/>
        <v>43373</v>
      </c>
      <c r="CI74" s="808">
        <f t="shared" si="511"/>
        <v>43465</v>
      </c>
      <c r="CJ74" s="806">
        <f t="shared" si="511"/>
        <v>2018</v>
      </c>
      <c r="CK74" s="808">
        <f t="shared" si="511"/>
        <v>43555</v>
      </c>
      <c r="CL74" s="808">
        <f t="shared" si="511"/>
        <v>43646</v>
      </c>
      <c r="CM74" s="808">
        <f t="shared" si="511"/>
        <v>43738</v>
      </c>
      <c r="CN74" s="808">
        <f t="shared" si="511"/>
        <v>43830</v>
      </c>
      <c r="CO74" s="806">
        <f t="shared" si="511"/>
        <v>2019</v>
      </c>
      <c r="CP74" s="808">
        <f t="shared" si="511"/>
        <v>43921</v>
      </c>
      <c r="CQ74" s="808">
        <f t="shared" si="511"/>
        <v>44012</v>
      </c>
      <c r="CR74" s="808">
        <f t="shared" si="511"/>
        <v>44104</v>
      </c>
      <c r="CS74" s="808">
        <f t="shared" si="511"/>
        <v>44196</v>
      </c>
      <c r="CT74" s="806">
        <f t="shared" si="511"/>
        <v>2020</v>
      </c>
      <c r="CU74" s="808">
        <f t="shared" ref="CU74:ED74" si="512">CU5</f>
        <v>44286</v>
      </c>
      <c r="CV74" s="808">
        <f t="shared" si="512"/>
        <v>44377</v>
      </c>
      <c r="CW74" s="808">
        <f t="shared" si="512"/>
        <v>44469</v>
      </c>
      <c r="CX74" s="808">
        <f t="shared" si="512"/>
        <v>44561</v>
      </c>
      <c r="CY74" s="806">
        <f t="shared" si="512"/>
        <v>2021</v>
      </c>
      <c r="CZ74" s="808">
        <f t="shared" si="512"/>
        <v>44651</v>
      </c>
      <c r="DA74" s="808">
        <f t="shared" si="512"/>
        <v>44742</v>
      </c>
      <c r="DB74" s="808">
        <f t="shared" si="512"/>
        <v>44834</v>
      </c>
      <c r="DC74" s="808">
        <f t="shared" si="512"/>
        <v>44926</v>
      </c>
      <c r="DD74" s="806">
        <f t="shared" si="512"/>
        <v>2022</v>
      </c>
      <c r="DE74" s="808">
        <f t="shared" si="512"/>
        <v>45016</v>
      </c>
      <c r="DF74" s="808">
        <f t="shared" si="512"/>
        <v>45107</v>
      </c>
      <c r="DG74" s="808">
        <f t="shared" si="512"/>
        <v>45199</v>
      </c>
      <c r="DH74" s="808">
        <f t="shared" si="512"/>
        <v>45291</v>
      </c>
      <c r="DI74" s="806">
        <f t="shared" si="512"/>
        <v>2023</v>
      </c>
      <c r="DJ74" s="808">
        <f t="shared" si="512"/>
        <v>45382</v>
      </c>
      <c r="DK74" s="808">
        <f t="shared" si="512"/>
        <v>45473</v>
      </c>
      <c r="DL74" s="808">
        <f t="shared" si="512"/>
        <v>45565</v>
      </c>
      <c r="DM74" s="808">
        <f t="shared" si="512"/>
        <v>45657</v>
      </c>
      <c r="DN74" s="806">
        <f t="shared" si="512"/>
        <v>2024</v>
      </c>
      <c r="DO74" s="808">
        <f t="shared" si="512"/>
        <v>45747</v>
      </c>
      <c r="DP74" s="808">
        <f t="shared" si="512"/>
        <v>45838</v>
      </c>
      <c r="DQ74" s="808">
        <f t="shared" si="512"/>
        <v>45930</v>
      </c>
      <c r="DR74" s="808">
        <f t="shared" si="512"/>
        <v>46022</v>
      </c>
      <c r="DS74" s="806">
        <f t="shared" si="512"/>
        <v>2025</v>
      </c>
      <c r="DT74" s="808">
        <f t="shared" si="512"/>
        <v>46112</v>
      </c>
      <c r="DU74" s="808">
        <f t="shared" si="512"/>
        <v>46203</v>
      </c>
      <c r="DV74" s="808">
        <f t="shared" si="512"/>
        <v>46295</v>
      </c>
      <c r="DW74" s="808">
        <f t="shared" si="512"/>
        <v>46387</v>
      </c>
      <c r="DX74" s="806">
        <f t="shared" si="512"/>
        <v>2026</v>
      </c>
      <c r="DY74" s="808">
        <f t="shared" si="512"/>
        <v>46477</v>
      </c>
      <c r="DZ74" s="808">
        <f t="shared" si="512"/>
        <v>46568</v>
      </c>
      <c r="EA74" s="808">
        <f t="shared" si="512"/>
        <v>46660</v>
      </c>
      <c r="EB74" s="808">
        <f t="shared" si="512"/>
        <v>46752</v>
      </c>
      <c r="EC74" s="806">
        <f t="shared" si="512"/>
        <v>2027</v>
      </c>
      <c r="ED74" s="1165" t="str">
        <f t="shared" si="512"/>
        <v>CAGR '24-27E</v>
      </c>
      <c r="EE74" s="139"/>
    </row>
    <row r="75" spans="1:135" ht="12.75" customHeight="1">
      <c r="A75" s="940"/>
      <c r="B75" s="940"/>
      <c r="C75" s="381" t="s">
        <v>152</v>
      </c>
      <c r="D75" s="322"/>
      <c r="E75" s="322"/>
      <c r="F75" s="322"/>
      <c r="G75" s="322"/>
      <c r="H75" s="322"/>
      <c r="M75" s="322"/>
      <c r="R75" s="322"/>
      <c r="W75" s="322"/>
      <c r="AB75" s="322"/>
      <c r="AG75" s="322"/>
      <c r="AL75" s="322"/>
      <c r="AQ75" s="322"/>
      <c r="AV75" s="322"/>
      <c r="BA75" s="322"/>
      <c r="BF75" s="322"/>
      <c r="BK75" s="322"/>
      <c r="BP75" s="322"/>
      <c r="BQ75" s="382"/>
      <c r="BR75" s="382"/>
      <c r="BS75" s="382"/>
      <c r="BT75" s="382"/>
      <c r="BU75" s="323"/>
      <c r="BV75" s="382"/>
      <c r="BW75" s="382"/>
      <c r="BX75" s="382"/>
      <c r="BY75" s="382"/>
      <c r="BZ75" s="323"/>
      <c r="CA75" s="382"/>
      <c r="CB75" s="382"/>
      <c r="CC75" s="382"/>
      <c r="CD75" s="382"/>
      <c r="CE75" s="323"/>
      <c r="CF75" s="382"/>
      <c r="CG75" s="382"/>
      <c r="CH75" s="382"/>
      <c r="CI75" s="382"/>
      <c r="CJ75" s="323"/>
      <c r="CK75" s="382"/>
      <c r="CL75" s="382"/>
      <c r="CM75" s="382"/>
      <c r="CN75" s="382"/>
      <c r="CO75" s="323"/>
      <c r="CP75" s="382"/>
      <c r="CQ75" s="382"/>
      <c r="CR75" s="382"/>
      <c r="CS75" s="382"/>
      <c r="CT75" s="323"/>
      <c r="CU75" s="382"/>
      <c r="CV75" s="382"/>
      <c r="CW75" s="382"/>
      <c r="CX75" s="382"/>
      <c r="CY75" s="323"/>
      <c r="CZ75" s="382"/>
      <c r="DA75" s="382"/>
      <c r="DB75" s="382"/>
      <c r="DC75" s="382"/>
      <c r="DD75" s="323"/>
      <c r="DE75" s="382"/>
      <c r="DF75" s="382"/>
      <c r="DG75" s="382"/>
      <c r="DH75" s="382"/>
      <c r="DI75" s="323"/>
      <c r="DJ75" s="382"/>
      <c r="DK75" s="382"/>
      <c r="DL75" s="382"/>
      <c r="DM75" s="382"/>
      <c r="DN75" s="323"/>
      <c r="DO75" s="382"/>
      <c r="DP75" s="382"/>
      <c r="DQ75" s="382"/>
      <c r="DR75" s="382"/>
      <c r="DS75" s="323"/>
      <c r="DT75" s="382"/>
      <c r="DU75" s="382"/>
      <c r="DV75" s="382"/>
      <c r="DW75" s="382"/>
      <c r="DX75" s="323"/>
      <c r="DY75" s="382"/>
      <c r="DZ75" s="382"/>
      <c r="EA75" s="382"/>
      <c r="EB75" s="382"/>
      <c r="EC75" s="323"/>
      <c r="ED75" s="275"/>
    </row>
    <row r="76" spans="1:135" ht="12.75" customHeight="1">
      <c r="A76" s="940"/>
      <c r="B76" s="940"/>
      <c r="C76" s="123" t="s">
        <v>244</v>
      </c>
      <c r="D76" s="330"/>
      <c r="E76" s="330"/>
      <c r="F76" s="330"/>
      <c r="G76" s="330"/>
      <c r="H76" s="330"/>
      <c r="I76" s="296"/>
      <c r="J76" s="296"/>
      <c r="K76" s="296"/>
      <c r="L76" s="296"/>
      <c r="M76" s="330"/>
      <c r="N76" s="296"/>
      <c r="O76" s="296"/>
      <c r="P76" s="296"/>
      <c r="Q76" s="296"/>
      <c r="R76" s="330"/>
      <c r="S76" s="296"/>
      <c r="T76" s="296"/>
      <c r="U76" s="296"/>
      <c r="V76" s="296"/>
      <c r="W76" s="330"/>
      <c r="X76" s="296"/>
      <c r="Y76" s="296"/>
      <c r="Z76" s="296"/>
      <c r="AA76" s="296"/>
      <c r="AB76" s="330"/>
      <c r="AC76" s="296"/>
      <c r="AD76" s="296"/>
      <c r="AE76" s="296"/>
      <c r="AF76" s="296"/>
      <c r="AG76" s="330"/>
      <c r="AH76" s="296"/>
      <c r="AI76" s="296"/>
      <c r="AJ76" s="296"/>
      <c r="AK76" s="296"/>
      <c r="AL76" s="330"/>
      <c r="AM76" s="296"/>
      <c r="AN76" s="296"/>
      <c r="AO76" s="296"/>
      <c r="AP76" s="296"/>
      <c r="AQ76" s="330"/>
      <c r="AR76" s="296"/>
      <c r="AS76" s="296"/>
      <c r="AT76" s="296"/>
      <c r="AU76" s="296"/>
      <c r="AV76" s="330"/>
      <c r="AW76" s="296"/>
      <c r="AX76" s="296"/>
      <c r="AY76" s="296"/>
      <c r="AZ76" s="296"/>
      <c r="BA76" s="330"/>
      <c r="BB76" s="296"/>
      <c r="BC76" s="296"/>
      <c r="BD76" s="296"/>
      <c r="BE76" s="296"/>
      <c r="BF76" s="330"/>
      <c r="BG76" s="296"/>
      <c r="BH76" s="296"/>
      <c r="BI76" s="296"/>
      <c r="BJ76" s="296"/>
      <c r="BK76" s="330"/>
      <c r="BL76" s="296"/>
      <c r="BM76" s="296"/>
      <c r="BN76" s="296"/>
      <c r="BO76" s="296"/>
      <c r="BP76" s="330"/>
      <c r="BQ76" s="125">
        <f>BQ45</f>
        <v>-3.4759999999999991</v>
      </c>
      <c r="BR76" s="125">
        <f>BR45</f>
        <v>-3.4609999999999985</v>
      </c>
      <c r="BS76" s="125">
        <f>BS45</f>
        <v>-4.2999999999999972</v>
      </c>
      <c r="BT76" s="125">
        <f>BT45</f>
        <v>-6.5189999999999984</v>
      </c>
      <c r="BU76" s="300">
        <f>SUM(BQ76:BT76)</f>
        <v>-17.755999999999993</v>
      </c>
      <c r="BV76" s="125">
        <f>BV45</f>
        <v>-9.7119999999999891</v>
      </c>
      <c r="BW76" s="125">
        <f>BW45</f>
        <v>-8.659000000000006</v>
      </c>
      <c r="BX76" s="125">
        <f>BX45</f>
        <v>-9.4890000000000043</v>
      </c>
      <c r="BY76" s="125">
        <f>BY45</f>
        <v>-9.305000000000021</v>
      </c>
      <c r="BZ76" s="300">
        <f>SUM(BV76:BY76)</f>
        <v>-37.16500000000002</v>
      </c>
      <c r="CA76" s="125">
        <f>CA45</f>
        <v>-14.460999999999984</v>
      </c>
      <c r="CB76" s="125">
        <f>CB45</f>
        <v>-15.906999999999996</v>
      </c>
      <c r="CC76" s="125">
        <f>CC45</f>
        <v>-12.675999999999988</v>
      </c>
      <c r="CD76" s="125">
        <f>CD45</f>
        <v>-6.113000000000028</v>
      </c>
      <c r="CE76" s="300">
        <f>SUM(CA76:CD76)</f>
        <v>-49.156999999999996</v>
      </c>
      <c r="CF76" s="125">
        <f>CF45</f>
        <v>-20.333000000000027</v>
      </c>
      <c r="CG76" s="125">
        <f>CG45</f>
        <v>-30.761000000000024</v>
      </c>
      <c r="CH76" s="125">
        <f>CH45</f>
        <v>-31.368000000000023</v>
      </c>
      <c r="CI76" s="125">
        <f>CI45</f>
        <v>-9.4580000000000553</v>
      </c>
      <c r="CJ76" s="300">
        <f>SUM(CF76:CI76)</f>
        <v>-91.92000000000013</v>
      </c>
      <c r="CK76" s="125">
        <f>CK45</f>
        <v>-35.790000000000049</v>
      </c>
      <c r="CL76" s="125">
        <f>CL45</f>
        <v>-39.620000000000005</v>
      </c>
      <c r="CM76" s="125">
        <f>CM45</f>
        <v>-35.657999999999959</v>
      </c>
      <c r="CN76" s="125">
        <f>CN45</f>
        <v>-30.078999999999951</v>
      </c>
      <c r="CO76" s="300">
        <f>SUM(CK76:CN76)</f>
        <v>-141.14699999999996</v>
      </c>
      <c r="CP76" s="125">
        <f>CP45</f>
        <v>-73.233000000000004</v>
      </c>
      <c r="CQ76" s="125">
        <f>CQ45</f>
        <v>0.28400000000004866</v>
      </c>
      <c r="CR76" s="125">
        <f>CR45</f>
        <v>50.561000000000035</v>
      </c>
      <c r="CS76" s="125">
        <f>CS45</f>
        <v>112.54099999999994</v>
      </c>
      <c r="CT76" s="300">
        <f>SUM(CP76:CS76)</f>
        <v>90.15300000000002</v>
      </c>
      <c r="CU76" s="125">
        <f>CU45</f>
        <v>118.89899999999989</v>
      </c>
      <c r="CV76" s="125">
        <f>CV45</f>
        <v>139.44099999999992</v>
      </c>
      <c r="CW76" s="125">
        <f>CW45</f>
        <v>-4.1009999999999991</v>
      </c>
      <c r="CX76" s="125">
        <f>CX45</f>
        <v>14.404000000000224</v>
      </c>
      <c r="CY76" s="300">
        <f>SUM(CU76:CX76)</f>
        <v>268.64300000000003</v>
      </c>
      <c r="CZ76" s="125">
        <f>CZ45</f>
        <v>-97.975999999999885</v>
      </c>
      <c r="DA76" s="125">
        <f>DA45</f>
        <v>-190.20799999999997</v>
      </c>
      <c r="DB76" s="125">
        <f>DB45</f>
        <v>-345.36599999999999</v>
      </c>
      <c r="DC76" s="125">
        <f>DC45</f>
        <v>-188.74899999999991</v>
      </c>
      <c r="DD76" s="300">
        <f>SUM(CZ76:DC76)</f>
        <v>-822.29899999999975</v>
      </c>
      <c r="DE76" s="125">
        <f>DE45</f>
        <v>-193</v>
      </c>
      <c r="DF76" s="125">
        <f>DF45</f>
        <v>-1636</v>
      </c>
      <c r="DG76" s="125">
        <f>DG45</f>
        <v>122</v>
      </c>
      <c r="DH76" s="125">
        <f>DH45</f>
        <v>289</v>
      </c>
      <c r="DI76" s="300">
        <f>SUM(DE76:DH76)</f>
        <v>-1418</v>
      </c>
      <c r="DJ76" s="125">
        <f>DJ45</f>
        <v>86</v>
      </c>
      <c r="DK76" s="125">
        <f>DK45</f>
        <v>241</v>
      </c>
      <c r="DL76" s="125">
        <f>DL45</f>
        <v>283</v>
      </c>
      <c r="DM76" s="125">
        <f>DM45</f>
        <v>422.82872057970485</v>
      </c>
      <c r="DN76" s="300">
        <f>SUM(DJ76:DM76)</f>
        <v>1032.8287205797049</v>
      </c>
      <c r="DO76" s="125">
        <f>DO45</f>
        <v>146.7847387939612</v>
      </c>
      <c r="DP76" s="125">
        <f>DP45</f>
        <v>327.80463666424646</v>
      </c>
      <c r="DQ76" s="125">
        <f>DQ45</f>
        <v>406.86576647565562</v>
      </c>
      <c r="DR76" s="125">
        <f>DR45</f>
        <v>598.48405578390282</v>
      </c>
      <c r="DS76" s="300">
        <f>SUM(DO76:DR76)</f>
        <v>1479.9391977177661</v>
      </c>
      <c r="DT76" s="125">
        <f>DT45</f>
        <v>221.71562736484998</v>
      </c>
      <c r="DU76" s="125">
        <f>DU45</f>
        <v>440.85453986038874</v>
      </c>
      <c r="DV76" s="125">
        <f>DV45</f>
        <v>537.85156433333782</v>
      </c>
      <c r="DW76" s="125">
        <f>DW45</f>
        <v>782.60500673022966</v>
      </c>
      <c r="DX76" s="300">
        <f>SUM(DT76:DW76)</f>
        <v>1983.0267382888062</v>
      </c>
      <c r="DY76" s="125">
        <f>DY45</f>
        <v>321.1042723091598</v>
      </c>
      <c r="DZ76" s="125">
        <f>DZ45</f>
        <v>582.97688271482298</v>
      </c>
      <c r="EA76" s="125">
        <f>EA45</f>
        <v>700.37339097898735</v>
      </c>
      <c r="EB76" s="125">
        <f>EB45</f>
        <v>1008.5384765969484</v>
      </c>
      <c r="EC76" s="300">
        <f>SUM(DY76:EB76)</f>
        <v>2612.9930225999187</v>
      </c>
      <c r="ED76" s="491"/>
    </row>
    <row r="77" spans="1:135" s="383" customFormat="1" ht="12" customHeight="1">
      <c r="A77" s="940"/>
      <c r="B77" s="940"/>
      <c r="C77" s="309" t="s">
        <v>29</v>
      </c>
      <c r="D77" s="330"/>
      <c r="E77" s="330"/>
      <c r="F77" s="330"/>
      <c r="G77" s="330"/>
      <c r="H77" s="330"/>
      <c r="I77" s="296"/>
      <c r="J77" s="296"/>
      <c r="K77" s="296"/>
      <c r="L77" s="296"/>
      <c r="M77" s="330"/>
      <c r="N77" s="296"/>
      <c r="O77" s="296"/>
      <c r="P77" s="296"/>
      <c r="Q77" s="296"/>
      <c r="R77" s="330"/>
      <c r="S77" s="296"/>
      <c r="T77" s="296"/>
      <c r="U77" s="296"/>
      <c r="V77" s="296"/>
      <c r="W77" s="330"/>
      <c r="X77" s="296"/>
      <c r="Y77" s="296"/>
      <c r="Z77" s="296"/>
      <c r="AA77" s="296"/>
      <c r="AB77" s="330"/>
      <c r="AC77" s="296"/>
      <c r="AD77" s="296"/>
      <c r="AE77" s="296"/>
      <c r="AF77" s="296"/>
      <c r="AG77" s="330"/>
      <c r="AH77" s="296"/>
      <c r="AI77" s="296"/>
      <c r="AJ77" s="296"/>
      <c r="AK77" s="296"/>
      <c r="AL77" s="330"/>
      <c r="AM77" s="296"/>
      <c r="AN77" s="296"/>
      <c r="AO77" s="296"/>
      <c r="AP77" s="296"/>
      <c r="AQ77" s="330"/>
      <c r="AR77" s="296"/>
      <c r="AS77" s="296"/>
      <c r="AT77" s="296"/>
      <c r="AU77" s="296"/>
      <c r="AV77" s="330"/>
      <c r="AW77" s="296"/>
      <c r="AX77" s="296"/>
      <c r="AY77" s="296"/>
      <c r="AZ77" s="296"/>
      <c r="BA77" s="330"/>
      <c r="BB77" s="296"/>
      <c r="BC77" s="296"/>
      <c r="BD77" s="296"/>
      <c r="BE77" s="296"/>
      <c r="BF77" s="330"/>
      <c r="BG77" s="296"/>
      <c r="BH77" s="296"/>
      <c r="BI77" s="296"/>
      <c r="BJ77" s="296"/>
      <c r="BK77" s="330"/>
      <c r="BL77" s="296"/>
      <c r="BM77" s="296"/>
      <c r="BN77" s="296"/>
      <c r="BO77" s="296"/>
      <c r="BP77" s="330"/>
      <c r="BQ77" s="125">
        <f>'Cash Flow'!BQ10</f>
        <v>1.47</v>
      </c>
      <c r="BR77" s="125">
        <f>'Cash Flow'!BR10</f>
        <v>1.655</v>
      </c>
      <c r="BS77" s="125">
        <f>'Cash Flow'!BS10</f>
        <v>1.9089999999999996</v>
      </c>
      <c r="BT77" s="125">
        <f>'Cash Flow'!BT10</f>
        <v>2.202</v>
      </c>
      <c r="BU77" s="300">
        <f>SUM(BQ77:BT77)</f>
        <v>7.2359999999999998</v>
      </c>
      <c r="BV77" s="125">
        <f>'Cash Flow'!BV10</f>
        <v>3.0579999999999998</v>
      </c>
      <c r="BW77" s="125">
        <f>'Cash Flow'!BW10</f>
        <v>2.7759999999999998</v>
      </c>
      <c r="BX77" s="125">
        <f>'Cash Flow'!BX10</f>
        <v>3.6929999999999996</v>
      </c>
      <c r="BY77" s="125">
        <f>'Cash Flow'!BY10</f>
        <v>4.4400000000000013</v>
      </c>
      <c r="BZ77" s="300">
        <f>SUM(BV77:BY77)</f>
        <v>13.967000000000001</v>
      </c>
      <c r="CA77" s="125">
        <f>'Cash Flow'!CA10</f>
        <v>4.5339999999999998</v>
      </c>
      <c r="CB77" s="125">
        <f>'Cash Flow'!CB10</f>
        <v>5.3530000000000006</v>
      </c>
      <c r="CC77" s="125">
        <f>'Cash Flow'!CC10</f>
        <v>5.737000000000001</v>
      </c>
      <c r="CD77" s="125">
        <f>'Cash Flow'!CD10</f>
        <v>7.7579999999999982</v>
      </c>
      <c r="CE77" s="300">
        <f>SUM(CA77:CD77)</f>
        <v>23.382000000000001</v>
      </c>
      <c r="CF77" s="125">
        <f>'Cash Flow'!CF10</f>
        <v>7.5819999999999999</v>
      </c>
      <c r="CG77" s="125">
        <f>'Cash Flow'!CG10</f>
        <v>7.4259999999999993</v>
      </c>
      <c r="CH77" s="125">
        <f>'Cash Flow'!CH10</f>
        <v>6.1960000000000024</v>
      </c>
      <c r="CI77" s="125">
        <f>'Cash Flow'!CI10</f>
        <v>5.8479999999999999</v>
      </c>
      <c r="CJ77" s="300">
        <f>SUM(CF77:CI77)</f>
        <v>27.052</v>
      </c>
      <c r="CK77" s="125">
        <f>'Cash Flow'!CK10</f>
        <v>6.8319999999999999</v>
      </c>
      <c r="CL77" s="125">
        <f>'Cash Flow'!CL10</f>
        <v>7.3750000000000009</v>
      </c>
      <c r="CM77" s="125">
        <f>'Cash Flow'!CM10</f>
        <v>8.7429999999999986</v>
      </c>
      <c r="CN77" s="125">
        <f>'Cash Flow'!CN10</f>
        <v>12.701000000000004</v>
      </c>
      <c r="CO77" s="300">
        <f>SUM(CK77:CN77)</f>
        <v>35.651000000000003</v>
      </c>
      <c r="CP77" s="125">
        <f>'Cash Flow'!CP10</f>
        <v>14.366</v>
      </c>
      <c r="CQ77" s="125">
        <f>'Cash Flow'!CQ10</f>
        <v>19.930999999999997</v>
      </c>
      <c r="CR77" s="125">
        <f>'Cash Flow'!CR10</f>
        <v>17.870000000000005</v>
      </c>
      <c r="CS77" s="125">
        <f>'Cash Flow'!CS10</f>
        <v>17.893000000000001</v>
      </c>
      <c r="CT77" s="300">
        <f>SUM(CP77:CS77)</f>
        <v>70.06</v>
      </c>
      <c r="CU77" s="125">
        <f>'Cash Flow'!CU10</f>
        <v>15.8</v>
      </c>
      <c r="CV77" s="125">
        <f>'Cash Flow'!CV10</f>
        <v>14.663</v>
      </c>
      <c r="CW77" s="125">
        <f>'Cash Flow'!CW10</f>
        <v>13.603999999999999</v>
      </c>
      <c r="CX77" s="125">
        <f>'Cash Flow'!CX10</f>
        <v>22.241000000000007</v>
      </c>
      <c r="CY77" s="300">
        <f>SUM(CU77:CX77)</f>
        <v>66.308000000000007</v>
      </c>
      <c r="CZ77" s="111">
        <f>'Cash Flow'!CZ10</f>
        <v>16.670000000000002</v>
      </c>
      <c r="DA77" s="111">
        <f>'Cash Flow'!DA10</f>
        <v>16.402999999999999</v>
      </c>
      <c r="DB77" s="111">
        <f>'Cash Flow'!DB10</f>
        <v>27.625</v>
      </c>
      <c r="DC77" s="111">
        <f>'Cash Flow'!DC10</f>
        <v>29.821999999999996</v>
      </c>
      <c r="DD77" s="300">
        <f>SUM(CZ77:DC77)</f>
        <v>90.52</v>
      </c>
      <c r="DE77" s="111">
        <f>'Cash Flow'!DE10</f>
        <v>29</v>
      </c>
      <c r="DF77" s="111">
        <f>'Cash Flow'!DF10</f>
        <v>17</v>
      </c>
      <c r="DG77" s="111">
        <f>'Cash Flow'!DG10</f>
        <v>13</v>
      </c>
      <c r="DH77" s="111">
        <f>'Cash Flow'!DH10</f>
        <v>10</v>
      </c>
      <c r="DI77" s="300">
        <f>SUM(DE77:DH77)</f>
        <v>69</v>
      </c>
      <c r="DJ77" s="111">
        <f>'Cash Flow'!DJ10</f>
        <v>10</v>
      </c>
      <c r="DK77" s="111">
        <f>'Cash Flow'!DK10</f>
        <v>10</v>
      </c>
      <c r="DL77" s="111">
        <f>'Cash Flow'!DL10</f>
        <v>8</v>
      </c>
      <c r="DM77" s="111">
        <f>'Cash Flow'!DM10</f>
        <v>6.7035891937011716</v>
      </c>
      <c r="DN77" s="300">
        <f>'Cash Flow'!DN10</f>
        <v>34.70358919370117</v>
      </c>
      <c r="DO77" s="111">
        <f>'Cash Flow'!DO10</f>
        <v>5.1694417121035157</v>
      </c>
      <c r="DP77" s="111">
        <f>'Cash Flow'!DP10</f>
        <v>5.2540141907572773</v>
      </c>
      <c r="DQ77" s="111">
        <f>'Cash Flow'!DQ10</f>
        <v>5.3159528243645271</v>
      </c>
      <c r="DR77" s="111">
        <f>'Cash Flow'!DR10</f>
        <v>5.6589695168421752</v>
      </c>
      <c r="DS77" s="300">
        <f>'Cash Flow'!DS10</f>
        <v>21.398378244067494</v>
      </c>
      <c r="DT77" s="111">
        <f>'Cash Flow'!DT10</f>
        <v>5.3996026284287861</v>
      </c>
      <c r="DU77" s="111">
        <f>'Cash Flow'!DU10</f>
        <v>5.5005730569562035</v>
      </c>
      <c r="DV77" s="111">
        <f>'Cash Flow'!DV10</f>
        <v>5.5737823955015644</v>
      </c>
      <c r="DW77" s="111">
        <f>'Cash Flow'!DW10</f>
        <v>5.9877572705046465</v>
      </c>
      <c r="DX77" s="300">
        <f>'Cash Flow'!DX10</f>
        <v>22.461715351391199</v>
      </c>
      <c r="DY77" s="111">
        <f>'Cash Flow'!DY10</f>
        <v>5.6501839894518859</v>
      </c>
      <c r="DZ77" s="111">
        <f>'Cash Flow'!DZ10</f>
        <v>5.7689690112668517</v>
      </c>
      <c r="EA77" s="111">
        <f>'Cash Flow'!EA10</f>
        <v>5.8544526191286241</v>
      </c>
      <c r="EB77" s="111">
        <f>'Cash Flow'!EB10</f>
        <v>6.3457785710208299</v>
      </c>
      <c r="EC77" s="300">
        <f>'Cash Flow'!EC10</f>
        <v>23.619384190868189</v>
      </c>
      <c r="ED77" s="491"/>
      <c r="EE77" s="139"/>
    </row>
    <row r="78" spans="1:135" s="296" customFormat="1">
      <c r="A78" s="940"/>
      <c r="B78" s="940"/>
      <c r="C78" s="309" t="s">
        <v>75</v>
      </c>
      <c r="D78" s="343"/>
      <c r="E78" s="343"/>
      <c r="F78" s="343"/>
      <c r="G78" s="343"/>
      <c r="H78" s="343"/>
      <c r="I78" s="299"/>
      <c r="J78" s="299"/>
      <c r="K78" s="299"/>
      <c r="L78" s="299"/>
      <c r="M78" s="343"/>
      <c r="N78" s="299"/>
      <c r="O78" s="299"/>
      <c r="P78" s="299"/>
      <c r="Q78" s="299"/>
      <c r="R78" s="343"/>
      <c r="S78" s="299"/>
      <c r="T78" s="299"/>
      <c r="U78" s="299"/>
      <c r="V78" s="299"/>
      <c r="W78" s="343"/>
      <c r="X78" s="299"/>
      <c r="Y78" s="299"/>
      <c r="Z78" s="299"/>
      <c r="AA78" s="299"/>
      <c r="AB78" s="343"/>
      <c r="AC78" s="299"/>
      <c r="AD78" s="299"/>
      <c r="AE78" s="299"/>
      <c r="AF78" s="299"/>
      <c r="AG78" s="343"/>
      <c r="AH78" s="299"/>
      <c r="AI78" s="299"/>
      <c r="AJ78" s="299"/>
      <c r="AK78" s="299"/>
      <c r="AL78" s="343"/>
      <c r="AM78" s="299"/>
      <c r="AN78" s="299"/>
      <c r="AO78" s="299"/>
      <c r="AP78" s="299"/>
      <c r="AQ78" s="343"/>
      <c r="AR78" s="299"/>
      <c r="AS78" s="299"/>
      <c r="AT78" s="299"/>
      <c r="AU78" s="299"/>
      <c r="AV78" s="343"/>
      <c r="AW78" s="299"/>
      <c r="AX78" s="299"/>
      <c r="AY78" s="299"/>
      <c r="AZ78" s="299"/>
      <c r="BA78" s="343"/>
      <c r="BB78" s="299"/>
      <c r="BC78" s="299"/>
      <c r="BD78" s="299"/>
      <c r="BE78" s="299"/>
      <c r="BF78" s="343"/>
      <c r="BG78" s="325"/>
      <c r="BH78" s="325"/>
      <c r="BI78" s="325"/>
      <c r="BJ78" s="325"/>
      <c r="BK78" s="343"/>
      <c r="BL78" s="325"/>
      <c r="BM78" s="325"/>
      <c r="BN78" s="325"/>
      <c r="BO78" s="325"/>
      <c r="BP78" s="343"/>
      <c r="BQ78" s="282">
        <v>0</v>
      </c>
      <c r="BR78" s="282">
        <v>0</v>
      </c>
      <c r="BS78" s="282">
        <v>0</v>
      </c>
      <c r="BT78" s="282">
        <v>0</v>
      </c>
      <c r="BU78" s="300">
        <f>SUM(BQ78:BT78)</f>
        <v>0</v>
      </c>
      <c r="BV78" s="282">
        <v>0</v>
      </c>
      <c r="BW78" s="282">
        <v>0</v>
      </c>
      <c r="BX78" s="282">
        <v>0</v>
      </c>
      <c r="BY78" s="282">
        <v>0</v>
      </c>
      <c r="BZ78" s="300">
        <f>SUM(BV78:BY78)</f>
        <v>0</v>
      </c>
      <c r="CA78" s="282">
        <v>0</v>
      </c>
      <c r="CB78" s="282">
        <v>0</v>
      </c>
      <c r="CC78" s="282">
        <v>0</v>
      </c>
      <c r="CD78" s="282">
        <v>0</v>
      </c>
      <c r="CE78" s="300">
        <f>SUM(CA78:CD78)</f>
        <v>0</v>
      </c>
      <c r="CF78" s="282">
        <v>0</v>
      </c>
      <c r="CG78" s="282">
        <v>0</v>
      </c>
      <c r="CH78" s="282">
        <v>0</v>
      </c>
      <c r="CI78" s="282">
        <v>0</v>
      </c>
      <c r="CJ78" s="300">
        <f>SUM(CF78:CI78)</f>
        <v>0</v>
      </c>
      <c r="CK78" s="282">
        <v>0</v>
      </c>
      <c r="CL78" s="282">
        <v>0</v>
      </c>
      <c r="CM78" s="282">
        <v>0</v>
      </c>
      <c r="CN78" s="282">
        <v>0</v>
      </c>
      <c r="CO78" s="300">
        <f>SUM(CK78:CN78)</f>
        <v>0</v>
      </c>
      <c r="CP78" s="282">
        <v>0</v>
      </c>
      <c r="CQ78" s="282">
        <v>0</v>
      </c>
      <c r="CR78" s="282">
        <v>0</v>
      </c>
      <c r="CS78" s="282">
        <v>0</v>
      </c>
      <c r="CT78" s="300">
        <f>SUM(CP78:CS78)</f>
        <v>0</v>
      </c>
      <c r="CU78" s="282">
        <v>0</v>
      </c>
      <c r="CV78" s="282">
        <v>0</v>
      </c>
      <c r="CW78" s="282">
        <v>0</v>
      </c>
      <c r="CX78" s="282">
        <v>0</v>
      </c>
      <c r="CY78" s="300">
        <f>SUM(CU78:CX78)</f>
        <v>0</v>
      </c>
      <c r="CZ78" s="282">
        <v>0</v>
      </c>
      <c r="DA78" s="282">
        <v>0</v>
      </c>
      <c r="DB78" s="282">
        <v>0</v>
      </c>
      <c r="DC78" s="282">
        <v>0</v>
      </c>
      <c r="DD78" s="300">
        <f>SUM(CZ78:DC78)</f>
        <v>0</v>
      </c>
      <c r="DE78" s="282">
        <v>0</v>
      </c>
      <c r="DF78" s="282">
        <v>0</v>
      </c>
      <c r="DG78" s="282">
        <v>0</v>
      </c>
      <c r="DH78" s="282">
        <v>0</v>
      </c>
      <c r="DI78" s="300">
        <f>SUM(DE78:DH78)</f>
        <v>0</v>
      </c>
      <c r="DJ78" s="282">
        <v>0</v>
      </c>
      <c r="DK78" s="282">
        <v>0</v>
      </c>
      <c r="DL78" s="282">
        <v>0</v>
      </c>
      <c r="DM78" s="326">
        <v>0</v>
      </c>
      <c r="DN78" s="300">
        <f>SUM(DJ78:DM78)</f>
        <v>0</v>
      </c>
      <c r="DO78" s="326">
        <v>0</v>
      </c>
      <c r="DP78" s="326">
        <v>0</v>
      </c>
      <c r="DQ78" s="326">
        <v>0</v>
      </c>
      <c r="DR78" s="326">
        <v>0</v>
      </c>
      <c r="DS78" s="300">
        <f>SUM(DO78:DR78)</f>
        <v>0</v>
      </c>
      <c r="DT78" s="326">
        <v>0</v>
      </c>
      <c r="DU78" s="326">
        <v>0</v>
      </c>
      <c r="DV78" s="326">
        <v>0</v>
      </c>
      <c r="DW78" s="326">
        <v>0</v>
      </c>
      <c r="DX78" s="300">
        <f>SUM(DT78:DW78)</f>
        <v>0</v>
      </c>
      <c r="DY78" s="326">
        <v>0</v>
      </c>
      <c r="DZ78" s="326">
        <v>0</v>
      </c>
      <c r="EA78" s="326">
        <v>0</v>
      </c>
      <c r="EB78" s="326">
        <v>0</v>
      </c>
      <c r="EC78" s="300">
        <f>SUM(DY78:EB78)</f>
        <v>0</v>
      </c>
      <c r="ED78" s="491"/>
      <c r="EE78" s="139"/>
    </row>
    <row r="79" spans="1:135" s="296" customFormat="1">
      <c r="A79" s="940"/>
      <c r="B79" s="940"/>
      <c r="C79" s="291" t="s">
        <v>2</v>
      </c>
      <c r="D79" s="339"/>
      <c r="E79" s="339"/>
      <c r="F79" s="339"/>
      <c r="G79" s="339"/>
      <c r="H79" s="339"/>
      <c r="I79" s="340"/>
      <c r="J79" s="340"/>
      <c r="K79" s="340"/>
      <c r="L79" s="340"/>
      <c r="M79" s="339"/>
      <c r="N79" s="340"/>
      <c r="O79" s="340"/>
      <c r="P79" s="340"/>
      <c r="Q79" s="340"/>
      <c r="R79" s="339"/>
      <c r="S79" s="340"/>
      <c r="T79" s="340"/>
      <c r="U79" s="340"/>
      <c r="V79" s="340"/>
      <c r="W79" s="339"/>
      <c r="X79" s="340"/>
      <c r="Y79" s="340"/>
      <c r="Z79" s="340"/>
      <c r="AA79" s="340"/>
      <c r="AB79" s="339"/>
      <c r="AC79" s="340"/>
      <c r="AD79" s="340"/>
      <c r="AE79" s="340"/>
      <c r="AF79" s="340"/>
      <c r="AG79" s="339"/>
      <c r="AH79" s="340"/>
      <c r="AI79" s="340"/>
      <c r="AJ79" s="340"/>
      <c r="AK79" s="340"/>
      <c r="AL79" s="339"/>
      <c r="AM79" s="340"/>
      <c r="AN79" s="340"/>
      <c r="AO79" s="340"/>
      <c r="AP79" s="340"/>
      <c r="AQ79" s="339"/>
      <c r="AR79" s="340"/>
      <c r="AS79" s="340"/>
      <c r="AT79" s="340"/>
      <c r="AU79" s="340"/>
      <c r="AV79" s="339"/>
      <c r="AW79" s="340"/>
      <c r="AX79" s="340"/>
      <c r="AY79" s="340"/>
      <c r="AZ79" s="340"/>
      <c r="BA79" s="339"/>
      <c r="BB79" s="340"/>
      <c r="BC79" s="340"/>
      <c r="BD79" s="340"/>
      <c r="BE79" s="340"/>
      <c r="BF79" s="339"/>
      <c r="BG79" s="340"/>
      <c r="BH79" s="340"/>
      <c r="BI79" s="340"/>
      <c r="BJ79" s="340"/>
      <c r="BK79" s="339"/>
      <c r="BL79" s="340"/>
      <c r="BM79" s="340"/>
      <c r="BN79" s="340"/>
      <c r="BO79" s="340"/>
      <c r="BP79" s="339"/>
      <c r="BQ79" s="341">
        <f>SUM(BQ76:BQ78)</f>
        <v>-2.0059999999999993</v>
      </c>
      <c r="BR79" s="294">
        <f>SUM(BR76:BR78)</f>
        <v>-1.8059999999999985</v>
      </c>
      <c r="BS79" s="294">
        <f>SUM(BS76:BS78)</f>
        <v>-2.3909999999999973</v>
      </c>
      <c r="BT79" s="294">
        <f>SUM(BT76:BT78)</f>
        <v>-4.3169999999999984</v>
      </c>
      <c r="BU79" s="295">
        <f>SUM(BQ79:BT79)</f>
        <v>-10.519999999999992</v>
      </c>
      <c r="BV79" s="294">
        <f>SUM(BV76:BV78)</f>
        <v>-6.6539999999999893</v>
      </c>
      <c r="BW79" s="294">
        <f>SUM(BW76:BW78)</f>
        <v>-5.8830000000000062</v>
      </c>
      <c r="BX79" s="294">
        <f>SUM(BX76:BX78)</f>
        <v>-5.7960000000000047</v>
      </c>
      <c r="BY79" s="294">
        <f>SUM(BY76:BY78)</f>
        <v>-4.8650000000000198</v>
      </c>
      <c r="BZ79" s="295">
        <f>SUM(BV79:BY79)</f>
        <v>-23.198000000000018</v>
      </c>
      <c r="CA79" s="294">
        <f>SUM(CA76:CA78)</f>
        <v>-9.9269999999999854</v>
      </c>
      <c r="CB79" s="294">
        <f>SUM(CB76:CB78)</f>
        <v>-10.553999999999995</v>
      </c>
      <c r="CC79" s="294">
        <f>SUM(CC76:CC78)</f>
        <v>-6.9389999999999867</v>
      </c>
      <c r="CD79" s="294">
        <f>SUM(CD76:CD78)</f>
        <v>1.6449999999999703</v>
      </c>
      <c r="CE79" s="295">
        <f>SUM(CA79:CD79)</f>
        <v>-25.774999999999995</v>
      </c>
      <c r="CF79" s="294">
        <f>SUM(CF76:CF78)</f>
        <v>-12.751000000000026</v>
      </c>
      <c r="CG79" s="294">
        <f>SUM(CG76:CG78)</f>
        <v>-23.335000000000026</v>
      </c>
      <c r="CH79" s="294">
        <f>SUM(CH76:CH78)</f>
        <v>-25.172000000000022</v>
      </c>
      <c r="CI79" s="294">
        <f>SUM(CI76:CI78)</f>
        <v>-3.6100000000000554</v>
      </c>
      <c r="CJ79" s="295">
        <f>SUM(CF79:CI79)</f>
        <v>-64.868000000000137</v>
      </c>
      <c r="CK79" s="294">
        <f>SUM(CK76:CK78)</f>
        <v>-28.958000000000048</v>
      </c>
      <c r="CL79" s="294">
        <f>SUM(CL76:CL78)</f>
        <v>-32.245000000000005</v>
      </c>
      <c r="CM79" s="294">
        <f>SUM(CM76:CM78)</f>
        <v>-26.91499999999996</v>
      </c>
      <c r="CN79" s="294">
        <f>SUM(CN76:CN78)</f>
        <v>-17.377999999999947</v>
      </c>
      <c r="CO79" s="295">
        <f>SUM(CK79:CN79)</f>
        <v>-105.49599999999995</v>
      </c>
      <c r="CP79" s="294">
        <f>SUM(CP76:CP78)</f>
        <v>-58.867000000000004</v>
      </c>
      <c r="CQ79" s="294">
        <f>SUM(CQ76:CQ78)</f>
        <v>20.215000000000046</v>
      </c>
      <c r="CR79" s="294">
        <f>SUM(CR76:CR78)</f>
        <v>68.43100000000004</v>
      </c>
      <c r="CS79" s="294">
        <f>SUM(CS76:CS78)</f>
        <v>130.43399999999994</v>
      </c>
      <c r="CT79" s="295">
        <f>SUM(CP79:CS79)</f>
        <v>160.21300000000002</v>
      </c>
      <c r="CU79" s="294">
        <f>SUM(CU76:CU78)</f>
        <v>134.6989999999999</v>
      </c>
      <c r="CV79" s="294">
        <f>SUM(CV76:CV78)</f>
        <v>154.10399999999993</v>
      </c>
      <c r="CW79" s="294">
        <f>SUM(CW76:CW78)</f>
        <v>9.5030000000000001</v>
      </c>
      <c r="CX79" s="294">
        <f>SUM(CX76:CX78)</f>
        <v>36.645000000000231</v>
      </c>
      <c r="CY79" s="295">
        <f>SUM(CU79:CX79)</f>
        <v>334.95100000000002</v>
      </c>
      <c r="CZ79" s="294">
        <f>SUM(CZ76:CZ78)</f>
        <v>-81.305999999999884</v>
      </c>
      <c r="DA79" s="294">
        <f>SUM(DA76:DA78)</f>
        <v>-173.80499999999998</v>
      </c>
      <c r="DB79" s="294">
        <f>SUM(DB76:DB78)</f>
        <v>-317.74099999999999</v>
      </c>
      <c r="DC79" s="294">
        <f>SUM(DC76:DC78)</f>
        <v>-158.92699999999991</v>
      </c>
      <c r="DD79" s="295">
        <f>SUM(CZ79:DC79)</f>
        <v>-731.77899999999977</v>
      </c>
      <c r="DE79" s="294">
        <f>SUM(DE76:DE78)</f>
        <v>-164</v>
      </c>
      <c r="DF79" s="294">
        <f>SUM(DF76:DF78)</f>
        <v>-1619</v>
      </c>
      <c r="DG79" s="294">
        <f>SUM(DG76:DG78)</f>
        <v>135</v>
      </c>
      <c r="DH79" s="294">
        <f>SUM(DH76:DH78)</f>
        <v>299</v>
      </c>
      <c r="DI79" s="295">
        <f>SUM(DE79:DH79)</f>
        <v>-1349</v>
      </c>
      <c r="DJ79" s="294">
        <f>SUM(DJ76:DJ78)</f>
        <v>96</v>
      </c>
      <c r="DK79" s="294">
        <f>SUM(DK76:DK78)</f>
        <v>251</v>
      </c>
      <c r="DL79" s="294">
        <f>SUM(DL76:DL78)</f>
        <v>291</v>
      </c>
      <c r="DM79" s="294">
        <f>SUM(DM76:DM78)</f>
        <v>429.53230977340604</v>
      </c>
      <c r="DN79" s="295">
        <f>SUM(DJ79:DM79)</f>
        <v>1067.532309773406</v>
      </c>
      <c r="DO79" s="294">
        <f>SUM(DO76:DO78)</f>
        <v>151.95418050606472</v>
      </c>
      <c r="DP79" s="294">
        <f>SUM(DP76:DP78)</f>
        <v>333.05865085500375</v>
      </c>
      <c r="DQ79" s="294">
        <f>SUM(DQ76:DQ78)</f>
        <v>412.18171930002012</v>
      </c>
      <c r="DR79" s="294">
        <f>SUM(DR76:DR78)</f>
        <v>604.14302530074497</v>
      </c>
      <c r="DS79" s="295">
        <f>SUM(DO79:DR79)</f>
        <v>1501.3375759618336</v>
      </c>
      <c r="DT79" s="294">
        <f>SUM(DT76:DT78)</f>
        <v>227.11522999327877</v>
      </c>
      <c r="DU79" s="294">
        <f>SUM(DU76:DU78)</f>
        <v>446.35511291734497</v>
      </c>
      <c r="DV79" s="294">
        <f>SUM(DV76:DV78)</f>
        <v>543.42534672883937</v>
      </c>
      <c r="DW79" s="294">
        <f>SUM(DW76:DW78)</f>
        <v>788.59276400073429</v>
      </c>
      <c r="DX79" s="295">
        <f>SUM(DT79:DW79)</f>
        <v>2005.4884536401973</v>
      </c>
      <c r="DY79" s="294">
        <f>SUM(DY76:DY78)</f>
        <v>326.75445629861167</v>
      </c>
      <c r="DZ79" s="294">
        <f>SUM(DZ76:DZ78)</f>
        <v>588.74585172608988</v>
      </c>
      <c r="EA79" s="294">
        <f>SUM(EA76:EA78)</f>
        <v>706.22784359811601</v>
      </c>
      <c r="EB79" s="294">
        <f>SUM(EB76:EB78)</f>
        <v>1014.8842551679692</v>
      </c>
      <c r="EC79" s="295">
        <f>SUM(DY79:EB79)</f>
        <v>2636.6124067907867</v>
      </c>
      <c r="ED79" s="1168"/>
      <c r="EE79" s="139"/>
    </row>
    <row r="80" spans="1:135" s="296" customFormat="1">
      <c r="A80" s="940"/>
      <c r="B80" s="940"/>
      <c r="C80" s="283" t="s">
        <v>65</v>
      </c>
      <c r="D80" s="744"/>
      <c r="E80" s="744"/>
      <c r="F80" s="744"/>
      <c r="G80" s="744"/>
      <c r="H80" s="744"/>
      <c r="I80" s="738"/>
      <c r="J80" s="738"/>
      <c r="K80" s="738"/>
      <c r="L80" s="738"/>
      <c r="M80" s="744"/>
      <c r="N80" s="738"/>
      <c r="O80" s="738"/>
      <c r="P80" s="738"/>
      <c r="Q80" s="738"/>
      <c r="R80" s="744"/>
      <c r="S80" s="738"/>
      <c r="T80" s="738"/>
      <c r="U80" s="738"/>
      <c r="V80" s="738"/>
      <c r="W80" s="744"/>
      <c r="X80" s="738"/>
      <c r="Y80" s="738"/>
      <c r="Z80" s="738"/>
      <c r="AA80" s="738"/>
      <c r="AB80" s="744"/>
      <c r="AC80" s="738"/>
      <c r="AD80" s="738"/>
      <c r="AE80" s="738"/>
      <c r="AF80" s="738"/>
      <c r="AG80" s="744"/>
      <c r="AH80" s="738"/>
      <c r="AI80" s="738"/>
      <c r="AJ80" s="738"/>
      <c r="AK80" s="738"/>
      <c r="AL80" s="744"/>
      <c r="AM80" s="738"/>
      <c r="AN80" s="738"/>
      <c r="AO80" s="738"/>
      <c r="AP80" s="738"/>
      <c r="AQ80" s="744"/>
      <c r="AR80" s="738"/>
      <c r="AS80" s="738"/>
      <c r="AT80" s="738"/>
      <c r="AU80" s="738"/>
      <c r="AV80" s="744"/>
      <c r="AW80" s="738"/>
      <c r="AX80" s="738"/>
      <c r="AY80" s="738"/>
      <c r="AZ80" s="738"/>
      <c r="BA80" s="744"/>
      <c r="BB80" s="738"/>
      <c r="BC80" s="738"/>
      <c r="BD80" s="738"/>
      <c r="BE80" s="738"/>
      <c r="BF80" s="744"/>
      <c r="BG80" s="738"/>
      <c r="BH80" s="738"/>
      <c r="BI80" s="738"/>
      <c r="BJ80" s="738"/>
      <c r="BK80" s="744"/>
      <c r="BL80" s="738"/>
      <c r="BM80" s="738"/>
      <c r="BN80" s="738"/>
      <c r="BO80" s="738"/>
      <c r="BP80" s="744"/>
      <c r="BQ80" s="287">
        <f t="shared" ref="BQ80:CV80" si="513">BQ79/BQ11</f>
        <v>-5.3711042090607244E-2</v>
      </c>
      <c r="BR80" s="287">
        <f t="shared" si="513"/>
        <v>-4.0199439077594233E-2</v>
      </c>
      <c r="BS80" s="287">
        <f t="shared" si="513"/>
        <v>-4.5296101238964825E-2</v>
      </c>
      <c r="BT80" s="287">
        <f t="shared" si="513"/>
        <v>-6.1519387798725983E-2</v>
      </c>
      <c r="BU80" s="286">
        <f t="shared" si="513"/>
        <v>-5.1258813153829998E-2</v>
      </c>
      <c r="BV80" s="287">
        <f t="shared" si="513"/>
        <v>-9.1499133687192161E-2</v>
      </c>
      <c r="BW80" s="287">
        <f t="shared" si="513"/>
        <v>-6.7896176440038397E-2</v>
      </c>
      <c r="BX80" s="287">
        <f t="shared" si="513"/>
        <v>-5.8205627749101249E-2</v>
      </c>
      <c r="BY80" s="287">
        <f t="shared" si="513"/>
        <v>-3.7313146652554557E-2</v>
      </c>
      <c r="BZ80" s="286">
        <f t="shared" si="513"/>
        <v>-5.958441425012205E-2</v>
      </c>
      <c r="CA80" s="287">
        <f t="shared" si="513"/>
        <v>-7.7932783268827549E-2</v>
      </c>
      <c r="CB80" s="287">
        <f t="shared" si="513"/>
        <v>-6.9592166430384725E-2</v>
      </c>
      <c r="CC80" s="287">
        <f t="shared" si="513"/>
        <v>-4.0471024636058152E-2</v>
      </c>
      <c r="CD80" s="287">
        <f t="shared" si="513"/>
        <v>7.3828394984155861E-3</v>
      </c>
      <c r="CE80" s="286">
        <f t="shared" si="513"/>
        <v>-3.8281370673573893E-2</v>
      </c>
      <c r="CF80" s="287">
        <f t="shared" si="513"/>
        <v>-5.9489595969021307E-2</v>
      </c>
      <c r="CG80" s="287">
        <f t="shared" si="513"/>
        <v>-9.5259284055143126E-2</v>
      </c>
      <c r="CH80" s="287">
        <f t="shared" si="513"/>
        <v>-9.3207535991468776E-2</v>
      </c>
      <c r="CI80" s="287">
        <f t="shared" si="513"/>
        <v>-1.0498397612996074E-2</v>
      </c>
      <c r="CJ80" s="286">
        <f t="shared" si="513"/>
        <v>-6.0441900097742557E-2</v>
      </c>
      <c r="CK80" s="287">
        <f t="shared" si="513"/>
        <v>-9.0357648791507955E-2</v>
      </c>
      <c r="CL80" s="287">
        <f t="shared" si="513"/>
        <v>-8.9079753245354026E-2</v>
      </c>
      <c r="CM80" s="287">
        <f t="shared" si="513"/>
        <v>-6.8915278887318354E-2</v>
      </c>
      <c r="CN80" s="287">
        <f t="shared" si="513"/>
        <v>-3.44009818671311E-2</v>
      </c>
      <c r="CO80" s="286">
        <f t="shared" si="513"/>
        <v>-6.6846917289802799E-2</v>
      </c>
      <c r="CP80" s="287">
        <f t="shared" si="513"/>
        <v>-0.12524866968368153</v>
      </c>
      <c r="CQ80" s="287">
        <f t="shared" si="513"/>
        <v>2.8298809672131442E-2</v>
      </c>
      <c r="CR80" s="287">
        <f t="shared" si="513"/>
        <v>8.9171949622428887E-2</v>
      </c>
      <c r="CS80" s="287">
        <f t="shared" si="513"/>
        <v>0.13340301755878833</v>
      </c>
      <c r="CT80" s="286">
        <f t="shared" si="513"/>
        <v>5.4689705481259378E-2</v>
      </c>
      <c r="CU80" s="287">
        <f t="shared" si="513"/>
        <v>0.13624579855094884</v>
      </c>
      <c r="CV80" s="287">
        <f t="shared" si="513"/>
        <v>0.13766107312105547</v>
      </c>
      <c r="CW80" s="287">
        <f t="shared" ref="CW80:EB80" si="514">CW79/CW11</f>
        <v>8.4565824834926234E-3</v>
      </c>
      <c r="CX80" s="288">
        <f t="shared" si="514"/>
        <v>2.6553886019373741E-2</v>
      </c>
      <c r="CY80" s="286">
        <f t="shared" si="514"/>
        <v>7.2628243379671886E-2</v>
      </c>
      <c r="CZ80" s="287">
        <f t="shared" si="514"/>
        <v>-6.7551052115155566E-2</v>
      </c>
      <c r="DA80" s="287">
        <f t="shared" si="514"/>
        <v>-0.13420582628026587</v>
      </c>
      <c r="DB80" s="287">
        <f t="shared" si="514"/>
        <v>-0.23257282974674276</v>
      </c>
      <c r="DC80" s="287">
        <f t="shared" si="514"/>
        <v>-9.1601737889471735E-2</v>
      </c>
      <c r="DD80" s="286">
        <f t="shared" si="514"/>
        <v>-0.13067799503702227</v>
      </c>
      <c r="DE80" s="287">
        <f t="shared" si="514"/>
        <v>-0.10875331564986737</v>
      </c>
      <c r="DF80" s="287">
        <f t="shared" si="514"/>
        <v>-0.95572609208972847</v>
      </c>
      <c r="DG80" s="287">
        <f t="shared" si="514"/>
        <v>7.8763127187864643E-2</v>
      </c>
      <c r="DH80" s="287">
        <f t="shared" si="514"/>
        <v>0.1394589552238806</v>
      </c>
      <c r="DI80" s="286">
        <f t="shared" si="514"/>
        <v>-0.19107648725212464</v>
      </c>
      <c r="DJ80" s="287">
        <f t="shared" si="514"/>
        <v>5.1585169263836647E-2</v>
      </c>
      <c r="DK80" s="287">
        <f t="shared" si="514"/>
        <v>0.12273838630806846</v>
      </c>
      <c r="DL80" s="287">
        <f t="shared" si="514"/>
        <v>0.13459759481961148</v>
      </c>
      <c r="DM80" s="287">
        <f t="shared" si="514"/>
        <v>0.15887484340229333</v>
      </c>
      <c r="DN80" s="286">
        <f t="shared" si="514"/>
        <v>0.12170340929098629</v>
      </c>
      <c r="DO80" s="287">
        <f t="shared" si="514"/>
        <v>6.4968685028661849E-2</v>
      </c>
      <c r="DP80" s="287">
        <f t="shared" si="514"/>
        <v>0.13279700234248362</v>
      </c>
      <c r="DQ80" s="287">
        <f t="shared" si="514"/>
        <v>0.15660961079629218</v>
      </c>
      <c r="DR80" s="287">
        <f t="shared" si="514"/>
        <v>0.18208382347215238</v>
      </c>
      <c r="DS80" s="286">
        <f t="shared" si="514"/>
        <v>0.13905450008173442</v>
      </c>
      <c r="DT80" s="287">
        <f t="shared" si="514"/>
        <v>8.1135611415735026E-2</v>
      </c>
      <c r="DU80" s="287">
        <f t="shared" si="514"/>
        <v>0.14872821781258086</v>
      </c>
      <c r="DV80" s="287">
        <f t="shared" si="514"/>
        <v>0.17264945531292772</v>
      </c>
      <c r="DW80" s="287">
        <f t="shared" si="514"/>
        <v>0.19836243984672441</v>
      </c>
      <c r="DX80" s="286">
        <f t="shared" si="514"/>
        <v>0.1551823582888418</v>
      </c>
      <c r="DY80" s="287">
        <f t="shared" si="514"/>
        <v>9.9005461932503716E-2</v>
      </c>
      <c r="DZ80" s="287">
        <f t="shared" si="514"/>
        <v>0.16640931751101115</v>
      </c>
      <c r="EA80" s="287">
        <f t="shared" si="514"/>
        <v>0.19041409748445356</v>
      </c>
      <c r="EB80" s="287">
        <f t="shared" si="514"/>
        <v>0.21632140980943362</v>
      </c>
      <c r="EC80" s="286">
        <f t="shared" ref="EC80" si="515">EC79/EC11</f>
        <v>0.17302004602621027</v>
      </c>
      <c r="ED80" s="287"/>
      <c r="EE80" s="139"/>
    </row>
    <row r="81" spans="1:135" s="296" customFormat="1">
      <c r="A81" s="940"/>
      <c r="B81" s="940"/>
      <c r="C81" s="283" t="s">
        <v>1</v>
      </c>
      <c r="D81" s="284"/>
      <c r="E81" s="284"/>
      <c r="F81" s="284"/>
      <c r="G81" s="284"/>
      <c r="H81" s="284"/>
      <c r="I81" s="99"/>
      <c r="J81" s="99"/>
      <c r="K81" s="99"/>
      <c r="L81" s="99"/>
      <c r="M81" s="284"/>
      <c r="N81" s="738"/>
      <c r="O81" s="738"/>
      <c r="P81" s="738"/>
      <c r="Q81" s="738"/>
      <c r="R81" s="284"/>
      <c r="S81" s="738"/>
      <c r="T81" s="738"/>
      <c r="U81" s="738"/>
      <c r="V81" s="738"/>
      <c r="W81" s="284"/>
      <c r="X81" s="738"/>
      <c r="Y81" s="738"/>
      <c r="Z81" s="738"/>
      <c r="AA81" s="738"/>
      <c r="AB81" s="284"/>
      <c r="AC81" s="738"/>
      <c r="AD81" s="738"/>
      <c r="AE81" s="738"/>
      <c r="AF81" s="738"/>
      <c r="AG81" s="284"/>
      <c r="AH81" s="738"/>
      <c r="AI81" s="738"/>
      <c r="AJ81" s="738"/>
      <c r="AK81" s="738"/>
      <c r="AL81" s="284"/>
      <c r="AM81" s="738"/>
      <c r="AN81" s="738"/>
      <c r="AO81" s="738"/>
      <c r="AP81" s="738"/>
      <c r="AQ81" s="284"/>
      <c r="AR81" s="738"/>
      <c r="AS81" s="738"/>
      <c r="AT81" s="738"/>
      <c r="AU81" s="738"/>
      <c r="AV81" s="284"/>
      <c r="AW81" s="738"/>
      <c r="AX81" s="738"/>
      <c r="AY81" s="738"/>
      <c r="AZ81" s="738"/>
      <c r="BA81" s="284"/>
      <c r="BB81" s="738"/>
      <c r="BC81" s="738"/>
      <c r="BD81" s="738"/>
      <c r="BE81" s="738"/>
      <c r="BF81" s="284"/>
      <c r="BG81" s="738"/>
      <c r="BH81" s="738"/>
      <c r="BI81" s="738"/>
      <c r="BJ81" s="738"/>
      <c r="BK81" s="284"/>
      <c r="BL81" s="738"/>
      <c r="BM81" s="738"/>
      <c r="BN81" s="738"/>
      <c r="BO81" s="738"/>
      <c r="BP81" s="284"/>
      <c r="BQ81" s="287" t="str">
        <f t="shared" ref="BQ81:CV81" si="516">IF(BL79&lt;=0,"nm",(BQ79-BL79)/BL79)</f>
        <v>nm</v>
      </c>
      <c r="BR81" s="287" t="str">
        <f t="shared" si="516"/>
        <v>nm</v>
      </c>
      <c r="BS81" s="287" t="str">
        <f t="shared" si="516"/>
        <v>nm</v>
      </c>
      <c r="BT81" s="287" t="str">
        <f t="shared" si="516"/>
        <v>nm</v>
      </c>
      <c r="BU81" s="286" t="str">
        <f t="shared" si="516"/>
        <v>nm</v>
      </c>
      <c r="BV81" s="287" t="str">
        <f t="shared" si="516"/>
        <v>nm</v>
      </c>
      <c r="BW81" s="287" t="str">
        <f t="shared" si="516"/>
        <v>nm</v>
      </c>
      <c r="BX81" s="287" t="str">
        <f t="shared" si="516"/>
        <v>nm</v>
      </c>
      <c r="BY81" s="287" t="str">
        <f t="shared" si="516"/>
        <v>nm</v>
      </c>
      <c r="BZ81" s="286" t="str">
        <f t="shared" si="516"/>
        <v>nm</v>
      </c>
      <c r="CA81" s="287" t="str">
        <f t="shared" si="516"/>
        <v>nm</v>
      </c>
      <c r="CB81" s="287" t="str">
        <f t="shared" si="516"/>
        <v>nm</v>
      </c>
      <c r="CC81" s="287" t="str">
        <f t="shared" si="516"/>
        <v>nm</v>
      </c>
      <c r="CD81" s="287" t="str">
        <f t="shared" si="516"/>
        <v>nm</v>
      </c>
      <c r="CE81" s="286" t="str">
        <f t="shared" si="516"/>
        <v>nm</v>
      </c>
      <c r="CF81" s="287" t="str">
        <f t="shared" si="516"/>
        <v>nm</v>
      </c>
      <c r="CG81" s="287" t="str">
        <f t="shared" si="516"/>
        <v>nm</v>
      </c>
      <c r="CH81" s="287" t="str">
        <f t="shared" si="516"/>
        <v>nm</v>
      </c>
      <c r="CI81" s="287">
        <f t="shared" si="516"/>
        <v>-3.1945288753800125</v>
      </c>
      <c r="CJ81" s="286" t="str">
        <f t="shared" si="516"/>
        <v>nm</v>
      </c>
      <c r="CK81" s="287" t="str">
        <f t="shared" si="516"/>
        <v>nm</v>
      </c>
      <c r="CL81" s="287" t="str">
        <f t="shared" si="516"/>
        <v>nm</v>
      </c>
      <c r="CM81" s="287" t="str">
        <f t="shared" si="516"/>
        <v>nm</v>
      </c>
      <c r="CN81" s="287" t="str">
        <f t="shared" si="516"/>
        <v>nm</v>
      </c>
      <c r="CO81" s="286" t="str">
        <f t="shared" si="516"/>
        <v>nm</v>
      </c>
      <c r="CP81" s="287" t="str">
        <f t="shared" si="516"/>
        <v>nm</v>
      </c>
      <c r="CQ81" s="287" t="str">
        <f t="shared" si="516"/>
        <v>nm</v>
      </c>
      <c r="CR81" s="287" t="str">
        <f t="shared" si="516"/>
        <v>nm</v>
      </c>
      <c r="CS81" s="287" t="str">
        <f t="shared" si="516"/>
        <v>nm</v>
      </c>
      <c r="CT81" s="286" t="str">
        <f t="shared" si="516"/>
        <v>nm</v>
      </c>
      <c r="CU81" s="287" t="str">
        <f t="shared" si="516"/>
        <v>nm</v>
      </c>
      <c r="CV81" s="287">
        <f t="shared" si="516"/>
        <v>6.6232500618352503</v>
      </c>
      <c r="CW81" s="287">
        <f t="shared" ref="CW81:EB81" si="517">IF(CR79&lt;=0,"nm",(CW79-CR79)/CR79)</f>
        <v>-0.86113018953398324</v>
      </c>
      <c r="CX81" s="288">
        <f t="shared" si="517"/>
        <v>-0.71905331431988395</v>
      </c>
      <c r="CY81" s="286">
        <f t="shared" si="517"/>
        <v>1.0906605581319866</v>
      </c>
      <c r="CZ81" s="287">
        <f t="shared" si="517"/>
        <v>-1.6036124989792049</v>
      </c>
      <c r="DA81" s="287">
        <f t="shared" si="517"/>
        <v>-2.1278422364117739</v>
      </c>
      <c r="DB81" s="287">
        <f t="shared" si="517"/>
        <v>-34.435862359254969</v>
      </c>
      <c r="DC81" s="287">
        <f t="shared" si="517"/>
        <v>-5.3369354618637992</v>
      </c>
      <c r="DD81" s="286">
        <f t="shared" si="517"/>
        <v>-3.1847344835513245</v>
      </c>
      <c r="DE81" s="287" t="str">
        <f t="shared" si="517"/>
        <v>nm</v>
      </c>
      <c r="DF81" s="287" t="str">
        <f t="shared" si="517"/>
        <v>nm</v>
      </c>
      <c r="DG81" s="287" t="str">
        <f t="shared" si="517"/>
        <v>nm</v>
      </c>
      <c r="DH81" s="287" t="str">
        <f t="shared" si="517"/>
        <v>nm</v>
      </c>
      <c r="DI81" s="286" t="str">
        <f t="shared" si="517"/>
        <v>nm</v>
      </c>
      <c r="DJ81" s="287" t="str">
        <f t="shared" si="517"/>
        <v>nm</v>
      </c>
      <c r="DK81" s="287" t="str">
        <f t="shared" si="517"/>
        <v>nm</v>
      </c>
      <c r="DL81" s="287">
        <f t="shared" si="517"/>
        <v>1.1555555555555554</v>
      </c>
      <c r="DM81" s="287">
        <f t="shared" si="517"/>
        <v>0.43656290894115735</v>
      </c>
      <c r="DN81" s="286" t="str">
        <f t="shared" si="517"/>
        <v>nm</v>
      </c>
      <c r="DO81" s="287">
        <f t="shared" si="517"/>
        <v>0.58285604693817417</v>
      </c>
      <c r="DP81" s="287">
        <f t="shared" si="517"/>
        <v>0.32692689583666834</v>
      </c>
      <c r="DQ81" s="287">
        <f t="shared" si="517"/>
        <v>0.41643202508597982</v>
      </c>
      <c r="DR81" s="287">
        <f t="shared" si="517"/>
        <v>0.40651357663746518</v>
      </c>
      <c r="DS81" s="286">
        <f t="shared" si="517"/>
        <v>0.40636265733306648</v>
      </c>
      <c r="DT81" s="287">
        <f t="shared" si="517"/>
        <v>0.49462969190383194</v>
      </c>
      <c r="DU81" s="287">
        <f t="shared" si="517"/>
        <v>0.34016970215754749</v>
      </c>
      <c r="DV81" s="287">
        <f t="shared" si="517"/>
        <v>0.31841205294524288</v>
      </c>
      <c r="DW81" s="287">
        <f t="shared" si="517"/>
        <v>0.3053080660960531</v>
      </c>
      <c r="DX81" s="286">
        <f t="shared" si="517"/>
        <v>0.33580114542552419</v>
      </c>
      <c r="DY81" s="287">
        <f t="shared" si="517"/>
        <v>0.43871662111026904</v>
      </c>
      <c r="DZ81" s="287">
        <f t="shared" si="517"/>
        <v>0.31900774672007065</v>
      </c>
      <c r="EA81" s="287">
        <f t="shared" si="517"/>
        <v>0.29958576251415175</v>
      </c>
      <c r="EB81" s="287">
        <f t="shared" si="517"/>
        <v>0.28695608366883796</v>
      </c>
      <c r="EC81" s="286">
        <f t="shared" ref="EC81" si="518">IF(DX79&lt;=0,"nm",(EC79-DX79)/DX79)</f>
        <v>0.31469837286025021</v>
      </c>
      <c r="ED81" s="287"/>
      <c r="EE81" s="139"/>
    </row>
    <row r="82" spans="1:135" ht="12" customHeight="1">
      <c r="A82" s="940"/>
      <c r="B82" s="940"/>
      <c r="C82" s="283" t="s">
        <v>141</v>
      </c>
      <c r="D82" s="284"/>
      <c r="E82" s="284"/>
      <c r="F82" s="284"/>
      <c r="G82" s="284"/>
      <c r="H82" s="284"/>
      <c r="I82" s="99"/>
      <c r="J82" s="99"/>
      <c r="K82" s="99"/>
      <c r="L82" s="99"/>
      <c r="M82" s="284"/>
      <c r="N82" s="738"/>
      <c r="O82" s="738"/>
      <c r="P82" s="738"/>
      <c r="Q82" s="738"/>
      <c r="R82" s="284"/>
      <c r="S82" s="738"/>
      <c r="T82" s="738"/>
      <c r="U82" s="738"/>
      <c r="V82" s="738"/>
      <c r="W82" s="284"/>
      <c r="X82" s="738"/>
      <c r="Y82" s="738"/>
      <c r="Z82" s="738"/>
      <c r="AA82" s="738"/>
      <c r="AB82" s="284"/>
      <c r="AC82" s="738"/>
      <c r="AD82" s="738"/>
      <c r="AE82" s="738"/>
      <c r="AF82" s="738"/>
      <c r="AG82" s="284"/>
      <c r="AH82" s="738"/>
      <c r="AI82" s="738"/>
      <c r="AJ82" s="738"/>
      <c r="AK82" s="738"/>
      <c r="AL82" s="284"/>
      <c r="AM82" s="738"/>
      <c r="AN82" s="738"/>
      <c r="AO82" s="738"/>
      <c r="AP82" s="738"/>
      <c r="AQ82" s="284"/>
      <c r="AR82" s="738"/>
      <c r="AS82" s="738"/>
      <c r="AT82" s="738"/>
      <c r="AU82" s="738"/>
      <c r="AV82" s="284"/>
      <c r="AW82" s="738"/>
      <c r="AX82" s="738"/>
      <c r="AY82" s="738"/>
      <c r="AZ82" s="738"/>
      <c r="BA82" s="284"/>
      <c r="BB82" s="738"/>
      <c r="BC82" s="738"/>
      <c r="BD82" s="738"/>
      <c r="BE82" s="738"/>
      <c r="BF82" s="284"/>
      <c r="BG82" s="738"/>
      <c r="BH82" s="738"/>
      <c r="BI82" s="738"/>
      <c r="BJ82" s="738"/>
      <c r="BK82" s="284"/>
      <c r="BL82" s="738"/>
      <c r="BM82" s="738"/>
      <c r="BN82" s="738"/>
      <c r="BO82" s="738"/>
      <c r="BP82" s="284"/>
      <c r="BQ82" s="287" t="str">
        <f>IF(BO79&lt;=0,"nm",(BQ79-BO79)/BO79)</f>
        <v>nm</v>
      </c>
      <c r="BR82" s="287" t="str">
        <f>IF(BQ79&lt;=0,"nm",(BR79-BQ79)/BQ79)</f>
        <v>nm</v>
      </c>
      <c r="BS82" s="287" t="str">
        <f>IF(BR79&lt;=0,"nm",(BS79-BR79)/BR79)</f>
        <v>nm</v>
      </c>
      <c r="BT82" s="287" t="str">
        <f>IF(BS79&lt;=0,"nm",(BT79-BS79)/BS79)</f>
        <v>nm</v>
      </c>
      <c r="BU82" s="286"/>
      <c r="BV82" s="287" t="str">
        <f>IF(BT79&lt;=0,"nm",(BV79-BT79)/BT79)</f>
        <v>nm</v>
      </c>
      <c r="BW82" s="287" t="str">
        <f>IF(BV79&lt;=0,"nm",(BW79-BV79)/BV79)</f>
        <v>nm</v>
      </c>
      <c r="BX82" s="287" t="str">
        <f>IF(BW79&lt;=0,"nm",(BX79-BW79)/BW79)</f>
        <v>nm</v>
      </c>
      <c r="BY82" s="287" t="str">
        <f>IF(BX79&lt;=0,"nm",(BY79-BX79)/BX79)</f>
        <v>nm</v>
      </c>
      <c r="BZ82" s="286"/>
      <c r="CA82" s="287" t="str">
        <f>IF(BY79&lt;=0,"nm",(CA79-BY79)/BY79)</f>
        <v>nm</v>
      </c>
      <c r="CB82" s="287" t="str">
        <f>IF(CA79&lt;=0,"nm",(CB79-CA79)/CA79)</f>
        <v>nm</v>
      </c>
      <c r="CC82" s="287" t="str">
        <f>IF(CB79&lt;=0,"nm",(CC79-CB79)/CB79)</f>
        <v>nm</v>
      </c>
      <c r="CD82" s="287" t="str">
        <f>IF(CC79&lt;=0,"nm",(CD79-CC79)/CC79)</f>
        <v>nm</v>
      </c>
      <c r="CE82" s="286"/>
      <c r="CF82" s="287">
        <f>IF(CD79&lt;=0,"nm",(CF79-CD79)/CD79)</f>
        <v>-8.7513677811551709</v>
      </c>
      <c r="CG82" s="287" t="str">
        <f>IF(CF79&lt;=0,"nm",(CG79-CF79)/CF79)</f>
        <v>nm</v>
      </c>
      <c r="CH82" s="287" t="str">
        <f>IF(CG79&lt;=0,"nm",(CH79-CG79)/CG79)</f>
        <v>nm</v>
      </c>
      <c r="CI82" s="287" t="str">
        <f>IF(CH79&lt;=0,"nm",(CI79-CH79)/CH79)</f>
        <v>nm</v>
      </c>
      <c r="CJ82" s="286"/>
      <c r="CK82" s="287" t="str">
        <f>IF(CI79&lt;=0,"nm",(CK79-CI79)/CI79)</f>
        <v>nm</v>
      </c>
      <c r="CL82" s="287" t="str">
        <f>IF(CK79&lt;=0,"nm",(CL79-CK79)/CK79)</f>
        <v>nm</v>
      </c>
      <c r="CM82" s="287" t="str">
        <f>IF(CL79&lt;=0,"nm",(CM79-CL79)/CL79)</f>
        <v>nm</v>
      </c>
      <c r="CN82" s="287" t="str">
        <f>IF(CM79&lt;=0,"nm",(CN79-CM79)/CM79)</f>
        <v>nm</v>
      </c>
      <c r="CO82" s="286"/>
      <c r="CP82" s="287" t="str">
        <f>IF(CN79&lt;=0,"nm",(CP79-CN79)/CN79)</f>
        <v>nm</v>
      </c>
      <c r="CQ82" s="287" t="str">
        <f>IF(CP79&lt;=0,"nm",(CQ79-CP79)/CP79)</f>
        <v>nm</v>
      </c>
      <c r="CR82" s="287">
        <f>IF(CQ79&lt;=0,"nm",(CR79-CQ79)/CQ79)</f>
        <v>2.3851595349987575</v>
      </c>
      <c r="CS82" s="287">
        <f>IF(CR79&lt;=0,"nm",(CS79-CR79)/CR79)</f>
        <v>0.90606596425596386</v>
      </c>
      <c r="CT82" s="286"/>
      <c r="CU82" s="287">
        <f>IF(CS79&lt;=0,"nm",(CU79-CS79)/CS79)</f>
        <v>3.2698529524510175E-2</v>
      </c>
      <c r="CV82" s="287">
        <f>IF(CU79&lt;=0,"nm",(CV79-CU79)/CU79)</f>
        <v>0.14406194552298118</v>
      </c>
      <c r="CW82" s="287">
        <f>IF(CV79&lt;=0,"nm",(CW79-CV79)/CV79)</f>
        <v>-0.93833385246327161</v>
      </c>
      <c r="CX82" s="287">
        <f>IF(CW79&lt;=0,"nm",(CX79-CW79)/CW79)</f>
        <v>2.8561506892560486</v>
      </c>
      <c r="CY82" s="286"/>
      <c r="CZ82" s="287">
        <f>IF(CX79&lt;=0,"nm",(CZ79-CX79)/CX79)</f>
        <v>-3.2187474416700605</v>
      </c>
      <c r="DA82" s="287" t="str">
        <f>IF(CZ79&lt;=0,"nm",(DA79-CZ79)/CZ79)</f>
        <v>nm</v>
      </c>
      <c r="DB82" s="287" t="str">
        <f>IF(DA79&lt;=0,"nm",(DB79-DA79)/DA79)</f>
        <v>nm</v>
      </c>
      <c r="DC82" s="287" t="str">
        <f>IF(DB79&lt;=0,"nm",(DC79-DB79)/DB79)</f>
        <v>nm</v>
      </c>
      <c r="DD82" s="286"/>
      <c r="DE82" s="287" t="str">
        <f>IF(DC79&lt;=0,"nm",(DE79-DC79)/DC79)</f>
        <v>nm</v>
      </c>
      <c r="DF82" s="287" t="str">
        <f>IF(DE79&lt;=0,"nm",(DF79-DE79)/DE79)</f>
        <v>nm</v>
      </c>
      <c r="DG82" s="287" t="str">
        <f>IF(DF79&lt;=0,"nm",(DG79-DF79)/DF79)</f>
        <v>nm</v>
      </c>
      <c r="DH82" s="287">
        <f>IF(DG79&lt;=0,"nm",(DH79-DG79)/DG79)</f>
        <v>1.2148148148148148</v>
      </c>
      <c r="DI82" s="286"/>
      <c r="DJ82" s="287">
        <f>IF(DH79&lt;=0,"nm",(DJ79-DH79)/DH79)</f>
        <v>-0.67892976588628762</v>
      </c>
      <c r="DK82" s="287">
        <f>IF(DJ79&lt;=0,"nm",(DK79-DJ79)/DJ79)</f>
        <v>1.6145833333333333</v>
      </c>
      <c r="DL82" s="287">
        <f>IF(DK79&lt;=0,"nm",(DL79-DK79)/DK79)</f>
        <v>0.15936254980079681</v>
      </c>
      <c r="DM82" s="287">
        <f>IF(DL79&lt;=0,"nm",(DM79-DL79)/DL79)</f>
        <v>0.47605604733129225</v>
      </c>
      <c r="DN82" s="286"/>
      <c r="DO82" s="287">
        <f>IF(DM79&lt;=0,"nm",(DO79-DM79)/DM79)</f>
        <v>-0.64623341004026891</v>
      </c>
      <c r="DP82" s="287">
        <f>IF(DO79&lt;=0,"nm",(DP79-DO79)/DO79)</f>
        <v>1.1918360504843819</v>
      </c>
      <c r="DQ82" s="287">
        <f>IF(DP79&lt;=0,"nm",(DQ79-DP79)/DP79)</f>
        <v>0.23756497013933561</v>
      </c>
      <c r="DR82" s="287">
        <f>IF(DQ79&lt;=0,"nm",(DR79-DQ79)/DQ79)</f>
        <v>0.46572008658394537</v>
      </c>
      <c r="DS82" s="286"/>
      <c r="DT82" s="287">
        <f>IF(DR79&lt;=0,"nm",(DT79-DR79)/DR79)</f>
        <v>-0.62407042623686693</v>
      </c>
      <c r="DU82" s="287">
        <f>IF(DT79&lt;=0,"nm",(DU79-DT79)/DT79)</f>
        <v>0.9653244431496486</v>
      </c>
      <c r="DV82" s="287">
        <f>IF(DU79&lt;=0,"nm",(DV79-DU79)/DU79)</f>
        <v>0.21747310829946659</v>
      </c>
      <c r="DW82" s="287">
        <f>IF(DV79&lt;=0,"nm",(DW79-DV79)/DV79)</f>
        <v>0.45115197284720981</v>
      </c>
      <c r="DX82" s="286"/>
      <c r="DY82" s="287">
        <f>IF(DW79&lt;=0,"nm",(DY79-DW79)/DW79)</f>
        <v>-0.58564867544446886</v>
      </c>
      <c r="DZ82" s="287">
        <f>IF(DY79&lt;=0,"nm",(DZ79-DY79)/DY79)</f>
        <v>0.80179899731207238</v>
      </c>
      <c r="EA82" s="287">
        <f>IF(DZ79&lt;=0,"nm",(EA79-DZ79)/DZ79)</f>
        <v>0.19954619047861052</v>
      </c>
      <c r="EB82" s="287">
        <f>IF(EA79&lt;=0,"nm",(EB79-EA79)/EA79)</f>
        <v>0.43704933806814944</v>
      </c>
      <c r="EC82" s="286"/>
      <c r="ED82" s="287"/>
    </row>
    <row r="83" spans="1:135" s="296" customFormat="1">
      <c r="A83" s="940"/>
      <c r="B83" s="940"/>
      <c r="C83" s="384" t="s">
        <v>28</v>
      </c>
      <c r="D83" s="343"/>
      <c r="E83" s="343"/>
      <c r="F83" s="343"/>
      <c r="G83" s="343"/>
      <c r="H83" s="343"/>
      <c r="I83" s="299"/>
      <c r="J83" s="299"/>
      <c r="K83" s="299"/>
      <c r="L83" s="299"/>
      <c r="M83" s="343"/>
      <c r="N83" s="299"/>
      <c r="O83" s="299"/>
      <c r="P83" s="299"/>
      <c r="Q83" s="299"/>
      <c r="R83" s="343"/>
      <c r="S83" s="299"/>
      <c r="T83" s="299"/>
      <c r="U83" s="299"/>
      <c r="V83" s="299"/>
      <c r="W83" s="343"/>
      <c r="X83" s="299"/>
      <c r="Y83" s="299"/>
      <c r="Z83" s="299"/>
      <c r="AA83" s="299"/>
      <c r="AB83" s="343"/>
      <c r="AC83" s="299"/>
      <c r="AD83" s="299"/>
      <c r="AE83" s="299"/>
      <c r="AF83" s="299"/>
      <c r="AG83" s="343"/>
      <c r="AH83" s="299"/>
      <c r="AI83" s="299"/>
      <c r="AJ83" s="299"/>
      <c r="AK83" s="299"/>
      <c r="AL83" s="343"/>
      <c r="AM83" s="299"/>
      <c r="AN83" s="299"/>
      <c r="AO83" s="299"/>
      <c r="AP83" s="299"/>
      <c r="AQ83" s="343"/>
      <c r="AR83" s="299"/>
      <c r="AS83" s="299"/>
      <c r="AT83" s="299"/>
      <c r="AU83" s="299"/>
      <c r="AV83" s="343"/>
      <c r="AW83" s="299"/>
      <c r="AX83" s="299"/>
      <c r="AY83" s="299"/>
      <c r="AZ83" s="299"/>
      <c r="BA83" s="343"/>
      <c r="BB83" s="299"/>
      <c r="BC83" s="299"/>
      <c r="BD83" s="299"/>
      <c r="BE83" s="299"/>
      <c r="BF83" s="343"/>
      <c r="BG83" s="741"/>
      <c r="BH83" s="299"/>
      <c r="BI83" s="299"/>
      <c r="BJ83" s="299"/>
      <c r="BK83" s="343"/>
      <c r="BL83" s="299"/>
      <c r="BM83" s="299"/>
      <c r="BN83" s="299"/>
      <c r="BO83" s="299"/>
      <c r="BP83" s="343"/>
      <c r="BQ83" s="385"/>
      <c r="BR83" s="385"/>
      <c r="BS83" s="385"/>
      <c r="BT83" s="385"/>
      <c r="BU83" s="300"/>
      <c r="BV83" s="385"/>
      <c r="BW83" s="385"/>
      <c r="BX83" s="385"/>
      <c r="BY83" s="385"/>
      <c r="BZ83" s="300"/>
      <c r="CA83" s="385"/>
      <c r="CB83" s="385"/>
      <c r="CC83" s="385"/>
      <c r="CD83" s="385"/>
      <c r="CE83" s="300"/>
      <c r="CF83" s="385"/>
      <c r="CG83" s="385"/>
      <c r="CH83" s="385"/>
      <c r="CI83" s="385"/>
      <c r="CJ83" s="300"/>
      <c r="CK83" s="385"/>
      <c r="CL83" s="385"/>
      <c r="CM83" s="385"/>
      <c r="CN83" s="385"/>
      <c r="CO83" s="300"/>
      <c r="CP83" s="385"/>
      <c r="CQ83" s="385"/>
      <c r="CR83" s="385"/>
      <c r="CS83" s="385"/>
      <c r="CT83" s="300"/>
      <c r="CU83" s="385"/>
      <c r="CV83" s="385"/>
      <c r="CW83" s="385"/>
      <c r="CX83" s="125"/>
      <c r="CY83" s="300"/>
      <c r="CZ83" s="385"/>
      <c r="DA83" s="385"/>
      <c r="DB83" s="385"/>
      <c r="DC83" s="385"/>
      <c r="DD83" s="300"/>
      <c r="DE83" s="385"/>
      <c r="DF83" s="385"/>
      <c r="DG83" s="385"/>
      <c r="DH83" s="125"/>
      <c r="DI83" s="300"/>
      <c r="DJ83" s="125"/>
      <c r="DK83" s="125"/>
      <c r="DL83" s="125"/>
      <c r="DM83" s="125"/>
      <c r="DN83" s="300"/>
      <c r="DO83" s="125"/>
      <c r="DP83" s="125"/>
      <c r="DQ83" s="125"/>
      <c r="DR83" s="125"/>
      <c r="DS83" s="300"/>
      <c r="DT83" s="125"/>
      <c r="DU83" s="125"/>
      <c r="DV83" s="125"/>
      <c r="DW83" s="125"/>
      <c r="DX83" s="300"/>
      <c r="DY83" s="125"/>
      <c r="DZ83" s="125"/>
      <c r="EA83" s="125"/>
      <c r="EB83" s="125"/>
      <c r="EC83" s="300"/>
      <c r="ED83" s="491"/>
      <c r="EE83" s="139"/>
    </row>
    <row r="84" spans="1:135" s="296" customFormat="1">
      <c r="A84" s="940"/>
      <c r="B84" s="940"/>
      <c r="C84" s="309" t="s">
        <v>155</v>
      </c>
      <c r="D84" s="343"/>
      <c r="E84" s="343"/>
      <c r="F84" s="343"/>
      <c r="G84" s="343"/>
      <c r="H84" s="343"/>
      <c r="I84" s="299"/>
      <c r="J84" s="299"/>
      <c r="K84" s="299"/>
      <c r="L84" s="299"/>
      <c r="M84" s="343"/>
      <c r="N84" s="299"/>
      <c r="O84" s="299"/>
      <c r="P84" s="299"/>
      <c r="Q84" s="299"/>
      <c r="R84" s="343"/>
      <c r="S84" s="299"/>
      <c r="T84" s="299"/>
      <c r="U84" s="299"/>
      <c r="V84" s="299"/>
      <c r="W84" s="343"/>
      <c r="X84" s="299"/>
      <c r="Y84" s="299"/>
      <c r="Z84" s="299"/>
      <c r="AA84" s="299"/>
      <c r="AB84" s="343"/>
      <c r="AC84" s="299"/>
      <c r="AD84" s="299"/>
      <c r="AE84" s="299"/>
      <c r="AF84" s="299"/>
      <c r="AG84" s="343"/>
      <c r="AH84" s="299"/>
      <c r="AI84" s="299"/>
      <c r="AJ84" s="299"/>
      <c r="AK84" s="299"/>
      <c r="AL84" s="343"/>
      <c r="AM84" s="299"/>
      <c r="AN84" s="299"/>
      <c r="AO84" s="299"/>
      <c r="AP84" s="299"/>
      <c r="AQ84" s="343"/>
      <c r="AR84" s="299"/>
      <c r="AS84" s="299"/>
      <c r="AT84" s="299"/>
      <c r="AU84" s="299"/>
      <c r="AV84" s="343"/>
      <c r="AW84" s="299"/>
      <c r="AX84" s="299"/>
      <c r="AY84" s="299"/>
      <c r="AZ84" s="299"/>
      <c r="BA84" s="343"/>
      <c r="BB84" s="299"/>
      <c r="BC84" s="299"/>
      <c r="BD84" s="299"/>
      <c r="BE84" s="299"/>
      <c r="BF84" s="343"/>
      <c r="BG84" s="386"/>
      <c r="BH84" s="386"/>
      <c r="BI84" s="386"/>
      <c r="BJ84" s="386"/>
      <c r="BK84" s="343"/>
      <c r="BL84" s="386"/>
      <c r="BM84" s="386"/>
      <c r="BN84" s="386"/>
      <c r="BO84" s="299"/>
      <c r="BP84" s="343"/>
      <c r="BQ84" s="282">
        <v>5.8999999999999997E-2</v>
      </c>
      <c r="BR84" s="282">
        <v>7.1999999999999995E-2</v>
      </c>
      <c r="BS84" s="282">
        <v>6.7000000000000004E-2</v>
      </c>
      <c r="BT84" s="282">
        <v>8.4000000000000005E-2</v>
      </c>
      <c r="BU84" s="300">
        <f>SUM(BQ84:BT84)</f>
        <v>0.28200000000000003</v>
      </c>
      <c r="BV84" s="282">
        <v>0.105</v>
      </c>
      <c r="BW84" s="282">
        <v>0.129</v>
      </c>
      <c r="BX84" s="282">
        <v>0.188</v>
      </c>
      <c r="BY84" s="282">
        <v>0.20599999999999999</v>
      </c>
      <c r="BZ84" s="300">
        <f>SUM(BV84:BY84)</f>
        <v>0.628</v>
      </c>
      <c r="CA84" s="282">
        <v>0.214</v>
      </c>
      <c r="CB84" s="282">
        <v>0.26100000000000001</v>
      </c>
      <c r="CC84" s="282">
        <v>0.318</v>
      </c>
      <c r="CD84" s="282">
        <v>0.309</v>
      </c>
      <c r="CE84" s="300">
        <f>SUM(CA84:CD84)</f>
        <v>1.1019999999999999</v>
      </c>
      <c r="CF84" s="282">
        <v>0.42599999999999999</v>
      </c>
      <c r="CG84" s="282">
        <v>0.58399999999999996</v>
      </c>
      <c r="CH84" s="282">
        <v>0.61799999999999999</v>
      </c>
      <c r="CI84" s="282">
        <v>0.60399999999999998</v>
      </c>
      <c r="CJ84" s="300">
        <f>SUM(CF84:CI84)</f>
        <v>2.2320000000000002</v>
      </c>
      <c r="CK84" s="282">
        <v>0.71399999999999997</v>
      </c>
      <c r="CL84" s="282">
        <v>0.89400000000000002</v>
      </c>
      <c r="CM84" s="282">
        <v>0.92800000000000005</v>
      </c>
      <c r="CN84" s="282">
        <v>1.036</v>
      </c>
      <c r="CO84" s="300">
        <f>SUM(CK84:CN84)</f>
        <v>3.5720000000000001</v>
      </c>
      <c r="CP84" s="282">
        <v>1.1479999999999999</v>
      </c>
      <c r="CQ84" s="282">
        <v>1.1879999999999999</v>
      </c>
      <c r="CR84" s="282">
        <v>2.6669999999999998</v>
      </c>
      <c r="CS84" s="282">
        <v>1.48</v>
      </c>
      <c r="CT84" s="300">
        <f>SUM(CP84:CS84)</f>
        <v>6.4830000000000005</v>
      </c>
      <c r="CU84" s="282">
        <v>1.5149999999999999</v>
      </c>
      <c r="CV84" s="282">
        <v>1.637</v>
      </c>
      <c r="CW84" s="282">
        <v>1.6990000000000001</v>
      </c>
      <c r="CX84" s="282">
        <v>1.825</v>
      </c>
      <c r="CY84" s="300">
        <f>SUM(CU84:CX84)</f>
        <v>6.6760000000000002</v>
      </c>
      <c r="CZ84" s="282">
        <v>2.0670000000000002</v>
      </c>
      <c r="DA84" s="282">
        <v>2.359</v>
      </c>
      <c r="DB84" s="282">
        <v>2.2599999999999998</v>
      </c>
      <c r="DC84" s="282">
        <v>1.905</v>
      </c>
      <c r="DD84" s="300">
        <f>SUM(CZ84:DC84)</f>
        <v>8.5909999999999993</v>
      </c>
      <c r="DE84" s="282">
        <v>2</v>
      </c>
      <c r="DF84" s="282">
        <v>1</v>
      </c>
      <c r="DG84" s="282">
        <v>0</v>
      </c>
      <c r="DH84" s="282">
        <v>1</v>
      </c>
      <c r="DI84" s="300">
        <f>SUM(DE84:DH84)</f>
        <v>4</v>
      </c>
      <c r="DJ84" s="282">
        <v>1</v>
      </c>
      <c r="DK84" s="282">
        <v>3</v>
      </c>
      <c r="DL84" s="282">
        <v>0</v>
      </c>
      <c r="DM84" s="125">
        <f>DM$11*DM130</f>
        <v>1.2610024224352476</v>
      </c>
      <c r="DN84" s="300">
        <f>SUM(DJ84:DM84)</f>
        <v>5.2610024224352472</v>
      </c>
      <c r="DO84" s="125">
        <f t="shared" ref="DO84:DR87" si="519">DO$11*DO130</f>
        <v>1.2567885138135579</v>
      </c>
      <c r="DP84" s="125">
        <f t="shared" si="519"/>
        <v>3.6792592393856554</v>
      </c>
      <c r="DQ84" s="125">
        <f t="shared" si="519"/>
        <v>0</v>
      </c>
      <c r="DR84" s="125">
        <f t="shared" si="519"/>
        <v>1.5475461910841184</v>
      </c>
      <c r="DS84" s="300">
        <f>SUM(DO84:DR84)</f>
        <v>6.4835939442833315</v>
      </c>
      <c r="DT84" s="125">
        <f t="shared" ref="DT84:DW87" si="520">DT$11*DT130</f>
        <v>1.5041403852002004</v>
      </c>
      <c r="DU84" s="125">
        <f t="shared" si="520"/>
        <v>4.402659335812821</v>
      </c>
      <c r="DV84" s="125">
        <f t="shared" si="520"/>
        <v>0</v>
      </c>
      <c r="DW84" s="125">
        <f t="shared" si="520"/>
        <v>1.8542511851722452</v>
      </c>
      <c r="DX84" s="300">
        <f>SUM(DT84:DW84)</f>
        <v>7.7610509061852664</v>
      </c>
      <c r="DY84" s="125">
        <f t="shared" ref="DY84:EB87" si="521">DY$11*DY130</f>
        <v>1.7734379252572663</v>
      </c>
      <c r="DZ84" s="125">
        <f t="shared" si="521"/>
        <v>5.1901291284113</v>
      </c>
      <c r="EA84" s="125">
        <f t="shared" si="521"/>
        <v>0</v>
      </c>
      <c r="EB84" s="125">
        <f t="shared" si="521"/>
        <v>2.1882262789373415</v>
      </c>
      <c r="EC84" s="300">
        <f>SUM(DY84:EB84)</f>
        <v>9.1517933326059069</v>
      </c>
      <c r="ED84" s="491"/>
      <c r="EE84" s="139"/>
    </row>
    <row r="85" spans="1:135" s="296" customFormat="1">
      <c r="A85" s="940"/>
      <c r="B85" s="940"/>
      <c r="C85" s="309" t="s">
        <v>153</v>
      </c>
      <c r="D85" s="343"/>
      <c r="E85" s="343"/>
      <c r="F85" s="343"/>
      <c r="G85" s="343"/>
      <c r="H85" s="343"/>
      <c r="I85" s="299"/>
      <c r="J85" s="299"/>
      <c r="K85" s="299"/>
      <c r="L85" s="299"/>
      <c r="M85" s="343"/>
      <c r="N85" s="299"/>
      <c r="O85" s="299"/>
      <c r="P85" s="299"/>
      <c r="Q85" s="299"/>
      <c r="R85" s="343"/>
      <c r="S85" s="299"/>
      <c r="T85" s="299"/>
      <c r="U85" s="299"/>
      <c r="V85" s="299"/>
      <c r="W85" s="343"/>
      <c r="X85" s="299"/>
      <c r="Y85" s="299"/>
      <c r="Z85" s="299"/>
      <c r="AA85" s="299"/>
      <c r="AB85" s="343"/>
      <c r="AC85" s="299"/>
      <c r="AD85" s="299"/>
      <c r="AE85" s="299"/>
      <c r="AF85" s="299"/>
      <c r="AG85" s="343"/>
      <c r="AH85" s="299"/>
      <c r="AI85" s="299"/>
      <c r="AJ85" s="299"/>
      <c r="AK85" s="299"/>
      <c r="AL85" s="343"/>
      <c r="AM85" s="299"/>
      <c r="AN85" s="299"/>
      <c r="AO85" s="299"/>
      <c r="AP85" s="299"/>
      <c r="AQ85" s="343"/>
      <c r="AR85" s="299"/>
      <c r="AS85" s="299"/>
      <c r="AT85" s="299"/>
      <c r="AU85" s="299"/>
      <c r="AV85" s="343"/>
      <c r="AW85" s="299"/>
      <c r="AX85" s="299"/>
      <c r="AY85" s="299"/>
      <c r="AZ85" s="299"/>
      <c r="BA85" s="343"/>
      <c r="BB85" s="299"/>
      <c r="BC85" s="299"/>
      <c r="BD85" s="299"/>
      <c r="BE85" s="299"/>
      <c r="BF85" s="343"/>
      <c r="BG85" s="386"/>
      <c r="BH85" s="386"/>
      <c r="BI85" s="386"/>
      <c r="BJ85" s="386"/>
      <c r="BK85" s="343"/>
      <c r="BL85" s="386"/>
      <c r="BM85" s="386"/>
      <c r="BN85" s="386"/>
      <c r="BO85" s="299"/>
      <c r="BP85" s="343"/>
      <c r="BQ85" s="282">
        <v>0.17399999999999999</v>
      </c>
      <c r="BR85" s="282">
        <v>0.182</v>
      </c>
      <c r="BS85" s="282">
        <v>0.32500000000000001</v>
      </c>
      <c r="BT85" s="282">
        <v>0.41799999999999998</v>
      </c>
      <c r="BU85" s="300">
        <f>SUM(BQ85:BT85)</f>
        <v>1.099</v>
      </c>
      <c r="BV85" s="282">
        <v>0.56399999999999995</v>
      </c>
      <c r="BW85" s="282">
        <v>0.94199999999999995</v>
      </c>
      <c r="BX85" s="282">
        <v>1.145</v>
      </c>
      <c r="BY85" s="282">
        <v>1.3</v>
      </c>
      <c r="BZ85" s="300">
        <f>SUM(BV85:BY85)</f>
        <v>3.9509999999999996</v>
      </c>
      <c r="CA85" s="282">
        <v>1.4810000000000001</v>
      </c>
      <c r="CB85" s="282">
        <v>2.004</v>
      </c>
      <c r="CC85" s="282">
        <v>2.5649999999999999</v>
      </c>
      <c r="CD85" s="282">
        <v>2.9359999999999999</v>
      </c>
      <c r="CE85" s="300">
        <f>SUM(CA85:CD85)</f>
        <v>8.9860000000000007</v>
      </c>
      <c r="CF85" s="282">
        <v>4.0380000000000003</v>
      </c>
      <c r="CG85" s="282">
        <v>5.7220000000000004</v>
      </c>
      <c r="CH85" s="282">
        <v>6.0149999999999997</v>
      </c>
      <c r="CI85" s="282">
        <v>6.1529999999999996</v>
      </c>
      <c r="CJ85" s="300">
        <f>SUM(CF85:CI85)</f>
        <v>21.928000000000001</v>
      </c>
      <c r="CK85" s="282">
        <v>6.835</v>
      </c>
      <c r="CL85" s="282">
        <v>8.4090000000000007</v>
      </c>
      <c r="CM85" s="282">
        <v>8.7070000000000007</v>
      </c>
      <c r="CN85" s="282">
        <v>9.9659999999999993</v>
      </c>
      <c r="CO85" s="300">
        <f>SUM(CK85:CN85)</f>
        <v>33.917000000000002</v>
      </c>
      <c r="CP85" s="282">
        <v>11.207000000000001</v>
      </c>
      <c r="CQ85" s="282">
        <v>10.613</v>
      </c>
      <c r="CR85" s="282">
        <v>10.093999999999999</v>
      </c>
      <c r="CS85" s="282">
        <v>8.766</v>
      </c>
      <c r="CT85" s="300">
        <f>SUM(CP85:CS85)</f>
        <v>40.68</v>
      </c>
      <c r="CU85" s="282">
        <v>8.8529999999999998</v>
      </c>
      <c r="CV85" s="282">
        <v>9.6709999999999994</v>
      </c>
      <c r="CW85" s="282">
        <v>10.329000000000001</v>
      </c>
      <c r="CX85" s="282">
        <v>12.6983</v>
      </c>
      <c r="CY85" s="300">
        <f>SUM(CU85:CX85)</f>
        <v>41.551299999999998</v>
      </c>
      <c r="CZ85" s="282">
        <v>14.723000000000001</v>
      </c>
      <c r="DA85" s="282">
        <v>17.172999999999998</v>
      </c>
      <c r="DB85" s="282">
        <v>16.771999999999998</v>
      </c>
      <c r="DC85" s="282">
        <v>14.587</v>
      </c>
      <c r="DD85" s="300">
        <f>SUM(CZ85:DC85)</f>
        <v>63.254999999999995</v>
      </c>
      <c r="DE85" s="282">
        <v>14</v>
      </c>
      <c r="DF85" s="282">
        <v>12</v>
      </c>
      <c r="DG85" s="282">
        <v>13</v>
      </c>
      <c r="DH85" s="282">
        <v>14</v>
      </c>
      <c r="DI85" s="300">
        <f>SUM(DE85:DH85)</f>
        <v>53</v>
      </c>
      <c r="DJ85" s="282">
        <v>12</v>
      </c>
      <c r="DK85" s="282">
        <v>10</v>
      </c>
      <c r="DL85" s="282">
        <v>14</v>
      </c>
      <c r="DM85" s="125">
        <f>DM$11*DM131</f>
        <v>14.274547421967004</v>
      </c>
      <c r="DN85" s="300">
        <f>SUM(DJ85:DM85)</f>
        <v>50.274547421967</v>
      </c>
      <c r="DO85" s="125">
        <f t="shared" si="519"/>
        <v>12.157857885503905</v>
      </c>
      <c r="DP85" s="125">
        <f t="shared" si="519"/>
        <v>9.1291619877256558</v>
      </c>
      <c r="DQ85" s="125">
        <f t="shared" si="519"/>
        <v>13.752985229656101</v>
      </c>
      <c r="DR85" s="125">
        <f t="shared" si="519"/>
        <v>13.370799090966781</v>
      </c>
      <c r="DS85" s="300">
        <f>SUM(DO85:DR85)</f>
        <v>48.410804193852442</v>
      </c>
      <c r="DT85" s="125">
        <f t="shared" si="520"/>
        <v>11.05167148025847</v>
      </c>
      <c r="DU85" s="125">
        <f t="shared" si="520"/>
        <v>7.1726658345950529</v>
      </c>
      <c r="DV85" s="125">
        <f t="shared" si="520"/>
        <v>12.513098695037876</v>
      </c>
      <c r="DW85" s="125">
        <f t="shared" si="520"/>
        <v>11.051337063626578</v>
      </c>
      <c r="DX85" s="300">
        <f>SUM(DT85:DW85)</f>
        <v>41.788773073517973</v>
      </c>
      <c r="DY85" s="125">
        <f t="shared" si="521"/>
        <v>8.9048751821980456</v>
      </c>
      <c r="DZ85" s="125">
        <f t="shared" si="521"/>
        <v>4.033162843536279</v>
      </c>
      <c r="EA85" s="125">
        <f t="shared" si="521"/>
        <v>10.10856804645274</v>
      </c>
      <c r="EB85" s="125">
        <f t="shared" si="521"/>
        <v>7.1773821949144754</v>
      </c>
      <c r="EC85" s="300">
        <f>SUM(DY85:EB85)</f>
        <v>30.223988267101543</v>
      </c>
      <c r="ED85" s="491"/>
      <c r="EE85" s="139"/>
    </row>
    <row r="86" spans="1:135" s="296" customFormat="1">
      <c r="A86" s="940"/>
      <c r="B86" s="940"/>
      <c r="C86" s="309" t="s">
        <v>245</v>
      </c>
      <c r="D86" s="343"/>
      <c r="E86" s="343"/>
      <c r="F86" s="343"/>
      <c r="G86" s="343"/>
      <c r="H86" s="343"/>
      <c r="I86" s="299"/>
      <c r="J86" s="299"/>
      <c r="K86" s="299"/>
      <c r="L86" s="299"/>
      <c r="M86" s="343"/>
      <c r="N86" s="299"/>
      <c r="O86" s="299"/>
      <c r="P86" s="299"/>
      <c r="Q86" s="299"/>
      <c r="R86" s="343"/>
      <c r="S86" s="299"/>
      <c r="T86" s="299"/>
      <c r="U86" s="299"/>
      <c r="V86" s="299"/>
      <c r="W86" s="343"/>
      <c r="X86" s="299"/>
      <c r="Y86" s="299"/>
      <c r="Z86" s="299"/>
      <c r="AA86" s="299"/>
      <c r="AB86" s="343"/>
      <c r="AC86" s="299"/>
      <c r="AD86" s="299"/>
      <c r="AE86" s="299"/>
      <c r="AF86" s="299"/>
      <c r="AG86" s="343"/>
      <c r="AH86" s="299"/>
      <c r="AI86" s="299"/>
      <c r="AJ86" s="299"/>
      <c r="AK86" s="299"/>
      <c r="AL86" s="343"/>
      <c r="AM86" s="299"/>
      <c r="AN86" s="299"/>
      <c r="AO86" s="299"/>
      <c r="AP86" s="299"/>
      <c r="AQ86" s="343"/>
      <c r="AR86" s="299"/>
      <c r="AS86" s="299"/>
      <c r="AT86" s="299"/>
      <c r="AU86" s="299"/>
      <c r="AV86" s="343"/>
      <c r="AW86" s="299"/>
      <c r="AX86" s="299"/>
      <c r="AY86" s="299"/>
      <c r="AZ86" s="299"/>
      <c r="BA86" s="343"/>
      <c r="BB86" s="299"/>
      <c r="BC86" s="299"/>
      <c r="BD86" s="299"/>
      <c r="BE86" s="299"/>
      <c r="BF86" s="343"/>
      <c r="BG86" s="386"/>
      <c r="BH86" s="386"/>
      <c r="BI86" s="386"/>
      <c r="BJ86" s="386"/>
      <c r="BK86" s="343"/>
      <c r="BL86" s="386"/>
      <c r="BM86" s="386"/>
      <c r="BN86" s="386"/>
      <c r="BO86" s="299"/>
      <c r="BP86" s="343"/>
      <c r="BQ86" s="282">
        <v>0.77900000000000003</v>
      </c>
      <c r="BR86" s="282">
        <v>0.82599999999999996</v>
      </c>
      <c r="BS86" s="282">
        <v>1.248</v>
      </c>
      <c r="BT86" s="282">
        <v>1.6559999999999999</v>
      </c>
      <c r="BU86" s="300">
        <f>SUM(BQ86:BT86)</f>
        <v>4.5089999999999995</v>
      </c>
      <c r="BV86" s="282">
        <v>2.0299999999999998</v>
      </c>
      <c r="BW86" s="282">
        <v>3.0350000000000001</v>
      </c>
      <c r="BX86" s="282">
        <v>4.0190000000000001</v>
      </c>
      <c r="BY86" s="282">
        <v>5.2320000000000002</v>
      </c>
      <c r="BZ86" s="300">
        <f>SUM(BV86:BY86)</f>
        <v>14.315999999999999</v>
      </c>
      <c r="CA86" s="282">
        <v>5.8330000000000002</v>
      </c>
      <c r="CB86" s="282">
        <v>7.2549999999999999</v>
      </c>
      <c r="CC86" s="282">
        <v>8.5950000000000006</v>
      </c>
      <c r="CD86" s="282">
        <v>9.6530000000000005</v>
      </c>
      <c r="CE86" s="300">
        <f>SUM(CA86:CD86)</f>
        <v>31.335999999999999</v>
      </c>
      <c r="CF86" s="282">
        <v>10.865</v>
      </c>
      <c r="CG86" s="282">
        <v>13.638999999999999</v>
      </c>
      <c r="CH86" s="282">
        <v>14.718999999999999</v>
      </c>
      <c r="CI86" s="282">
        <v>15.941000000000001</v>
      </c>
      <c r="CJ86" s="300">
        <f>SUM(CF86:CI86)</f>
        <v>55.164000000000001</v>
      </c>
      <c r="CK86" s="282">
        <v>18.114999999999998</v>
      </c>
      <c r="CL86" s="282">
        <v>22.983000000000001</v>
      </c>
      <c r="CM86" s="282">
        <v>23.135999999999999</v>
      </c>
      <c r="CN86" s="282">
        <v>29.315000000000001</v>
      </c>
      <c r="CO86" s="300">
        <f>SUM(CK86:CN86)</f>
        <v>93.548999999999992</v>
      </c>
      <c r="CP86" s="282">
        <v>32.603999999999999</v>
      </c>
      <c r="CQ86" s="282">
        <v>39.360999999999997</v>
      </c>
      <c r="CR86" s="282">
        <v>39.406999999999996</v>
      </c>
      <c r="CS86" s="282">
        <v>42.747</v>
      </c>
      <c r="CT86" s="300">
        <f>SUM(CP86:CS86)</f>
        <v>154.119</v>
      </c>
      <c r="CU86" s="282">
        <v>44.289000000000001</v>
      </c>
      <c r="CV86" s="282">
        <v>48.747</v>
      </c>
      <c r="CW86" s="282">
        <v>54.194000000000003</v>
      </c>
      <c r="CX86" s="282">
        <v>67.962999999999994</v>
      </c>
      <c r="CY86" s="300">
        <f>SUM(CU86:CX86)</f>
        <v>215.19300000000001</v>
      </c>
      <c r="CZ86" s="282">
        <v>82.463999999999999</v>
      </c>
      <c r="DA86" s="282">
        <v>97.572000000000003</v>
      </c>
      <c r="DB86" s="282">
        <v>105.124</v>
      </c>
      <c r="DC86" s="282">
        <v>101.43600000000001</v>
      </c>
      <c r="DD86" s="300">
        <f>SUM(CZ86:DC86)</f>
        <v>386.596</v>
      </c>
      <c r="DE86" s="282">
        <v>101</v>
      </c>
      <c r="DF86" s="282">
        <v>84</v>
      </c>
      <c r="DG86" s="282">
        <v>70</v>
      </c>
      <c r="DH86" s="282">
        <v>69</v>
      </c>
      <c r="DI86" s="300">
        <f>SUM(DE86:DH86)</f>
        <v>324</v>
      </c>
      <c r="DJ86" s="282">
        <v>72</v>
      </c>
      <c r="DK86" s="282">
        <v>73</v>
      </c>
      <c r="DL86" s="282">
        <v>74</v>
      </c>
      <c r="DM86" s="125">
        <f>DM$11*DM132</f>
        <v>83.629680655905631</v>
      </c>
      <c r="DN86" s="300">
        <f>SUM(DJ86:DM86)</f>
        <v>302.62968065590564</v>
      </c>
      <c r="DO86" s="125">
        <f t="shared" si="519"/>
        <v>87.565168714317366</v>
      </c>
      <c r="DP86" s="125">
        <f t="shared" si="519"/>
        <v>86.393606014824414</v>
      </c>
      <c r="DQ86" s="125">
        <f t="shared" si="519"/>
        <v>86.793845046373619</v>
      </c>
      <c r="DR86" s="125">
        <f t="shared" si="519"/>
        <v>98.485839600593295</v>
      </c>
      <c r="DS86" s="300">
        <f>SUM(DO86:DR86)</f>
        <v>359.23845937610872</v>
      </c>
      <c r="DT86" s="125">
        <f t="shared" si="520"/>
        <v>101.30009459227047</v>
      </c>
      <c r="DU86" s="125">
        <f t="shared" si="520"/>
        <v>99.628511886664299</v>
      </c>
      <c r="DV86" s="125">
        <f t="shared" si="520"/>
        <v>99.864573005948017</v>
      </c>
      <c r="DW86" s="125">
        <f t="shared" si="520"/>
        <v>113.03515224810006</v>
      </c>
      <c r="DX86" s="300">
        <f>SUM(DT86:DW86)</f>
        <v>413.82833173298286</v>
      </c>
      <c r="DY86" s="125">
        <f t="shared" si="521"/>
        <v>115.31115069763399</v>
      </c>
      <c r="DZ86" s="125">
        <f t="shared" si="521"/>
        <v>113.02587454017358</v>
      </c>
      <c r="EA86" s="125">
        <f t="shared" si="521"/>
        <v>113.03840814609883</v>
      </c>
      <c r="EB86" s="125">
        <f t="shared" si="521"/>
        <v>127.52982753646825</v>
      </c>
      <c r="EC86" s="300">
        <f>SUM(DY86:EB86)</f>
        <v>468.90526092037464</v>
      </c>
      <c r="ED86" s="491"/>
      <c r="EE86" s="139"/>
    </row>
    <row r="87" spans="1:135" s="338" customFormat="1">
      <c r="A87" s="940"/>
      <c r="B87" s="940"/>
      <c r="C87" s="387" t="s">
        <v>154</v>
      </c>
      <c r="D87" s="298"/>
      <c r="E87" s="298"/>
      <c r="F87" s="298"/>
      <c r="G87" s="298"/>
      <c r="H87" s="298"/>
      <c r="I87" s="388"/>
      <c r="J87" s="388"/>
      <c r="K87" s="388"/>
      <c r="L87" s="388"/>
      <c r="M87" s="298"/>
      <c r="N87" s="388"/>
      <c r="O87" s="388"/>
      <c r="P87" s="388"/>
      <c r="Q87" s="388"/>
      <c r="R87" s="298"/>
      <c r="S87" s="388"/>
      <c r="T87" s="388"/>
      <c r="U87" s="388"/>
      <c r="V87" s="388"/>
      <c r="W87" s="298"/>
      <c r="X87" s="388"/>
      <c r="Y87" s="388"/>
      <c r="Z87" s="388"/>
      <c r="AA87" s="388"/>
      <c r="AB87" s="298"/>
      <c r="AC87" s="388"/>
      <c r="AD87" s="388"/>
      <c r="AE87" s="388"/>
      <c r="AF87" s="388"/>
      <c r="AG87" s="298"/>
      <c r="AH87" s="388"/>
      <c r="AI87" s="388"/>
      <c r="AJ87" s="388"/>
      <c r="AK87" s="388"/>
      <c r="AL87" s="298"/>
      <c r="AM87" s="388"/>
      <c r="AN87" s="388"/>
      <c r="AO87" s="388"/>
      <c r="AP87" s="388"/>
      <c r="AQ87" s="298"/>
      <c r="AR87" s="388"/>
      <c r="AS87" s="388"/>
      <c r="AT87" s="388"/>
      <c r="AU87" s="388"/>
      <c r="AV87" s="298"/>
      <c r="AW87" s="388"/>
      <c r="AX87" s="388"/>
      <c r="AY87" s="388"/>
      <c r="AZ87" s="388"/>
      <c r="BA87" s="298"/>
      <c r="BB87" s="388"/>
      <c r="BC87" s="388"/>
      <c r="BD87" s="388"/>
      <c r="BE87" s="388"/>
      <c r="BF87" s="298"/>
      <c r="BG87" s="389"/>
      <c r="BH87" s="389"/>
      <c r="BI87" s="389"/>
      <c r="BJ87" s="389"/>
      <c r="BK87" s="298"/>
      <c r="BL87" s="389"/>
      <c r="BM87" s="389"/>
      <c r="BN87" s="389"/>
      <c r="BO87" s="388"/>
      <c r="BP87" s="298"/>
      <c r="BQ87" s="390">
        <v>0.42799999999999999</v>
      </c>
      <c r="BR87" s="390">
        <v>0.49099999999999999</v>
      </c>
      <c r="BS87" s="390">
        <v>0.628</v>
      </c>
      <c r="BT87" s="390">
        <v>0.72099999999999997</v>
      </c>
      <c r="BU87" s="391">
        <f>SUM(BQ87:BT87)</f>
        <v>2.2680000000000002</v>
      </c>
      <c r="BV87" s="390">
        <v>0.76100000000000001</v>
      </c>
      <c r="BW87" s="390">
        <v>0.98</v>
      </c>
      <c r="BX87" s="390">
        <v>1.135</v>
      </c>
      <c r="BY87" s="390">
        <v>1.3240000000000001</v>
      </c>
      <c r="BZ87" s="391">
        <f>SUM(BV87:BY87)</f>
        <v>4.2</v>
      </c>
      <c r="CA87" s="390">
        <v>1.679</v>
      </c>
      <c r="CB87" s="390">
        <v>2.081</v>
      </c>
      <c r="CC87" s="390">
        <v>1.8979999999999999</v>
      </c>
      <c r="CD87" s="390">
        <v>2.08</v>
      </c>
      <c r="CE87" s="391">
        <f>SUM(CA87:CD87)</f>
        <v>7.7379999999999995</v>
      </c>
      <c r="CF87" s="390">
        <v>2.5960000000000001</v>
      </c>
      <c r="CG87" s="390">
        <v>4.2460000000000004</v>
      </c>
      <c r="CH87" s="390">
        <v>4.8330000000000002</v>
      </c>
      <c r="CI87" s="390">
        <v>4.7210000000000001</v>
      </c>
      <c r="CJ87" s="391">
        <f>SUM(CF87:CI87)</f>
        <v>16.396000000000001</v>
      </c>
      <c r="CK87" s="390">
        <v>5.5</v>
      </c>
      <c r="CL87" s="390">
        <v>6.9820000000000002</v>
      </c>
      <c r="CM87" s="390">
        <v>7.2610000000000001</v>
      </c>
      <c r="CN87" s="390">
        <v>7.6749999999999998</v>
      </c>
      <c r="CO87" s="391">
        <f>SUM(CK87:CN87)</f>
        <v>27.417999999999999</v>
      </c>
      <c r="CP87" s="390">
        <v>8.7929999999999993</v>
      </c>
      <c r="CQ87" s="390">
        <v>11.162000000000001</v>
      </c>
      <c r="CR87" s="390">
        <v>11.638999999999999</v>
      </c>
      <c r="CS87" s="390">
        <v>14.064</v>
      </c>
      <c r="CT87" s="391">
        <f>SUM(CP87:CS87)</f>
        <v>45.658000000000001</v>
      </c>
      <c r="CU87" s="390">
        <v>14.499000000000001</v>
      </c>
      <c r="CV87" s="390">
        <v>21.902999999999999</v>
      </c>
      <c r="CW87" s="390">
        <v>15.118</v>
      </c>
      <c r="CX87" s="390">
        <v>15.827999999999999</v>
      </c>
      <c r="CY87" s="391">
        <f>SUM(CU87:CX87)</f>
        <v>67.347999999999999</v>
      </c>
      <c r="CZ87" s="390">
        <v>18.734999999999999</v>
      </c>
      <c r="DA87" s="390">
        <v>22.315000000000001</v>
      </c>
      <c r="DB87" s="390">
        <v>25.834</v>
      </c>
      <c r="DC87" s="390">
        <v>23.815999999999999</v>
      </c>
      <c r="DD87" s="391">
        <f>SUM(CZ87:DC87)</f>
        <v>90.7</v>
      </c>
      <c r="DE87" s="390">
        <v>18</v>
      </c>
      <c r="DF87" s="390">
        <v>18</v>
      </c>
      <c r="DG87" s="390">
        <v>20</v>
      </c>
      <c r="DH87" s="390">
        <v>19</v>
      </c>
      <c r="DI87" s="391">
        <f>SUM(DE87:DH87)</f>
        <v>75</v>
      </c>
      <c r="DJ87" s="390">
        <v>26</v>
      </c>
      <c r="DK87" s="390">
        <v>23</v>
      </c>
      <c r="DL87" s="390">
        <v>22</v>
      </c>
      <c r="DM87" s="392">
        <f>DM$11*DM133</f>
        <v>20.57955953414324</v>
      </c>
      <c r="DN87" s="391">
        <f>SUM(DJ87:DM87)</f>
        <v>91.579559534143243</v>
      </c>
      <c r="DO87" s="392">
        <f t="shared" si="519"/>
        <v>29.752897078893717</v>
      </c>
      <c r="DP87" s="392">
        <f t="shared" si="519"/>
        <v>25.072618691730163</v>
      </c>
      <c r="DQ87" s="392">
        <f t="shared" si="519"/>
        <v>23.491766538551772</v>
      </c>
      <c r="DR87" s="392">
        <f t="shared" si="519"/>
        <v>21.108530046387372</v>
      </c>
      <c r="DS87" s="391">
        <f>SUM(DO87:DR87)</f>
        <v>99.425812355563025</v>
      </c>
      <c r="DT87" s="392">
        <f t="shared" si="520"/>
        <v>32.109636873061284</v>
      </c>
      <c r="DU87" s="392">
        <f t="shared" si="520"/>
        <v>26.25085628978395</v>
      </c>
      <c r="DV87" s="392">
        <f t="shared" si="520"/>
        <v>24.159961936492564</v>
      </c>
      <c r="DW87" s="392">
        <f t="shared" si="520"/>
        <v>20.322592989487802</v>
      </c>
      <c r="DX87" s="391">
        <f>SUM(DT87:DW87)</f>
        <v>102.8430480888256</v>
      </c>
      <c r="DY87" s="392">
        <f t="shared" si="521"/>
        <v>33.733006135799783</v>
      </c>
      <c r="DZ87" s="392">
        <f t="shared" si="521"/>
        <v>26.523722399985253</v>
      </c>
      <c r="EA87" s="392">
        <f t="shared" si="521"/>
        <v>23.832546726405557</v>
      </c>
      <c r="EB87" s="392">
        <f t="shared" si="521"/>
        <v>18.118513589601179</v>
      </c>
      <c r="EC87" s="391">
        <f>SUM(DY87:EB87)</f>
        <v>102.20778885179178</v>
      </c>
      <c r="ED87" s="1175"/>
      <c r="EE87" s="139"/>
    </row>
    <row r="88" spans="1:135" s="296" customFormat="1" ht="12" customHeight="1">
      <c r="A88" s="940"/>
      <c r="B88" s="940"/>
      <c r="C88" s="309" t="s">
        <v>389</v>
      </c>
      <c r="D88" s="343"/>
      <c r="E88" s="343"/>
      <c r="F88" s="343"/>
      <c r="G88" s="343"/>
      <c r="H88" s="343"/>
      <c r="I88" s="299"/>
      <c r="J88" s="299"/>
      <c r="K88" s="299"/>
      <c r="L88" s="299"/>
      <c r="M88" s="343"/>
      <c r="N88" s="299"/>
      <c r="O88" s="299"/>
      <c r="P88" s="299"/>
      <c r="Q88" s="299"/>
      <c r="R88" s="343"/>
      <c r="S88" s="299"/>
      <c r="T88" s="299"/>
      <c r="U88" s="299"/>
      <c r="V88" s="299"/>
      <c r="W88" s="343"/>
      <c r="X88" s="299"/>
      <c r="Y88" s="299"/>
      <c r="Z88" s="299"/>
      <c r="AA88" s="299"/>
      <c r="AB88" s="343"/>
      <c r="AC88" s="299"/>
      <c r="AD88" s="299"/>
      <c r="AE88" s="299"/>
      <c r="AF88" s="299"/>
      <c r="AG88" s="343"/>
      <c r="AH88" s="299"/>
      <c r="AI88" s="299"/>
      <c r="AJ88" s="299"/>
      <c r="AK88" s="299"/>
      <c r="AL88" s="343"/>
      <c r="AM88" s="299"/>
      <c r="AN88" s="299"/>
      <c r="AO88" s="299"/>
      <c r="AP88" s="299"/>
      <c r="AQ88" s="343"/>
      <c r="AR88" s="299"/>
      <c r="AS88" s="299"/>
      <c r="AT88" s="299"/>
      <c r="AU88" s="299"/>
      <c r="AV88" s="343"/>
      <c r="AW88" s="299"/>
      <c r="AX88" s="299"/>
      <c r="AY88" s="299"/>
      <c r="AZ88" s="299"/>
      <c r="BA88" s="343"/>
      <c r="BB88" s="299"/>
      <c r="BC88" s="299"/>
      <c r="BD88" s="299"/>
      <c r="BE88" s="299"/>
      <c r="BF88" s="343"/>
      <c r="BG88" s="299"/>
      <c r="BH88" s="299"/>
      <c r="BI88" s="299"/>
      <c r="BJ88" s="299"/>
      <c r="BK88" s="343"/>
      <c r="BL88" s="299"/>
      <c r="BM88" s="299"/>
      <c r="BN88" s="299"/>
      <c r="BP88" s="343"/>
      <c r="BQ88" s="125">
        <f>SUM(BQ84:BQ87)</f>
        <v>1.44</v>
      </c>
      <c r="BR88" s="125">
        <f>SUM(BR84:BR87)</f>
        <v>1.5710000000000002</v>
      </c>
      <c r="BS88" s="125">
        <f>SUM(BS84:BS87)</f>
        <v>2.2680000000000002</v>
      </c>
      <c r="BT88" s="125">
        <f>SUM(BT84:BT87)</f>
        <v>2.879</v>
      </c>
      <c r="BU88" s="300">
        <f>SUM(BQ88:BT88)</f>
        <v>8.1579999999999995</v>
      </c>
      <c r="BV88" s="125">
        <f>SUM(BV84:BV87)</f>
        <v>3.46</v>
      </c>
      <c r="BW88" s="125">
        <f>SUM(BW84:BW87)</f>
        <v>5.0860000000000003</v>
      </c>
      <c r="BX88" s="125">
        <f>SUM(BX84:BX87)</f>
        <v>6.4870000000000001</v>
      </c>
      <c r="BY88" s="125">
        <f>SUM(BY84:BY87)</f>
        <v>8.0620000000000012</v>
      </c>
      <c r="BZ88" s="300">
        <f>SUM(BV88:BY88)</f>
        <v>23.094999999999999</v>
      </c>
      <c r="CA88" s="125">
        <f>SUM(CA84:CA87)</f>
        <v>9.2070000000000007</v>
      </c>
      <c r="CB88" s="125">
        <f>SUM(CB84:CB87)</f>
        <v>11.600999999999999</v>
      </c>
      <c r="CC88" s="125">
        <f>SUM(CC84:CC87)</f>
        <v>13.376000000000001</v>
      </c>
      <c r="CD88" s="125">
        <f>SUM(CD84:CD87)</f>
        <v>14.978</v>
      </c>
      <c r="CE88" s="300">
        <f>SUM(CA88:CD88)</f>
        <v>49.161999999999999</v>
      </c>
      <c r="CF88" s="125">
        <f>SUM(CF84:CF87)</f>
        <v>17.925000000000001</v>
      </c>
      <c r="CG88" s="125">
        <f>SUM(CG84:CG87)</f>
        <v>24.191000000000003</v>
      </c>
      <c r="CH88" s="125">
        <f>SUM(CH84:CH87)</f>
        <v>26.185000000000002</v>
      </c>
      <c r="CI88" s="125">
        <f>SUM(CI84:CI87)</f>
        <v>27.419</v>
      </c>
      <c r="CJ88" s="300">
        <f>SUM(CF88:CI88)</f>
        <v>95.72</v>
      </c>
      <c r="CK88" s="125">
        <f>SUM(CK84:CK87)</f>
        <v>31.163999999999998</v>
      </c>
      <c r="CL88" s="125">
        <f>SUM(CL84:CL87)</f>
        <v>39.268000000000001</v>
      </c>
      <c r="CM88" s="125">
        <f>SUM(CM84:CM87)</f>
        <v>40.032000000000004</v>
      </c>
      <c r="CN88" s="125">
        <f>SUM(CN84:CN87)</f>
        <v>47.991999999999997</v>
      </c>
      <c r="CO88" s="300">
        <f>SUM(CK88:CN88)</f>
        <v>158.45599999999999</v>
      </c>
      <c r="CP88" s="125">
        <f>SUM(CP84:CP87)</f>
        <v>53.752000000000002</v>
      </c>
      <c r="CQ88" s="125">
        <f>SUM(CQ84:CQ87)</f>
        <v>62.323999999999998</v>
      </c>
      <c r="CR88" s="125">
        <f>SUM(CR84:CR87)</f>
        <v>63.806999999999988</v>
      </c>
      <c r="CS88" s="125">
        <f>SUM(CS84:CS87)</f>
        <v>67.057000000000002</v>
      </c>
      <c r="CT88" s="300">
        <f>SUM(CP88:CS88)</f>
        <v>246.94</v>
      </c>
      <c r="CU88" s="125">
        <f>SUM(CU84:CU87)</f>
        <v>69.156000000000006</v>
      </c>
      <c r="CV88" s="125">
        <f>SUM(CV84:CV87)</f>
        <v>81.957999999999998</v>
      </c>
      <c r="CW88" s="125">
        <f>SUM(CW84:CW87)</f>
        <v>81.34</v>
      </c>
      <c r="CX88" s="125">
        <f>SUM(CX84:CX87)</f>
        <v>98.314300000000003</v>
      </c>
      <c r="CY88" s="300">
        <f>SUM(CU88:CX88)</f>
        <v>330.76830000000001</v>
      </c>
      <c r="CZ88" s="125">
        <f>SUM(CZ84:CZ87)</f>
        <v>117.98899999999999</v>
      </c>
      <c r="DA88" s="125">
        <f>SUM(DA84:DA87)</f>
        <v>139.41900000000001</v>
      </c>
      <c r="DB88" s="125">
        <f>SUM(DB84:DB87)</f>
        <v>149.98999999999998</v>
      </c>
      <c r="DC88" s="125">
        <f>SUM(DC84:DC87)</f>
        <v>141.744</v>
      </c>
      <c r="DD88" s="300">
        <f>SUM(CZ88:DC88)</f>
        <v>549.14200000000005</v>
      </c>
      <c r="DE88" s="125">
        <f>SUM(DE84:DE87)</f>
        <v>135</v>
      </c>
      <c r="DF88" s="125">
        <f>SUM(DF84:DF87)</f>
        <v>115</v>
      </c>
      <c r="DG88" s="125">
        <f>SUM(DG84:DG87)</f>
        <v>103</v>
      </c>
      <c r="DH88" s="125">
        <f>SUM(DH84:DH87)</f>
        <v>103</v>
      </c>
      <c r="DI88" s="300">
        <f>SUM(DE88:DH88)</f>
        <v>456</v>
      </c>
      <c r="DJ88" s="125">
        <f>SUM(DJ84:DJ87)</f>
        <v>111</v>
      </c>
      <c r="DK88" s="125">
        <f>SUM(DK84:DK87)</f>
        <v>109</v>
      </c>
      <c r="DL88" s="125">
        <f>SUM(DL84:DL87)</f>
        <v>110</v>
      </c>
      <c r="DM88" s="125">
        <f>SUM(DM84:DM87)</f>
        <v>119.74479003445113</v>
      </c>
      <c r="DN88" s="300">
        <f>SUM(DJ88:DM88)</f>
        <v>449.74479003445111</v>
      </c>
      <c r="DO88" s="125">
        <f>SUM(DO84:DO87)</f>
        <v>130.73271219252854</v>
      </c>
      <c r="DP88" s="125">
        <f>SUM(DP84:DP87)</f>
        <v>124.27464593366588</v>
      </c>
      <c r="DQ88" s="125">
        <f>SUM(DQ84:DQ87)</f>
        <v>124.0385968145815</v>
      </c>
      <c r="DR88" s="125">
        <f>SUM(DR84:DR87)</f>
        <v>134.51271492903157</v>
      </c>
      <c r="DS88" s="300">
        <f>SUM(DO88:DR88)</f>
        <v>513.55866986980755</v>
      </c>
      <c r="DT88" s="125">
        <f>SUM(DT84:DT87)</f>
        <v>145.96554333079041</v>
      </c>
      <c r="DU88" s="125">
        <f>SUM(DU84:DU87)</f>
        <v>137.45469334685612</v>
      </c>
      <c r="DV88" s="125">
        <f>SUM(DV84:DV87)</f>
        <v>136.53763363747845</v>
      </c>
      <c r="DW88" s="125">
        <f>SUM(DW84:DW87)</f>
        <v>146.26333348638667</v>
      </c>
      <c r="DX88" s="300">
        <f>SUM(DT88:DW88)</f>
        <v>566.22120380151159</v>
      </c>
      <c r="DY88" s="125">
        <f>SUM(DY84:DY87)</f>
        <v>159.72246994088908</v>
      </c>
      <c r="DZ88" s="125">
        <f>SUM(DZ84:DZ87)</f>
        <v>148.7728889121064</v>
      </c>
      <c r="EA88" s="125">
        <f>SUM(EA84:EA87)</f>
        <v>146.97952291895714</v>
      </c>
      <c r="EB88" s="125">
        <f>SUM(EB84:EB87)</f>
        <v>155.01394959992123</v>
      </c>
      <c r="EC88" s="300">
        <f>SUM(DY88:EB88)</f>
        <v>610.48883137187386</v>
      </c>
      <c r="ED88" s="491"/>
      <c r="EE88" s="139"/>
    </row>
    <row r="89" spans="1:135" s="296" customFormat="1" ht="12" customHeight="1">
      <c r="A89" s="940"/>
      <c r="B89" s="940"/>
      <c r="C89" s="393" t="s">
        <v>214</v>
      </c>
      <c r="D89" s="394"/>
      <c r="E89" s="394"/>
      <c r="F89" s="394"/>
      <c r="G89" s="394"/>
      <c r="H89" s="394"/>
      <c r="I89" s="395"/>
      <c r="J89" s="395"/>
      <c r="K89" s="395"/>
      <c r="L89" s="395"/>
      <c r="M89" s="394"/>
      <c r="N89" s="395"/>
      <c r="O89" s="395"/>
      <c r="P89" s="395"/>
      <c r="Q89" s="395"/>
      <c r="R89" s="394"/>
      <c r="S89" s="395"/>
      <c r="T89" s="395"/>
      <c r="U89" s="395"/>
      <c r="V89" s="395"/>
      <c r="W89" s="394"/>
      <c r="X89" s="395"/>
      <c r="Y89" s="395"/>
      <c r="Z89" s="395"/>
      <c r="AA89" s="395"/>
      <c r="AB89" s="394"/>
      <c r="AC89" s="395"/>
      <c r="AD89" s="395"/>
      <c r="AE89" s="395"/>
      <c r="AF89" s="395"/>
      <c r="AG89" s="394"/>
      <c r="AH89" s="395"/>
      <c r="AI89" s="395"/>
      <c r="AJ89" s="395"/>
      <c r="AK89" s="395"/>
      <c r="AL89" s="394"/>
      <c r="AM89" s="395"/>
      <c r="AN89" s="395"/>
      <c r="AO89" s="395"/>
      <c r="AP89" s="395"/>
      <c r="AQ89" s="394"/>
      <c r="AR89" s="395"/>
      <c r="AS89" s="395"/>
      <c r="AT89" s="395"/>
      <c r="AU89" s="395"/>
      <c r="AV89" s="394"/>
      <c r="AW89" s="395"/>
      <c r="AX89" s="395"/>
      <c r="AY89" s="395"/>
      <c r="AZ89" s="395"/>
      <c r="BA89" s="394"/>
      <c r="BB89" s="395"/>
      <c r="BC89" s="395"/>
      <c r="BD89" s="395"/>
      <c r="BE89" s="395"/>
      <c r="BF89" s="394"/>
      <c r="BG89" s="396"/>
      <c r="BH89" s="396"/>
      <c r="BI89" s="396"/>
      <c r="BJ89" s="396"/>
      <c r="BK89" s="394"/>
      <c r="BL89" s="396"/>
      <c r="BM89" s="396"/>
      <c r="BN89" s="396"/>
      <c r="BO89" s="396"/>
      <c r="BP89" s="394"/>
      <c r="BQ89" s="397">
        <f t="shared" ref="BQ89:BZ89" si="522">BQ88/BQ$11</f>
        <v>3.8556281460854665E-2</v>
      </c>
      <c r="BR89" s="397">
        <f t="shared" si="522"/>
        <v>3.4968615055869658E-2</v>
      </c>
      <c r="BS89" s="397">
        <f t="shared" si="522"/>
        <v>4.296593793808965E-2</v>
      </c>
      <c r="BT89" s="397">
        <f t="shared" si="522"/>
        <v>4.1027175694355378E-2</v>
      </c>
      <c r="BU89" s="286">
        <f t="shared" si="522"/>
        <v>3.9749942747998611E-2</v>
      </c>
      <c r="BV89" s="397">
        <f t="shared" si="522"/>
        <v>4.7578449437584221E-2</v>
      </c>
      <c r="BW89" s="397">
        <f t="shared" si="522"/>
        <v>5.8697935300702858E-2</v>
      </c>
      <c r="BX89" s="397">
        <f t="shared" si="522"/>
        <v>6.5144911526642424E-2</v>
      </c>
      <c r="BY89" s="397">
        <f t="shared" si="522"/>
        <v>6.1833214452804451E-2</v>
      </c>
      <c r="BZ89" s="286">
        <f t="shared" si="522"/>
        <v>5.9319857190558135E-2</v>
      </c>
      <c r="CA89" s="397">
        <f t="shared" ref="CA89:CV89" si="523">CA88/CA$11</f>
        <v>7.2280360184959841E-2</v>
      </c>
      <c r="CB89" s="397">
        <f t="shared" si="523"/>
        <v>7.6495994197355838E-2</v>
      </c>
      <c r="CC89" s="397">
        <f t="shared" si="523"/>
        <v>7.8014184397163122E-2</v>
      </c>
      <c r="CD89" s="397">
        <f t="shared" si="523"/>
        <v>6.7221987846365128E-2</v>
      </c>
      <c r="CE89" s="286">
        <f t="shared" si="523"/>
        <v>7.3016052184451605E-2</v>
      </c>
      <c r="CF89" s="397">
        <f t="shared" si="523"/>
        <v>8.3628814033778129E-2</v>
      </c>
      <c r="CG89" s="397">
        <f t="shared" si="523"/>
        <v>9.8753689332674741E-2</v>
      </c>
      <c r="CH89" s="397">
        <f t="shared" si="523"/>
        <v>9.6958498726227874E-2</v>
      </c>
      <c r="CI89" s="397">
        <f t="shared" si="523"/>
        <v>7.9738383421256206E-2</v>
      </c>
      <c r="CJ89" s="286">
        <f t="shared" si="523"/>
        <v>8.9188793817535694E-2</v>
      </c>
      <c r="CK89" s="397">
        <f t="shared" si="523"/>
        <v>9.7241030697511874E-2</v>
      </c>
      <c r="CL89" s="397">
        <f t="shared" si="523"/>
        <v>0.10848143124324892</v>
      </c>
      <c r="CM89" s="397">
        <f t="shared" si="523"/>
        <v>0.10250107540097093</v>
      </c>
      <c r="CN89" s="397">
        <f t="shared" si="523"/>
        <v>9.5003563227492274E-2</v>
      </c>
      <c r="CO89" s="286">
        <f t="shared" si="523"/>
        <v>0.10040470848253011</v>
      </c>
      <c r="CP89" s="397">
        <f t="shared" si="523"/>
        <v>0.11436571411550189</v>
      </c>
      <c r="CQ89" s="397">
        <f t="shared" si="523"/>
        <v>8.7246847094034921E-2</v>
      </c>
      <c r="CR89" s="397">
        <f t="shared" si="523"/>
        <v>8.3146448094552405E-2</v>
      </c>
      <c r="CS89" s="397">
        <f t="shared" si="523"/>
        <v>6.8583391971722668E-2</v>
      </c>
      <c r="CT89" s="286">
        <f t="shared" si="523"/>
        <v>8.4294507134515861E-2</v>
      </c>
      <c r="CU89" s="397">
        <f t="shared" si="523"/>
        <v>6.9950143984657834E-2</v>
      </c>
      <c r="CV89" s="397">
        <f t="shared" si="523"/>
        <v>7.3213065402945213E-2</v>
      </c>
      <c r="CW89" s="397">
        <f t="shared" ref="CW89:EC89" si="524">CW88/CW11</f>
        <v>7.2383291508711978E-2</v>
      </c>
      <c r="CX89" s="397">
        <f t="shared" si="524"/>
        <v>7.1241007402769799E-2</v>
      </c>
      <c r="CY89" s="286">
        <f t="shared" si="524"/>
        <v>7.1721298323278102E-2</v>
      </c>
      <c r="CZ89" s="397">
        <f t="shared" si="524"/>
        <v>9.802820318322264E-2</v>
      </c>
      <c r="DA89" s="397">
        <f t="shared" si="524"/>
        <v>0.10765422222702679</v>
      </c>
      <c r="DB89" s="397">
        <f t="shared" si="524"/>
        <v>0.10978626848192063</v>
      </c>
      <c r="DC89" s="397">
        <f t="shared" si="524"/>
        <v>8.1697865909538911E-2</v>
      </c>
      <c r="DD89" s="286">
        <f t="shared" si="524"/>
        <v>9.8063452969572112E-2</v>
      </c>
      <c r="DE89" s="397">
        <f t="shared" si="524"/>
        <v>8.952254641909814E-2</v>
      </c>
      <c r="DF89" s="397">
        <f t="shared" si="524"/>
        <v>6.7886658795749705E-2</v>
      </c>
      <c r="DG89" s="397">
        <f t="shared" si="524"/>
        <v>6.0093348891481914E-2</v>
      </c>
      <c r="DH89" s="397">
        <f t="shared" si="524"/>
        <v>4.8041044776119403E-2</v>
      </c>
      <c r="DI89" s="286">
        <f t="shared" si="524"/>
        <v>6.4589235127478759E-2</v>
      </c>
      <c r="DJ89" s="397">
        <f t="shared" si="524"/>
        <v>5.964535196131112E-2</v>
      </c>
      <c r="DK89" s="397">
        <f t="shared" si="524"/>
        <v>5.330073349633252E-2</v>
      </c>
      <c r="DL89" s="397">
        <f t="shared" si="524"/>
        <v>5.0878815911193337E-2</v>
      </c>
      <c r="DM89" s="397">
        <f t="shared" si="524"/>
        <v>4.4291044776119406E-2</v>
      </c>
      <c r="DN89" s="286">
        <f t="shared" si="524"/>
        <v>5.1272897088866211E-2</v>
      </c>
      <c r="DO89" s="397">
        <f t="shared" si="524"/>
        <v>5.5895351961311117E-2</v>
      </c>
      <c r="DP89" s="397">
        <f t="shared" si="524"/>
        <v>4.9550733496332516E-2</v>
      </c>
      <c r="DQ89" s="397">
        <f t="shared" si="524"/>
        <v>4.7128815911193341E-2</v>
      </c>
      <c r="DR89" s="397">
        <f t="shared" si="524"/>
        <v>4.0541044776119403E-2</v>
      </c>
      <c r="DS89" s="286">
        <f t="shared" si="524"/>
        <v>4.7566013963006276E-2</v>
      </c>
      <c r="DT89" s="397">
        <f t="shared" si="524"/>
        <v>5.2145351961311114E-2</v>
      </c>
      <c r="DU89" s="397">
        <f t="shared" si="524"/>
        <v>4.580073349633252E-2</v>
      </c>
      <c r="DV89" s="397">
        <f t="shared" si="524"/>
        <v>4.3378815911193337E-2</v>
      </c>
      <c r="DW89" s="397">
        <f t="shared" si="524"/>
        <v>3.6791044776119393E-2</v>
      </c>
      <c r="DX89" s="286">
        <f t="shared" si="524"/>
        <v>4.3813536577373739E-2</v>
      </c>
      <c r="DY89" s="397">
        <f t="shared" si="524"/>
        <v>4.8395351961311117E-2</v>
      </c>
      <c r="DZ89" s="397">
        <f t="shared" si="524"/>
        <v>4.2050733496332517E-2</v>
      </c>
      <c r="EA89" s="397">
        <f t="shared" si="524"/>
        <v>3.9628815911193341E-2</v>
      </c>
      <c r="EB89" s="397">
        <f t="shared" si="524"/>
        <v>3.3041044776119396E-2</v>
      </c>
      <c r="EC89" s="286">
        <f t="shared" si="524"/>
        <v>4.0061559837312237E-2</v>
      </c>
      <c r="ED89" s="287"/>
      <c r="EE89" s="139"/>
    </row>
    <row r="90" spans="1:135" s="296" customFormat="1" ht="12" customHeight="1">
      <c r="A90" s="940"/>
      <c r="B90" s="940"/>
      <c r="C90" s="384" t="s">
        <v>246</v>
      </c>
      <c r="D90" s="343"/>
      <c r="E90" s="343"/>
      <c r="F90" s="343"/>
      <c r="G90" s="343"/>
      <c r="H90" s="343"/>
      <c r="I90" s="299"/>
      <c r="J90" s="299"/>
      <c r="K90" s="299"/>
      <c r="L90" s="299"/>
      <c r="M90" s="343"/>
      <c r="N90" s="299"/>
      <c r="O90" s="299"/>
      <c r="P90" s="299"/>
      <c r="Q90" s="299"/>
      <c r="R90" s="343"/>
      <c r="S90" s="299"/>
      <c r="T90" s="299"/>
      <c r="U90" s="299"/>
      <c r="V90" s="299"/>
      <c r="W90" s="343"/>
      <c r="X90" s="299"/>
      <c r="Y90" s="299"/>
      <c r="Z90" s="299"/>
      <c r="AA90" s="299"/>
      <c r="AB90" s="343"/>
      <c r="AC90" s="299"/>
      <c r="AD90" s="299"/>
      <c r="AE90" s="299"/>
      <c r="AF90" s="299"/>
      <c r="AG90" s="343"/>
      <c r="AH90" s="299"/>
      <c r="AI90" s="299"/>
      <c r="AJ90" s="299"/>
      <c r="AK90" s="299"/>
      <c r="AL90" s="343"/>
      <c r="AM90" s="299"/>
      <c r="AN90" s="299"/>
      <c r="AO90" s="299"/>
      <c r="AP90" s="299"/>
      <c r="AQ90" s="343"/>
      <c r="AR90" s="299"/>
      <c r="AS90" s="299"/>
      <c r="AT90" s="299"/>
      <c r="AU90" s="299"/>
      <c r="AV90" s="343"/>
      <c r="AW90" s="299"/>
      <c r="AX90" s="299"/>
      <c r="AY90" s="299"/>
      <c r="AZ90" s="299"/>
      <c r="BA90" s="343"/>
      <c r="BB90" s="299"/>
      <c r="BC90" s="299"/>
      <c r="BD90" s="299"/>
      <c r="BE90" s="299"/>
      <c r="BF90" s="343"/>
      <c r="BG90" s="396"/>
      <c r="BH90" s="396"/>
      <c r="BI90" s="396"/>
      <c r="BJ90" s="396"/>
      <c r="BK90" s="343"/>
      <c r="BL90" s="396"/>
      <c r="BM90" s="396"/>
      <c r="BN90" s="396"/>
      <c r="BO90" s="396"/>
      <c r="BP90" s="343"/>
      <c r="BQ90" s="397"/>
      <c r="BR90" s="397"/>
      <c r="BS90" s="397"/>
      <c r="BT90" s="397"/>
      <c r="BU90" s="286"/>
      <c r="BV90" s="397"/>
      <c r="BW90" s="397"/>
      <c r="BX90" s="397"/>
      <c r="BY90" s="397"/>
      <c r="BZ90" s="286"/>
      <c r="CA90" s="397"/>
      <c r="CB90" s="397"/>
      <c r="CC90" s="397"/>
      <c r="CD90" s="397"/>
      <c r="CE90" s="286"/>
      <c r="CF90" s="397"/>
      <c r="CG90" s="397"/>
      <c r="CH90" s="397"/>
      <c r="CI90" s="397"/>
      <c r="CJ90" s="286"/>
      <c r="CK90" s="397"/>
      <c r="CL90" s="397"/>
      <c r="CM90" s="397"/>
      <c r="CN90" s="397"/>
      <c r="CO90" s="286"/>
      <c r="CP90" s="397"/>
      <c r="CQ90" s="397"/>
      <c r="CR90" s="397"/>
      <c r="CS90" s="397"/>
      <c r="CT90" s="286"/>
      <c r="CU90" s="397"/>
      <c r="CV90" s="397"/>
      <c r="CW90" s="397"/>
      <c r="CX90" s="397"/>
      <c r="CY90" s="286"/>
      <c r="CZ90" s="397"/>
      <c r="DA90" s="397"/>
      <c r="DB90" s="397"/>
      <c r="DC90" s="397"/>
      <c r="DD90" s="286"/>
      <c r="DE90" s="397"/>
      <c r="DF90" s="397"/>
      <c r="DG90" s="397"/>
      <c r="DH90" s="752"/>
      <c r="DI90" s="286"/>
      <c r="DJ90" s="752"/>
      <c r="DK90" s="752"/>
      <c r="DL90" s="752"/>
      <c r="DM90" s="752"/>
      <c r="DN90" s="286"/>
      <c r="DO90" s="752"/>
      <c r="DP90" s="752"/>
      <c r="DQ90" s="752"/>
      <c r="DR90" s="752"/>
      <c r="DS90" s="286"/>
      <c r="DT90" s="752"/>
      <c r="DU90" s="752"/>
      <c r="DV90" s="752"/>
      <c r="DW90" s="752"/>
      <c r="DX90" s="286"/>
      <c r="DY90" s="752"/>
      <c r="DZ90" s="752"/>
      <c r="EA90" s="752"/>
      <c r="EB90" s="752"/>
      <c r="EC90" s="286"/>
      <c r="ED90" s="287"/>
      <c r="EE90" s="139"/>
    </row>
    <row r="91" spans="1:135" s="296" customFormat="1" ht="12" customHeight="1">
      <c r="A91" s="940"/>
      <c r="B91" s="940"/>
      <c r="C91" s="309" t="s">
        <v>155</v>
      </c>
      <c r="D91" s="343"/>
      <c r="E91" s="343"/>
      <c r="F91" s="343"/>
      <c r="G91" s="343"/>
      <c r="H91" s="343"/>
      <c r="I91" s="299"/>
      <c r="J91" s="299"/>
      <c r="K91" s="299"/>
      <c r="L91" s="299"/>
      <c r="M91" s="343"/>
      <c r="N91" s="299"/>
      <c r="O91" s="299"/>
      <c r="P91" s="299"/>
      <c r="Q91" s="299"/>
      <c r="R91" s="343"/>
      <c r="S91" s="299"/>
      <c r="T91" s="299"/>
      <c r="U91" s="299"/>
      <c r="V91" s="299"/>
      <c r="W91" s="343"/>
      <c r="X91" s="299"/>
      <c r="Y91" s="299"/>
      <c r="Z91" s="299"/>
      <c r="AA91" s="299"/>
      <c r="AB91" s="343"/>
      <c r="AC91" s="299"/>
      <c r="AD91" s="299"/>
      <c r="AE91" s="299"/>
      <c r="AF91" s="299"/>
      <c r="AG91" s="343"/>
      <c r="AH91" s="299"/>
      <c r="AI91" s="299"/>
      <c r="AJ91" s="299"/>
      <c r="AK91" s="299"/>
      <c r="AL91" s="343"/>
      <c r="AM91" s="299"/>
      <c r="AN91" s="299"/>
      <c r="AO91" s="299"/>
      <c r="AP91" s="299"/>
      <c r="AQ91" s="343"/>
      <c r="AR91" s="299"/>
      <c r="AS91" s="299"/>
      <c r="AT91" s="299"/>
      <c r="AU91" s="299"/>
      <c r="AV91" s="343"/>
      <c r="AW91" s="299"/>
      <c r="AX91" s="299"/>
      <c r="AY91" s="299"/>
      <c r="AZ91" s="299"/>
      <c r="BA91" s="343"/>
      <c r="BB91" s="299"/>
      <c r="BC91" s="299"/>
      <c r="BD91" s="299"/>
      <c r="BE91" s="299"/>
      <c r="BF91" s="343"/>
      <c r="BG91" s="396"/>
      <c r="BH91" s="396"/>
      <c r="BI91" s="396"/>
      <c r="BJ91" s="396"/>
      <c r="BK91" s="343"/>
      <c r="BL91" s="396"/>
      <c r="BM91" s="396"/>
      <c r="BN91" s="396"/>
      <c r="BO91" s="396"/>
      <c r="BP91" s="343"/>
      <c r="BQ91" s="282">
        <v>0</v>
      </c>
      <c r="BR91" s="372">
        <v>0</v>
      </c>
      <c r="BS91" s="372">
        <v>0</v>
      </c>
      <c r="BT91" s="372">
        <v>0</v>
      </c>
      <c r="BU91" s="300">
        <f>SUM(BQ91:BT91)</f>
        <v>0</v>
      </c>
      <c r="BV91" s="282">
        <v>0</v>
      </c>
      <c r="BW91" s="372">
        <v>0</v>
      </c>
      <c r="BX91" s="372">
        <v>0</v>
      </c>
      <c r="BY91" s="372">
        <v>0</v>
      </c>
      <c r="BZ91" s="300">
        <f>SUM(BV91:BY91)</f>
        <v>0</v>
      </c>
      <c r="CA91" s="282">
        <v>0</v>
      </c>
      <c r="CB91" s="372">
        <v>0</v>
      </c>
      <c r="CC91" s="372">
        <v>0</v>
      </c>
      <c r="CD91" s="372">
        <v>0</v>
      </c>
      <c r="CE91" s="300">
        <f>SUM(CA91:CD91)</f>
        <v>0</v>
      </c>
      <c r="CF91" s="282">
        <v>0</v>
      </c>
      <c r="CG91" s="372">
        <v>0</v>
      </c>
      <c r="CH91" s="372">
        <v>1.2410000000000001</v>
      </c>
      <c r="CI91" s="372">
        <v>1.4470000000000001</v>
      </c>
      <c r="CJ91" s="300">
        <f>SUM(CF91:CI91)</f>
        <v>2.6880000000000002</v>
      </c>
      <c r="CK91" s="282">
        <v>1.625</v>
      </c>
      <c r="CL91" s="372">
        <v>1.53</v>
      </c>
      <c r="CM91" s="372">
        <v>1.649</v>
      </c>
      <c r="CN91" s="372">
        <v>4.82</v>
      </c>
      <c r="CO91" s="300">
        <f>SUM(CK91:CN91)</f>
        <v>9.6240000000000006</v>
      </c>
      <c r="CP91" s="282">
        <v>5.569</v>
      </c>
      <c r="CQ91" s="372">
        <v>4.8559999999999999</v>
      </c>
      <c r="CR91" s="372">
        <v>4.5309999999999997</v>
      </c>
      <c r="CS91" s="372">
        <v>4.532</v>
      </c>
      <c r="CT91" s="300">
        <f>SUM(CP91:CS91)</f>
        <v>19.488</v>
      </c>
      <c r="CU91" s="282">
        <v>4.5309999999999997</v>
      </c>
      <c r="CV91" s="282">
        <v>4.3719999999999999</v>
      </c>
      <c r="CW91" s="282">
        <v>5.5359999999999996</v>
      </c>
      <c r="CX91" s="282">
        <v>5.96</v>
      </c>
      <c r="CY91" s="300">
        <f>SUM(CU91:CX91)</f>
        <v>20.398999999999997</v>
      </c>
      <c r="CZ91" s="282">
        <v>6.234</v>
      </c>
      <c r="DA91" s="282">
        <v>6.9420000000000002</v>
      </c>
      <c r="DB91" s="282">
        <v>17.132999999999999</v>
      </c>
      <c r="DC91" s="282">
        <v>18.359000000000002</v>
      </c>
      <c r="DD91" s="300">
        <f>SUM(CZ91:DC91)</f>
        <v>48.667999999999999</v>
      </c>
      <c r="DE91" s="282">
        <v>19</v>
      </c>
      <c r="DF91" s="282">
        <v>8</v>
      </c>
      <c r="DG91" s="282">
        <v>4</v>
      </c>
      <c r="DH91" s="282">
        <v>4</v>
      </c>
      <c r="DI91" s="300">
        <f>SUM(DE91:DH91)</f>
        <v>35</v>
      </c>
      <c r="DJ91" s="282">
        <v>4</v>
      </c>
      <c r="DK91" s="282">
        <v>4</v>
      </c>
      <c r="DL91" s="282">
        <v>3</v>
      </c>
      <c r="DM91" s="125">
        <f>DM$11*DM136</f>
        <v>2.7035891937011711</v>
      </c>
      <c r="DN91" s="300">
        <f>SUM(DJ91:DM91)</f>
        <v>13.703589193701172</v>
      </c>
      <c r="DO91" s="125">
        <f t="shared" ref="DO91:DR94" si="525">DO$11*DO136</f>
        <v>1.1694417121035157</v>
      </c>
      <c r="DP91" s="125">
        <f t="shared" si="525"/>
        <v>1.2540141907572775</v>
      </c>
      <c r="DQ91" s="125">
        <f t="shared" si="525"/>
        <v>1.3159528243645273</v>
      </c>
      <c r="DR91" s="125">
        <f t="shared" si="525"/>
        <v>1.658969516842175</v>
      </c>
      <c r="DS91" s="300">
        <f>SUM(DO91:DR91)</f>
        <v>5.3983782440674952</v>
      </c>
      <c r="DT91" s="125">
        <f t="shared" ref="DT91:DW94" si="526">DT$11*DT136</f>
        <v>1.3996026284287864</v>
      </c>
      <c r="DU91" s="125">
        <f t="shared" si="526"/>
        <v>1.5005730569562032</v>
      </c>
      <c r="DV91" s="125">
        <f t="shared" si="526"/>
        <v>1.5737823955015644</v>
      </c>
      <c r="DW91" s="125">
        <f t="shared" si="526"/>
        <v>1.9877572705046469</v>
      </c>
      <c r="DX91" s="300">
        <f>SUM(DT91:DW91)</f>
        <v>6.4617153513912005</v>
      </c>
      <c r="DY91" s="125">
        <f t="shared" ref="DY91:EB94" si="527">DY$11*DY136</f>
        <v>1.6501839894518862</v>
      </c>
      <c r="DZ91" s="125">
        <f t="shared" si="527"/>
        <v>1.7689690112668515</v>
      </c>
      <c r="EA91" s="125">
        <f t="shared" si="527"/>
        <v>1.8544526191286239</v>
      </c>
      <c r="EB91" s="125">
        <f t="shared" si="527"/>
        <v>2.3457785710208299</v>
      </c>
      <c r="EC91" s="300">
        <f>SUM(DY91:EB91)</f>
        <v>7.6193841908681916</v>
      </c>
      <c r="ED91" s="491"/>
      <c r="EE91" s="139"/>
    </row>
    <row r="92" spans="1:135" s="296" customFormat="1" ht="12" customHeight="1">
      <c r="A92" s="940"/>
      <c r="B92" s="940"/>
      <c r="C92" s="309" t="s">
        <v>153</v>
      </c>
      <c r="D92" s="343"/>
      <c r="E92" s="343"/>
      <c r="F92" s="343"/>
      <c r="G92" s="343"/>
      <c r="H92" s="343"/>
      <c r="I92" s="299"/>
      <c r="J92" s="299"/>
      <c r="K92" s="299"/>
      <c r="L92" s="299"/>
      <c r="M92" s="343"/>
      <c r="N92" s="299"/>
      <c r="O92" s="299"/>
      <c r="P92" s="299"/>
      <c r="Q92" s="299"/>
      <c r="R92" s="343"/>
      <c r="S92" s="299"/>
      <c r="T92" s="299"/>
      <c r="U92" s="299"/>
      <c r="V92" s="299"/>
      <c r="W92" s="343"/>
      <c r="X92" s="299"/>
      <c r="Y92" s="299"/>
      <c r="Z92" s="299"/>
      <c r="AA92" s="299"/>
      <c r="AB92" s="343"/>
      <c r="AC92" s="299"/>
      <c r="AD92" s="299"/>
      <c r="AE92" s="299"/>
      <c r="AF92" s="299"/>
      <c r="AG92" s="343"/>
      <c r="AH92" s="299"/>
      <c r="AI92" s="299"/>
      <c r="AJ92" s="299"/>
      <c r="AK92" s="299"/>
      <c r="AL92" s="343"/>
      <c r="AM92" s="299"/>
      <c r="AN92" s="299"/>
      <c r="AO92" s="299"/>
      <c r="AP92" s="299"/>
      <c r="AQ92" s="343"/>
      <c r="AR92" s="299"/>
      <c r="AS92" s="299"/>
      <c r="AT92" s="299"/>
      <c r="AU92" s="299"/>
      <c r="AV92" s="343"/>
      <c r="AW92" s="299"/>
      <c r="AX92" s="299"/>
      <c r="AY92" s="299"/>
      <c r="AZ92" s="299"/>
      <c r="BA92" s="343"/>
      <c r="BB92" s="299"/>
      <c r="BC92" s="299"/>
      <c r="BD92" s="299"/>
      <c r="BE92" s="299"/>
      <c r="BF92" s="343"/>
      <c r="BG92" s="396"/>
      <c r="BH92" s="396"/>
      <c r="BI92" s="396"/>
      <c r="BJ92" s="396"/>
      <c r="BK92" s="343"/>
      <c r="BL92" s="396"/>
      <c r="BM92" s="396"/>
      <c r="BN92" s="396"/>
      <c r="BO92" s="396"/>
      <c r="BP92" s="343"/>
      <c r="BQ92" s="282">
        <v>0</v>
      </c>
      <c r="BR92" s="372">
        <v>0</v>
      </c>
      <c r="BS92" s="372">
        <v>0</v>
      </c>
      <c r="BT92" s="372">
        <v>0</v>
      </c>
      <c r="BU92" s="300">
        <f>SUM(BQ92:BT92)</f>
        <v>0</v>
      </c>
      <c r="BV92" s="282">
        <v>0</v>
      </c>
      <c r="BW92" s="372">
        <v>0</v>
      </c>
      <c r="BX92" s="372">
        <v>0</v>
      </c>
      <c r="BY92" s="372">
        <v>0</v>
      </c>
      <c r="BZ92" s="300">
        <f>SUM(BV92:BY92)</f>
        <v>0</v>
      </c>
      <c r="CA92" s="282">
        <v>0</v>
      </c>
      <c r="CB92" s="372">
        <v>0</v>
      </c>
      <c r="CC92" s="372">
        <v>0</v>
      </c>
      <c r="CD92" s="372">
        <v>0</v>
      </c>
      <c r="CE92" s="300">
        <f>SUM(CA92:CD92)</f>
        <v>0</v>
      </c>
      <c r="CF92" s="282">
        <v>0</v>
      </c>
      <c r="CG92" s="372">
        <v>0</v>
      </c>
      <c r="CH92" s="372">
        <v>0</v>
      </c>
      <c r="CI92" s="372">
        <v>0</v>
      </c>
      <c r="CJ92" s="300">
        <f>SUM(CF92:CI92)</f>
        <v>0</v>
      </c>
      <c r="CK92" s="282">
        <v>0</v>
      </c>
      <c r="CL92" s="372">
        <v>0</v>
      </c>
      <c r="CM92" s="372">
        <v>0</v>
      </c>
      <c r="CN92" s="372">
        <v>0.28299999999999997</v>
      </c>
      <c r="CO92" s="300">
        <f>SUM(CK92:CN92)</f>
        <v>0.28299999999999997</v>
      </c>
      <c r="CP92" s="282">
        <v>0.38800000000000001</v>
      </c>
      <c r="CQ92" s="372">
        <v>0.38800000000000001</v>
      </c>
      <c r="CR92" s="372">
        <v>0.38800000000000001</v>
      </c>
      <c r="CS92" s="372">
        <v>0.38400000000000001</v>
      </c>
      <c r="CT92" s="300">
        <f>SUM(CP92:CS92)</f>
        <v>1.548</v>
      </c>
      <c r="CU92" s="282">
        <v>0.38600000000000001</v>
      </c>
      <c r="CV92" s="282">
        <v>0.38600000000000001</v>
      </c>
      <c r="CW92" s="282">
        <v>0.38600000000000001</v>
      </c>
      <c r="CX92" s="282">
        <v>0.38600000000000001</v>
      </c>
      <c r="CY92" s="300">
        <f>SUM(CU92:CX92)</f>
        <v>1.544</v>
      </c>
      <c r="CZ92" s="282">
        <v>0.38600000000000001</v>
      </c>
      <c r="DA92" s="282">
        <v>0.38400000000000001</v>
      </c>
      <c r="DB92" s="282">
        <v>2.0249999999999999</v>
      </c>
      <c r="DC92" s="282">
        <v>2.1629999999999998</v>
      </c>
      <c r="DD92" s="300">
        <f>SUM(CZ92:DC92)</f>
        <v>4.9580000000000002</v>
      </c>
      <c r="DE92" s="282">
        <v>2</v>
      </c>
      <c r="DF92" s="282">
        <v>1</v>
      </c>
      <c r="DG92" s="282">
        <v>0</v>
      </c>
      <c r="DH92" s="282">
        <v>0</v>
      </c>
      <c r="DI92" s="300">
        <f>SUM(DE92:DH92)</f>
        <v>3</v>
      </c>
      <c r="DJ92" s="282">
        <v>0</v>
      </c>
      <c r="DK92" s="282">
        <v>0</v>
      </c>
      <c r="DL92" s="282">
        <v>0</v>
      </c>
      <c r="DM92" s="125">
        <f>DM$11*DM137</f>
        <v>0</v>
      </c>
      <c r="DN92" s="300">
        <f>SUM(DJ92:DM92)</f>
        <v>0</v>
      </c>
      <c r="DO92" s="125">
        <f t="shared" si="525"/>
        <v>0</v>
      </c>
      <c r="DP92" s="125">
        <f t="shared" si="525"/>
        <v>0</v>
      </c>
      <c r="DQ92" s="125">
        <f t="shared" si="525"/>
        <v>0</v>
      </c>
      <c r="DR92" s="125">
        <f t="shared" si="525"/>
        <v>0</v>
      </c>
      <c r="DS92" s="300">
        <f>SUM(DO92:DR92)</f>
        <v>0</v>
      </c>
      <c r="DT92" s="125">
        <f t="shared" si="526"/>
        <v>0</v>
      </c>
      <c r="DU92" s="125">
        <f t="shared" si="526"/>
        <v>0</v>
      </c>
      <c r="DV92" s="125">
        <f t="shared" si="526"/>
        <v>0</v>
      </c>
      <c r="DW92" s="125">
        <f t="shared" si="526"/>
        <v>0</v>
      </c>
      <c r="DX92" s="300">
        <f>SUM(DT92:DW92)</f>
        <v>0</v>
      </c>
      <c r="DY92" s="125">
        <f t="shared" si="527"/>
        <v>0</v>
      </c>
      <c r="DZ92" s="125">
        <f t="shared" si="527"/>
        <v>0</v>
      </c>
      <c r="EA92" s="125">
        <f t="shared" si="527"/>
        <v>0</v>
      </c>
      <c r="EB92" s="125">
        <f t="shared" si="527"/>
        <v>0</v>
      </c>
      <c r="EC92" s="300">
        <f>SUM(DY92:EB92)</f>
        <v>0</v>
      </c>
      <c r="ED92" s="491"/>
      <c r="EE92" s="139"/>
    </row>
    <row r="93" spans="1:135" s="296" customFormat="1" ht="12" customHeight="1">
      <c r="A93" s="940"/>
      <c r="B93" s="940"/>
      <c r="C93" s="309" t="s">
        <v>245</v>
      </c>
      <c r="D93" s="343"/>
      <c r="E93" s="343"/>
      <c r="F93" s="343"/>
      <c r="G93" s="343"/>
      <c r="H93" s="343"/>
      <c r="I93" s="299"/>
      <c r="J93" s="299"/>
      <c r="K93" s="299"/>
      <c r="L93" s="299"/>
      <c r="M93" s="343"/>
      <c r="N93" s="299"/>
      <c r="O93" s="299"/>
      <c r="P93" s="299"/>
      <c r="Q93" s="299"/>
      <c r="R93" s="343"/>
      <c r="S93" s="299"/>
      <c r="T93" s="299"/>
      <c r="U93" s="299"/>
      <c r="V93" s="299"/>
      <c r="W93" s="343"/>
      <c r="X93" s="299"/>
      <c r="Y93" s="299"/>
      <c r="Z93" s="299"/>
      <c r="AA93" s="299"/>
      <c r="AB93" s="343"/>
      <c r="AC93" s="299"/>
      <c r="AD93" s="299"/>
      <c r="AE93" s="299"/>
      <c r="AF93" s="299"/>
      <c r="AG93" s="343"/>
      <c r="AH93" s="299"/>
      <c r="AI93" s="299"/>
      <c r="AJ93" s="299"/>
      <c r="AK93" s="299"/>
      <c r="AL93" s="343"/>
      <c r="AM93" s="299"/>
      <c r="AN93" s="299"/>
      <c r="AO93" s="299"/>
      <c r="AP93" s="299"/>
      <c r="AQ93" s="343"/>
      <c r="AR93" s="299"/>
      <c r="AS93" s="299"/>
      <c r="AT93" s="299"/>
      <c r="AU93" s="299"/>
      <c r="AV93" s="343"/>
      <c r="AW93" s="299"/>
      <c r="AX93" s="299"/>
      <c r="AY93" s="299"/>
      <c r="AZ93" s="299"/>
      <c r="BA93" s="343"/>
      <c r="BB93" s="299"/>
      <c r="BC93" s="299"/>
      <c r="BD93" s="299"/>
      <c r="BE93" s="299"/>
      <c r="BF93" s="343"/>
      <c r="BG93" s="396"/>
      <c r="BH93" s="396"/>
      <c r="BI93" s="396"/>
      <c r="BJ93" s="396"/>
      <c r="BK93" s="343"/>
      <c r="BL93" s="396"/>
      <c r="BM93" s="396"/>
      <c r="BN93" s="396"/>
      <c r="BO93" s="396"/>
      <c r="BP93" s="343"/>
      <c r="BQ93" s="282">
        <v>0</v>
      </c>
      <c r="BR93" s="372">
        <v>0</v>
      </c>
      <c r="BS93" s="372">
        <v>0</v>
      </c>
      <c r="BT93" s="372">
        <v>0</v>
      </c>
      <c r="BU93" s="300">
        <f>SUM(BQ93:BT93)</f>
        <v>0</v>
      </c>
      <c r="BV93" s="282">
        <v>0</v>
      </c>
      <c r="BW93" s="372">
        <v>0</v>
      </c>
      <c r="BX93" s="372">
        <v>0</v>
      </c>
      <c r="BY93" s="372">
        <v>0</v>
      </c>
      <c r="BZ93" s="300">
        <f>SUM(BV93:BY93)</f>
        <v>0</v>
      </c>
      <c r="CA93" s="282">
        <v>0</v>
      </c>
      <c r="CB93" s="372">
        <v>0</v>
      </c>
      <c r="CC93" s="372">
        <v>0</v>
      </c>
      <c r="CD93" s="372">
        <v>0</v>
      </c>
      <c r="CE93" s="300">
        <f>SUM(CA93:CD93)</f>
        <v>0</v>
      </c>
      <c r="CF93" s="282">
        <v>0</v>
      </c>
      <c r="CG93" s="372">
        <v>0</v>
      </c>
      <c r="CH93" s="372">
        <v>0</v>
      </c>
      <c r="CI93" s="372">
        <v>0</v>
      </c>
      <c r="CJ93" s="300">
        <f>SUM(CF93:CI93)</f>
        <v>0</v>
      </c>
      <c r="CK93" s="282">
        <v>5.8000000000000003E-2</v>
      </c>
      <c r="CL93" s="372">
        <v>5.8000000000000003E-2</v>
      </c>
      <c r="CM93" s="372">
        <v>5.8000000000000003E-2</v>
      </c>
      <c r="CN93" s="372">
        <v>5.8000000000000003E-2</v>
      </c>
      <c r="CO93" s="300">
        <f>SUM(CK93:CN93)</f>
        <v>0.23200000000000001</v>
      </c>
      <c r="CP93" s="282">
        <v>5.8000000000000003E-2</v>
      </c>
      <c r="CQ93" s="372">
        <v>5.8000000000000003E-2</v>
      </c>
      <c r="CR93" s="372">
        <v>5.8000000000000003E-2</v>
      </c>
      <c r="CS93" s="372">
        <v>5.8999999999999997E-2</v>
      </c>
      <c r="CT93" s="300">
        <f>SUM(CP93:CS93)</f>
        <v>0.23300000000000001</v>
      </c>
      <c r="CU93" s="282">
        <v>5.8000000000000003E-2</v>
      </c>
      <c r="CV93" s="282">
        <v>5.8000000000000003E-2</v>
      </c>
      <c r="CW93" s="282">
        <v>5.8000000000000003E-2</v>
      </c>
      <c r="CX93" s="282">
        <v>3.2000000000000001E-2</v>
      </c>
      <c r="CY93" s="300">
        <f>SUM(CU93:CX93)</f>
        <v>0.20600000000000002</v>
      </c>
      <c r="CZ93" s="282">
        <v>7.5999999999999998E-2</v>
      </c>
      <c r="DA93" s="282">
        <v>0</v>
      </c>
      <c r="DB93" s="282">
        <v>0</v>
      </c>
      <c r="DC93" s="282">
        <v>0</v>
      </c>
      <c r="DD93" s="300">
        <f>SUM(CZ93:DC93)</f>
        <v>7.5999999999999998E-2</v>
      </c>
      <c r="DE93" s="282">
        <v>0</v>
      </c>
      <c r="DF93" s="282">
        <v>0</v>
      </c>
      <c r="DG93" s="282">
        <v>0</v>
      </c>
      <c r="DH93" s="282">
        <v>0</v>
      </c>
      <c r="DI93" s="300">
        <f>SUM(DE93:DH93)</f>
        <v>0</v>
      </c>
      <c r="DJ93" s="282">
        <v>0</v>
      </c>
      <c r="DK93" s="282">
        <v>0</v>
      </c>
      <c r="DL93" s="282">
        <v>1</v>
      </c>
      <c r="DM93" s="125">
        <f>DM$11*DM138</f>
        <v>0</v>
      </c>
      <c r="DN93" s="300">
        <f>SUM(DJ93:DM93)</f>
        <v>1</v>
      </c>
      <c r="DO93" s="125">
        <f t="shared" si="525"/>
        <v>0</v>
      </c>
      <c r="DP93" s="125">
        <f t="shared" si="525"/>
        <v>0</v>
      </c>
      <c r="DQ93" s="125">
        <f t="shared" si="525"/>
        <v>0</v>
      </c>
      <c r="DR93" s="125">
        <f t="shared" si="525"/>
        <v>0</v>
      </c>
      <c r="DS93" s="300">
        <f>SUM(DO93:DR93)</f>
        <v>0</v>
      </c>
      <c r="DT93" s="125">
        <f t="shared" si="526"/>
        <v>0</v>
      </c>
      <c r="DU93" s="125">
        <f t="shared" si="526"/>
        <v>0</v>
      </c>
      <c r="DV93" s="125">
        <f t="shared" si="526"/>
        <v>0</v>
      </c>
      <c r="DW93" s="125">
        <f t="shared" si="526"/>
        <v>0</v>
      </c>
      <c r="DX93" s="300">
        <f>SUM(DT93:DW93)</f>
        <v>0</v>
      </c>
      <c r="DY93" s="125">
        <f t="shared" si="527"/>
        <v>0</v>
      </c>
      <c r="DZ93" s="125">
        <f t="shared" si="527"/>
        <v>0</v>
      </c>
      <c r="EA93" s="125">
        <f t="shared" si="527"/>
        <v>0</v>
      </c>
      <c r="EB93" s="125">
        <f t="shared" si="527"/>
        <v>0</v>
      </c>
      <c r="EC93" s="300">
        <f>SUM(DY93:EB93)</f>
        <v>0</v>
      </c>
      <c r="ED93" s="491"/>
      <c r="EE93" s="139"/>
    </row>
    <row r="94" spans="1:135" s="296" customFormat="1" ht="12" customHeight="1">
      <c r="A94" s="940"/>
      <c r="B94" s="940"/>
      <c r="C94" s="387" t="s">
        <v>154</v>
      </c>
      <c r="D94" s="343"/>
      <c r="E94" s="343"/>
      <c r="F94" s="343"/>
      <c r="G94" s="343"/>
      <c r="H94" s="343"/>
      <c r="I94" s="299"/>
      <c r="J94" s="299"/>
      <c r="K94" s="299"/>
      <c r="L94" s="299"/>
      <c r="M94" s="343"/>
      <c r="N94" s="299"/>
      <c r="O94" s="299"/>
      <c r="P94" s="299"/>
      <c r="Q94" s="299"/>
      <c r="R94" s="343"/>
      <c r="S94" s="299"/>
      <c r="T94" s="299"/>
      <c r="U94" s="299"/>
      <c r="V94" s="299"/>
      <c r="W94" s="343"/>
      <c r="X94" s="299"/>
      <c r="Y94" s="299"/>
      <c r="Z94" s="299"/>
      <c r="AA94" s="299"/>
      <c r="AB94" s="343"/>
      <c r="AC94" s="299"/>
      <c r="AD94" s="299"/>
      <c r="AE94" s="299"/>
      <c r="AF94" s="299"/>
      <c r="AG94" s="343"/>
      <c r="AH94" s="299"/>
      <c r="AI94" s="299"/>
      <c r="AJ94" s="299"/>
      <c r="AK94" s="299"/>
      <c r="AL94" s="343"/>
      <c r="AM94" s="299"/>
      <c r="AN94" s="299"/>
      <c r="AO94" s="299"/>
      <c r="AP94" s="299"/>
      <c r="AQ94" s="343"/>
      <c r="AR94" s="299"/>
      <c r="AS94" s="299"/>
      <c r="AT94" s="299"/>
      <c r="AU94" s="299"/>
      <c r="AV94" s="343"/>
      <c r="AW94" s="299"/>
      <c r="AX94" s="299"/>
      <c r="AY94" s="299"/>
      <c r="AZ94" s="299"/>
      <c r="BA94" s="343"/>
      <c r="BB94" s="299"/>
      <c r="BC94" s="299"/>
      <c r="BD94" s="299"/>
      <c r="BE94" s="299"/>
      <c r="BF94" s="343"/>
      <c r="BG94" s="396"/>
      <c r="BH94" s="396"/>
      <c r="BI94" s="396"/>
      <c r="BJ94" s="396"/>
      <c r="BK94" s="343"/>
      <c r="BL94" s="396"/>
      <c r="BM94" s="396"/>
      <c r="BN94" s="396"/>
      <c r="BO94" s="396"/>
      <c r="BP94" s="343"/>
      <c r="BQ94" s="390">
        <v>0</v>
      </c>
      <c r="BR94" s="398">
        <v>0</v>
      </c>
      <c r="BS94" s="398">
        <v>0</v>
      </c>
      <c r="BT94" s="398">
        <v>0</v>
      </c>
      <c r="BU94" s="300">
        <f>SUM(BQ94:BT94)</f>
        <v>0</v>
      </c>
      <c r="BV94" s="390">
        <v>0</v>
      </c>
      <c r="BW94" s="398">
        <v>0</v>
      </c>
      <c r="BX94" s="398">
        <v>0</v>
      </c>
      <c r="BY94" s="398">
        <v>0</v>
      </c>
      <c r="BZ94" s="300">
        <f>SUM(BV94:BY94)</f>
        <v>0</v>
      </c>
      <c r="CA94" s="390">
        <v>0</v>
      </c>
      <c r="CB94" s="398">
        <v>0</v>
      </c>
      <c r="CC94" s="398">
        <v>0</v>
      </c>
      <c r="CD94" s="398">
        <v>0</v>
      </c>
      <c r="CE94" s="300">
        <f>SUM(CA94:CD94)</f>
        <v>0</v>
      </c>
      <c r="CF94" s="390">
        <v>0</v>
      </c>
      <c r="CG94" s="398">
        <v>0</v>
      </c>
      <c r="CH94" s="398">
        <v>0</v>
      </c>
      <c r="CI94" s="398">
        <v>0</v>
      </c>
      <c r="CJ94" s="300">
        <f>SUM(CF94:CI94)</f>
        <v>0</v>
      </c>
      <c r="CK94" s="390">
        <v>0</v>
      </c>
      <c r="CL94" s="398">
        <v>0</v>
      </c>
      <c r="CM94" s="398">
        <v>0</v>
      </c>
      <c r="CN94" s="398">
        <v>0</v>
      </c>
      <c r="CO94" s="300">
        <f>SUM(CK94:CN94)</f>
        <v>0</v>
      </c>
      <c r="CP94" s="390">
        <v>0</v>
      </c>
      <c r="CQ94" s="398">
        <v>0</v>
      </c>
      <c r="CR94" s="398">
        <v>0</v>
      </c>
      <c r="CS94" s="398">
        <v>0</v>
      </c>
      <c r="CT94" s="391">
        <f>SUM(CP94:CS94)</f>
        <v>0</v>
      </c>
      <c r="CU94" s="390">
        <v>0</v>
      </c>
      <c r="CV94" s="390">
        <v>0</v>
      </c>
      <c r="CW94" s="390">
        <v>0</v>
      </c>
      <c r="CX94" s="390">
        <v>0</v>
      </c>
      <c r="CY94" s="391">
        <f>SUM(CU94:CX94)</f>
        <v>0</v>
      </c>
      <c r="CZ94" s="390">
        <v>0</v>
      </c>
      <c r="DA94" s="390">
        <v>0</v>
      </c>
      <c r="DB94" s="390">
        <v>0</v>
      </c>
      <c r="DC94" s="390">
        <v>0</v>
      </c>
      <c r="DD94" s="391">
        <f>SUM(CZ94:DC94)</f>
        <v>0</v>
      </c>
      <c r="DE94" s="390">
        <v>0</v>
      </c>
      <c r="DF94" s="390">
        <v>0</v>
      </c>
      <c r="DG94" s="390">
        <v>0</v>
      </c>
      <c r="DH94" s="390">
        <v>0</v>
      </c>
      <c r="DI94" s="391">
        <f>SUM(DE94:DH94)</f>
        <v>0</v>
      </c>
      <c r="DJ94" s="390">
        <v>0</v>
      </c>
      <c r="DK94" s="390">
        <v>0</v>
      </c>
      <c r="DL94" s="390">
        <v>0</v>
      </c>
      <c r="DM94" s="392">
        <f>DM$11*DM139</f>
        <v>0</v>
      </c>
      <c r="DN94" s="391">
        <f>SUM(DJ94:DM94)</f>
        <v>0</v>
      </c>
      <c r="DO94" s="392">
        <f t="shared" si="525"/>
        <v>0</v>
      </c>
      <c r="DP94" s="392">
        <f t="shared" si="525"/>
        <v>0</v>
      </c>
      <c r="DQ94" s="392">
        <f t="shared" si="525"/>
        <v>0</v>
      </c>
      <c r="DR94" s="392">
        <f t="shared" si="525"/>
        <v>0</v>
      </c>
      <c r="DS94" s="391">
        <f>SUM(DO94:DR94)</f>
        <v>0</v>
      </c>
      <c r="DT94" s="392">
        <f t="shared" si="526"/>
        <v>0</v>
      </c>
      <c r="DU94" s="392">
        <f t="shared" si="526"/>
        <v>0</v>
      </c>
      <c r="DV94" s="392">
        <f t="shared" si="526"/>
        <v>0</v>
      </c>
      <c r="DW94" s="392">
        <f t="shared" si="526"/>
        <v>0</v>
      </c>
      <c r="DX94" s="391">
        <f>SUM(DT94:DW94)</f>
        <v>0</v>
      </c>
      <c r="DY94" s="392">
        <f t="shared" si="527"/>
        <v>0</v>
      </c>
      <c r="DZ94" s="392">
        <f t="shared" si="527"/>
        <v>0</v>
      </c>
      <c r="EA94" s="392">
        <f t="shared" si="527"/>
        <v>0</v>
      </c>
      <c r="EB94" s="392">
        <f t="shared" si="527"/>
        <v>0</v>
      </c>
      <c r="EC94" s="391">
        <f>SUM(DY94:EB94)</f>
        <v>0</v>
      </c>
      <c r="ED94" s="1175"/>
      <c r="EE94" s="139"/>
    </row>
    <row r="95" spans="1:135" s="296" customFormat="1" ht="12" customHeight="1">
      <c r="A95" s="940"/>
      <c r="B95" s="940"/>
      <c r="C95" s="309" t="s">
        <v>247</v>
      </c>
      <c r="D95" s="343"/>
      <c r="E95" s="343"/>
      <c r="F95" s="343"/>
      <c r="G95" s="343"/>
      <c r="H95" s="343"/>
      <c r="I95" s="299"/>
      <c r="J95" s="299"/>
      <c r="K95" s="299"/>
      <c r="L95" s="299"/>
      <c r="M95" s="343"/>
      <c r="N95" s="299"/>
      <c r="O95" s="299"/>
      <c r="P95" s="299"/>
      <c r="Q95" s="299"/>
      <c r="R95" s="343"/>
      <c r="S95" s="299"/>
      <c r="T95" s="299"/>
      <c r="U95" s="299"/>
      <c r="V95" s="299"/>
      <c r="W95" s="343"/>
      <c r="X95" s="299"/>
      <c r="Y95" s="299"/>
      <c r="Z95" s="299"/>
      <c r="AA95" s="299"/>
      <c r="AB95" s="343"/>
      <c r="AC95" s="299"/>
      <c r="AD95" s="299"/>
      <c r="AE95" s="299"/>
      <c r="AF95" s="299"/>
      <c r="AG95" s="343"/>
      <c r="AH95" s="299"/>
      <c r="AI95" s="299"/>
      <c r="AJ95" s="299"/>
      <c r="AK95" s="299"/>
      <c r="AL95" s="343"/>
      <c r="AM95" s="299"/>
      <c r="AN95" s="299"/>
      <c r="AO95" s="299"/>
      <c r="AP95" s="299"/>
      <c r="AQ95" s="343"/>
      <c r="AR95" s="299"/>
      <c r="AS95" s="299"/>
      <c r="AT95" s="299"/>
      <c r="AU95" s="299"/>
      <c r="AV95" s="343"/>
      <c r="AW95" s="299"/>
      <c r="AX95" s="299"/>
      <c r="AY95" s="299"/>
      <c r="AZ95" s="299"/>
      <c r="BA95" s="343"/>
      <c r="BB95" s="299"/>
      <c r="BC95" s="299"/>
      <c r="BD95" s="299"/>
      <c r="BE95" s="299"/>
      <c r="BF95" s="343"/>
      <c r="BG95" s="396"/>
      <c r="BH95" s="396"/>
      <c r="BI95" s="396"/>
      <c r="BJ95" s="396"/>
      <c r="BK95" s="343"/>
      <c r="BL95" s="396"/>
      <c r="BM95" s="396"/>
      <c r="BN95" s="396"/>
      <c r="BO95" s="396"/>
      <c r="BP95" s="343"/>
      <c r="BQ95" s="125">
        <f>SUM(BQ91:BQ94)</f>
        <v>0</v>
      </c>
      <c r="BR95" s="344">
        <f>SUM(BR91:BR94)</f>
        <v>0</v>
      </c>
      <c r="BS95" s="344">
        <f>SUM(BS91:BS94)</f>
        <v>0</v>
      </c>
      <c r="BT95" s="344">
        <f>SUM(BT91:BT94)</f>
        <v>0</v>
      </c>
      <c r="BU95" s="300">
        <f>SUM(BQ95:BT95)</f>
        <v>0</v>
      </c>
      <c r="BV95" s="125">
        <f>SUM(BV91:BV94)</f>
        <v>0</v>
      </c>
      <c r="BW95" s="344">
        <f>SUM(BW91:BW94)</f>
        <v>0</v>
      </c>
      <c r="BX95" s="344">
        <f>SUM(BX91:BX94)</f>
        <v>0</v>
      </c>
      <c r="BY95" s="344">
        <f>SUM(BY91:BY94)</f>
        <v>0</v>
      </c>
      <c r="BZ95" s="300">
        <f>SUM(BV95:BY95)</f>
        <v>0</v>
      </c>
      <c r="CA95" s="125">
        <f>SUM(CA91:CA94)</f>
        <v>0</v>
      </c>
      <c r="CB95" s="344">
        <f>SUM(CB91:CB94)</f>
        <v>0</v>
      </c>
      <c r="CC95" s="344">
        <f>SUM(CC91:CC94)</f>
        <v>0</v>
      </c>
      <c r="CD95" s="344">
        <f>SUM(CD91:CD94)</f>
        <v>0</v>
      </c>
      <c r="CE95" s="300">
        <f>SUM(CA95:CD95)</f>
        <v>0</v>
      </c>
      <c r="CF95" s="125">
        <f>SUM(CF91:CF94)</f>
        <v>0</v>
      </c>
      <c r="CG95" s="344">
        <f>SUM(CG91:CG94)</f>
        <v>0</v>
      </c>
      <c r="CH95" s="344">
        <f>SUM(CH91:CH94)</f>
        <v>1.2410000000000001</v>
      </c>
      <c r="CI95" s="344">
        <f>SUM(CI91:CI94)</f>
        <v>1.4470000000000001</v>
      </c>
      <c r="CJ95" s="300">
        <f>SUM(CF95:CI95)</f>
        <v>2.6880000000000002</v>
      </c>
      <c r="CK95" s="125">
        <f>SUM(CK91:CK94)</f>
        <v>1.6830000000000001</v>
      </c>
      <c r="CL95" s="344">
        <f>SUM(CL91:CL94)</f>
        <v>1.5880000000000001</v>
      </c>
      <c r="CM95" s="344">
        <f>SUM(CM91:CM94)</f>
        <v>1.7070000000000001</v>
      </c>
      <c r="CN95" s="344">
        <f>SUM(CN91:CN94)</f>
        <v>5.1610000000000005</v>
      </c>
      <c r="CO95" s="300">
        <f>SUM(CK95:CN95)</f>
        <v>10.138999999999999</v>
      </c>
      <c r="CP95" s="125">
        <f>SUM(CP91:CP94)</f>
        <v>6.0149999999999997</v>
      </c>
      <c r="CQ95" s="344">
        <f>SUM(CQ91:CQ94)</f>
        <v>5.3019999999999996</v>
      </c>
      <c r="CR95" s="344">
        <f>SUM(CR91:CR94)</f>
        <v>4.9769999999999994</v>
      </c>
      <c r="CS95" s="344">
        <f>SUM(CS91:CS94)</f>
        <v>4.9750000000000005</v>
      </c>
      <c r="CT95" s="300">
        <f>SUM(CP95:CS95)</f>
        <v>21.269000000000002</v>
      </c>
      <c r="CU95" s="125">
        <f>SUM(CU91:CU94)</f>
        <v>4.9749999999999996</v>
      </c>
      <c r="CV95" s="125">
        <f>SUM(CV91:CV94)</f>
        <v>4.8159999999999998</v>
      </c>
      <c r="CW95" s="125">
        <f>SUM(CW91:CW94)</f>
        <v>5.9799999999999995</v>
      </c>
      <c r="CX95" s="125">
        <f>SUM(CX91:CX94)</f>
        <v>6.3780000000000001</v>
      </c>
      <c r="CY95" s="300">
        <f>SUM(CU95:CX95)</f>
        <v>22.149000000000001</v>
      </c>
      <c r="CZ95" s="125">
        <f>SUM(CZ91:CZ94)</f>
        <v>6.6959999999999997</v>
      </c>
      <c r="DA95" s="125">
        <f>SUM(DA91:DA94)</f>
        <v>7.3260000000000005</v>
      </c>
      <c r="DB95" s="125">
        <f>SUM(DB91:DB94)</f>
        <v>19.157999999999998</v>
      </c>
      <c r="DC95" s="125">
        <f>SUM(DC91:DC94)</f>
        <v>20.522000000000002</v>
      </c>
      <c r="DD95" s="300">
        <f>SUM(CZ95:DC95)</f>
        <v>53.701999999999998</v>
      </c>
      <c r="DE95" s="125">
        <f>SUM(DE91:DE94)</f>
        <v>21</v>
      </c>
      <c r="DF95" s="125">
        <f>SUM(DF91:DF94)</f>
        <v>9</v>
      </c>
      <c r="DG95" s="125">
        <f>SUM(DG91:DG94)</f>
        <v>4</v>
      </c>
      <c r="DH95" s="125">
        <f>SUM(DH91:DH94)</f>
        <v>4</v>
      </c>
      <c r="DI95" s="300">
        <f>SUM(DE95:DH95)</f>
        <v>38</v>
      </c>
      <c r="DJ95" s="125">
        <f>SUM(DJ91:DJ94)</f>
        <v>4</v>
      </c>
      <c r="DK95" s="125">
        <f>SUM(DK91:DK94)</f>
        <v>4</v>
      </c>
      <c r="DL95" s="125">
        <f>SUM(DL91:DL94)</f>
        <v>4</v>
      </c>
      <c r="DM95" s="125">
        <f>SUM(DM91:DM94)</f>
        <v>2.7035891937011711</v>
      </c>
      <c r="DN95" s="300">
        <f>SUM(DJ95:DM95)</f>
        <v>14.703589193701172</v>
      </c>
      <c r="DO95" s="125">
        <f>SUM(DO91:DO94)</f>
        <v>1.1694417121035157</v>
      </c>
      <c r="DP95" s="125">
        <f>SUM(DP91:DP94)</f>
        <v>1.2540141907572775</v>
      </c>
      <c r="DQ95" s="125">
        <f>SUM(DQ91:DQ94)</f>
        <v>1.3159528243645273</v>
      </c>
      <c r="DR95" s="125">
        <f>SUM(DR91:DR94)</f>
        <v>1.658969516842175</v>
      </c>
      <c r="DS95" s="300">
        <f>SUM(DO95:DR95)</f>
        <v>5.3983782440674952</v>
      </c>
      <c r="DT95" s="125">
        <f>SUM(DT91:DT94)</f>
        <v>1.3996026284287864</v>
      </c>
      <c r="DU95" s="125">
        <f>SUM(DU91:DU94)</f>
        <v>1.5005730569562032</v>
      </c>
      <c r="DV95" s="125">
        <f>SUM(DV91:DV94)</f>
        <v>1.5737823955015644</v>
      </c>
      <c r="DW95" s="125">
        <f>SUM(DW91:DW94)</f>
        <v>1.9877572705046469</v>
      </c>
      <c r="DX95" s="300">
        <f>SUM(DT95:DW95)</f>
        <v>6.4617153513912005</v>
      </c>
      <c r="DY95" s="125">
        <f>SUM(DY91:DY94)</f>
        <v>1.6501839894518862</v>
      </c>
      <c r="DZ95" s="125">
        <f>SUM(DZ91:DZ94)</f>
        <v>1.7689690112668515</v>
      </c>
      <c r="EA95" s="125">
        <f>SUM(EA91:EA94)</f>
        <v>1.8544526191286239</v>
      </c>
      <c r="EB95" s="125">
        <f>SUM(EB91:EB94)</f>
        <v>2.3457785710208299</v>
      </c>
      <c r="EC95" s="300">
        <f>SUM(DY95:EB95)</f>
        <v>7.6193841908681916</v>
      </c>
      <c r="ED95" s="491"/>
      <c r="EE95" s="139"/>
    </row>
    <row r="96" spans="1:135" s="296" customFormat="1" ht="12" customHeight="1">
      <c r="A96" s="940"/>
      <c r="B96" s="940"/>
      <c r="C96" s="399" t="s">
        <v>214</v>
      </c>
      <c r="D96" s="343"/>
      <c r="E96" s="343"/>
      <c r="F96" s="343"/>
      <c r="G96" s="343"/>
      <c r="H96" s="343"/>
      <c r="I96" s="299"/>
      <c r="J96" s="299"/>
      <c r="K96" s="299"/>
      <c r="L96" s="299"/>
      <c r="M96" s="343"/>
      <c r="N96" s="299"/>
      <c r="O96" s="299"/>
      <c r="P96" s="299"/>
      <c r="Q96" s="299"/>
      <c r="R96" s="343"/>
      <c r="S96" s="299"/>
      <c r="T96" s="299"/>
      <c r="U96" s="299"/>
      <c r="V96" s="299"/>
      <c r="W96" s="343"/>
      <c r="X96" s="299"/>
      <c r="Y96" s="299"/>
      <c r="Z96" s="299"/>
      <c r="AA96" s="299"/>
      <c r="AB96" s="343"/>
      <c r="AC96" s="299"/>
      <c r="AD96" s="299"/>
      <c r="AE96" s="299"/>
      <c r="AF96" s="299"/>
      <c r="AG96" s="343"/>
      <c r="AH96" s="299"/>
      <c r="AI96" s="299"/>
      <c r="AJ96" s="299"/>
      <c r="AK96" s="299"/>
      <c r="AL96" s="343"/>
      <c r="AM96" s="299"/>
      <c r="AN96" s="299"/>
      <c r="AO96" s="299"/>
      <c r="AP96" s="299"/>
      <c r="AQ96" s="343"/>
      <c r="AR96" s="299"/>
      <c r="AS96" s="299"/>
      <c r="AT96" s="299"/>
      <c r="AU96" s="299"/>
      <c r="AV96" s="343"/>
      <c r="AW96" s="299"/>
      <c r="AX96" s="299"/>
      <c r="AY96" s="299"/>
      <c r="AZ96" s="299"/>
      <c r="BA96" s="343"/>
      <c r="BB96" s="299"/>
      <c r="BC96" s="299"/>
      <c r="BD96" s="299"/>
      <c r="BE96" s="299"/>
      <c r="BF96" s="343"/>
      <c r="BG96" s="396"/>
      <c r="BH96" s="396"/>
      <c r="BI96" s="396"/>
      <c r="BJ96" s="396"/>
      <c r="BK96" s="343"/>
      <c r="BL96" s="396"/>
      <c r="BM96" s="396"/>
      <c r="BN96" s="396"/>
      <c r="BO96" s="396"/>
      <c r="BP96" s="343"/>
      <c r="BQ96" s="397">
        <f t="shared" ref="BQ96:BZ96" si="528">BQ95/BQ$11</f>
        <v>0</v>
      </c>
      <c r="BR96" s="400">
        <f t="shared" si="528"/>
        <v>0</v>
      </c>
      <c r="BS96" s="400">
        <f t="shared" si="528"/>
        <v>0</v>
      </c>
      <c r="BT96" s="400">
        <f t="shared" si="528"/>
        <v>0</v>
      </c>
      <c r="BU96" s="286">
        <f t="shared" si="528"/>
        <v>0</v>
      </c>
      <c r="BV96" s="397">
        <f t="shared" si="528"/>
        <v>0</v>
      </c>
      <c r="BW96" s="400">
        <f t="shared" si="528"/>
        <v>0</v>
      </c>
      <c r="BX96" s="400">
        <f t="shared" si="528"/>
        <v>0</v>
      </c>
      <c r="BY96" s="400">
        <f t="shared" si="528"/>
        <v>0</v>
      </c>
      <c r="BZ96" s="286">
        <f t="shared" si="528"/>
        <v>0</v>
      </c>
      <c r="CA96" s="397">
        <f t="shared" ref="CA96:CX96" si="529">CA95/CA$11</f>
        <v>0</v>
      </c>
      <c r="CB96" s="400">
        <f t="shared" si="529"/>
        <v>0</v>
      </c>
      <c r="CC96" s="400">
        <f t="shared" si="529"/>
        <v>0</v>
      </c>
      <c r="CD96" s="400">
        <f t="shared" si="529"/>
        <v>0</v>
      </c>
      <c r="CE96" s="286">
        <f t="shared" si="529"/>
        <v>0</v>
      </c>
      <c r="CF96" s="397">
        <f t="shared" si="529"/>
        <v>0</v>
      </c>
      <c r="CG96" s="400">
        <f t="shared" si="529"/>
        <v>0</v>
      </c>
      <c r="CH96" s="400">
        <f t="shared" si="529"/>
        <v>4.595207062029742E-3</v>
      </c>
      <c r="CI96" s="400">
        <f t="shared" si="529"/>
        <v>4.2080834753476688E-3</v>
      </c>
      <c r="CJ96" s="286">
        <f t="shared" si="529"/>
        <v>2.5045912848050142E-3</v>
      </c>
      <c r="CK96" s="397">
        <f t="shared" si="529"/>
        <v>5.2514649808725611E-3</v>
      </c>
      <c r="CL96" s="400">
        <f t="shared" si="529"/>
        <v>4.3869948256666826E-3</v>
      </c>
      <c r="CM96" s="400">
        <f t="shared" si="529"/>
        <v>4.3707368032937996E-3</v>
      </c>
      <c r="CN96" s="400">
        <f t="shared" si="529"/>
        <v>1.0216565048697442E-2</v>
      </c>
      <c r="CO96" s="286">
        <f t="shared" si="529"/>
        <v>6.4245174641816829E-3</v>
      </c>
      <c r="CP96" s="397">
        <f t="shared" si="529"/>
        <v>1.2797845110967848E-2</v>
      </c>
      <c r="CQ96" s="400">
        <f t="shared" si="529"/>
        <v>7.4222255197447708E-3</v>
      </c>
      <c r="CR96" s="400">
        <f t="shared" si="529"/>
        <v>6.4854933183912007E-3</v>
      </c>
      <c r="CS96" s="400">
        <f t="shared" si="529"/>
        <v>5.0882439575185333E-3</v>
      </c>
      <c r="CT96" s="286">
        <f t="shared" si="529"/>
        <v>7.2603056298858751E-3</v>
      </c>
      <c r="CU96" s="397">
        <f t="shared" si="529"/>
        <v>5.0321297692705281E-3</v>
      </c>
      <c r="CV96" s="397">
        <f t="shared" si="529"/>
        <v>4.3021318599841887E-3</v>
      </c>
      <c r="CW96" s="397">
        <f t="shared" si="529"/>
        <v>5.3215156530870122E-3</v>
      </c>
      <c r="CX96" s="397">
        <f t="shared" si="529"/>
        <v>4.6216587537608036E-3</v>
      </c>
      <c r="CY96" s="286">
        <f t="shared" ref="CY96:DN96" si="530">CY95/CY$11</f>
        <v>4.8026217644262965E-3</v>
      </c>
      <c r="CZ96" s="397">
        <f t="shared" si="530"/>
        <v>5.5632037606459829E-3</v>
      </c>
      <c r="DA96" s="397">
        <f t="shared" ref="DA96:DB96" si="531">DA95/DA$11</f>
        <v>5.6568676581757026E-3</v>
      </c>
      <c r="DB96" s="397">
        <f t="shared" si="531"/>
        <v>1.4022837066315325E-2</v>
      </c>
      <c r="DC96" s="397">
        <f t="shared" ref="DC96:DE96" si="532">DC95/DC$11</f>
        <v>1.1828392060302782E-2</v>
      </c>
      <c r="DD96" s="286">
        <f t="shared" si="530"/>
        <v>9.589875754125456E-3</v>
      </c>
      <c r="DE96" s="397">
        <f t="shared" si="532"/>
        <v>1.3925729442970823E-2</v>
      </c>
      <c r="DF96" s="397">
        <f t="shared" ref="DF96:DG96" si="533">DF95/DF$11</f>
        <v>5.3128689492325859E-3</v>
      </c>
      <c r="DG96" s="397">
        <f t="shared" si="533"/>
        <v>2.3337222870478411E-3</v>
      </c>
      <c r="DH96" s="397">
        <f t="shared" si="530"/>
        <v>1.8656716417910447E-3</v>
      </c>
      <c r="DI96" s="286">
        <f t="shared" si="530"/>
        <v>5.3824362606232296E-3</v>
      </c>
      <c r="DJ96" s="397">
        <f t="shared" ref="DJ96:DK96" si="534">DJ95/DJ$11</f>
        <v>2.1493820526598604E-3</v>
      </c>
      <c r="DK96" s="397">
        <f t="shared" si="534"/>
        <v>1.9559902200488996E-3</v>
      </c>
      <c r="DL96" s="397">
        <f t="shared" ref="DL96" si="535">DL95/DL$11</f>
        <v>1.8501387604070306E-3</v>
      </c>
      <c r="DM96" s="397">
        <f t="shared" si="530"/>
        <v>1E-3</v>
      </c>
      <c r="DN96" s="286">
        <f t="shared" si="530"/>
        <v>1.6762742610266948E-3</v>
      </c>
      <c r="DO96" s="397">
        <f t="shared" ref="DO96:DS96" si="536">DO95/DO$11</f>
        <v>5.0000000000000001E-4</v>
      </c>
      <c r="DP96" s="397">
        <f t="shared" si="536"/>
        <v>5.0000000000000001E-4</v>
      </c>
      <c r="DQ96" s="397">
        <f t="shared" si="536"/>
        <v>5.0000000000000001E-4</v>
      </c>
      <c r="DR96" s="397">
        <f t="shared" si="536"/>
        <v>5.0000000000000001E-4</v>
      </c>
      <c r="DS96" s="286">
        <f t="shared" si="536"/>
        <v>5.0000000000000001E-4</v>
      </c>
      <c r="DT96" s="397">
        <f t="shared" ref="DT96:EC96" si="537">DT95/DT$11</f>
        <v>5.0000000000000001E-4</v>
      </c>
      <c r="DU96" s="397">
        <f t="shared" si="537"/>
        <v>5.0000000000000001E-4</v>
      </c>
      <c r="DV96" s="397">
        <f t="shared" si="537"/>
        <v>5.0000000000000001E-4</v>
      </c>
      <c r="DW96" s="397">
        <f t="shared" si="537"/>
        <v>5.0000000000000001E-4</v>
      </c>
      <c r="DX96" s="286">
        <f t="shared" si="537"/>
        <v>5.0000000000000001E-4</v>
      </c>
      <c r="DY96" s="397">
        <f t="shared" si="537"/>
        <v>5.0000000000000001E-4</v>
      </c>
      <c r="DZ96" s="397">
        <f t="shared" si="537"/>
        <v>5.0000000000000001E-4</v>
      </c>
      <c r="EA96" s="397">
        <f t="shared" si="537"/>
        <v>5.0000000000000001E-4</v>
      </c>
      <c r="EB96" s="397">
        <f t="shared" si="537"/>
        <v>5.0000000000000001E-4</v>
      </c>
      <c r="EC96" s="286">
        <f t="shared" si="537"/>
        <v>5.0000000000000001E-4</v>
      </c>
      <c r="ED96" s="287"/>
      <c r="EE96" s="139"/>
    </row>
    <row r="97" spans="1:135" s="296" customFormat="1" ht="12" customHeight="1" outlineLevel="1">
      <c r="A97" s="940"/>
      <c r="B97" s="940"/>
      <c r="C97" s="384" t="s">
        <v>248</v>
      </c>
      <c r="D97" s="343"/>
      <c r="E97" s="343"/>
      <c r="F97" s="343"/>
      <c r="G97" s="343"/>
      <c r="H97" s="343"/>
      <c r="I97" s="299"/>
      <c r="J97" s="299"/>
      <c r="K97" s="299"/>
      <c r="L97" s="299"/>
      <c r="M97" s="343"/>
      <c r="N97" s="299"/>
      <c r="O97" s="299"/>
      <c r="P97" s="299"/>
      <c r="Q97" s="299"/>
      <c r="R97" s="343"/>
      <c r="S97" s="299"/>
      <c r="T97" s="299"/>
      <c r="U97" s="299"/>
      <c r="V97" s="299"/>
      <c r="W97" s="343"/>
      <c r="X97" s="299"/>
      <c r="Y97" s="299"/>
      <c r="Z97" s="299"/>
      <c r="AA97" s="299"/>
      <c r="AB97" s="343"/>
      <c r="AC97" s="299"/>
      <c r="AD97" s="299"/>
      <c r="AE97" s="299"/>
      <c r="AF97" s="299"/>
      <c r="AG97" s="343"/>
      <c r="AH97" s="299"/>
      <c r="AI97" s="299"/>
      <c r="AJ97" s="299"/>
      <c r="AK97" s="299"/>
      <c r="AL97" s="343"/>
      <c r="AM97" s="299"/>
      <c r="AN97" s="299"/>
      <c r="AO97" s="299"/>
      <c r="AP97" s="299"/>
      <c r="AQ97" s="343"/>
      <c r="AR97" s="299"/>
      <c r="AS97" s="299"/>
      <c r="AT97" s="299"/>
      <c r="AU97" s="299"/>
      <c r="AV97" s="343"/>
      <c r="AW97" s="299"/>
      <c r="AX97" s="299"/>
      <c r="AY97" s="299"/>
      <c r="AZ97" s="299"/>
      <c r="BA97" s="343"/>
      <c r="BB97" s="299"/>
      <c r="BC97" s="299"/>
      <c r="BD97" s="299"/>
      <c r="BE97" s="299"/>
      <c r="BF97" s="343"/>
      <c r="BG97" s="396"/>
      <c r="BH97" s="396"/>
      <c r="BI97" s="396"/>
      <c r="BJ97" s="396"/>
      <c r="BK97" s="343"/>
      <c r="BL97" s="396"/>
      <c r="BM97" s="396"/>
      <c r="BN97" s="396"/>
      <c r="BO97" s="396"/>
      <c r="BP97" s="343"/>
      <c r="BQ97" s="397"/>
      <c r="BR97" s="400"/>
      <c r="BS97" s="400"/>
      <c r="BT97" s="400"/>
      <c r="BU97" s="286"/>
      <c r="BV97" s="397"/>
      <c r="BW97" s="400"/>
      <c r="BX97" s="400"/>
      <c r="BY97" s="400"/>
      <c r="BZ97" s="286"/>
      <c r="CA97" s="397"/>
      <c r="CB97" s="400"/>
      <c r="CC97" s="400"/>
      <c r="CD97" s="400"/>
      <c r="CE97" s="286"/>
      <c r="CF97" s="397"/>
      <c r="CG97" s="400"/>
      <c r="CH97" s="400"/>
      <c r="CI97" s="400"/>
      <c r="CJ97" s="286"/>
      <c r="CK97" s="397"/>
      <c r="CL97" s="400"/>
      <c r="CM97" s="400"/>
      <c r="CN97" s="400"/>
      <c r="CO97" s="286"/>
      <c r="CP97" s="397"/>
      <c r="CQ97" s="400"/>
      <c r="CR97" s="400"/>
      <c r="CS97" s="400"/>
      <c r="CT97" s="286"/>
      <c r="CU97" s="397"/>
      <c r="CV97" s="397"/>
      <c r="CW97" s="397"/>
      <c r="CX97" s="397"/>
      <c r="CY97" s="286"/>
      <c r="CZ97" s="397"/>
      <c r="DA97" s="397"/>
      <c r="DB97" s="397"/>
      <c r="DC97" s="397"/>
      <c r="DD97" s="286"/>
      <c r="DE97" s="397"/>
      <c r="DF97" s="397"/>
      <c r="DG97" s="397"/>
      <c r="DH97" s="420"/>
      <c r="DI97" s="286"/>
      <c r="DJ97" s="420"/>
      <c r="DK97" s="420"/>
      <c r="DL97" s="420"/>
      <c r="DM97" s="752"/>
      <c r="DN97" s="286"/>
      <c r="DO97" s="752"/>
      <c r="DP97" s="752"/>
      <c r="DQ97" s="752"/>
      <c r="DR97" s="752"/>
      <c r="DS97" s="286"/>
      <c r="DT97" s="752"/>
      <c r="DU97" s="752"/>
      <c r="DV97" s="752"/>
      <c r="DW97" s="752"/>
      <c r="DX97" s="286"/>
      <c r="DY97" s="752"/>
      <c r="DZ97" s="752"/>
      <c r="EA97" s="752"/>
      <c r="EB97" s="752"/>
      <c r="EC97" s="286"/>
      <c r="ED97" s="287"/>
      <c r="EE97" s="139"/>
    </row>
    <row r="98" spans="1:135" s="296" customFormat="1" ht="12" customHeight="1" outlineLevel="1">
      <c r="A98" s="940"/>
      <c r="B98" s="940"/>
      <c r="C98" s="309" t="s">
        <v>155</v>
      </c>
      <c r="D98" s="343"/>
      <c r="E98" s="343"/>
      <c r="F98" s="343"/>
      <c r="G98" s="343"/>
      <c r="H98" s="343"/>
      <c r="I98" s="299"/>
      <c r="J98" s="299"/>
      <c r="K98" s="299"/>
      <c r="L98" s="299"/>
      <c r="M98" s="343"/>
      <c r="N98" s="299"/>
      <c r="O98" s="299"/>
      <c r="P98" s="299"/>
      <c r="Q98" s="299"/>
      <c r="R98" s="343"/>
      <c r="S98" s="299"/>
      <c r="T98" s="299"/>
      <c r="U98" s="299"/>
      <c r="V98" s="299"/>
      <c r="W98" s="343"/>
      <c r="X98" s="299"/>
      <c r="Y98" s="299"/>
      <c r="Z98" s="299"/>
      <c r="AA98" s="299"/>
      <c r="AB98" s="343"/>
      <c r="AC98" s="299"/>
      <c r="AD98" s="299"/>
      <c r="AE98" s="299"/>
      <c r="AF98" s="299"/>
      <c r="AG98" s="343"/>
      <c r="AH98" s="299"/>
      <c r="AI98" s="299"/>
      <c r="AJ98" s="299"/>
      <c r="AK98" s="299"/>
      <c r="AL98" s="343"/>
      <c r="AM98" s="299"/>
      <c r="AN98" s="299"/>
      <c r="AO98" s="299"/>
      <c r="AP98" s="299"/>
      <c r="AQ98" s="343"/>
      <c r="AR98" s="299"/>
      <c r="AS98" s="299"/>
      <c r="AT98" s="299"/>
      <c r="AU98" s="299"/>
      <c r="AV98" s="343"/>
      <c r="AW98" s="299"/>
      <c r="AX98" s="299"/>
      <c r="AY98" s="299"/>
      <c r="AZ98" s="299"/>
      <c r="BA98" s="343"/>
      <c r="BB98" s="299"/>
      <c r="BC98" s="299"/>
      <c r="BD98" s="299"/>
      <c r="BE98" s="299"/>
      <c r="BF98" s="343"/>
      <c r="BG98" s="396"/>
      <c r="BH98" s="396"/>
      <c r="BI98" s="396"/>
      <c r="BJ98" s="396"/>
      <c r="BK98" s="343"/>
      <c r="BL98" s="396"/>
      <c r="BM98" s="396"/>
      <c r="BN98" s="396"/>
      <c r="BO98" s="396"/>
      <c r="BP98" s="343"/>
      <c r="BQ98" s="282">
        <v>0</v>
      </c>
      <c r="BR98" s="372">
        <v>0</v>
      </c>
      <c r="BS98" s="372">
        <v>0</v>
      </c>
      <c r="BT98" s="372">
        <v>6.3E-2</v>
      </c>
      <c r="BU98" s="300">
        <f>SUM(BQ98:BT98)</f>
        <v>6.3E-2</v>
      </c>
      <c r="BV98" s="282">
        <v>0.01</v>
      </c>
      <c r="BW98" s="372">
        <v>2.3E-2</v>
      </c>
      <c r="BX98" s="372">
        <v>4.5999999999999999E-2</v>
      </c>
      <c r="BY98" s="372">
        <v>0.01</v>
      </c>
      <c r="BZ98" s="300">
        <f>SUM(BV98:BY98)</f>
        <v>8.8999999999999996E-2</v>
      </c>
      <c r="CA98" s="282">
        <v>3.5000000000000003E-2</v>
      </c>
      <c r="CB98" s="372">
        <v>4.5999999999999999E-2</v>
      </c>
      <c r="CC98" s="372">
        <v>3.6999999999999998E-2</v>
      </c>
      <c r="CD98" s="372">
        <v>6.0999999999999999E-2</v>
      </c>
      <c r="CE98" s="300">
        <f>SUM(CA98:CD98)</f>
        <v>0.17899999999999999</v>
      </c>
      <c r="CF98" s="282">
        <v>6.3E-2</v>
      </c>
      <c r="CG98" s="372">
        <v>5.2999999999999999E-2</v>
      </c>
      <c r="CH98" s="372">
        <v>3.6999999999999998E-2</v>
      </c>
      <c r="CI98" s="372">
        <v>5.6000000000000001E-2</v>
      </c>
      <c r="CJ98" s="300">
        <f>SUM(CF98:CI98)</f>
        <v>0.20899999999999999</v>
      </c>
      <c r="CK98" s="282">
        <v>0.1</v>
      </c>
      <c r="CL98" s="372">
        <v>0.13200000000000001</v>
      </c>
      <c r="CM98" s="372">
        <v>0.113</v>
      </c>
      <c r="CN98" s="372">
        <v>0.17299999999999999</v>
      </c>
      <c r="CO98" s="300">
        <f>SUM(CK98:CN98)</f>
        <v>0.51800000000000002</v>
      </c>
      <c r="CP98" s="282">
        <v>0.17599999999999999</v>
      </c>
      <c r="CQ98" s="372">
        <v>0.34100000000000003</v>
      </c>
      <c r="CR98" s="372">
        <v>0.247</v>
      </c>
      <c r="CS98" s="372">
        <v>0.22500000000000001</v>
      </c>
      <c r="CT98" s="300">
        <f>SUM(CP98:CS98)</f>
        <v>0.98899999999999999</v>
      </c>
      <c r="CU98" s="282">
        <v>0.33600000000000002</v>
      </c>
      <c r="CV98" s="282">
        <v>0.17199999999999999</v>
      </c>
      <c r="CW98" s="282">
        <v>0.28799999999999998</v>
      </c>
      <c r="CX98" s="282">
        <v>0.17</v>
      </c>
      <c r="CY98" s="300">
        <f>SUM(CU98:CX98)</f>
        <v>0.96600000000000008</v>
      </c>
      <c r="CZ98" s="282">
        <v>0.11600000000000001</v>
      </c>
      <c r="DA98" s="282">
        <v>0.05</v>
      </c>
      <c r="DB98" s="282">
        <v>6.7000000000000004E-2</v>
      </c>
      <c r="DC98" s="282">
        <v>7.1999999999999995E-2</v>
      </c>
      <c r="DD98" s="300">
        <f>SUM(CZ98:DC98)</f>
        <v>0.30499999999999999</v>
      </c>
      <c r="DE98" s="282">
        <v>0</v>
      </c>
      <c r="DF98" s="282">
        <v>0</v>
      </c>
      <c r="DG98" s="282">
        <v>0</v>
      </c>
      <c r="DH98" s="282"/>
      <c r="DI98" s="300"/>
      <c r="DJ98" s="282"/>
      <c r="DK98" s="282"/>
      <c r="DL98" s="282"/>
      <c r="DM98" s="125"/>
      <c r="DN98" s="300"/>
      <c r="DO98" s="125"/>
      <c r="DP98" s="125"/>
      <c r="DQ98" s="125"/>
      <c r="DR98" s="125"/>
      <c r="DS98" s="300"/>
      <c r="DT98" s="125"/>
      <c r="DU98" s="125"/>
      <c r="DV98" s="125"/>
      <c r="DW98" s="125"/>
      <c r="DX98" s="300"/>
      <c r="DY98" s="125"/>
      <c r="DZ98" s="125"/>
      <c r="EA98" s="125"/>
      <c r="EB98" s="125"/>
      <c r="EC98" s="300"/>
      <c r="ED98" s="491"/>
      <c r="EE98" s="139"/>
    </row>
    <row r="99" spans="1:135" s="296" customFormat="1" ht="12" customHeight="1" outlineLevel="1">
      <c r="A99" s="940"/>
      <c r="B99" s="940"/>
      <c r="C99" s="309" t="s">
        <v>153</v>
      </c>
      <c r="D99" s="343"/>
      <c r="E99" s="343"/>
      <c r="F99" s="343"/>
      <c r="G99" s="343"/>
      <c r="H99" s="343"/>
      <c r="I99" s="299"/>
      <c r="J99" s="299"/>
      <c r="K99" s="299"/>
      <c r="L99" s="299"/>
      <c r="M99" s="343"/>
      <c r="N99" s="299"/>
      <c r="O99" s="299"/>
      <c r="P99" s="299"/>
      <c r="Q99" s="299"/>
      <c r="R99" s="343"/>
      <c r="S99" s="299"/>
      <c r="T99" s="299"/>
      <c r="U99" s="299"/>
      <c r="V99" s="299"/>
      <c r="W99" s="343"/>
      <c r="X99" s="299"/>
      <c r="Y99" s="299"/>
      <c r="Z99" s="299"/>
      <c r="AA99" s="299"/>
      <c r="AB99" s="343"/>
      <c r="AC99" s="299"/>
      <c r="AD99" s="299"/>
      <c r="AE99" s="299"/>
      <c r="AF99" s="299"/>
      <c r="AG99" s="343"/>
      <c r="AH99" s="299"/>
      <c r="AI99" s="299"/>
      <c r="AJ99" s="299"/>
      <c r="AK99" s="299"/>
      <c r="AL99" s="343"/>
      <c r="AM99" s="299"/>
      <c r="AN99" s="299"/>
      <c r="AO99" s="299"/>
      <c r="AP99" s="299"/>
      <c r="AQ99" s="343"/>
      <c r="AR99" s="299"/>
      <c r="AS99" s="299"/>
      <c r="AT99" s="299"/>
      <c r="AU99" s="299"/>
      <c r="AV99" s="343"/>
      <c r="AW99" s="299"/>
      <c r="AX99" s="299"/>
      <c r="AY99" s="299"/>
      <c r="AZ99" s="299"/>
      <c r="BA99" s="343"/>
      <c r="BB99" s="299"/>
      <c r="BC99" s="299"/>
      <c r="BD99" s="299"/>
      <c r="BE99" s="299"/>
      <c r="BF99" s="343"/>
      <c r="BG99" s="396"/>
      <c r="BH99" s="396"/>
      <c r="BI99" s="396"/>
      <c r="BJ99" s="396"/>
      <c r="BK99" s="343"/>
      <c r="BL99" s="396"/>
      <c r="BM99" s="396"/>
      <c r="BN99" s="396"/>
      <c r="BO99" s="396"/>
      <c r="BP99" s="343"/>
      <c r="BQ99" s="282">
        <v>0</v>
      </c>
      <c r="BR99" s="372">
        <v>0</v>
      </c>
      <c r="BS99" s="372">
        <v>0</v>
      </c>
      <c r="BT99" s="372">
        <v>0.252</v>
      </c>
      <c r="BU99" s="300">
        <f>SUM(BQ99:BT99)</f>
        <v>0.252</v>
      </c>
      <c r="BV99" s="282">
        <v>4.1000000000000002E-2</v>
      </c>
      <c r="BW99" s="372">
        <v>8.3000000000000004E-2</v>
      </c>
      <c r="BX99" s="372">
        <v>0.245</v>
      </c>
      <c r="BY99" s="372">
        <v>0.124</v>
      </c>
      <c r="BZ99" s="300">
        <f>SUM(BV99:BY99)</f>
        <v>0.49299999999999999</v>
      </c>
      <c r="CA99" s="282">
        <v>0.17899999999999999</v>
      </c>
      <c r="CB99" s="372">
        <v>0.30099999999999999</v>
      </c>
      <c r="CC99" s="372">
        <v>0.16400000000000001</v>
      </c>
      <c r="CD99" s="372">
        <v>0.246</v>
      </c>
      <c r="CE99" s="300">
        <f>SUM(CA99:CD99)</f>
        <v>0.89</v>
      </c>
      <c r="CF99" s="282">
        <v>0.73099999999999998</v>
      </c>
      <c r="CG99" s="372">
        <v>0.52700000000000002</v>
      </c>
      <c r="CH99" s="372">
        <v>0.38200000000000001</v>
      </c>
      <c r="CI99" s="372">
        <v>0.48799999999999999</v>
      </c>
      <c r="CJ99" s="300">
        <f>SUM(CF99:CI99)</f>
        <v>2.1280000000000001</v>
      </c>
      <c r="CK99" s="282">
        <v>0.81</v>
      </c>
      <c r="CL99" s="372">
        <v>1.1020000000000001</v>
      </c>
      <c r="CM99" s="372">
        <v>0.98499999999999999</v>
      </c>
      <c r="CN99" s="372">
        <v>1.353</v>
      </c>
      <c r="CO99" s="300">
        <f>SUM(CK99:CN99)</f>
        <v>4.25</v>
      </c>
      <c r="CP99" s="282">
        <v>1.2270000000000001</v>
      </c>
      <c r="CQ99" s="372">
        <v>1.8180000000000001</v>
      </c>
      <c r="CR99" s="372">
        <v>1.387</v>
      </c>
      <c r="CS99" s="372">
        <v>1.278</v>
      </c>
      <c r="CT99" s="300">
        <f>SUM(CP99:CS99)</f>
        <v>5.7100000000000009</v>
      </c>
      <c r="CU99" s="282">
        <v>2.032</v>
      </c>
      <c r="CV99" s="282">
        <v>1.319</v>
      </c>
      <c r="CW99" s="282">
        <v>1.3440000000000001</v>
      </c>
      <c r="CX99" s="282">
        <v>1.042</v>
      </c>
      <c r="CY99" s="300">
        <f>SUM(CU99:CX99)</f>
        <v>5.7370000000000001</v>
      </c>
      <c r="CZ99" s="282">
        <v>0.48</v>
      </c>
      <c r="DA99" s="282">
        <v>0.20200000000000001</v>
      </c>
      <c r="DB99" s="282">
        <v>0.45200000000000001</v>
      </c>
      <c r="DC99" s="282">
        <v>0.307</v>
      </c>
      <c r="DD99" s="300">
        <f>SUM(CZ99:DC99)</f>
        <v>1.4409999999999998</v>
      </c>
      <c r="DE99" s="282">
        <v>1</v>
      </c>
      <c r="DF99" s="282">
        <v>1</v>
      </c>
      <c r="DG99" s="282">
        <v>0</v>
      </c>
      <c r="DH99" s="282"/>
      <c r="DI99" s="300"/>
      <c r="DJ99" s="282"/>
      <c r="DK99" s="282"/>
      <c r="DL99" s="282"/>
      <c r="DM99" s="125"/>
      <c r="DN99" s="300"/>
      <c r="DO99" s="125"/>
      <c r="DP99" s="125"/>
      <c r="DQ99" s="125"/>
      <c r="DR99" s="125"/>
      <c r="DS99" s="300"/>
      <c r="DT99" s="125"/>
      <c r="DU99" s="125"/>
      <c r="DV99" s="125"/>
      <c r="DW99" s="125"/>
      <c r="DX99" s="300"/>
      <c r="DY99" s="125"/>
      <c r="DZ99" s="125"/>
      <c r="EA99" s="125"/>
      <c r="EB99" s="125"/>
      <c r="EC99" s="300"/>
      <c r="ED99" s="491"/>
      <c r="EE99" s="139"/>
    </row>
    <row r="100" spans="1:135" s="296" customFormat="1" ht="12" customHeight="1" outlineLevel="1">
      <c r="A100" s="940"/>
      <c r="B100" s="940"/>
      <c r="C100" s="309" t="s">
        <v>245</v>
      </c>
      <c r="D100" s="343"/>
      <c r="E100" s="343"/>
      <c r="F100" s="343"/>
      <c r="G100" s="343"/>
      <c r="H100" s="343"/>
      <c r="I100" s="299"/>
      <c r="J100" s="299"/>
      <c r="K100" s="299"/>
      <c r="L100" s="299"/>
      <c r="M100" s="343"/>
      <c r="N100" s="299"/>
      <c r="O100" s="299"/>
      <c r="P100" s="299"/>
      <c r="Q100" s="299"/>
      <c r="R100" s="343"/>
      <c r="S100" s="299"/>
      <c r="T100" s="299"/>
      <c r="U100" s="299"/>
      <c r="V100" s="299"/>
      <c r="W100" s="343"/>
      <c r="X100" s="299"/>
      <c r="Y100" s="299"/>
      <c r="Z100" s="299"/>
      <c r="AA100" s="299"/>
      <c r="AB100" s="343"/>
      <c r="AC100" s="299"/>
      <c r="AD100" s="299"/>
      <c r="AE100" s="299"/>
      <c r="AF100" s="299"/>
      <c r="AG100" s="343"/>
      <c r="AH100" s="299"/>
      <c r="AI100" s="299"/>
      <c r="AJ100" s="299"/>
      <c r="AK100" s="299"/>
      <c r="AL100" s="343"/>
      <c r="AM100" s="299"/>
      <c r="AN100" s="299"/>
      <c r="AO100" s="299"/>
      <c r="AP100" s="299"/>
      <c r="AQ100" s="343"/>
      <c r="AR100" s="299"/>
      <c r="AS100" s="299"/>
      <c r="AT100" s="299"/>
      <c r="AU100" s="299"/>
      <c r="AV100" s="343"/>
      <c r="AW100" s="299"/>
      <c r="AX100" s="299"/>
      <c r="AY100" s="299"/>
      <c r="AZ100" s="299"/>
      <c r="BA100" s="343"/>
      <c r="BB100" s="299"/>
      <c r="BC100" s="299"/>
      <c r="BD100" s="299"/>
      <c r="BE100" s="299"/>
      <c r="BF100" s="343"/>
      <c r="BG100" s="396"/>
      <c r="BH100" s="396"/>
      <c r="BI100" s="396"/>
      <c r="BJ100" s="396"/>
      <c r="BK100" s="343"/>
      <c r="BL100" s="396"/>
      <c r="BM100" s="396"/>
      <c r="BN100" s="396"/>
      <c r="BO100" s="396"/>
      <c r="BP100" s="343"/>
      <c r="BQ100" s="282">
        <v>0</v>
      </c>
      <c r="BR100" s="372">
        <v>0</v>
      </c>
      <c r="BS100" s="372">
        <v>0</v>
      </c>
      <c r="BT100" s="372">
        <v>1.8640000000000001</v>
      </c>
      <c r="BU100" s="300">
        <f>SUM(BQ100:BT100)</f>
        <v>1.8640000000000001</v>
      </c>
      <c r="BV100" s="282">
        <v>0.26100000000000001</v>
      </c>
      <c r="BW100" s="372">
        <v>0.22</v>
      </c>
      <c r="BX100" s="372">
        <v>0.33900000000000002</v>
      </c>
      <c r="BY100" s="372">
        <v>0.23</v>
      </c>
      <c r="BZ100" s="300">
        <f>SUM(BV100:BY100)</f>
        <v>1.05</v>
      </c>
      <c r="CA100" s="282">
        <v>0.48499999999999999</v>
      </c>
      <c r="CB100" s="372">
        <v>0.82</v>
      </c>
      <c r="CC100" s="372">
        <v>0.72899999999999998</v>
      </c>
      <c r="CD100" s="372">
        <v>1.19</v>
      </c>
      <c r="CE100" s="300">
        <f>SUM(CA100:CD100)</f>
        <v>3.2239999999999998</v>
      </c>
      <c r="CF100" s="282">
        <v>1.0509999999999999</v>
      </c>
      <c r="CG100" s="372">
        <v>1.5820000000000001</v>
      </c>
      <c r="CH100" s="372">
        <v>0.95</v>
      </c>
      <c r="CI100" s="372">
        <v>0.82799999999999996</v>
      </c>
      <c r="CJ100" s="300">
        <f>SUM(CF100:CI100)</f>
        <v>4.4110000000000005</v>
      </c>
      <c r="CK100" s="282">
        <v>1.8080000000000001</v>
      </c>
      <c r="CL100" s="372">
        <v>3.4649999999999999</v>
      </c>
      <c r="CM100" s="372">
        <v>2.7770000000000001</v>
      </c>
      <c r="CN100" s="372">
        <v>3.0459999999999998</v>
      </c>
      <c r="CO100" s="300">
        <f>SUM(CK100:CN100)</f>
        <v>11.096</v>
      </c>
      <c r="CP100" s="282">
        <v>3.8170000000000002</v>
      </c>
      <c r="CQ100" s="372">
        <v>10.464</v>
      </c>
      <c r="CR100" s="372">
        <v>8.3339999999999996</v>
      </c>
      <c r="CS100" s="372">
        <v>11.515000000000001</v>
      </c>
      <c r="CT100" s="300">
        <f>SUM(CP100:CS100)</f>
        <v>34.130000000000003</v>
      </c>
      <c r="CU100" s="282">
        <v>11.738</v>
      </c>
      <c r="CV100" s="282">
        <v>7.2409999999999997</v>
      </c>
      <c r="CW100" s="282">
        <v>9.6460000000000008</v>
      </c>
      <c r="CX100" s="282">
        <v>6.9690000000000003</v>
      </c>
      <c r="CY100" s="300">
        <f>SUM(CU100:CX100)</f>
        <v>35.594000000000001</v>
      </c>
      <c r="CZ100" s="282">
        <v>3.2730000000000001</v>
      </c>
      <c r="DA100" s="282">
        <v>1.1950000000000001</v>
      </c>
      <c r="DB100" s="282">
        <v>2.8479999999999999</v>
      </c>
      <c r="DC100" s="282">
        <v>2.1509999999999998</v>
      </c>
      <c r="DD100" s="300">
        <f>SUM(CZ100:DC100)</f>
        <v>9.4669999999999987</v>
      </c>
      <c r="DE100" s="282">
        <v>5</v>
      </c>
      <c r="DF100" s="282">
        <v>4</v>
      </c>
      <c r="DG100" s="282">
        <v>0</v>
      </c>
      <c r="DH100" s="282"/>
      <c r="DI100" s="300"/>
      <c r="DJ100" s="282"/>
      <c r="DK100" s="282"/>
      <c r="DL100" s="282"/>
      <c r="DM100" s="125"/>
      <c r="DN100" s="300"/>
      <c r="DO100" s="125"/>
      <c r="DP100" s="125"/>
      <c r="DQ100" s="125"/>
      <c r="DR100" s="125"/>
      <c r="DS100" s="300"/>
      <c r="DT100" s="125"/>
      <c r="DU100" s="125"/>
      <c r="DV100" s="125"/>
      <c r="DW100" s="125"/>
      <c r="DX100" s="300"/>
      <c r="DY100" s="125"/>
      <c r="DZ100" s="125"/>
      <c r="EA100" s="125"/>
      <c r="EB100" s="125"/>
      <c r="EC100" s="300"/>
      <c r="ED100" s="491"/>
      <c r="EE100" s="139"/>
    </row>
    <row r="101" spans="1:135" s="296" customFormat="1" ht="12" customHeight="1" outlineLevel="1">
      <c r="A101" s="940"/>
      <c r="B101" s="940"/>
      <c r="C101" s="387" t="s">
        <v>154</v>
      </c>
      <c r="D101" s="343"/>
      <c r="E101" s="343"/>
      <c r="F101" s="343"/>
      <c r="G101" s="343"/>
      <c r="H101" s="343"/>
      <c r="I101" s="299"/>
      <c r="J101" s="299"/>
      <c r="K101" s="299"/>
      <c r="L101" s="299"/>
      <c r="M101" s="343"/>
      <c r="N101" s="299"/>
      <c r="O101" s="299"/>
      <c r="P101" s="299"/>
      <c r="Q101" s="299"/>
      <c r="R101" s="343"/>
      <c r="S101" s="299"/>
      <c r="T101" s="299"/>
      <c r="U101" s="299"/>
      <c r="V101" s="299"/>
      <c r="W101" s="343"/>
      <c r="X101" s="299"/>
      <c r="Y101" s="299"/>
      <c r="Z101" s="299"/>
      <c r="AA101" s="299"/>
      <c r="AB101" s="343"/>
      <c r="AC101" s="299"/>
      <c r="AD101" s="299"/>
      <c r="AE101" s="299"/>
      <c r="AF101" s="299"/>
      <c r="AG101" s="343"/>
      <c r="AH101" s="299"/>
      <c r="AI101" s="299"/>
      <c r="AJ101" s="299"/>
      <c r="AK101" s="299"/>
      <c r="AL101" s="343"/>
      <c r="AM101" s="299"/>
      <c r="AN101" s="299"/>
      <c r="AO101" s="299"/>
      <c r="AP101" s="299"/>
      <c r="AQ101" s="343"/>
      <c r="AR101" s="299"/>
      <c r="AS101" s="299"/>
      <c r="AT101" s="299"/>
      <c r="AU101" s="299"/>
      <c r="AV101" s="343"/>
      <c r="AW101" s="299"/>
      <c r="AX101" s="299"/>
      <c r="AY101" s="299"/>
      <c r="AZ101" s="299"/>
      <c r="BA101" s="343"/>
      <c r="BB101" s="299"/>
      <c r="BC101" s="299"/>
      <c r="BD101" s="299"/>
      <c r="BE101" s="299"/>
      <c r="BF101" s="343"/>
      <c r="BG101" s="396"/>
      <c r="BH101" s="396"/>
      <c r="BI101" s="396"/>
      <c r="BJ101" s="396"/>
      <c r="BK101" s="343"/>
      <c r="BL101" s="396"/>
      <c r="BM101" s="396"/>
      <c r="BN101" s="396"/>
      <c r="BO101" s="396"/>
      <c r="BP101" s="343"/>
      <c r="BQ101" s="390">
        <v>0</v>
      </c>
      <c r="BR101" s="398">
        <v>0</v>
      </c>
      <c r="BS101" s="398">
        <v>0</v>
      </c>
      <c r="BT101" s="398">
        <v>0.151</v>
      </c>
      <c r="BU101" s="391">
        <f>SUM(BQ101:BT101)</f>
        <v>0.151</v>
      </c>
      <c r="BV101" s="390">
        <v>0.02</v>
      </c>
      <c r="BW101" s="398">
        <v>3.5999999999999997E-2</v>
      </c>
      <c r="BX101" s="398">
        <v>0.16600000000000001</v>
      </c>
      <c r="BY101" s="398">
        <v>7.1999999999999995E-2</v>
      </c>
      <c r="BZ101" s="391">
        <f>SUM(BV101:BY101)</f>
        <v>0.29399999999999998</v>
      </c>
      <c r="CA101" s="390">
        <v>0.24099999999999999</v>
      </c>
      <c r="CB101" s="398">
        <v>0.20100000000000001</v>
      </c>
      <c r="CC101" s="398">
        <v>8.3000000000000004E-2</v>
      </c>
      <c r="CD101" s="398">
        <v>1.222</v>
      </c>
      <c r="CE101" s="391">
        <f>SUM(CA101:CD101)</f>
        <v>1.7469999999999999</v>
      </c>
      <c r="CF101" s="390">
        <v>0.34499999999999997</v>
      </c>
      <c r="CG101" s="398">
        <v>0.14000000000000001</v>
      </c>
      <c r="CH101" s="398">
        <v>0.17399999999999999</v>
      </c>
      <c r="CI101" s="398">
        <v>0.63500000000000001</v>
      </c>
      <c r="CJ101" s="391">
        <f>SUM(CF101:CI101)</f>
        <v>1.294</v>
      </c>
      <c r="CK101" s="390">
        <v>0.53100000000000003</v>
      </c>
      <c r="CL101" s="398">
        <v>0.46200000000000002</v>
      </c>
      <c r="CM101" s="398">
        <v>0.59199999999999997</v>
      </c>
      <c r="CN101" s="398">
        <v>0.85799999999999998</v>
      </c>
      <c r="CO101" s="391">
        <f>SUM(CK101:CN101)</f>
        <v>2.4430000000000001</v>
      </c>
      <c r="CP101" s="390">
        <v>0.97399999999999998</v>
      </c>
      <c r="CQ101" s="398">
        <v>1.52</v>
      </c>
      <c r="CR101" s="398">
        <v>1.627</v>
      </c>
      <c r="CS101" s="398">
        <v>2.4159999999999999</v>
      </c>
      <c r="CT101" s="391">
        <f>SUM(CP101:CS101)</f>
        <v>6.536999999999999</v>
      </c>
      <c r="CU101" s="390">
        <v>3.706</v>
      </c>
      <c r="CV101" s="390">
        <v>1.8560000000000001</v>
      </c>
      <c r="CW101" s="390">
        <v>15.52</v>
      </c>
      <c r="CX101" s="390">
        <v>2.907</v>
      </c>
      <c r="CY101" s="391">
        <f>SUM(CU101:CX101)</f>
        <v>23.989000000000001</v>
      </c>
      <c r="CZ101" s="390">
        <v>1.3360000000000001</v>
      </c>
      <c r="DA101" s="390">
        <v>0.245</v>
      </c>
      <c r="DB101" s="390">
        <v>0.29399999999999998</v>
      </c>
      <c r="DC101" s="390">
        <v>0.63100000000000001</v>
      </c>
      <c r="DD101" s="391">
        <f>SUM(CZ101:DC101)</f>
        <v>2.5060000000000002</v>
      </c>
      <c r="DE101" s="390">
        <v>6</v>
      </c>
      <c r="DF101" s="390">
        <v>1</v>
      </c>
      <c r="DG101" s="390">
        <v>0</v>
      </c>
      <c r="DH101" s="390"/>
      <c r="DI101" s="391"/>
      <c r="DJ101" s="390"/>
      <c r="DK101" s="390"/>
      <c r="DL101" s="390"/>
      <c r="DM101" s="392"/>
      <c r="DN101" s="391"/>
      <c r="DO101" s="392"/>
      <c r="DP101" s="392"/>
      <c r="DQ101" s="392"/>
      <c r="DR101" s="392"/>
      <c r="DS101" s="391"/>
      <c r="DT101" s="392"/>
      <c r="DU101" s="392"/>
      <c r="DV101" s="392"/>
      <c r="DW101" s="392"/>
      <c r="DX101" s="391"/>
      <c r="DY101" s="392"/>
      <c r="DZ101" s="392"/>
      <c r="EA101" s="392"/>
      <c r="EB101" s="392"/>
      <c r="EC101" s="391"/>
      <c r="ED101" s="1175"/>
      <c r="EE101" s="139"/>
    </row>
    <row r="102" spans="1:135" s="296" customFormat="1" ht="12" customHeight="1" outlineLevel="1">
      <c r="A102" s="940"/>
      <c r="B102" s="940"/>
      <c r="C102" s="309" t="s">
        <v>250</v>
      </c>
      <c r="D102" s="343"/>
      <c r="E102" s="343"/>
      <c r="F102" s="343"/>
      <c r="G102" s="343"/>
      <c r="H102" s="343"/>
      <c r="I102" s="299"/>
      <c r="J102" s="299"/>
      <c r="K102" s="299"/>
      <c r="L102" s="299"/>
      <c r="M102" s="343"/>
      <c r="N102" s="299"/>
      <c r="O102" s="299"/>
      <c r="P102" s="299"/>
      <c r="Q102" s="299"/>
      <c r="R102" s="343"/>
      <c r="S102" s="299"/>
      <c r="T102" s="299"/>
      <c r="U102" s="299"/>
      <c r="V102" s="299"/>
      <c r="W102" s="343"/>
      <c r="X102" s="299"/>
      <c r="Y102" s="299"/>
      <c r="Z102" s="299"/>
      <c r="AA102" s="299"/>
      <c r="AB102" s="343"/>
      <c r="AC102" s="299"/>
      <c r="AD102" s="299"/>
      <c r="AE102" s="299"/>
      <c r="AF102" s="299"/>
      <c r="AG102" s="343"/>
      <c r="AH102" s="299"/>
      <c r="AI102" s="299"/>
      <c r="AJ102" s="299"/>
      <c r="AK102" s="299"/>
      <c r="AL102" s="343"/>
      <c r="AM102" s="299"/>
      <c r="AN102" s="299"/>
      <c r="AO102" s="299"/>
      <c r="AP102" s="299"/>
      <c r="AQ102" s="343"/>
      <c r="AR102" s="299"/>
      <c r="AS102" s="299"/>
      <c r="AT102" s="299"/>
      <c r="AU102" s="299"/>
      <c r="AV102" s="343"/>
      <c r="AW102" s="299"/>
      <c r="AX102" s="299"/>
      <c r="AY102" s="299"/>
      <c r="AZ102" s="299"/>
      <c r="BA102" s="343"/>
      <c r="BB102" s="299"/>
      <c r="BC102" s="299"/>
      <c r="BD102" s="299"/>
      <c r="BE102" s="299"/>
      <c r="BF102" s="343"/>
      <c r="BG102" s="396"/>
      <c r="BH102" s="396"/>
      <c r="BI102" s="396"/>
      <c r="BJ102" s="396"/>
      <c r="BK102" s="343"/>
      <c r="BL102" s="396"/>
      <c r="BM102" s="396"/>
      <c r="BN102" s="396"/>
      <c r="BO102" s="396"/>
      <c r="BP102" s="343"/>
      <c r="BQ102" s="125">
        <f>SUM(BQ98:BQ101)</f>
        <v>0</v>
      </c>
      <c r="BR102" s="344">
        <f>SUM(BR98:BR101)</f>
        <v>0</v>
      </c>
      <c r="BS102" s="344">
        <f>SUM(BS98:BS101)</f>
        <v>0</v>
      </c>
      <c r="BT102" s="344">
        <f>SUM(BT98:BT101)</f>
        <v>2.33</v>
      </c>
      <c r="BU102" s="300">
        <f>SUM(BQ102:BT102)</f>
        <v>2.33</v>
      </c>
      <c r="BV102" s="125">
        <f>SUM(BV98:BV101)</f>
        <v>0.33200000000000002</v>
      </c>
      <c r="BW102" s="344">
        <f>SUM(BW98:BW101)</f>
        <v>0.36199999999999999</v>
      </c>
      <c r="BX102" s="344">
        <f>SUM(BX98:BX101)</f>
        <v>0.79600000000000004</v>
      </c>
      <c r="BY102" s="344">
        <f>SUM(BY98:BY101)</f>
        <v>0.436</v>
      </c>
      <c r="BZ102" s="300">
        <f>SUM(BV102:BY102)</f>
        <v>1.9259999999999999</v>
      </c>
      <c r="CA102" s="125">
        <f>SUM(CA98:CA101)</f>
        <v>0.94</v>
      </c>
      <c r="CB102" s="344">
        <f>SUM(CB98:CB101)</f>
        <v>1.3679999999999999</v>
      </c>
      <c r="CC102" s="344">
        <f>SUM(CC98:CC101)</f>
        <v>1.0129999999999999</v>
      </c>
      <c r="CD102" s="344">
        <f>SUM(CD98:CD101)</f>
        <v>2.7189999999999999</v>
      </c>
      <c r="CE102" s="300">
        <f>SUM(CA102:CD102)</f>
        <v>6.0399999999999991</v>
      </c>
      <c r="CF102" s="125">
        <f>SUM(CF98:CF101)</f>
        <v>2.19</v>
      </c>
      <c r="CG102" s="344">
        <f>SUM(CG98:CG101)</f>
        <v>2.302</v>
      </c>
      <c r="CH102" s="344">
        <f>SUM(CH98:CH101)</f>
        <v>1.5429999999999999</v>
      </c>
      <c r="CI102" s="344">
        <f>SUM(CI98:CI101)</f>
        <v>2.0069999999999997</v>
      </c>
      <c r="CJ102" s="300">
        <f>SUM(CF102:CI102)</f>
        <v>8.0419999999999998</v>
      </c>
      <c r="CK102" s="125">
        <f>SUM(CK98:CK101)</f>
        <v>3.2490000000000001</v>
      </c>
      <c r="CL102" s="344">
        <f>SUM(CL98:CL101)</f>
        <v>5.1609999999999996</v>
      </c>
      <c r="CM102" s="344">
        <f>SUM(CM98:CM101)</f>
        <v>4.4669999999999996</v>
      </c>
      <c r="CN102" s="344">
        <f>SUM(CN98:CN101)</f>
        <v>5.43</v>
      </c>
      <c r="CO102" s="300">
        <f>SUM(CK102:CN102)</f>
        <v>18.306999999999999</v>
      </c>
      <c r="CP102" s="125">
        <f>SUM(CP98:CP101)</f>
        <v>6.1940000000000008</v>
      </c>
      <c r="CQ102" s="344">
        <f>SUM(CQ98:CQ101)</f>
        <v>14.143000000000001</v>
      </c>
      <c r="CR102" s="344">
        <f>SUM(CR98:CR101)</f>
        <v>11.595000000000001</v>
      </c>
      <c r="CS102" s="344">
        <f>SUM(CS98:CS101)</f>
        <v>15.434000000000001</v>
      </c>
      <c r="CT102" s="300">
        <f>SUM(CP102:CS102)</f>
        <v>47.366</v>
      </c>
      <c r="CU102" s="125">
        <f>SUM(CU98:CU101)</f>
        <v>17.812000000000001</v>
      </c>
      <c r="CV102" s="125">
        <f>SUM(CV98:CV101)</f>
        <v>10.587999999999999</v>
      </c>
      <c r="CW102" s="125">
        <f>SUM(CW98:CW101)</f>
        <v>26.798000000000002</v>
      </c>
      <c r="CX102" s="125">
        <f>SUM(CX98:CX101)</f>
        <v>11.088000000000001</v>
      </c>
      <c r="CY102" s="300">
        <f>SUM(CU102:CX102)</f>
        <v>66.286000000000001</v>
      </c>
      <c r="CZ102" s="125">
        <f>SUM(CZ98:CZ101)</f>
        <v>5.2050000000000001</v>
      </c>
      <c r="DA102" s="125">
        <f>SUM(DA98:DA101)</f>
        <v>1.6920000000000002</v>
      </c>
      <c r="DB102" s="125">
        <f>SUM(DB98:DB101)</f>
        <v>3.661</v>
      </c>
      <c r="DC102" s="125">
        <f>SUM(DC98:DC101)</f>
        <v>3.1609999999999996</v>
      </c>
      <c r="DD102" s="300">
        <f>SUM(CZ102:DC102)</f>
        <v>13.718999999999999</v>
      </c>
      <c r="DE102" s="125">
        <f>SUM(DE98:DE101)</f>
        <v>12</v>
      </c>
      <c r="DF102" s="125">
        <f>SUM(DF98:DF101)</f>
        <v>6</v>
      </c>
      <c r="DG102" s="125">
        <f>SUM(DG98:DG101)</f>
        <v>0</v>
      </c>
      <c r="DH102" s="125"/>
      <c r="DI102" s="300"/>
      <c r="DJ102" s="125"/>
      <c r="DK102" s="125"/>
      <c r="DL102" s="125"/>
      <c r="DM102" s="125"/>
      <c r="DN102" s="300"/>
      <c r="DO102" s="125"/>
      <c r="DP102" s="125"/>
      <c r="DQ102" s="125"/>
      <c r="DR102" s="125"/>
      <c r="DS102" s="300"/>
      <c r="DT102" s="125"/>
      <c r="DU102" s="125"/>
      <c r="DV102" s="125"/>
      <c r="DW102" s="125"/>
      <c r="DX102" s="300"/>
      <c r="DY102" s="125"/>
      <c r="DZ102" s="125"/>
      <c r="EA102" s="125"/>
      <c r="EB102" s="125"/>
      <c r="EC102" s="300"/>
      <c r="ED102" s="491"/>
      <c r="EE102" s="139"/>
    </row>
    <row r="103" spans="1:135" s="296" customFormat="1" ht="12" customHeight="1" outlineLevel="1">
      <c r="A103" s="940"/>
      <c r="B103" s="940"/>
      <c r="C103" s="399" t="s">
        <v>214</v>
      </c>
      <c r="D103" s="343"/>
      <c r="E103" s="343"/>
      <c r="F103" s="343"/>
      <c r="G103" s="343"/>
      <c r="H103" s="343"/>
      <c r="I103" s="299"/>
      <c r="J103" s="299"/>
      <c r="K103" s="299"/>
      <c r="L103" s="299"/>
      <c r="M103" s="343"/>
      <c r="N103" s="299"/>
      <c r="O103" s="299"/>
      <c r="P103" s="299"/>
      <c r="Q103" s="299"/>
      <c r="R103" s="343"/>
      <c r="S103" s="299"/>
      <c r="T103" s="299"/>
      <c r="U103" s="299"/>
      <c r="V103" s="299"/>
      <c r="W103" s="343"/>
      <c r="X103" s="299"/>
      <c r="Y103" s="299"/>
      <c r="Z103" s="299"/>
      <c r="AA103" s="299"/>
      <c r="AB103" s="343"/>
      <c r="AC103" s="299"/>
      <c r="AD103" s="299"/>
      <c r="AE103" s="299"/>
      <c r="AF103" s="299"/>
      <c r="AG103" s="343"/>
      <c r="AH103" s="299"/>
      <c r="AI103" s="299"/>
      <c r="AJ103" s="299"/>
      <c r="AK103" s="299"/>
      <c r="AL103" s="343"/>
      <c r="AM103" s="299"/>
      <c r="AN103" s="299"/>
      <c r="AO103" s="299"/>
      <c r="AP103" s="299"/>
      <c r="AQ103" s="343"/>
      <c r="AR103" s="299"/>
      <c r="AS103" s="299"/>
      <c r="AT103" s="299"/>
      <c r="AU103" s="299"/>
      <c r="AV103" s="343"/>
      <c r="AW103" s="299"/>
      <c r="AX103" s="299"/>
      <c r="AY103" s="299"/>
      <c r="AZ103" s="299"/>
      <c r="BA103" s="343"/>
      <c r="BB103" s="299"/>
      <c r="BC103" s="299"/>
      <c r="BD103" s="299"/>
      <c r="BE103" s="299"/>
      <c r="BF103" s="343"/>
      <c r="BG103" s="396"/>
      <c r="BH103" s="396"/>
      <c r="BI103" s="396"/>
      <c r="BJ103" s="396"/>
      <c r="BK103" s="343"/>
      <c r="BL103" s="396"/>
      <c r="BM103" s="396"/>
      <c r="BN103" s="396"/>
      <c r="BO103" s="396"/>
      <c r="BP103" s="343"/>
      <c r="BQ103" s="397">
        <f t="shared" ref="BQ103:BZ103" si="538">BQ102/BQ$11</f>
        <v>0</v>
      </c>
      <c r="BR103" s="400">
        <f t="shared" si="538"/>
        <v>0</v>
      </c>
      <c r="BS103" s="400">
        <f t="shared" si="538"/>
        <v>0</v>
      </c>
      <c r="BT103" s="400">
        <f t="shared" si="538"/>
        <v>3.3203653826970485E-2</v>
      </c>
      <c r="BU103" s="286">
        <f t="shared" si="538"/>
        <v>1.1352950061637262E-2</v>
      </c>
      <c r="BV103" s="397">
        <f t="shared" si="538"/>
        <v>4.565330986496521E-3</v>
      </c>
      <c r="BW103" s="400">
        <f t="shared" si="538"/>
        <v>4.1778711322954061E-3</v>
      </c>
      <c r="BX103" s="400">
        <f t="shared" si="538"/>
        <v>7.993733555604652E-3</v>
      </c>
      <c r="BY103" s="400">
        <f t="shared" si="538"/>
        <v>3.343994232376921E-3</v>
      </c>
      <c r="BZ103" s="286">
        <f t="shared" si="538"/>
        <v>4.9469601623301574E-3</v>
      </c>
      <c r="CA103" s="397">
        <f t="shared" ref="CA103:CZ103" si="539">CA102/CA$11</f>
        <v>7.3795523594941074E-3</v>
      </c>
      <c r="CB103" s="400">
        <f t="shared" si="539"/>
        <v>9.0204741024034803E-3</v>
      </c>
      <c r="CC103" s="400">
        <f t="shared" si="539"/>
        <v>5.9082213512504653E-3</v>
      </c>
      <c r="CD103" s="400">
        <f t="shared" si="539"/>
        <v>1.2203003401940632E-2</v>
      </c>
      <c r="CE103" s="286">
        <f t="shared" si="539"/>
        <v>8.9706878319451532E-3</v>
      </c>
      <c r="CF103" s="397">
        <f t="shared" si="539"/>
        <v>1.0217411589064104E-2</v>
      </c>
      <c r="CG103" s="400">
        <f t="shared" si="539"/>
        <v>9.3973375571004599E-3</v>
      </c>
      <c r="CH103" s="400">
        <f t="shared" si="539"/>
        <v>5.7134605130635709E-3</v>
      </c>
      <c r="CI103" s="400">
        <f t="shared" si="539"/>
        <v>5.8366437698844304E-3</v>
      </c>
      <c r="CJ103" s="286">
        <f t="shared" si="539"/>
        <v>7.4932749674114299E-3</v>
      </c>
      <c r="CK103" s="397">
        <f t="shared" si="539"/>
        <v>1.0137854856122966E-2</v>
      </c>
      <c r="CL103" s="400">
        <f t="shared" si="539"/>
        <v>1.4257733183416717E-2</v>
      </c>
      <c r="CM103" s="400">
        <f t="shared" si="539"/>
        <v>1.1437657469427886E-2</v>
      </c>
      <c r="CN103" s="400">
        <f t="shared" si="539"/>
        <v>1.0749069601710348E-2</v>
      </c>
      <c r="CO103" s="286">
        <f t="shared" si="539"/>
        <v>1.1600122420038867E-2</v>
      </c>
      <c r="CP103" s="397">
        <f t="shared" si="539"/>
        <v>1.317869536447795E-2</v>
      </c>
      <c r="CQ103" s="400">
        <f t="shared" si="539"/>
        <v>1.9798667583129065E-2</v>
      </c>
      <c r="CR103" s="400">
        <f t="shared" si="539"/>
        <v>1.5109362070875224E-2</v>
      </c>
      <c r="CS103" s="400">
        <f t="shared" si="539"/>
        <v>1.5785318038259506E-2</v>
      </c>
      <c r="CT103" s="286">
        <f t="shared" si="539"/>
        <v>1.6168679132313429E-2</v>
      </c>
      <c r="CU103" s="397">
        <f t="shared" si="539"/>
        <v>1.8016541799044557E-2</v>
      </c>
      <c r="CV103" s="397">
        <f t="shared" si="539"/>
        <v>9.458258333370554E-3</v>
      </c>
      <c r="CW103" s="397">
        <f t="shared" si="539"/>
        <v>2.3847153256091269E-2</v>
      </c>
      <c r="CX103" s="397">
        <f t="shared" si="539"/>
        <v>8.034642875776073E-3</v>
      </c>
      <c r="CY103" s="286">
        <f>CY102/CY$11</f>
        <v>1.4372955270069144E-2</v>
      </c>
      <c r="CZ103" s="397">
        <f t="shared" si="539"/>
        <v>4.3244437834770522E-3</v>
      </c>
      <c r="DA103" s="397">
        <f t="shared" ref="DA103:DB103" si="540">DA102/DA$11</f>
        <v>1.306500147097091E-3</v>
      </c>
      <c r="DB103" s="397">
        <f t="shared" si="540"/>
        <v>2.6796955057824621E-3</v>
      </c>
      <c r="DC103" s="397">
        <f t="shared" ref="DC103:DE103" si="541">DC102/DC$11</f>
        <v>1.8219251195116016E-3</v>
      </c>
      <c r="DD103" s="286">
        <f>DD102/DD$11</f>
        <v>2.4498809256796234E-3</v>
      </c>
      <c r="DE103" s="397">
        <f t="shared" si="541"/>
        <v>7.9575596816976128E-3</v>
      </c>
      <c r="DF103" s="397">
        <f t="shared" ref="DF103:DG103" si="542">DF102/DF$11</f>
        <v>3.5419126328217238E-3</v>
      </c>
      <c r="DG103" s="397">
        <f t="shared" si="542"/>
        <v>0</v>
      </c>
      <c r="DH103" s="397"/>
      <c r="DI103" s="286"/>
      <c r="DJ103" s="397"/>
      <c r="DK103" s="397"/>
      <c r="DL103" s="397"/>
      <c r="DM103" s="397"/>
      <c r="DN103" s="286"/>
      <c r="DO103" s="397"/>
      <c r="DP103" s="397"/>
      <c r="DQ103" s="397"/>
      <c r="DR103" s="397"/>
      <c r="DS103" s="286"/>
      <c r="DT103" s="397"/>
      <c r="DU103" s="397"/>
      <c r="DV103" s="397"/>
      <c r="DW103" s="397"/>
      <c r="DX103" s="286"/>
      <c r="DY103" s="397"/>
      <c r="DZ103" s="397"/>
      <c r="EA103" s="397"/>
      <c r="EB103" s="397"/>
      <c r="EC103" s="286"/>
      <c r="ED103" s="287"/>
      <c r="EE103" s="139"/>
    </row>
    <row r="104" spans="1:135" s="296" customFormat="1" ht="12" customHeight="1" outlineLevel="1">
      <c r="A104" s="940"/>
      <c r="B104" s="940"/>
      <c r="C104" s="309" t="s">
        <v>75</v>
      </c>
      <c r="D104" s="343"/>
      <c r="E104" s="343"/>
      <c r="F104" s="343"/>
      <c r="G104" s="343"/>
      <c r="H104" s="343"/>
      <c r="I104" s="299"/>
      <c r="J104" s="299"/>
      <c r="K104" s="299"/>
      <c r="L104" s="299"/>
      <c r="M104" s="343"/>
      <c r="N104" s="299"/>
      <c r="O104" s="299"/>
      <c r="P104" s="299"/>
      <c r="Q104" s="299"/>
      <c r="R104" s="343"/>
      <c r="S104" s="299"/>
      <c r="T104" s="299"/>
      <c r="U104" s="299"/>
      <c r="V104" s="299"/>
      <c r="W104" s="343"/>
      <c r="X104" s="299"/>
      <c r="Y104" s="299"/>
      <c r="Z104" s="299"/>
      <c r="AA104" s="299"/>
      <c r="AB104" s="343"/>
      <c r="AC104" s="299"/>
      <c r="AD104" s="299"/>
      <c r="AE104" s="299"/>
      <c r="AF104" s="299"/>
      <c r="AG104" s="343"/>
      <c r="AH104" s="299"/>
      <c r="AI104" s="299"/>
      <c r="AJ104" s="299"/>
      <c r="AK104" s="299"/>
      <c r="AL104" s="343"/>
      <c r="AM104" s="299"/>
      <c r="AN104" s="299"/>
      <c r="AO104" s="299"/>
      <c r="AP104" s="299"/>
      <c r="AQ104" s="343"/>
      <c r="AR104" s="299"/>
      <c r="AS104" s="299"/>
      <c r="AT104" s="299"/>
      <c r="AU104" s="299"/>
      <c r="AV104" s="343"/>
      <c r="AW104" s="299"/>
      <c r="AX104" s="299"/>
      <c r="AY104" s="299"/>
      <c r="AZ104" s="299"/>
      <c r="BA104" s="343"/>
      <c r="BB104" s="299"/>
      <c r="BC104" s="299"/>
      <c r="BD104" s="299"/>
      <c r="BE104" s="299"/>
      <c r="BF104" s="343"/>
      <c r="BG104" s="299"/>
      <c r="BH104" s="299"/>
      <c r="BI104" s="299"/>
      <c r="BJ104" s="299"/>
      <c r="BK104" s="343"/>
      <c r="BL104" s="299"/>
      <c r="BM104" s="299"/>
      <c r="BN104" s="299"/>
      <c r="BO104" s="299"/>
      <c r="BP104" s="343"/>
      <c r="BQ104" s="282">
        <v>0.56599999999999995</v>
      </c>
      <c r="BR104" s="372">
        <v>0</v>
      </c>
      <c r="BS104" s="372">
        <v>0</v>
      </c>
      <c r="BT104" s="372">
        <v>0</v>
      </c>
      <c r="BU104" s="364">
        <f>SUM(BQ104:BT104)</f>
        <v>0.56599999999999995</v>
      </c>
      <c r="BV104" s="282">
        <v>0</v>
      </c>
      <c r="BW104" s="372">
        <v>0</v>
      </c>
      <c r="BX104" s="372">
        <v>0</v>
      </c>
      <c r="BY104" s="372">
        <v>0</v>
      </c>
      <c r="BZ104" s="364">
        <f>SUM(BV104:BY104)</f>
        <v>0</v>
      </c>
      <c r="CA104" s="282">
        <v>0</v>
      </c>
      <c r="CB104" s="372">
        <v>0</v>
      </c>
      <c r="CC104" s="372">
        <v>0</v>
      </c>
      <c r="CD104" s="372">
        <v>0</v>
      </c>
      <c r="CE104" s="364">
        <f>SUM(CA104:CD104)</f>
        <v>0</v>
      </c>
      <c r="CF104" s="282">
        <v>0</v>
      </c>
      <c r="CG104" s="372">
        <v>0</v>
      </c>
      <c r="CH104" s="372">
        <v>0</v>
      </c>
      <c r="CI104" s="372">
        <v>0</v>
      </c>
      <c r="CJ104" s="364">
        <f>SUM(CF104:CI104)</f>
        <v>0</v>
      </c>
      <c r="CK104" s="282">
        <v>0</v>
      </c>
      <c r="CL104" s="372">
        <v>0</v>
      </c>
      <c r="CM104" s="372">
        <v>0</v>
      </c>
      <c r="CN104" s="372">
        <v>0</v>
      </c>
      <c r="CO104" s="364">
        <f>SUM(CK104:CN104)</f>
        <v>0</v>
      </c>
      <c r="CP104" s="282">
        <v>0</v>
      </c>
      <c r="CQ104" s="372">
        <v>31.623000000000001</v>
      </c>
      <c r="CR104" s="372">
        <v>0</v>
      </c>
      <c r="CS104" s="372">
        <v>0</v>
      </c>
      <c r="CT104" s="364">
        <f>SUM(CP104:CS104)</f>
        <v>31.623000000000001</v>
      </c>
      <c r="CU104" s="282">
        <v>0</v>
      </c>
      <c r="CV104" s="282">
        <v>0</v>
      </c>
      <c r="CW104" s="282">
        <v>30.145</v>
      </c>
      <c r="CX104" s="282">
        <v>0</v>
      </c>
      <c r="CY104" s="364">
        <f>SUM(CU104:CX104)</f>
        <v>30.145</v>
      </c>
      <c r="CZ104" s="282">
        <v>0</v>
      </c>
      <c r="DA104" s="282">
        <v>0</v>
      </c>
      <c r="DB104" s="282">
        <f>10.845+8.402+11.234+97</f>
        <v>127.48099999999999</v>
      </c>
      <c r="DC104" s="282">
        <v>84.313999999999993</v>
      </c>
      <c r="DD104" s="364">
        <f>SUM(CZ104:DC104)</f>
        <v>211.79499999999999</v>
      </c>
      <c r="DE104" s="282">
        <v>0</v>
      </c>
      <c r="DF104" s="282">
        <f>164+102+18+28+1340</f>
        <v>1652</v>
      </c>
      <c r="DG104" s="282">
        <f>4+38</f>
        <v>42</v>
      </c>
      <c r="DH104" s="401">
        <v>0</v>
      </c>
      <c r="DI104" s="364">
        <f>SUM(DE104:DH104)</f>
        <v>1694</v>
      </c>
      <c r="DJ104" s="401">
        <v>0</v>
      </c>
      <c r="DK104" s="402">
        <v>-55</v>
      </c>
      <c r="DL104" s="1124">
        <v>0</v>
      </c>
      <c r="DM104" s="403">
        <v>0</v>
      </c>
      <c r="DN104" s="364">
        <f>SUM(DJ104:DM104)</f>
        <v>-55</v>
      </c>
      <c r="DO104" s="403">
        <v>0</v>
      </c>
      <c r="DP104" s="403">
        <v>0</v>
      </c>
      <c r="DQ104" s="403">
        <v>0</v>
      </c>
      <c r="DR104" s="403">
        <v>0</v>
      </c>
      <c r="DS104" s="364">
        <f>SUM(DO104:DR104)</f>
        <v>0</v>
      </c>
      <c r="DT104" s="403">
        <v>0</v>
      </c>
      <c r="DU104" s="403">
        <v>0</v>
      </c>
      <c r="DV104" s="403">
        <v>0</v>
      </c>
      <c r="DW104" s="403">
        <v>0</v>
      </c>
      <c r="DX104" s="364">
        <f>SUM(DT104:DW104)</f>
        <v>0</v>
      </c>
      <c r="DY104" s="403">
        <v>0</v>
      </c>
      <c r="DZ104" s="403">
        <v>0</v>
      </c>
      <c r="EA104" s="403">
        <v>0</v>
      </c>
      <c r="EB104" s="403">
        <v>0</v>
      </c>
      <c r="EC104" s="364">
        <f>SUM(DY104:EB104)</f>
        <v>0</v>
      </c>
      <c r="ED104" s="1173"/>
      <c r="EE104" s="139"/>
    </row>
    <row r="105" spans="1:135" s="296" customFormat="1">
      <c r="A105" s="940"/>
      <c r="B105" s="940"/>
      <c r="C105" s="291" t="s">
        <v>350</v>
      </c>
      <c r="D105" s="339"/>
      <c r="E105" s="339"/>
      <c r="F105" s="339"/>
      <c r="G105" s="339"/>
      <c r="H105" s="339"/>
      <c r="I105" s="340"/>
      <c r="J105" s="340"/>
      <c r="K105" s="340"/>
      <c r="L105" s="340"/>
      <c r="M105" s="339"/>
      <c r="N105" s="340"/>
      <c r="O105" s="340"/>
      <c r="P105" s="340"/>
      <c r="Q105" s="340"/>
      <c r="R105" s="339"/>
      <c r="S105" s="340"/>
      <c r="T105" s="340"/>
      <c r="U105" s="340"/>
      <c r="V105" s="340"/>
      <c r="W105" s="339"/>
      <c r="X105" s="340"/>
      <c r="Y105" s="340"/>
      <c r="Z105" s="340"/>
      <c r="AA105" s="340"/>
      <c r="AB105" s="339"/>
      <c r="AC105" s="340"/>
      <c r="AD105" s="340"/>
      <c r="AE105" s="340"/>
      <c r="AF105" s="340"/>
      <c r="AG105" s="339"/>
      <c r="AH105" s="340"/>
      <c r="AI105" s="340"/>
      <c r="AJ105" s="340"/>
      <c r="AK105" s="340"/>
      <c r="AL105" s="339"/>
      <c r="AM105" s="340"/>
      <c r="AN105" s="340"/>
      <c r="AO105" s="340"/>
      <c r="AP105" s="340"/>
      <c r="AQ105" s="339"/>
      <c r="AR105" s="340"/>
      <c r="AS105" s="340"/>
      <c r="AT105" s="340"/>
      <c r="AU105" s="340"/>
      <c r="AV105" s="339"/>
      <c r="AW105" s="340"/>
      <c r="AX105" s="340"/>
      <c r="AY105" s="340"/>
      <c r="AZ105" s="340"/>
      <c r="BA105" s="339"/>
      <c r="BB105" s="340"/>
      <c r="BC105" s="340"/>
      <c r="BD105" s="340"/>
      <c r="BE105" s="340"/>
      <c r="BF105" s="339"/>
      <c r="BG105" s="340"/>
      <c r="BH105" s="340"/>
      <c r="BI105" s="340"/>
      <c r="BJ105" s="340"/>
      <c r="BK105" s="339"/>
      <c r="BL105" s="340"/>
      <c r="BM105" s="340"/>
      <c r="BN105" s="340"/>
      <c r="BO105" s="340"/>
      <c r="BP105" s="339"/>
      <c r="BQ105" s="342">
        <f>BQ76+BQ88+BQ95+BQ102</f>
        <v>-2.0359999999999991</v>
      </c>
      <c r="BR105" s="342">
        <f>BR76+BR88+BR95+BR102</f>
        <v>-1.8899999999999983</v>
      </c>
      <c r="BS105" s="342">
        <f>BS76+BS88+BS95+BS102</f>
        <v>-2.0319999999999969</v>
      </c>
      <c r="BT105" s="342">
        <f>BT76+BT88+BT95+BT102</f>
        <v>-1.3099999999999983</v>
      </c>
      <c r="BU105" s="404">
        <f>SUM(BQ105:BT105)</f>
        <v>-7.2679999999999936</v>
      </c>
      <c r="BV105" s="342">
        <f>BV76+BV88+BV95+BV102</f>
        <v>-5.9199999999999893</v>
      </c>
      <c r="BW105" s="342">
        <f>BW76+BW88+BW95+BW102</f>
        <v>-3.2110000000000056</v>
      </c>
      <c r="BX105" s="342">
        <f>BX76+BX88+BX95+BX102</f>
        <v>-2.206000000000004</v>
      </c>
      <c r="BY105" s="342">
        <f>BY76+BY88+BY95+BY102</f>
        <v>-0.80700000000001992</v>
      </c>
      <c r="BZ105" s="404">
        <f>SUM(BV105:BY105)</f>
        <v>-12.14400000000002</v>
      </c>
      <c r="CA105" s="342">
        <f>CA76+CA88+CA95+CA102</f>
        <v>-4.3139999999999841</v>
      </c>
      <c r="CB105" s="342">
        <f>CB76+CB88+CB95+CB102</f>
        <v>-2.9379999999999975</v>
      </c>
      <c r="CC105" s="342">
        <f>CC76+CC88+CC95+CC102</f>
        <v>1.7130000000000134</v>
      </c>
      <c r="CD105" s="342">
        <f>CD76+CD88+CD95+CD102</f>
        <v>11.583999999999971</v>
      </c>
      <c r="CE105" s="404">
        <f>SUM(CA105:CD105)</f>
        <v>6.0450000000000035</v>
      </c>
      <c r="CF105" s="342">
        <f>CF76+CF88+CF95+CF102</f>
        <v>-0.21800000000002617</v>
      </c>
      <c r="CG105" s="342">
        <f>CG76+CG88+CG95+CG102</f>
        <v>-4.268000000000022</v>
      </c>
      <c r="CH105" s="342">
        <f>CH76+CH88+CH95+CH102</f>
        <v>-2.3990000000000213</v>
      </c>
      <c r="CI105" s="342">
        <f>CI76+CI88+CI95+CI102</f>
        <v>21.414999999999942</v>
      </c>
      <c r="CJ105" s="404">
        <f>SUM(CF105:CI105)</f>
        <v>14.529999999999873</v>
      </c>
      <c r="CK105" s="342">
        <f>CK76+CK88+CK95+CK102</f>
        <v>0.30599999999994898</v>
      </c>
      <c r="CL105" s="342">
        <f>CL76+CL88+CL95+CL102</f>
        <v>6.3969999999999958</v>
      </c>
      <c r="CM105" s="342">
        <f>CM76+CM88+CM95+CM102</f>
        <v>10.548000000000044</v>
      </c>
      <c r="CN105" s="342">
        <f>CN76+CN88+CN95+CN102</f>
        <v>28.504000000000048</v>
      </c>
      <c r="CO105" s="404">
        <f>SUM(CK105:CN105)</f>
        <v>45.755000000000038</v>
      </c>
      <c r="CP105" s="342">
        <f>CP76+CP88+CP95+CP102</f>
        <v>-7.2720000000000002</v>
      </c>
      <c r="CQ105" s="342">
        <f>CQ76+CQ88+CQ95+CQ102</f>
        <v>82.053000000000054</v>
      </c>
      <c r="CR105" s="342">
        <f>CR76+CR88+CR95+CR102</f>
        <v>130.94000000000003</v>
      </c>
      <c r="CS105" s="342">
        <f>CS76+CS88+CS95+CS102</f>
        <v>200.00699999999995</v>
      </c>
      <c r="CT105" s="404">
        <f>SUM(CP105:CS105)</f>
        <v>405.72800000000001</v>
      </c>
      <c r="CU105" s="342">
        <f>CU76+CU88+CU95+CU102</f>
        <v>210.8419999999999</v>
      </c>
      <c r="CV105" s="342">
        <f>CV76+CV88+CV95+CV102</f>
        <v>236.80299999999991</v>
      </c>
      <c r="CW105" s="342">
        <f>CW76+CW88+CW95+CW102</f>
        <v>110.01700000000001</v>
      </c>
      <c r="CX105" s="342">
        <f>CX76+CX88+CX95+CX102</f>
        <v>130.18430000000023</v>
      </c>
      <c r="CY105" s="404">
        <f>SUM(CU105:CX105)</f>
        <v>687.84630000000004</v>
      </c>
      <c r="CZ105" s="342">
        <f>CZ76+CZ88+CZ95+CZ102</f>
        <v>31.914000000000101</v>
      </c>
      <c r="DA105" s="342">
        <f>DA76+DA88+DA95+DA102</f>
        <v>-41.770999999999958</v>
      </c>
      <c r="DB105" s="342">
        <f>DB76+DB88+DB95+DB102+DB104</f>
        <v>-45.076000000000022</v>
      </c>
      <c r="DC105" s="342">
        <f>DC76+DC88+DC95+DC102+DC104</f>
        <v>60.992000000000083</v>
      </c>
      <c r="DD105" s="404">
        <f>SUM(CZ105:DC105)</f>
        <v>6.0590000000002036</v>
      </c>
      <c r="DE105" s="342">
        <f>DE76+DE88+DE95+DE102+DE104</f>
        <v>-25</v>
      </c>
      <c r="DF105" s="342">
        <f>DF76+DF88+DF95+DF102+DF104</f>
        <v>146</v>
      </c>
      <c r="DG105" s="342">
        <f>DG76+DG88+DG95+DG102+DG104</f>
        <v>271</v>
      </c>
      <c r="DH105" s="342">
        <f>DH76+DH88+DH95+DH102+DH104</f>
        <v>396</v>
      </c>
      <c r="DI105" s="404">
        <f>SUM(DE105:DH105)</f>
        <v>788</v>
      </c>
      <c r="DJ105" s="342">
        <f>DJ76+DJ88+DJ95+DJ102+DJ104</f>
        <v>201</v>
      </c>
      <c r="DK105" s="342">
        <f>DK76+DK88+DK95+DK102+DK104</f>
        <v>299</v>
      </c>
      <c r="DL105" s="342">
        <f>DL76+DL88+DL95+DL102+DL104</f>
        <v>397</v>
      </c>
      <c r="DM105" s="342">
        <f>DM76+DM88+DM95+DM102+DM104</f>
        <v>545.27709980785721</v>
      </c>
      <c r="DN105" s="404">
        <f>SUM(DJ105:DM105)</f>
        <v>1442.2770998078572</v>
      </c>
      <c r="DO105" s="342">
        <f>DO76+DO88+DO95+DO102+DO104</f>
        <v>278.68689269859323</v>
      </c>
      <c r="DP105" s="342">
        <f>DP76+DP88+DP95+DP102+DP104</f>
        <v>453.3332967886696</v>
      </c>
      <c r="DQ105" s="342">
        <f>DQ76+DQ88+DQ95+DQ102+DQ104</f>
        <v>532.2203161146017</v>
      </c>
      <c r="DR105" s="342">
        <f>DR76+DR88+DR95+DR102+DR104</f>
        <v>734.6557402297766</v>
      </c>
      <c r="DS105" s="404">
        <f>SUM(DO105:DR105)</f>
        <v>1998.896245831641</v>
      </c>
      <c r="DT105" s="342">
        <f>DT76+DT88+DT95+DT102+DT104</f>
        <v>369.08077332406918</v>
      </c>
      <c r="DU105" s="342">
        <f>DU76+DU88+DU95+DU102+DU104</f>
        <v>579.80980626420114</v>
      </c>
      <c r="DV105" s="342">
        <f>DV76+DV88+DV95+DV102+DV104</f>
        <v>675.96298036631777</v>
      </c>
      <c r="DW105" s="342">
        <f>DW76+DW88+DW95+DW102+DW104</f>
        <v>930.85609748712102</v>
      </c>
      <c r="DX105" s="404">
        <f>SUM(DT105:DW105)</f>
        <v>2555.7096574417092</v>
      </c>
      <c r="DY105" s="342">
        <f>DY76+DY88+DY95+DY102+DY104</f>
        <v>482.47692623950076</v>
      </c>
      <c r="DZ105" s="342">
        <f>DZ76+DZ88+DZ95+DZ102+DZ104</f>
        <v>733.51874063819628</v>
      </c>
      <c r="EA105" s="342">
        <f>EA76+EA88+EA95+EA102+EA104</f>
        <v>849.20736651707318</v>
      </c>
      <c r="EB105" s="342">
        <f>EB76+EB88+EB95+EB102+EB104</f>
        <v>1165.8982047678905</v>
      </c>
      <c r="EC105" s="404">
        <f>SUM(DY105:EB105)</f>
        <v>3231.1012381626606</v>
      </c>
      <c r="ED105" s="1168"/>
      <c r="EE105" s="139"/>
    </row>
    <row r="106" spans="1:135" s="296" customFormat="1" ht="12" customHeight="1">
      <c r="A106" s="940"/>
      <c r="B106" s="940"/>
      <c r="C106" s="405" t="s">
        <v>140</v>
      </c>
      <c r="D106" s="406"/>
      <c r="E106" s="406"/>
      <c r="F106" s="406"/>
      <c r="G106" s="406"/>
      <c r="H106" s="406"/>
      <c r="I106" s="407"/>
      <c r="J106" s="407"/>
      <c r="K106" s="407"/>
      <c r="L106" s="407"/>
      <c r="M106" s="406"/>
      <c r="N106" s="753"/>
      <c r="O106" s="753"/>
      <c r="P106" s="753"/>
      <c r="Q106" s="753"/>
      <c r="R106" s="406"/>
      <c r="S106" s="753"/>
      <c r="T106" s="753"/>
      <c r="U106" s="753"/>
      <c r="V106" s="753"/>
      <c r="W106" s="406"/>
      <c r="X106" s="753"/>
      <c r="Y106" s="753"/>
      <c r="Z106" s="753"/>
      <c r="AA106" s="753"/>
      <c r="AB106" s="406"/>
      <c r="AC106" s="753"/>
      <c r="AD106" s="753"/>
      <c r="AE106" s="753"/>
      <c r="AF106" s="753"/>
      <c r="AG106" s="406"/>
      <c r="AH106" s="753"/>
      <c r="AI106" s="753"/>
      <c r="AJ106" s="753"/>
      <c r="AK106" s="753"/>
      <c r="AL106" s="406"/>
      <c r="AM106" s="753"/>
      <c r="AN106" s="753"/>
      <c r="AO106" s="753"/>
      <c r="AP106" s="753"/>
      <c r="AQ106" s="406"/>
      <c r="AR106" s="753"/>
      <c r="AS106" s="753"/>
      <c r="AT106" s="753"/>
      <c r="AU106" s="753"/>
      <c r="AV106" s="406"/>
      <c r="AW106" s="753"/>
      <c r="AX106" s="753"/>
      <c r="AY106" s="753"/>
      <c r="AZ106" s="753"/>
      <c r="BA106" s="406"/>
      <c r="BB106" s="753"/>
      <c r="BC106" s="753"/>
      <c r="BD106" s="753"/>
      <c r="BE106" s="753"/>
      <c r="BF106" s="406"/>
      <c r="BG106" s="753"/>
      <c r="BH106" s="753"/>
      <c r="BI106" s="753"/>
      <c r="BJ106" s="753"/>
      <c r="BK106" s="406"/>
      <c r="BL106" s="753"/>
      <c r="BM106" s="753"/>
      <c r="BN106" s="753"/>
      <c r="BO106" s="753"/>
      <c r="BP106" s="406"/>
      <c r="BQ106" s="409"/>
      <c r="BR106" s="409"/>
      <c r="BS106" s="409"/>
      <c r="BT106" s="409"/>
      <c r="BU106" s="408"/>
      <c r="BV106" s="409" t="str">
        <f t="shared" ref="BV106:DA106" si="543">+IF(BQ105&lt;=0,"nm",BV105/BQ105-1)</f>
        <v>nm</v>
      </c>
      <c r="BW106" s="409" t="str">
        <f t="shared" si="543"/>
        <v>nm</v>
      </c>
      <c r="BX106" s="409" t="str">
        <f t="shared" si="543"/>
        <v>nm</v>
      </c>
      <c r="BY106" s="409" t="str">
        <f t="shared" si="543"/>
        <v>nm</v>
      </c>
      <c r="BZ106" s="408" t="str">
        <f t="shared" si="543"/>
        <v>nm</v>
      </c>
      <c r="CA106" s="409" t="str">
        <f t="shared" si="543"/>
        <v>nm</v>
      </c>
      <c r="CB106" s="409" t="str">
        <f t="shared" si="543"/>
        <v>nm</v>
      </c>
      <c r="CC106" s="409" t="str">
        <f t="shared" si="543"/>
        <v>nm</v>
      </c>
      <c r="CD106" s="409" t="str">
        <f t="shared" si="543"/>
        <v>nm</v>
      </c>
      <c r="CE106" s="408" t="str">
        <f t="shared" si="543"/>
        <v>nm</v>
      </c>
      <c r="CF106" s="409" t="str">
        <f t="shared" si="543"/>
        <v>nm</v>
      </c>
      <c r="CG106" s="409" t="str">
        <f t="shared" si="543"/>
        <v>nm</v>
      </c>
      <c r="CH106" s="409">
        <f t="shared" si="543"/>
        <v>-2.4004670169293654</v>
      </c>
      <c r="CI106" s="409">
        <f t="shared" si="543"/>
        <v>0.84867058011049679</v>
      </c>
      <c r="CJ106" s="408">
        <f t="shared" si="543"/>
        <v>1.4036393713812845</v>
      </c>
      <c r="CK106" s="409" t="str">
        <f t="shared" si="543"/>
        <v>nm</v>
      </c>
      <c r="CL106" s="409" t="str">
        <f t="shared" si="543"/>
        <v>nm</v>
      </c>
      <c r="CM106" s="409" t="str">
        <f t="shared" si="543"/>
        <v>nm</v>
      </c>
      <c r="CN106" s="409">
        <f t="shared" si="543"/>
        <v>0.33102965211301072</v>
      </c>
      <c r="CO106" s="408">
        <f t="shared" si="543"/>
        <v>2.1490020646937671</v>
      </c>
      <c r="CP106" s="409">
        <f t="shared" si="543"/>
        <v>-24.764705882356903</v>
      </c>
      <c r="CQ106" s="409">
        <f t="shared" si="543"/>
        <v>11.826793809598266</v>
      </c>
      <c r="CR106" s="409">
        <f t="shared" si="543"/>
        <v>11.413727720894906</v>
      </c>
      <c r="CS106" s="409">
        <f t="shared" si="543"/>
        <v>6.0168046589952153</v>
      </c>
      <c r="CT106" s="408">
        <f t="shared" si="543"/>
        <v>7.8674024696754383</v>
      </c>
      <c r="CU106" s="409" t="str">
        <f t="shared" si="543"/>
        <v>nm</v>
      </c>
      <c r="CV106" s="409">
        <f t="shared" si="543"/>
        <v>1.8859761373746209</v>
      </c>
      <c r="CW106" s="409">
        <f t="shared" si="543"/>
        <v>-0.15979074385214609</v>
      </c>
      <c r="CX106" s="410">
        <f t="shared" si="543"/>
        <v>-0.34910128145514774</v>
      </c>
      <c r="CY106" s="408">
        <f t="shared" si="543"/>
        <v>0.69533850264216435</v>
      </c>
      <c r="CZ106" s="409">
        <f t="shared" si="543"/>
        <v>-0.84863547111106841</v>
      </c>
      <c r="DA106" s="409">
        <f t="shared" si="543"/>
        <v>-1.1763955693128887</v>
      </c>
      <c r="DB106" s="409">
        <f t="shared" ref="DB106:EC106" si="544">+IF(CW105&lt;=0,"nm",DB105/CW105-1)</f>
        <v>-1.4097184980503015</v>
      </c>
      <c r="DC106" s="409">
        <f t="shared" si="544"/>
        <v>-0.53149496521469963</v>
      </c>
      <c r="DD106" s="408">
        <f t="shared" si="544"/>
        <v>-0.99119134608996196</v>
      </c>
      <c r="DE106" s="409">
        <f t="shared" si="544"/>
        <v>-1.7833552672808146</v>
      </c>
      <c r="DF106" s="409" t="str">
        <f t="shared" si="544"/>
        <v>nm</v>
      </c>
      <c r="DG106" s="409" t="str">
        <f t="shared" si="544"/>
        <v>nm</v>
      </c>
      <c r="DH106" s="409">
        <f t="shared" si="544"/>
        <v>5.492654774396633</v>
      </c>
      <c r="DI106" s="408">
        <f t="shared" si="544"/>
        <v>129.05446443307039</v>
      </c>
      <c r="DJ106" s="409" t="str">
        <f t="shared" si="544"/>
        <v>nm</v>
      </c>
      <c r="DK106" s="409">
        <f t="shared" si="544"/>
        <v>1.047945205479452</v>
      </c>
      <c r="DL106" s="409">
        <f t="shared" si="544"/>
        <v>0.46494464944649438</v>
      </c>
      <c r="DM106" s="409">
        <f t="shared" si="544"/>
        <v>0.37696237325216475</v>
      </c>
      <c r="DN106" s="408">
        <f t="shared" si="544"/>
        <v>0.83030088808103697</v>
      </c>
      <c r="DO106" s="409">
        <f t="shared" si="544"/>
        <v>0.38650195372434437</v>
      </c>
      <c r="DP106" s="409">
        <f t="shared" si="544"/>
        <v>0.51616487220290841</v>
      </c>
      <c r="DQ106" s="409">
        <f t="shared" si="544"/>
        <v>0.34060533026348039</v>
      </c>
      <c r="DR106" s="409">
        <f t="shared" si="544"/>
        <v>0.34730715903648246</v>
      </c>
      <c r="DS106" s="408">
        <f t="shared" si="544"/>
        <v>0.38593079381066064</v>
      </c>
      <c r="DT106" s="409">
        <f t="shared" si="544"/>
        <v>0.3243564121375424</v>
      </c>
      <c r="DU106" s="409">
        <f t="shared" si="544"/>
        <v>0.27899232280414443</v>
      </c>
      <c r="DV106" s="409">
        <f t="shared" si="544"/>
        <v>0.27008112974921517</v>
      </c>
      <c r="DW106" s="409">
        <f t="shared" si="544"/>
        <v>0.26706434934542167</v>
      </c>
      <c r="DX106" s="408">
        <f t="shared" si="544"/>
        <v>0.27856043692673293</v>
      </c>
      <c r="DY106" s="409">
        <f t="shared" si="544"/>
        <v>0.30723939341013784</v>
      </c>
      <c r="DZ106" s="409">
        <f t="shared" si="544"/>
        <v>0.26510233651335446</v>
      </c>
      <c r="EA106" s="409">
        <f t="shared" si="544"/>
        <v>0.2562927130371413</v>
      </c>
      <c r="EB106" s="409">
        <f t="shared" si="544"/>
        <v>0.25250101268635827</v>
      </c>
      <c r="EC106" s="408">
        <f t="shared" si="544"/>
        <v>0.26426772648228947</v>
      </c>
      <c r="ED106" s="287"/>
      <c r="EE106" s="139"/>
    </row>
    <row r="107" spans="1:135" s="296" customFormat="1" ht="12" customHeight="1">
      <c r="A107" s="940"/>
      <c r="B107" s="940"/>
      <c r="C107" s="405" t="s">
        <v>141</v>
      </c>
      <c r="D107" s="406"/>
      <c r="E107" s="406"/>
      <c r="F107" s="406"/>
      <c r="G107" s="406"/>
      <c r="H107" s="406"/>
      <c r="I107" s="407"/>
      <c r="J107" s="407"/>
      <c r="K107" s="407"/>
      <c r="L107" s="407"/>
      <c r="M107" s="406"/>
      <c r="N107" s="753"/>
      <c r="O107" s="753"/>
      <c r="P107" s="753"/>
      <c r="Q107" s="753"/>
      <c r="R107" s="406"/>
      <c r="S107" s="753"/>
      <c r="T107" s="753"/>
      <c r="U107" s="753"/>
      <c r="V107" s="753"/>
      <c r="W107" s="406"/>
      <c r="X107" s="753"/>
      <c r="Y107" s="753"/>
      <c r="Z107" s="753"/>
      <c r="AA107" s="753"/>
      <c r="AB107" s="406"/>
      <c r="AC107" s="753"/>
      <c r="AD107" s="753"/>
      <c r="AE107" s="753"/>
      <c r="AF107" s="753"/>
      <c r="AG107" s="406"/>
      <c r="AH107" s="753"/>
      <c r="AI107" s="753"/>
      <c r="AJ107" s="753"/>
      <c r="AK107" s="753"/>
      <c r="AL107" s="406"/>
      <c r="AM107" s="753"/>
      <c r="AN107" s="753"/>
      <c r="AO107" s="753"/>
      <c r="AP107" s="753"/>
      <c r="AQ107" s="406"/>
      <c r="AR107" s="753"/>
      <c r="AS107" s="753"/>
      <c r="AT107" s="753"/>
      <c r="AU107" s="753"/>
      <c r="AV107" s="406"/>
      <c r="AW107" s="753"/>
      <c r="AX107" s="753"/>
      <c r="AY107" s="753"/>
      <c r="AZ107" s="753"/>
      <c r="BA107" s="406"/>
      <c r="BB107" s="753"/>
      <c r="BC107" s="753"/>
      <c r="BD107" s="753"/>
      <c r="BE107" s="753"/>
      <c r="BF107" s="406"/>
      <c r="BG107" s="753"/>
      <c r="BH107" s="753"/>
      <c r="BI107" s="753"/>
      <c r="BJ107" s="753"/>
      <c r="BK107" s="406"/>
      <c r="BL107" s="753"/>
      <c r="BM107" s="753"/>
      <c r="BN107" s="753"/>
      <c r="BO107" s="753"/>
      <c r="BP107" s="406"/>
      <c r="BQ107" s="409" t="e">
        <f>(BQ105-BP105)/ABS(BP105)</f>
        <v>#DIV/0!</v>
      </c>
      <c r="BR107" s="409">
        <f>IFERROR((BR105-BQ105)/ABS(BQ105),"")</f>
        <v>7.1709233791748941E-2</v>
      </c>
      <c r="BS107" s="409">
        <f>IFERROR((BS105-BR105)/ABS(BR105),"")</f>
        <v>-7.513227513227444E-2</v>
      </c>
      <c r="BT107" s="409">
        <f>IFERROR((BT105-BS105)/ABS(BS105),"")</f>
        <v>0.35531496062992113</v>
      </c>
      <c r="BU107" s="408"/>
      <c r="BV107" s="409">
        <f>IFERROR((BV105-BU105)/ABS(BU105),"")</f>
        <v>0.18547055586131062</v>
      </c>
      <c r="BW107" s="409">
        <f>IFERROR((BW105-BV105)/ABS(BV105),"")</f>
        <v>0.45760135135134944</v>
      </c>
      <c r="BX107" s="409">
        <f>IFERROR((BX105-BW105)/ABS(BW105),"")</f>
        <v>0.31298660853316723</v>
      </c>
      <c r="BY107" s="409">
        <f>IFERROR((BY105-BX105)/ABS(BX105),"")</f>
        <v>0.63417951042610221</v>
      </c>
      <c r="BZ107" s="408"/>
      <c r="CA107" s="409">
        <f>IFERROR((CA105-BZ105)/ABS(BZ105),"")</f>
        <v>0.64476284584980426</v>
      </c>
      <c r="CB107" s="409">
        <f>IFERROR((CB105-CA105)/ABS(CA105),"")</f>
        <v>0.31896152063050337</v>
      </c>
      <c r="CC107" s="409">
        <f>IFERROR((CC105-CB105)/ABS(CB105),"")</f>
        <v>1.5830496936691676</v>
      </c>
      <c r="CD107" s="409">
        <f>IFERROR((CD105-CC105)/ABS(CC105),"")</f>
        <v>5.7624051371861533</v>
      </c>
      <c r="CE107" s="408"/>
      <c r="CF107" s="409">
        <f>IFERROR((CF105-CD105)/ABS(CD105),"")</f>
        <v>-1.0188190607734831</v>
      </c>
      <c r="CG107" s="409">
        <f>IFERROR((CG105-CF105)/ABS(CF105),"")</f>
        <v>-18.577981651373896</v>
      </c>
      <c r="CH107" s="409">
        <f>IFERROR((CH105-CG105)/ABS(CG105),"")</f>
        <v>0.4379100281162116</v>
      </c>
      <c r="CI107" s="409">
        <f>IFERROR((CI105-CH105)/ABS(CH105),"")</f>
        <v>9.9266360983742192</v>
      </c>
      <c r="CJ107" s="408"/>
      <c r="CK107" s="409">
        <f>IFERROR((CK105-CI105)/ABS(CI105),"")</f>
        <v>-0.98571095026850575</v>
      </c>
      <c r="CL107" s="409">
        <f>IFERROR((CL105-CK105)/ABS(CK105),"")</f>
        <v>19.905228758173408</v>
      </c>
      <c r="CM107" s="409">
        <f>IFERROR((CM105-CL105)/ABS(CL105),"")</f>
        <v>0.64889792090043008</v>
      </c>
      <c r="CN107" s="409">
        <f>IFERROR((CN105-CM105)/ABS(CM105),"")</f>
        <v>1.702313234736436</v>
      </c>
      <c r="CO107" s="408"/>
      <c r="CP107" s="409">
        <f>IFERROR((CP105-CN105)/ABS(CN105),"")</f>
        <v>-1.2551220881279816</v>
      </c>
      <c r="CQ107" s="409">
        <f>IFERROR((CQ105-CP105)/ABS(CP105),"")</f>
        <v>12.283415841584166</v>
      </c>
      <c r="CR107" s="409">
        <f>IFERROR((CR105-CQ105)/ABS(CQ105),"")</f>
        <v>0.59579783798276653</v>
      </c>
      <c r="CS107" s="409">
        <f>IFERROR((CS105-CR105)/ABS(CR105),"")</f>
        <v>0.52747059722010015</v>
      </c>
      <c r="CT107" s="408"/>
      <c r="CU107" s="409">
        <f>IFERROR((CU105-CS105)/ABS(CS105),"")</f>
        <v>5.4173103941361822E-2</v>
      </c>
      <c r="CV107" s="409">
        <f>IFERROR((CV105-CU105)/ABS(CU105),"")</f>
        <v>0.12313011639047261</v>
      </c>
      <c r="CW107" s="409">
        <f>IFERROR((CW105-CV105)/ABS(CV105),"")</f>
        <v>-0.53540706832261398</v>
      </c>
      <c r="CX107" s="410">
        <f>IFERROR((CX105-CW105)/ABS(CW105),"")</f>
        <v>0.18331076106420119</v>
      </c>
      <c r="CY107" s="408"/>
      <c r="CZ107" s="409">
        <f>IFERROR((CZ105-CX105)/ABS(CX105),"")</f>
        <v>-0.7548552321593307</v>
      </c>
      <c r="DA107" s="409">
        <f>IFERROR((DA105-CY105)/ABS(CY105),"")</f>
        <v>-1.0607272293243417</v>
      </c>
      <c r="DB107" s="409">
        <f>IFERROR((DB105-CZ105)/ABS(CZ105),"")</f>
        <v>-2.4124208811180008</v>
      </c>
      <c r="DC107" s="409">
        <f>IFERROR((DC105-DA105)/ABS(DA105),"")</f>
        <v>2.4601517799430259</v>
      </c>
      <c r="DD107" s="408"/>
      <c r="DE107" s="409">
        <f>IFERROR((DE105-DC105)/ABS(DC105),"")</f>
        <v>-1.409889821615949</v>
      </c>
      <c r="DF107" s="409">
        <f>IFERROR((DF105-DD105)/ABS(DD105),"")</f>
        <v>23.096385542167866</v>
      </c>
      <c r="DG107" s="409">
        <f>IFERROR((DG105-DE105)/ABS(DE105),"")</f>
        <v>11.84</v>
      </c>
      <c r="DH107" s="409">
        <f>IFERROR((DH105-DG105)/ABS(DG105),"")</f>
        <v>0.46125461254612549</v>
      </c>
      <c r="DI107" s="408"/>
      <c r="DJ107" s="409">
        <f>IFERROR((DJ105-DI105)/ABS(DI105),"")</f>
        <v>-0.74492385786802029</v>
      </c>
      <c r="DK107" s="409">
        <f>IFERROR((DK105-DJ105)/ABS(DJ105),"")</f>
        <v>0.48756218905472637</v>
      </c>
      <c r="DL107" s="409">
        <f>IFERROR((DL105-DK105)/ABS(DK105),"")</f>
        <v>0.32775919732441472</v>
      </c>
      <c r="DM107" s="409">
        <f>IFERROR((DM105-DL105)/ABS(DL105),"")</f>
        <v>0.37349395417596276</v>
      </c>
      <c r="DN107" s="408"/>
      <c r="DO107" s="409">
        <f>IFERROR((DO105-DM105)/ABS(DM105),"")</f>
        <v>-0.48890776304965694</v>
      </c>
      <c r="DP107" s="409">
        <f>IFERROR((DP105-DO105)/ABS(DO105),"")</f>
        <v>0.62667606071793547</v>
      </c>
      <c r="DQ107" s="409">
        <f>IFERROR((DQ105-DP105)/ABS(DP105),"")</f>
        <v>0.1740154978351543</v>
      </c>
      <c r="DR107" s="409">
        <f>IFERROR((DR105-DQ105)/ABS(DQ105),"")</f>
        <v>0.38036019668137766</v>
      </c>
      <c r="DS107" s="408"/>
      <c r="DT107" s="409">
        <f>IFERROR((DT105-DR105)/ABS(DR105),"")</f>
        <v>-0.49761398010906083</v>
      </c>
      <c r="DU107" s="409">
        <f>IFERROR((DU105-DT105)/ABS(DT105),"")</f>
        <v>0.57095640892434829</v>
      </c>
      <c r="DV107" s="409">
        <f>IFERROR((DV105-DU105)/ABS(DU105),"")</f>
        <v>0.16583571554549154</v>
      </c>
      <c r="DW107" s="409">
        <f>IFERROR((DW105-DV105)/ABS(DV105),"")</f>
        <v>0.37708147416988963</v>
      </c>
      <c r="DX107" s="408"/>
      <c r="DY107" s="409">
        <f>IFERROR((DY105-DW105)/ABS(DW105),"")</f>
        <v>-0.48168473350288588</v>
      </c>
      <c r="DZ107" s="409">
        <f>IFERROR((DZ105-DY105)/ABS(DY105),"")</f>
        <v>0.5203187981554972</v>
      </c>
      <c r="EA107" s="409">
        <f>IFERROR((EA105-DZ105)/ABS(DZ105),"")</f>
        <v>0.15771734172493301</v>
      </c>
      <c r="EB107" s="409">
        <f>IFERROR((EB105-EA105)/ABS(EA105),"")</f>
        <v>0.37292521324878347</v>
      </c>
      <c r="EC107" s="408"/>
      <c r="ED107" s="287"/>
      <c r="EE107" s="139"/>
    </row>
    <row r="108" spans="1:135" s="296" customFormat="1" ht="12" customHeight="1">
      <c r="A108" s="940"/>
      <c r="B108" s="940"/>
      <c r="C108" s="405" t="s">
        <v>65</v>
      </c>
      <c r="D108" s="754"/>
      <c r="E108" s="754"/>
      <c r="F108" s="754"/>
      <c r="G108" s="754"/>
      <c r="H108" s="754"/>
      <c r="I108" s="753"/>
      <c r="J108" s="753"/>
      <c r="K108" s="753"/>
      <c r="L108" s="753"/>
      <c r="M108" s="754"/>
      <c r="N108" s="753"/>
      <c r="O108" s="753"/>
      <c r="P108" s="753"/>
      <c r="Q108" s="753"/>
      <c r="R108" s="754"/>
      <c r="S108" s="753"/>
      <c r="T108" s="753"/>
      <c r="U108" s="753"/>
      <c r="V108" s="753"/>
      <c r="W108" s="754"/>
      <c r="X108" s="753"/>
      <c r="Y108" s="753"/>
      <c r="Z108" s="753"/>
      <c r="AA108" s="753"/>
      <c r="AB108" s="754"/>
      <c r="AC108" s="753"/>
      <c r="AD108" s="753"/>
      <c r="AE108" s="753"/>
      <c r="AF108" s="753"/>
      <c r="AG108" s="754"/>
      <c r="AH108" s="753"/>
      <c r="AI108" s="753"/>
      <c r="AJ108" s="753"/>
      <c r="AK108" s="753"/>
      <c r="AL108" s="754"/>
      <c r="AM108" s="753"/>
      <c r="AN108" s="753"/>
      <c r="AO108" s="753"/>
      <c r="AP108" s="753"/>
      <c r="AQ108" s="754"/>
      <c r="AR108" s="753"/>
      <c r="AS108" s="753"/>
      <c r="AT108" s="753"/>
      <c r="AU108" s="753"/>
      <c r="AV108" s="754"/>
      <c r="AW108" s="753"/>
      <c r="AX108" s="753"/>
      <c r="AY108" s="753"/>
      <c r="AZ108" s="753"/>
      <c r="BA108" s="754"/>
      <c r="BB108" s="753"/>
      <c r="BC108" s="753"/>
      <c r="BD108" s="753"/>
      <c r="BE108" s="753"/>
      <c r="BF108" s="754"/>
      <c r="BG108" s="753"/>
      <c r="BH108" s="753"/>
      <c r="BI108" s="753"/>
      <c r="BJ108" s="753"/>
      <c r="BK108" s="754"/>
      <c r="BL108" s="753"/>
      <c r="BM108" s="753"/>
      <c r="BN108" s="753"/>
      <c r="BO108" s="753"/>
      <c r="BP108" s="754"/>
      <c r="BQ108" s="409">
        <f t="shared" ref="BQ108:CV108" si="545">BQ105/BQ11</f>
        <v>-5.4514297954375047E-2</v>
      </c>
      <c r="BR108" s="409">
        <f t="shared" si="545"/>
        <v>-4.2069180430040473E-2</v>
      </c>
      <c r="BS108" s="409">
        <f t="shared" si="545"/>
        <v>-3.8495055507141988E-2</v>
      </c>
      <c r="BT108" s="409">
        <f t="shared" si="545"/>
        <v>-1.866814871816793E-2</v>
      </c>
      <c r="BU108" s="408">
        <f t="shared" si="545"/>
        <v>-3.5413408175098512E-2</v>
      </c>
      <c r="BV108" s="409">
        <f t="shared" si="545"/>
        <v>-8.1405901927889615E-2</v>
      </c>
      <c r="BW108" s="409">
        <f t="shared" si="545"/>
        <v>-3.7058409408288875E-2</v>
      </c>
      <c r="BX108" s="409">
        <f t="shared" si="545"/>
        <v>-2.215348771817072E-2</v>
      </c>
      <c r="BY108" s="409">
        <f t="shared" si="545"/>
        <v>-6.1894572145143158E-3</v>
      </c>
      <c r="BZ108" s="408">
        <f t="shared" si="545"/>
        <v>-3.1192047877122289E-2</v>
      </c>
      <c r="CA108" s="409">
        <f t="shared" si="545"/>
        <v>-3.3867434977507938E-2</v>
      </c>
      <c r="CB108" s="409">
        <f t="shared" si="545"/>
        <v>-1.9372918795951322E-2</v>
      </c>
      <c r="CC108" s="409">
        <f t="shared" si="545"/>
        <v>9.9909014557671549E-3</v>
      </c>
      <c r="CD108" s="409">
        <f t="shared" si="545"/>
        <v>5.1989551823493907E-2</v>
      </c>
      <c r="CE108" s="408">
        <f t="shared" si="545"/>
        <v>8.9781138980312061E-3</v>
      </c>
      <c r="CF108" s="409">
        <f t="shared" si="545"/>
        <v>-1.0170756741626676E-3</v>
      </c>
      <c r="CG108" s="409">
        <f t="shared" si="545"/>
        <v>-1.7423039397786694E-2</v>
      </c>
      <c r="CH108" s="409">
        <f t="shared" si="545"/>
        <v>-8.8830795663251E-3</v>
      </c>
      <c r="CI108" s="409">
        <f t="shared" si="545"/>
        <v>6.2277890549115471E-2</v>
      </c>
      <c r="CJ108" s="408">
        <f t="shared" si="545"/>
        <v>1.3538583098294843E-2</v>
      </c>
      <c r="CK108" s="409">
        <f t="shared" si="545"/>
        <v>9.5481181470394283E-4</v>
      </c>
      <c r="CL108" s="409">
        <f t="shared" si="545"/>
        <v>1.7672295906668609E-2</v>
      </c>
      <c r="CM108" s="409">
        <f t="shared" si="545"/>
        <v>2.7007927241442992E-2</v>
      </c>
      <c r="CN108" s="409">
        <f t="shared" si="545"/>
        <v>5.6425686911077771E-2</v>
      </c>
      <c r="CO108" s="408">
        <f t="shared" si="545"/>
        <v>2.8992385498928214E-2</v>
      </c>
      <c r="CP108" s="409">
        <f t="shared" si="545"/>
        <v>-1.5472307505728712E-2</v>
      </c>
      <c r="CQ108" s="409">
        <f t="shared" si="545"/>
        <v>0.11486530942505058</v>
      </c>
      <c r="CR108" s="409">
        <f t="shared" si="545"/>
        <v>0.17062698314449348</v>
      </c>
      <c r="CS108" s="409">
        <f t="shared" si="545"/>
        <v>0.2045596802434993</v>
      </c>
      <c r="CT108" s="408">
        <f t="shared" si="545"/>
        <v>0.13849777998976615</v>
      </c>
      <c r="CU108" s="409">
        <f t="shared" si="545"/>
        <v>0.21326317684674095</v>
      </c>
      <c r="CV108" s="409">
        <f t="shared" si="545"/>
        <v>0.21153607367936783</v>
      </c>
      <c r="CW108" s="409">
        <f t="shared" ref="CW108:EC108" si="546">CW105/CW11</f>
        <v>9.790253973339029E-2</v>
      </c>
      <c r="CX108" s="409">
        <f t="shared" si="546"/>
        <v>9.4334808669994302E-2</v>
      </c>
      <c r="CY108" s="408">
        <f t="shared" si="546"/>
        <v>0.14914739315364575</v>
      </c>
      <c r="CZ108" s="409">
        <f t="shared" si="546"/>
        <v>2.6514946955982149E-2</v>
      </c>
      <c r="DA108" s="409">
        <f t="shared" si="546"/>
        <v>-3.2254029340657527E-2</v>
      </c>
      <c r="DB108" s="409">
        <f t="shared" si="546"/>
        <v>-3.2993705167618223E-2</v>
      </c>
      <c r="DC108" s="409">
        <f t="shared" si="546"/>
        <v>3.5154336250949623E-2</v>
      </c>
      <c r="DD108" s="408">
        <f t="shared" si="546"/>
        <v>1.0819905626279858E-3</v>
      </c>
      <c r="DE108" s="409">
        <f t="shared" si="546"/>
        <v>-1.6578249336870028E-2</v>
      </c>
      <c r="DF108" s="409">
        <f t="shared" si="546"/>
        <v>8.6186540731995276E-2</v>
      </c>
      <c r="DG108" s="409">
        <f t="shared" si="546"/>
        <v>0.15810968494749125</v>
      </c>
      <c r="DH108" s="409">
        <f t="shared" si="546"/>
        <v>0.18470149253731344</v>
      </c>
      <c r="DI108" s="408">
        <f t="shared" si="546"/>
        <v>0.11161473087818696</v>
      </c>
      <c r="DJ108" s="409">
        <f t="shared" si="546"/>
        <v>0.10800644814615798</v>
      </c>
      <c r="DK108" s="409">
        <f t="shared" si="546"/>
        <v>0.14621026894865527</v>
      </c>
      <c r="DL108" s="409">
        <f t="shared" si="546"/>
        <v>0.18362627197039777</v>
      </c>
      <c r="DM108" s="409">
        <f t="shared" si="546"/>
        <v>0.20168637346170978</v>
      </c>
      <c r="DN108" s="408">
        <f t="shared" si="546"/>
        <v>0.16442597435405984</v>
      </c>
      <c r="DO108" s="409">
        <f t="shared" si="546"/>
        <v>0.11915381921742359</v>
      </c>
      <c r="DP108" s="409">
        <f t="shared" si="546"/>
        <v>0.1807528575553477</v>
      </c>
      <c r="DQ108" s="409">
        <f t="shared" si="546"/>
        <v>0.20221861538676758</v>
      </c>
      <c r="DR108" s="409">
        <f t="shared" si="546"/>
        <v>0.22141930058732587</v>
      </c>
      <c r="DS108" s="408">
        <f t="shared" si="546"/>
        <v>0.18513858750341478</v>
      </c>
      <c r="DT108" s="409">
        <f t="shared" si="546"/>
        <v>0.13185198635215642</v>
      </c>
      <c r="DU108" s="409">
        <f t="shared" si="546"/>
        <v>0.19319612716501144</v>
      </c>
      <c r="DV108" s="409">
        <f t="shared" si="546"/>
        <v>0.2147574475030547</v>
      </c>
      <c r="DW108" s="409">
        <f t="shared" si="546"/>
        <v>0.23414732555620274</v>
      </c>
      <c r="DX108" s="408">
        <f t="shared" si="546"/>
        <v>0.19775783352105317</v>
      </c>
      <c r="DY108" s="409">
        <f t="shared" si="546"/>
        <v>0.14618882782875531</v>
      </c>
      <c r="DZ108" s="409">
        <f t="shared" si="546"/>
        <v>0.20732944895198732</v>
      </c>
      <c r="EA108" s="409">
        <f t="shared" si="546"/>
        <v>0.22896442803594019</v>
      </c>
      <c r="EB108" s="409">
        <f t="shared" si="546"/>
        <v>0.24850985919368296</v>
      </c>
      <c r="EC108" s="408">
        <f t="shared" si="546"/>
        <v>0.21203165224527762</v>
      </c>
      <c r="ED108" s="287"/>
      <c r="EE108" s="139"/>
    </row>
    <row r="109" spans="1:135" s="296" customFormat="1" ht="3" customHeight="1">
      <c r="A109" s="940"/>
      <c r="B109" s="940"/>
      <c r="C109" s="309"/>
      <c r="D109" s="343"/>
      <c r="E109" s="343"/>
      <c r="F109" s="343"/>
      <c r="G109" s="343"/>
      <c r="H109" s="343"/>
      <c r="I109" s="299"/>
      <c r="J109" s="299"/>
      <c r="K109" s="299"/>
      <c r="L109" s="299"/>
      <c r="M109" s="343"/>
      <c r="N109" s="299"/>
      <c r="O109" s="299"/>
      <c r="P109" s="299"/>
      <c r="Q109" s="299"/>
      <c r="R109" s="343"/>
      <c r="S109" s="299"/>
      <c r="T109" s="299"/>
      <c r="U109" s="299"/>
      <c r="V109" s="299"/>
      <c r="W109" s="343"/>
      <c r="X109" s="299"/>
      <c r="Y109" s="299"/>
      <c r="Z109" s="299"/>
      <c r="AA109" s="299"/>
      <c r="AB109" s="343"/>
      <c r="AC109" s="299"/>
      <c r="AD109" s="299"/>
      <c r="AE109" s="299"/>
      <c r="AF109" s="299"/>
      <c r="AG109" s="343"/>
      <c r="AH109" s="299"/>
      <c r="AI109" s="299"/>
      <c r="AJ109" s="299"/>
      <c r="AK109" s="299"/>
      <c r="AL109" s="343"/>
      <c r="AM109" s="299"/>
      <c r="AN109" s="299"/>
      <c r="AO109" s="299"/>
      <c r="AP109" s="299"/>
      <c r="AQ109" s="343"/>
      <c r="AR109" s="299"/>
      <c r="AS109" s="299"/>
      <c r="AT109" s="299"/>
      <c r="AU109" s="299"/>
      <c r="AV109" s="343"/>
      <c r="AW109" s="299"/>
      <c r="AX109" s="299"/>
      <c r="AY109" s="299"/>
      <c r="AZ109" s="299"/>
      <c r="BA109" s="343"/>
      <c r="BB109" s="299"/>
      <c r="BC109" s="299"/>
      <c r="BD109" s="299"/>
      <c r="BE109" s="299"/>
      <c r="BF109" s="343"/>
      <c r="BG109" s="299"/>
      <c r="BH109" s="299"/>
      <c r="BI109" s="299"/>
      <c r="BJ109" s="299"/>
      <c r="BK109" s="343"/>
      <c r="BL109" s="299"/>
      <c r="BM109" s="299"/>
      <c r="BN109" s="299"/>
      <c r="BO109" s="299"/>
      <c r="BP109" s="343"/>
      <c r="BQ109" s="282"/>
      <c r="BR109" s="372"/>
      <c r="BS109" s="372"/>
      <c r="BT109" s="372"/>
      <c r="BU109" s="364"/>
      <c r="BV109" s="282"/>
      <c r="BW109" s="372"/>
      <c r="BX109" s="372"/>
      <c r="BY109" s="372"/>
      <c r="BZ109" s="364"/>
      <c r="CA109" s="282"/>
      <c r="CB109" s="372"/>
      <c r="CC109" s="372"/>
      <c r="CD109" s="372"/>
      <c r="CE109" s="364"/>
      <c r="CF109" s="282"/>
      <c r="CG109" s="372"/>
      <c r="CH109" s="372"/>
      <c r="CI109" s="372"/>
      <c r="CJ109" s="364"/>
      <c r="CK109" s="282"/>
      <c r="CL109" s="372"/>
      <c r="CM109" s="372"/>
      <c r="CN109" s="372"/>
      <c r="CO109" s="364"/>
      <c r="CP109" s="282"/>
      <c r="CQ109" s="372"/>
      <c r="CR109" s="372"/>
      <c r="CS109" s="372"/>
      <c r="CT109" s="364"/>
      <c r="CU109" s="282"/>
      <c r="CV109" s="282"/>
      <c r="CW109" s="282"/>
      <c r="CX109" s="282"/>
      <c r="CY109" s="364"/>
      <c r="CZ109" s="282"/>
      <c r="DA109" s="282"/>
      <c r="DB109" s="282"/>
      <c r="DC109" s="282"/>
      <c r="DD109" s="364"/>
      <c r="DE109" s="282"/>
      <c r="DF109" s="282"/>
      <c r="DG109" s="282"/>
      <c r="DH109" s="403"/>
      <c r="DI109" s="364"/>
      <c r="DJ109" s="403"/>
      <c r="DK109" s="403"/>
      <c r="DL109" s="403"/>
      <c r="DM109" s="403"/>
      <c r="DN109" s="364"/>
      <c r="DO109" s="403"/>
      <c r="DP109" s="403"/>
      <c r="DQ109" s="403"/>
      <c r="DR109" s="403"/>
      <c r="DS109" s="364"/>
      <c r="DT109" s="403"/>
      <c r="DU109" s="403"/>
      <c r="DV109" s="403"/>
      <c r="DW109" s="403"/>
      <c r="DX109" s="364"/>
      <c r="DY109" s="403"/>
      <c r="DZ109" s="403"/>
      <c r="EA109" s="403"/>
      <c r="EB109" s="403"/>
      <c r="EC109" s="364"/>
      <c r="ED109" s="1173"/>
      <c r="EE109" s="139"/>
    </row>
    <row r="110" spans="1:135" s="296" customFormat="1">
      <c r="A110" s="940" t="s">
        <v>441</v>
      </c>
      <c r="B110" s="940"/>
      <c r="C110" s="291" t="s">
        <v>97</v>
      </c>
      <c r="D110" s="339"/>
      <c r="E110" s="339"/>
      <c r="F110" s="339"/>
      <c r="G110" s="339"/>
      <c r="H110" s="339"/>
      <c r="I110" s="340"/>
      <c r="J110" s="340"/>
      <c r="K110" s="340"/>
      <c r="L110" s="340"/>
      <c r="M110" s="339"/>
      <c r="N110" s="340"/>
      <c r="O110" s="340"/>
      <c r="P110" s="340"/>
      <c r="Q110" s="340"/>
      <c r="R110" s="339"/>
      <c r="S110" s="340"/>
      <c r="T110" s="340"/>
      <c r="U110" s="340"/>
      <c r="V110" s="340"/>
      <c r="W110" s="339"/>
      <c r="X110" s="340"/>
      <c r="Y110" s="340"/>
      <c r="Z110" s="340"/>
      <c r="AA110" s="340"/>
      <c r="AB110" s="339"/>
      <c r="AC110" s="340"/>
      <c r="AD110" s="340"/>
      <c r="AE110" s="340"/>
      <c r="AF110" s="340"/>
      <c r="AG110" s="339"/>
      <c r="AH110" s="340"/>
      <c r="AI110" s="340"/>
      <c r="AJ110" s="340"/>
      <c r="AK110" s="340"/>
      <c r="AL110" s="339"/>
      <c r="AM110" s="340"/>
      <c r="AN110" s="340"/>
      <c r="AO110" s="340"/>
      <c r="AP110" s="340"/>
      <c r="AQ110" s="339"/>
      <c r="AR110" s="340"/>
      <c r="AS110" s="340"/>
      <c r="AT110" s="340"/>
      <c r="AU110" s="340"/>
      <c r="AV110" s="339"/>
      <c r="AW110" s="340"/>
      <c r="AX110" s="340"/>
      <c r="AY110" s="340"/>
      <c r="AZ110" s="340"/>
      <c r="BA110" s="339"/>
      <c r="BB110" s="340"/>
      <c r="BC110" s="340"/>
      <c r="BD110" s="340"/>
      <c r="BE110" s="340"/>
      <c r="BF110" s="339"/>
      <c r="BG110" s="340"/>
      <c r="BH110" s="340"/>
      <c r="BI110" s="340"/>
      <c r="BJ110" s="340"/>
      <c r="BK110" s="339"/>
      <c r="BL110" s="340"/>
      <c r="BM110" s="340"/>
      <c r="BN110" s="340"/>
      <c r="BO110" s="340"/>
      <c r="BP110" s="339"/>
      <c r="BQ110" s="342">
        <f>BQ79+BQ88+BQ95+BQ102+BQ104</f>
        <v>0</v>
      </c>
      <c r="BR110" s="342">
        <f>BR79+BR88+BR95+BR102+BR104</f>
        <v>-0.23499999999999832</v>
      </c>
      <c r="BS110" s="342">
        <f>BS79+BS88+BS95+BS102+BS104</f>
        <v>-0.12299999999999711</v>
      </c>
      <c r="BT110" s="342">
        <f>BT79+BT88+BT95+BT102+BT104</f>
        <v>0.89200000000000168</v>
      </c>
      <c r="BU110" s="404">
        <f>SUM(BQ110:BT110)</f>
        <v>0.53400000000000625</v>
      </c>
      <c r="BV110" s="342">
        <f>BV79+BV88+BV95+BV102+BV104</f>
        <v>-2.8619999999999894</v>
      </c>
      <c r="BW110" s="342">
        <f>BW79+BW88+BW95+BW102+BW104</f>
        <v>-0.43500000000000594</v>
      </c>
      <c r="BX110" s="342">
        <f>BX79+BX88+BX95+BX102+BX104</f>
        <v>1.4869999999999954</v>
      </c>
      <c r="BY110" s="342">
        <f>BY79+BY88+BY95+BY102+BY104</f>
        <v>3.6329999999999814</v>
      </c>
      <c r="BZ110" s="404">
        <f>SUM(BV110:BY110)</f>
        <v>1.8229999999999815</v>
      </c>
      <c r="CA110" s="342">
        <f>CA79+CA88+CA95+CA102+CA104</f>
        <v>0.22000000000001529</v>
      </c>
      <c r="CB110" s="342">
        <f>CB79+CB88+CB95+CB102+CB104</f>
        <v>2.415000000000004</v>
      </c>
      <c r="CC110" s="342">
        <f>CC79+CC88+CC95+CC102+CC104</f>
        <v>7.4500000000000144</v>
      </c>
      <c r="CD110" s="342">
        <f>CD79+CD88+CD95+CD102+CD104</f>
        <v>19.34199999999997</v>
      </c>
      <c r="CE110" s="404">
        <f>SUM(CA110:CD110)</f>
        <v>29.427000000000003</v>
      </c>
      <c r="CF110" s="342">
        <f>CF79+CF88+CF95+CF102+CF104</f>
        <v>7.3639999999999741</v>
      </c>
      <c r="CG110" s="342">
        <f>CG79+CG88+CG95+CG102+CG104</f>
        <v>3.1579999999999768</v>
      </c>
      <c r="CH110" s="342">
        <f>CH79+CH88+CH95+CH102+CH104</f>
        <v>3.7969999999999802</v>
      </c>
      <c r="CI110" s="342">
        <f>CI79+CI88+CI95+CI102+CI104</f>
        <v>27.262999999999941</v>
      </c>
      <c r="CJ110" s="404">
        <f>SUM(CF110:CI110)</f>
        <v>41.581999999999873</v>
      </c>
      <c r="CK110" s="342">
        <f>CK79+CK88+CK95+CK102+CK104</f>
        <v>7.1379999999999502</v>
      </c>
      <c r="CL110" s="342">
        <f>CL79+CL88+CL95+CL102+CL104</f>
        <v>13.771999999999997</v>
      </c>
      <c r="CM110" s="342">
        <f>CM79+CM88+CM95+CM102+CM104</f>
        <v>19.291000000000043</v>
      </c>
      <c r="CN110" s="342">
        <f>CN79+CN88+CN95+CN102+CN104</f>
        <v>41.205000000000048</v>
      </c>
      <c r="CO110" s="404">
        <f>SUM(CK110:CN110)</f>
        <v>81.406000000000034</v>
      </c>
      <c r="CP110" s="342">
        <f>CP79+CP88+CP95+CP102+CP104</f>
        <v>7.0939999999999985</v>
      </c>
      <c r="CQ110" s="342">
        <f>CQ79+CQ88+CQ95+CQ102+CQ104</f>
        <v>133.60700000000003</v>
      </c>
      <c r="CR110" s="342">
        <f>CR79+CR88+CR95+CR102+CR104</f>
        <v>148.81000000000003</v>
      </c>
      <c r="CS110" s="342">
        <f>CS79+CS88+CS95+CS102+CS104</f>
        <v>217.89999999999992</v>
      </c>
      <c r="CT110" s="404">
        <f>SUM(CP110:CS110)</f>
        <v>507.411</v>
      </c>
      <c r="CU110" s="342">
        <f>CU79+CU88+CU95+CU102+CU104</f>
        <v>226.64199999999991</v>
      </c>
      <c r="CV110" s="342">
        <f>CV79+CV88+CV95+CV102+CV104</f>
        <v>251.46599999999992</v>
      </c>
      <c r="CW110" s="342">
        <f>CW79+CW88+CW95+CW102+CW104</f>
        <v>153.76600000000002</v>
      </c>
      <c r="CX110" s="342">
        <f>CX79+CX88+CX104</f>
        <v>134.95930000000024</v>
      </c>
      <c r="CY110" s="342">
        <f>SUM(CU110:CX110)</f>
        <v>766.83330000000001</v>
      </c>
      <c r="CZ110" s="342">
        <f>CZ79+CZ88+CZ104</f>
        <v>36.683000000000106</v>
      </c>
      <c r="DA110" s="342">
        <f>DA79+DA88+DA104</f>
        <v>-34.385999999999967</v>
      </c>
      <c r="DB110" s="342">
        <f>DB79+DB88+DB104</f>
        <v>-40.27000000000001</v>
      </c>
      <c r="DC110" s="342">
        <f>DC79+DC88+DC104</f>
        <v>67.131000000000085</v>
      </c>
      <c r="DD110" s="404">
        <f>SUM(CZ110:DC110)</f>
        <v>29.158000000000214</v>
      </c>
      <c r="DE110" s="342">
        <f>DE79+DE88+DE104</f>
        <v>-29</v>
      </c>
      <c r="DF110" s="342">
        <f>DF79+DF88+DF104</f>
        <v>148</v>
      </c>
      <c r="DG110" s="342">
        <f>DG79+DG88+DG104</f>
        <v>280</v>
      </c>
      <c r="DH110" s="342">
        <f>DH79+DH88+DH104</f>
        <v>402</v>
      </c>
      <c r="DI110" s="404">
        <f>SUM(DE110:DH110)</f>
        <v>801</v>
      </c>
      <c r="DJ110" s="342">
        <f>DJ79+DJ88+DJ104</f>
        <v>207</v>
      </c>
      <c r="DK110" s="342">
        <f>DK79+DK88+DK104</f>
        <v>305</v>
      </c>
      <c r="DL110" s="342">
        <f>DL79+DL88+DL104</f>
        <v>401</v>
      </c>
      <c r="DM110" s="342">
        <f>DM79+DM88+DM104</f>
        <v>549.27709980785721</v>
      </c>
      <c r="DN110" s="404">
        <f>SUM(DJ110:DM110)</f>
        <v>1462.2770998078572</v>
      </c>
      <c r="DO110" s="342">
        <f>DO79+DO88+DO104</f>
        <v>282.68689269859328</v>
      </c>
      <c r="DP110" s="342">
        <f>DP79+DP88+DP104</f>
        <v>457.3332967886696</v>
      </c>
      <c r="DQ110" s="342">
        <f>DQ79+DQ88+DQ104</f>
        <v>536.22031611460159</v>
      </c>
      <c r="DR110" s="342">
        <f>DR79+DR88+DR104</f>
        <v>738.65574022977648</v>
      </c>
      <c r="DS110" s="404">
        <f>SUM(DO110:DR110)</f>
        <v>2014.896245831641</v>
      </c>
      <c r="DT110" s="342">
        <f>DT79+DT88+DT104</f>
        <v>373.08077332406918</v>
      </c>
      <c r="DU110" s="342">
        <f>DU79+DU88+DU104</f>
        <v>583.80980626420114</v>
      </c>
      <c r="DV110" s="342">
        <f>DV79+DV88+DV104</f>
        <v>679.96298036631788</v>
      </c>
      <c r="DW110" s="342">
        <f>DW79+DW88+DW104</f>
        <v>934.85609748712091</v>
      </c>
      <c r="DX110" s="404">
        <f>SUM(DT110:DW110)</f>
        <v>2571.7096574417092</v>
      </c>
      <c r="DY110" s="342">
        <f>DY79+DY88+DY104</f>
        <v>486.47692623950076</v>
      </c>
      <c r="DZ110" s="342">
        <f>DZ79+DZ88+DZ104</f>
        <v>737.51874063819628</v>
      </c>
      <c r="EA110" s="342">
        <f>EA79+EA88+EA104</f>
        <v>853.20736651707318</v>
      </c>
      <c r="EB110" s="342">
        <f>EB79+EB88+EB104</f>
        <v>1169.8982047678903</v>
      </c>
      <c r="EC110" s="404">
        <f>SUM(DY110:EB110)</f>
        <v>3247.1012381626606</v>
      </c>
      <c r="ED110" s="1168"/>
      <c r="EE110" s="139"/>
    </row>
    <row r="111" spans="1:135" s="296" customFormat="1" ht="12" customHeight="1">
      <c r="A111" s="940"/>
      <c r="B111" s="940"/>
      <c r="C111" s="405" t="s">
        <v>140</v>
      </c>
      <c r="D111" s="406"/>
      <c r="E111" s="406"/>
      <c r="F111" s="406"/>
      <c r="G111" s="406"/>
      <c r="H111" s="406"/>
      <c r="I111" s="407"/>
      <c r="J111" s="407"/>
      <c r="K111" s="407"/>
      <c r="L111" s="407"/>
      <c r="M111" s="406"/>
      <c r="N111" s="753"/>
      <c r="O111" s="753"/>
      <c r="P111" s="753"/>
      <c r="Q111" s="753"/>
      <c r="R111" s="406"/>
      <c r="S111" s="753"/>
      <c r="T111" s="753"/>
      <c r="U111" s="753"/>
      <c r="V111" s="753"/>
      <c r="W111" s="406"/>
      <c r="X111" s="753"/>
      <c r="Y111" s="753"/>
      <c r="Z111" s="753"/>
      <c r="AA111" s="753"/>
      <c r="AB111" s="406"/>
      <c r="AC111" s="753"/>
      <c r="AD111" s="753"/>
      <c r="AE111" s="753"/>
      <c r="AF111" s="753"/>
      <c r="AG111" s="406"/>
      <c r="AH111" s="753"/>
      <c r="AI111" s="753"/>
      <c r="AJ111" s="753"/>
      <c r="AK111" s="753"/>
      <c r="AL111" s="406"/>
      <c r="AM111" s="753"/>
      <c r="AN111" s="753"/>
      <c r="AO111" s="753"/>
      <c r="AP111" s="753"/>
      <c r="AQ111" s="406"/>
      <c r="AR111" s="753"/>
      <c r="AS111" s="753"/>
      <c r="AT111" s="753"/>
      <c r="AU111" s="753"/>
      <c r="AV111" s="406"/>
      <c r="AW111" s="753"/>
      <c r="AX111" s="753"/>
      <c r="AY111" s="753"/>
      <c r="AZ111" s="753"/>
      <c r="BA111" s="406"/>
      <c r="BB111" s="753"/>
      <c r="BC111" s="753"/>
      <c r="BD111" s="753"/>
      <c r="BE111" s="753"/>
      <c r="BF111" s="406"/>
      <c r="BG111" s="753"/>
      <c r="BH111" s="753"/>
      <c r="BI111" s="753"/>
      <c r="BJ111" s="753"/>
      <c r="BK111" s="406"/>
      <c r="BL111" s="753"/>
      <c r="BM111" s="753"/>
      <c r="BN111" s="753"/>
      <c r="BO111" s="753"/>
      <c r="BP111" s="406"/>
      <c r="BQ111" s="409"/>
      <c r="BR111" s="409"/>
      <c r="BS111" s="409"/>
      <c r="BT111" s="409"/>
      <c r="BU111" s="408"/>
      <c r="BV111" s="409" t="str">
        <f t="shared" ref="BV111:DA111" si="547">+IF(BQ110&lt;=0,"nm",BV110/BQ110-1)</f>
        <v>nm</v>
      </c>
      <c r="BW111" s="409" t="str">
        <f t="shared" si="547"/>
        <v>nm</v>
      </c>
      <c r="BX111" s="409" t="str">
        <f t="shared" si="547"/>
        <v>nm</v>
      </c>
      <c r="BY111" s="409">
        <f t="shared" si="547"/>
        <v>3.0728699551569223</v>
      </c>
      <c r="BZ111" s="408">
        <f t="shared" si="547"/>
        <v>2.4138576779025471</v>
      </c>
      <c r="CA111" s="409" t="str">
        <f t="shared" si="547"/>
        <v>nm</v>
      </c>
      <c r="CB111" s="409" t="str">
        <f t="shared" si="547"/>
        <v>nm</v>
      </c>
      <c r="CC111" s="409">
        <f t="shared" si="547"/>
        <v>4.0100874243443423</v>
      </c>
      <c r="CD111" s="409">
        <f t="shared" si="547"/>
        <v>4.323974676575852</v>
      </c>
      <c r="CE111" s="408">
        <f t="shared" si="547"/>
        <v>15.142073505211357</v>
      </c>
      <c r="CF111" s="409">
        <f t="shared" si="547"/>
        <v>32.472727272724825</v>
      </c>
      <c r="CG111" s="409">
        <f t="shared" si="547"/>
        <v>0.30766045548653076</v>
      </c>
      <c r="CH111" s="409">
        <f t="shared" si="547"/>
        <v>-0.49033557046980225</v>
      </c>
      <c r="CI111" s="409">
        <f t="shared" si="547"/>
        <v>0.40952331713369783</v>
      </c>
      <c r="CJ111" s="408">
        <f t="shared" si="547"/>
        <v>0.41305603697284354</v>
      </c>
      <c r="CK111" s="409">
        <f t="shared" si="547"/>
        <v>-3.0689842476918083E-2</v>
      </c>
      <c r="CL111" s="409">
        <f t="shared" si="547"/>
        <v>3.3609879670677953</v>
      </c>
      <c r="CM111" s="409">
        <f t="shared" si="547"/>
        <v>4.0805899394259004</v>
      </c>
      <c r="CN111" s="409">
        <f t="shared" si="547"/>
        <v>0.51138906209882018</v>
      </c>
      <c r="CO111" s="408">
        <f t="shared" si="547"/>
        <v>0.95772209128950703</v>
      </c>
      <c r="CP111" s="409">
        <f t="shared" si="547"/>
        <v>-6.1641916503154537E-3</v>
      </c>
      <c r="CQ111" s="409">
        <f t="shared" si="547"/>
        <v>8.7013505663665445</v>
      </c>
      <c r="CR111" s="409">
        <f t="shared" si="547"/>
        <v>6.7139598776631431</v>
      </c>
      <c r="CS111" s="409">
        <f t="shared" si="547"/>
        <v>4.2881931804392588</v>
      </c>
      <c r="CT111" s="408">
        <f t="shared" si="547"/>
        <v>5.233090926958698</v>
      </c>
      <c r="CU111" s="409">
        <f t="shared" si="547"/>
        <v>30.948407104595425</v>
      </c>
      <c r="CV111" s="409">
        <f t="shared" si="547"/>
        <v>0.88213192422552611</v>
      </c>
      <c r="CW111" s="409">
        <f t="shared" si="547"/>
        <v>3.3304213426516904E-2</v>
      </c>
      <c r="CX111" s="410">
        <f t="shared" si="547"/>
        <v>-0.38063653051858515</v>
      </c>
      <c r="CY111" s="408">
        <f t="shared" si="547"/>
        <v>0.51126660636052423</v>
      </c>
      <c r="CZ111" s="409">
        <f t="shared" si="547"/>
        <v>-0.83814562172942297</v>
      </c>
      <c r="DA111" s="409">
        <f t="shared" si="547"/>
        <v>-1.1367421440671899</v>
      </c>
      <c r="DB111" s="409">
        <f t="shared" ref="DB111:EC111" si="548">+IF(CW110&lt;=0,"nm",DB110/CW110-1)</f>
        <v>-1.2618914454430759</v>
      </c>
      <c r="DC111" s="409">
        <f t="shared" si="548"/>
        <v>-0.5025833714312391</v>
      </c>
      <c r="DD111" s="408">
        <f t="shared" si="548"/>
        <v>-0.96197609050102517</v>
      </c>
      <c r="DE111" s="409">
        <f t="shared" si="548"/>
        <v>-1.7905569337295182</v>
      </c>
      <c r="DF111" s="409" t="str">
        <f t="shared" si="548"/>
        <v>nm</v>
      </c>
      <c r="DG111" s="409" t="str">
        <f t="shared" si="548"/>
        <v>nm</v>
      </c>
      <c r="DH111" s="409">
        <f t="shared" si="548"/>
        <v>4.988291549358709</v>
      </c>
      <c r="DI111" s="408">
        <f t="shared" si="548"/>
        <v>26.471019960216548</v>
      </c>
      <c r="DJ111" s="409" t="str">
        <f t="shared" si="548"/>
        <v>nm</v>
      </c>
      <c r="DK111" s="409">
        <f t="shared" si="548"/>
        <v>1.060810810810811</v>
      </c>
      <c r="DL111" s="409">
        <f t="shared" si="548"/>
        <v>0.43214285714285716</v>
      </c>
      <c r="DM111" s="409">
        <f t="shared" si="548"/>
        <v>0.36636094479566461</v>
      </c>
      <c r="DN111" s="408">
        <f t="shared" si="548"/>
        <v>0.82556441923577673</v>
      </c>
      <c r="DO111" s="409">
        <f t="shared" si="548"/>
        <v>0.36563716279513669</v>
      </c>
      <c r="DP111" s="409">
        <f t="shared" si="548"/>
        <v>0.49945343209399873</v>
      </c>
      <c r="DQ111" s="409">
        <f t="shared" si="548"/>
        <v>0.33720777085935549</v>
      </c>
      <c r="DR111" s="409">
        <f t="shared" si="548"/>
        <v>0.34477796450674147</v>
      </c>
      <c r="DS111" s="408">
        <f t="shared" si="548"/>
        <v>0.3779168435971525</v>
      </c>
      <c r="DT111" s="409">
        <f t="shared" si="548"/>
        <v>0.31976679131655295</v>
      </c>
      <c r="DU111" s="409">
        <f t="shared" si="548"/>
        <v>0.27655215652048937</v>
      </c>
      <c r="DV111" s="409">
        <f t="shared" si="548"/>
        <v>0.26806642704860795</v>
      </c>
      <c r="DW111" s="409">
        <f t="shared" si="548"/>
        <v>0.26561813111519528</v>
      </c>
      <c r="DX111" s="408">
        <f t="shared" si="548"/>
        <v>0.27634842874018339</v>
      </c>
      <c r="DY111" s="409">
        <f t="shared" si="548"/>
        <v>0.30394531432187266</v>
      </c>
      <c r="DZ111" s="409">
        <f t="shared" si="548"/>
        <v>0.26328597554326572</v>
      </c>
      <c r="EA111" s="409">
        <f t="shared" si="548"/>
        <v>0.25478502676340264</v>
      </c>
      <c r="EB111" s="409">
        <f t="shared" si="548"/>
        <v>0.25142062817214228</v>
      </c>
      <c r="EC111" s="408">
        <f t="shared" si="548"/>
        <v>0.26262357368631539</v>
      </c>
      <c r="ED111" s="287"/>
      <c r="EE111" s="139"/>
    </row>
    <row r="112" spans="1:135" s="296" customFormat="1" ht="12" customHeight="1">
      <c r="A112" s="940"/>
      <c r="B112" s="940"/>
      <c r="C112" s="405" t="s">
        <v>141</v>
      </c>
      <c r="D112" s="406"/>
      <c r="E112" s="406"/>
      <c r="F112" s="406"/>
      <c r="G112" s="406"/>
      <c r="H112" s="406"/>
      <c r="I112" s="407"/>
      <c r="J112" s="407"/>
      <c r="K112" s="407"/>
      <c r="L112" s="407"/>
      <c r="M112" s="406"/>
      <c r="N112" s="753"/>
      <c r="O112" s="753"/>
      <c r="P112" s="753"/>
      <c r="Q112" s="753"/>
      <c r="R112" s="406"/>
      <c r="S112" s="753"/>
      <c r="T112" s="753"/>
      <c r="U112" s="753"/>
      <c r="V112" s="753"/>
      <c r="W112" s="406"/>
      <c r="X112" s="753"/>
      <c r="Y112" s="753"/>
      <c r="Z112" s="753"/>
      <c r="AA112" s="753"/>
      <c r="AB112" s="406"/>
      <c r="AC112" s="753"/>
      <c r="AD112" s="753"/>
      <c r="AE112" s="753"/>
      <c r="AF112" s="753"/>
      <c r="AG112" s="406"/>
      <c r="AH112" s="753"/>
      <c r="AI112" s="753"/>
      <c r="AJ112" s="753"/>
      <c r="AK112" s="753"/>
      <c r="AL112" s="406"/>
      <c r="AM112" s="753"/>
      <c r="AN112" s="753"/>
      <c r="AO112" s="753"/>
      <c r="AP112" s="753"/>
      <c r="AQ112" s="406"/>
      <c r="AR112" s="753"/>
      <c r="AS112" s="753"/>
      <c r="AT112" s="753"/>
      <c r="AU112" s="753"/>
      <c r="AV112" s="406"/>
      <c r="AW112" s="753"/>
      <c r="AX112" s="753"/>
      <c r="AY112" s="753"/>
      <c r="AZ112" s="753"/>
      <c r="BA112" s="406"/>
      <c r="BB112" s="753"/>
      <c r="BC112" s="753"/>
      <c r="BD112" s="753"/>
      <c r="BE112" s="753"/>
      <c r="BF112" s="406"/>
      <c r="BG112" s="753"/>
      <c r="BH112" s="753"/>
      <c r="BI112" s="753"/>
      <c r="BJ112" s="753"/>
      <c r="BK112" s="406"/>
      <c r="BL112" s="753"/>
      <c r="BM112" s="753"/>
      <c r="BN112" s="753"/>
      <c r="BO112" s="753"/>
      <c r="BP112" s="406"/>
      <c r="BQ112" s="409" t="e">
        <f>(BQ110-BP110)/ABS(BP110)</f>
        <v>#DIV/0!</v>
      </c>
      <c r="BR112" s="409" t="e">
        <f>(BR110-BQ110)/ABS(BQ110)</f>
        <v>#DIV/0!</v>
      </c>
      <c r="BS112" s="409">
        <f>(BS110-BR110)/ABS(BR110)</f>
        <v>0.47659574468085963</v>
      </c>
      <c r="BT112" s="409">
        <f>(BT110-BS110)/ABS(BS110)</f>
        <v>8.2520325203253879</v>
      </c>
      <c r="BU112" s="408"/>
      <c r="BV112" s="409">
        <f>(BV110-BU110)/ABS(BU110)</f>
        <v>-6.3595505617976702</v>
      </c>
      <c r="BW112" s="409">
        <f>(BW110-BV110)/ABS(BV110)</f>
        <v>0.84800838574423221</v>
      </c>
      <c r="BX112" s="409">
        <f>(BX110-BW110)/ABS(BW110)</f>
        <v>4.4183908045976441</v>
      </c>
      <c r="BY112" s="409">
        <f>(BY110-BX110)/ABS(BX110)</f>
        <v>1.4431741761936734</v>
      </c>
      <c r="BZ112" s="408"/>
      <c r="CA112" s="409">
        <f>(CA110-BZ110)/ABS(BZ110)</f>
        <v>-0.87931980252330366</v>
      </c>
      <c r="CB112" s="409">
        <f>(CB110-CA110)/ABS(CA110)</f>
        <v>9.9772727272719823</v>
      </c>
      <c r="CC112" s="409">
        <f>(CC110-CB110)/ABS(CB110)</f>
        <v>2.0848861283643902</v>
      </c>
      <c r="CD112" s="409">
        <f>(CD110-CC110)/ABS(CC110)</f>
        <v>1.5962416107382462</v>
      </c>
      <c r="CE112" s="408"/>
      <c r="CF112" s="409">
        <f>(CF110-CE110)/ABS(CE110)</f>
        <v>-0.74975362762089337</v>
      </c>
      <c r="CG112" s="409">
        <f>(CG110-CF110)/ABS(CF110)</f>
        <v>-0.5711569799022288</v>
      </c>
      <c r="CH112" s="409">
        <f>(CH110-CG110)/ABS(CG110)</f>
        <v>0.20234325522482838</v>
      </c>
      <c r="CI112" s="409">
        <f>(CI110-CH110)/ABS(CH110)</f>
        <v>6.1801422175401859</v>
      </c>
      <c r="CJ112" s="408"/>
      <c r="CK112" s="409">
        <f>(CK110-CJ110)/ABS(CJ110)</f>
        <v>-0.82833918522437666</v>
      </c>
      <c r="CL112" s="409">
        <f>(CL110-CK110)/ABS(CK110)</f>
        <v>0.92939198655086763</v>
      </c>
      <c r="CM112" s="409">
        <f>(CM110-CL110)/ABS(CL110)</f>
        <v>0.40074063316875164</v>
      </c>
      <c r="CN112" s="409">
        <f>(CN110-CM110)/ABS(CM110)</f>
        <v>1.1359701415167671</v>
      </c>
      <c r="CO112" s="408"/>
      <c r="CP112" s="409">
        <f>(CP110-CO110)/ABS(CO110)</f>
        <v>-0.91285654620052592</v>
      </c>
      <c r="CQ112" s="409">
        <f>(CQ110-CP110)/ABS(CP110)</f>
        <v>17.833803213983657</v>
      </c>
      <c r="CR112" s="409">
        <f>(CR110-CQ110)/ABS(CQ110)</f>
        <v>0.11378894818385264</v>
      </c>
      <c r="CS112" s="409">
        <f>(CS110-CR110)/ABS(CR110)</f>
        <v>0.46428331429339342</v>
      </c>
      <c r="CT112" s="408"/>
      <c r="CU112" s="409">
        <f>(CU110-CT110)/ABS(CT110)</f>
        <v>-0.55333644717989972</v>
      </c>
      <c r="CV112" s="409">
        <f>(CV110-CU110)/ABS(CU110)</f>
        <v>0.10952956645281996</v>
      </c>
      <c r="CW112" s="409">
        <f>(CW110-CV110)/ABS(CV110)</f>
        <v>-0.38852170870018188</v>
      </c>
      <c r="CX112" s="410">
        <f>(CX110-CW110)/ABS(CW110)</f>
        <v>-0.12230727208875679</v>
      </c>
      <c r="CY112" s="408"/>
      <c r="CZ112" s="409">
        <f>(CZ110-CY110)/ABS(CY110)</f>
        <v>-0.95216300596231263</v>
      </c>
      <c r="DA112" s="409">
        <f>(DA110-CZ110)/ABS(CZ110)</f>
        <v>-1.9373824387318341</v>
      </c>
      <c r="DB112" s="409">
        <f>(DB110-DA110)/ABS(DA110)</f>
        <v>-0.17111615192229537</v>
      </c>
      <c r="DC112" s="409">
        <f>(DC110-DB110)/ABS(DB110)</f>
        <v>2.6670225974670987</v>
      </c>
      <c r="DD112" s="408"/>
      <c r="DE112" s="409">
        <f>(DE110-DD110)/ABS(DD110)</f>
        <v>-1.9945812469991009</v>
      </c>
      <c r="DF112" s="409">
        <f>(DF110-DE110)/ABS(DE110)</f>
        <v>6.1034482758620694</v>
      </c>
      <c r="DG112" s="409">
        <f>(DG110-DF110)/ABS(DF110)</f>
        <v>0.89189189189189189</v>
      </c>
      <c r="DH112" s="409">
        <f>(DH110-DG110)/ABS(DG110)</f>
        <v>0.43571428571428572</v>
      </c>
      <c r="DI112" s="408"/>
      <c r="DJ112" s="409">
        <f>(DJ110-DI110)/ABS(DI110)</f>
        <v>-0.7415730337078652</v>
      </c>
      <c r="DK112" s="409">
        <f>(DK110-DJ110)/ABS(DJ110)</f>
        <v>0.47342995169082125</v>
      </c>
      <c r="DL112" s="409">
        <f>(DL110-DK110)/ABS(DK110)</f>
        <v>0.31475409836065577</v>
      </c>
      <c r="DM112" s="409">
        <f>(DM110-DL110)/ABS(DL110)</f>
        <v>0.36976832869789827</v>
      </c>
      <c r="DN112" s="408"/>
      <c r="DO112" s="409">
        <f>(DO110-DN110)/ABS(DN110)</f>
        <v>-0.8066803530358656</v>
      </c>
      <c r="DP112" s="409">
        <f>(DP110-DO110)/ABS(DO110)</f>
        <v>0.61780863775770456</v>
      </c>
      <c r="DQ112" s="409">
        <f>(DQ110-DP110)/ABS(DP110)</f>
        <v>0.17249349627474228</v>
      </c>
      <c r="DR112" s="409">
        <f>(DR110-DQ110)/ABS(DQ110)</f>
        <v>0.37752285400523722</v>
      </c>
      <c r="DS112" s="408"/>
      <c r="DT112" s="409">
        <f>(DT110-DS110)/ABS(DS110)</f>
        <v>-0.81483871733053848</v>
      </c>
      <c r="DU112" s="409">
        <f>(DU110-DT110)/ABS(DT110)</f>
        <v>0.56483487761264606</v>
      </c>
      <c r="DV112" s="409">
        <f>(DV110-DU110)/ABS(DU110)</f>
        <v>0.16469948443894919</v>
      </c>
      <c r="DW112" s="409">
        <f>(DW110-DV110)/ABS(DV110)</f>
        <v>0.37486322708845699</v>
      </c>
      <c r="DX112" s="408"/>
      <c r="DY112" s="409">
        <f>(DY110-DX110)/ABS(DX110)</f>
        <v>-0.81083520652038177</v>
      </c>
      <c r="DZ112" s="409">
        <f>(DZ110-DY110)/ABS(DY110)</f>
        <v>0.51604053729591159</v>
      </c>
      <c r="EA112" s="409">
        <f>(EA110-DZ110)/ABS(DZ110)</f>
        <v>0.15686194737067724</v>
      </c>
      <c r="EB112" s="409">
        <f>(EB110-EA110)/ABS(EA110)</f>
        <v>0.37117686822559798</v>
      </c>
      <c r="EC112" s="408"/>
      <c r="ED112" s="287"/>
      <c r="EE112" s="139"/>
    </row>
    <row r="113" spans="1:135" s="296" customFormat="1" ht="12" customHeight="1">
      <c r="A113" s="940" t="s">
        <v>442</v>
      </c>
      <c r="B113" s="940"/>
      <c r="C113" s="405" t="s">
        <v>65</v>
      </c>
      <c r="D113" s="754"/>
      <c r="E113" s="754"/>
      <c r="F113" s="754"/>
      <c r="G113" s="754"/>
      <c r="H113" s="754"/>
      <c r="I113" s="753"/>
      <c r="J113" s="753"/>
      <c r="K113" s="753"/>
      <c r="L113" s="753"/>
      <c r="M113" s="754"/>
      <c r="N113" s="753"/>
      <c r="O113" s="753"/>
      <c r="P113" s="753"/>
      <c r="Q113" s="753"/>
      <c r="R113" s="754"/>
      <c r="S113" s="753"/>
      <c r="T113" s="753"/>
      <c r="U113" s="753"/>
      <c r="V113" s="753"/>
      <c r="W113" s="754"/>
      <c r="X113" s="753"/>
      <c r="Y113" s="753"/>
      <c r="Z113" s="753"/>
      <c r="AA113" s="753"/>
      <c r="AB113" s="754"/>
      <c r="AC113" s="753"/>
      <c r="AD113" s="753"/>
      <c r="AE113" s="753"/>
      <c r="AF113" s="753"/>
      <c r="AG113" s="754"/>
      <c r="AH113" s="753"/>
      <c r="AI113" s="753"/>
      <c r="AJ113" s="753"/>
      <c r="AK113" s="753"/>
      <c r="AL113" s="754"/>
      <c r="AM113" s="753"/>
      <c r="AN113" s="753"/>
      <c r="AO113" s="753"/>
      <c r="AP113" s="753"/>
      <c r="AQ113" s="754"/>
      <c r="AR113" s="753"/>
      <c r="AS113" s="753"/>
      <c r="AT113" s="753"/>
      <c r="AU113" s="753"/>
      <c r="AV113" s="754"/>
      <c r="AW113" s="753"/>
      <c r="AX113" s="753"/>
      <c r="AY113" s="753"/>
      <c r="AZ113" s="753"/>
      <c r="BA113" s="754"/>
      <c r="BB113" s="753"/>
      <c r="BC113" s="753"/>
      <c r="BD113" s="753"/>
      <c r="BE113" s="753"/>
      <c r="BF113" s="754"/>
      <c r="BG113" s="753"/>
      <c r="BH113" s="753"/>
      <c r="BI113" s="753"/>
      <c r="BJ113" s="753"/>
      <c r="BK113" s="754"/>
      <c r="BL113" s="753"/>
      <c r="BM113" s="753"/>
      <c r="BN113" s="753"/>
      <c r="BO113" s="753"/>
      <c r="BP113" s="754"/>
      <c r="BQ113" s="409">
        <f t="shared" ref="BQ113:CV113" si="549">BQ110/BQ11</f>
        <v>0</v>
      </c>
      <c r="BR113" s="409">
        <f t="shared" si="549"/>
        <v>-5.2308240217245764E-3</v>
      </c>
      <c r="BS113" s="409">
        <f t="shared" si="549"/>
        <v>-2.3301633008751773E-3</v>
      </c>
      <c r="BT113" s="409">
        <f t="shared" si="549"/>
        <v>1.2711441722599883E-2</v>
      </c>
      <c r="BU113" s="408">
        <f t="shared" si="549"/>
        <v>2.6019207437400723E-3</v>
      </c>
      <c r="BV113" s="409">
        <f t="shared" si="549"/>
        <v>-3.9355353263111424E-2</v>
      </c>
      <c r="BW113" s="409">
        <f t="shared" si="549"/>
        <v>-5.0203700070401277E-3</v>
      </c>
      <c r="BX113" s="409">
        <f t="shared" si="549"/>
        <v>1.493301733314583E-2</v>
      </c>
      <c r="BY113" s="409">
        <f t="shared" si="549"/>
        <v>2.7864062032626813E-2</v>
      </c>
      <c r="BZ113" s="408">
        <f t="shared" si="549"/>
        <v>4.6824031027662433E-3</v>
      </c>
      <c r="CA113" s="409">
        <f t="shared" si="549"/>
        <v>1.7271292756264006E-3</v>
      </c>
      <c r="CB113" s="409">
        <f t="shared" si="549"/>
        <v>1.5924301869374595E-2</v>
      </c>
      <c r="CC113" s="409">
        <f t="shared" si="549"/>
        <v>4.3451381112355435E-2</v>
      </c>
      <c r="CD113" s="409">
        <f t="shared" si="549"/>
        <v>8.6807830746721354E-2</v>
      </c>
      <c r="CE113" s="408">
        <f t="shared" si="549"/>
        <v>4.3705369342822861E-2</v>
      </c>
      <c r="CF113" s="409">
        <f t="shared" si="549"/>
        <v>3.4356629653820914E-2</v>
      </c>
      <c r="CG113" s="409">
        <f t="shared" si="549"/>
        <v>1.2891742834632075E-2</v>
      </c>
      <c r="CH113" s="409">
        <f t="shared" si="549"/>
        <v>1.4059630309852408E-2</v>
      </c>
      <c r="CI113" s="409">
        <f t="shared" si="549"/>
        <v>7.9284713053492231E-2</v>
      </c>
      <c r="CJ113" s="408">
        <f t="shared" si="549"/>
        <v>3.8744759972009588E-2</v>
      </c>
      <c r="CK113" s="409">
        <f t="shared" si="549"/>
        <v>2.2272701742999453E-2</v>
      </c>
      <c r="CL113" s="409">
        <f t="shared" si="549"/>
        <v>3.8046406006978298E-2</v>
      </c>
      <c r="CM113" s="409">
        <f t="shared" si="549"/>
        <v>4.9394190786374262E-2</v>
      </c>
      <c r="CN113" s="409">
        <f t="shared" si="549"/>
        <v>8.1568216010768954E-2</v>
      </c>
      <c r="CO113" s="408">
        <f t="shared" si="549"/>
        <v>5.1582431076947863E-2</v>
      </c>
      <c r="CP113" s="409">
        <f t="shared" si="549"/>
        <v>1.5093584907266153E-2</v>
      </c>
      <c r="CQ113" s="409">
        <f t="shared" si="549"/>
        <v>0.18703532346596377</v>
      </c>
      <c r="CR113" s="409">
        <f t="shared" si="549"/>
        <v>0.19391325310624771</v>
      </c>
      <c r="CS113" s="409">
        <f t="shared" si="549"/>
        <v>0.22285997152628903</v>
      </c>
      <c r="CT113" s="408">
        <f t="shared" si="549"/>
        <v>0.17320790540063102</v>
      </c>
      <c r="CU113" s="409">
        <f t="shared" si="549"/>
        <v>0.22924461410392175</v>
      </c>
      <c r="CV113" s="409">
        <f t="shared" si="549"/>
        <v>0.22463452871735543</v>
      </c>
      <c r="CW113" s="409">
        <f t="shared" ref="CW113:EC113" si="550">CW110/CW11</f>
        <v>0.13683414312919359</v>
      </c>
      <c r="CX113" s="410">
        <f t="shared" si="550"/>
        <v>9.779489342214355E-2</v>
      </c>
      <c r="CY113" s="408">
        <f t="shared" si="550"/>
        <v>0.16627433727332339</v>
      </c>
      <c r="CZ113" s="409">
        <f t="shared" si="550"/>
        <v>3.0477151068067081E-2</v>
      </c>
      <c r="DA113" s="409">
        <f t="shared" si="550"/>
        <v>-2.6551604053239083E-2</v>
      </c>
      <c r="DB113" s="409">
        <f t="shared" si="550"/>
        <v>-2.9475918606353395E-2</v>
      </c>
      <c r="DC113" s="409">
        <f t="shared" si="550"/>
        <v>3.8692709648191555E-2</v>
      </c>
      <c r="DD113" s="408">
        <f t="shared" si="550"/>
        <v>5.2069121678669714E-3</v>
      </c>
      <c r="DE113" s="409">
        <f t="shared" si="550"/>
        <v>-1.9230769230769232E-2</v>
      </c>
      <c r="DF113" s="409">
        <f t="shared" si="550"/>
        <v>8.7367178276269192E-2</v>
      </c>
      <c r="DG113" s="409">
        <f t="shared" si="550"/>
        <v>0.1633605600933489</v>
      </c>
      <c r="DH113" s="409">
        <f t="shared" si="550"/>
        <v>0.1875</v>
      </c>
      <c r="DI113" s="408">
        <f t="shared" si="550"/>
        <v>0.11345609065155807</v>
      </c>
      <c r="DJ113" s="409">
        <f t="shared" si="550"/>
        <v>0.11123052122514777</v>
      </c>
      <c r="DK113" s="409">
        <f t="shared" si="550"/>
        <v>0.1491442542787286</v>
      </c>
      <c r="DL113" s="409">
        <f t="shared" si="550"/>
        <v>0.18547641073080481</v>
      </c>
      <c r="DM113" s="409">
        <f t="shared" si="550"/>
        <v>0.20316588817841275</v>
      </c>
      <c r="DN113" s="408">
        <f t="shared" si="550"/>
        <v>0.16670606289427123</v>
      </c>
      <c r="DO113" s="409">
        <f t="shared" si="550"/>
        <v>0.12086403698997299</v>
      </c>
      <c r="DP113" s="409">
        <f t="shared" si="550"/>
        <v>0.18234773583881611</v>
      </c>
      <c r="DQ113" s="409">
        <f t="shared" si="550"/>
        <v>0.20373842670748551</v>
      </c>
      <c r="DR113" s="409">
        <f t="shared" si="550"/>
        <v>0.22262486824827177</v>
      </c>
      <c r="DS113" s="408">
        <f t="shared" si="550"/>
        <v>0.18662051404474067</v>
      </c>
      <c r="DT113" s="409">
        <f t="shared" si="550"/>
        <v>0.13328096337704615</v>
      </c>
      <c r="DU113" s="409">
        <f t="shared" si="550"/>
        <v>0.1945289513089134</v>
      </c>
      <c r="DV113" s="409">
        <f t="shared" si="550"/>
        <v>0.21602827122412108</v>
      </c>
      <c r="DW113" s="409">
        <f t="shared" si="550"/>
        <v>0.2351534846228438</v>
      </c>
      <c r="DX113" s="408">
        <f t="shared" si="550"/>
        <v>0.19899589486621558</v>
      </c>
      <c r="DY113" s="409">
        <f t="shared" si="550"/>
        <v>0.14740081389381485</v>
      </c>
      <c r="DZ113" s="409">
        <f t="shared" si="550"/>
        <v>0.20846005100734369</v>
      </c>
      <c r="EA113" s="409">
        <f t="shared" si="550"/>
        <v>0.23004291339564692</v>
      </c>
      <c r="EB113" s="409">
        <f t="shared" si="550"/>
        <v>0.24936245458555301</v>
      </c>
      <c r="EC113" s="408">
        <f t="shared" si="550"/>
        <v>0.21308160586352251</v>
      </c>
      <c r="ED113" s="287"/>
      <c r="EE113" s="139"/>
    </row>
    <row r="114" spans="1:135" s="296" customFormat="1" ht="7.9" customHeight="1">
      <c r="A114" s="940"/>
      <c r="B114" s="940"/>
      <c r="C114" s="411"/>
      <c r="D114" s="343"/>
      <c r="E114" s="343"/>
      <c r="F114" s="343"/>
      <c r="G114" s="343"/>
      <c r="H114" s="343"/>
      <c r="I114" s="299"/>
      <c r="J114" s="299"/>
      <c r="K114" s="299"/>
      <c r="L114" s="299"/>
      <c r="M114" s="343"/>
      <c r="N114" s="299"/>
      <c r="O114" s="299"/>
      <c r="P114" s="299"/>
      <c r="Q114" s="299"/>
      <c r="R114" s="343"/>
      <c r="S114" s="299"/>
      <c r="T114" s="299"/>
      <c r="U114" s="299"/>
      <c r="V114" s="299"/>
      <c r="W114" s="343"/>
      <c r="X114" s="299"/>
      <c r="Y114" s="299"/>
      <c r="Z114" s="299"/>
      <c r="AA114" s="299"/>
      <c r="AB114" s="343"/>
      <c r="AC114" s="299"/>
      <c r="AD114" s="299"/>
      <c r="AE114" s="299"/>
      <c r="AF114" s="299"/>
      <c r="AG114" s="343"/>
      <c r="AH114" s="299"/>
      <c r="AI114" s="299"/>
      <c r="AJ114" s="299"/>
      <c r="AK114" s="299"/>
      <c r="AL114" s="343"/>
      <c r="AM114" s="299"/>
      <c r="AN114" s="299"/>
      <c r="AO114" s="299"/>
      <c r="AP114" s="299"/>
      <c r="AQ114" s="343"/>
      <c r="AR114" s="299"/>
      <c r="AS114" s="299"/>
      <c r="AT114" s="299"/>
      <c r="AU114" s="299"/>
      <c r="AV114" s="343"/>
      <c r="AW114" s="299"/>
      <c r="AX114" s="299"/>
      <c r="AY114" s="299"/>
      <c r="AZ114" s="299"/>
      <c r="BA114" s="343"/>
      <c r="BB114" s="299"/>
      <c r="BC114" s="299"/>
      <c r="BD114" s="299"/>
      <c r="BE114" s="299"/>
      <c r="BF114" s="343"/>
      <c r="BG114" s="741"/>
      <c r="BH114" s="299"/>
      <c r="BI114" s="299"/>
      <c r="BJ114" s="299"/>
      <c r="BK114" s="343"/>
      <c r="BL114" s="299"/>
      <c r="BM114" s="299"/>
      <c r="BN114" s="299"/>
      <c r="BO114" s="299"/>
      <c r="BP114" s="343"/>
      <c r="BQ114" s="125"/>
      <c r="BR114" s="125"/>
      <c r="BS114" s="125"/>
      <c r="BT114" s="125"/>
      <c r="BU114" s="755"/>
      <c r="BV114" s="125"/>
      <c r="BW114" s="125"/>
      <c r="BX114" s="125"/>
      <c r="BY114" s="125"/>
      <c r="BZ114" s="755"/>
      <c r="CA114" s="125"/>
      <c r="CB114" s="125"/>
      <c r="CC114" s="125"/>
      <c r="CD114" s="125"/>
      <c r="CE114" s="755"/>
      <c r="CF114" s="125"/>
      <c r="CG114" s="125"/>
      <c r="CH114" s="125"/>
      <c r="CI114" s="125"/>
      <c r="CJ114" s="755"/>
      <c r="CK114" s="125"/>
      <c r="CL114" s="125"/>
      <c r="CM114" s="125"/>
      <c r="CN114" s="125"/>
      <c r="CO114" s="755"/>
      <c r="CP114" s="125"/>
      <c r="CQ114" s="125"/>
      <c r="CR114" s="125"/>
      <c r="CS114" s="125"/>
      <c r="CT114" s="755"/>
      <c r="CU114" s="125"/>
      <c r="CV114" s="125"/>
      <c r="CW114" s="125"/>
      <c r="CX114" s="125"/>
      <c r="CY114" s="755"/>
      <c r="CZ114" s="125"/>
      <c r="DA114" s="125"/>
      <c r="DB114" s="125"/>
      <c r="DC114" s="125"/>
      <c r="DD114" s="755"/>
      <c r="DE114" s="125"/>
      <c r="DF114" s="125"/>
      <c r="DG114" s="125"/>
      <c r="DH114" s="125"/>
      <c r="DI114" s="755"/>
      <c r="DJ114" s="125"/>
      <c r="DK114" s="125"/>
      <c r="DL114" s="125"/>
      <c r="DM114" s="125"/>
      <c r="DN114" s="755"/>
      <c r="DO114" s="125"/>
      <c r="DP114" s="125"/>
      <c r="DQ114" s="125"/>
      <c r="DR114" s="125"/>
      <c r="DS114" s="755"/>
      <c r="DT114" s="125"/>
      <c r="DU114" s="125"/>
      <c r="DV114" s="125"/>
      <c r="DW114" s="125"/>
      <c r="DX114" s="755"/>
      <c r="DY114" s="125"/>
      <c r="DZ114" s="125"/>
      <c r="EA114" s="125"/>
      <c r="EB114" s="125"/>
      <c r="EC114" s="755"/>
      <c r="ED114" s="681"/>
      <c r="EE114" s="139"/>
    </row>
    <row r="115" spans="1:135" s="296" customFormat="1">
      <c r="A115" s="940"/>
      <c r="B115" s="940"/>
      <c r="C115" s="411" t="s">
        <v>78</v>
      </c>
      <c r="D115" s="343"/>
      <c r="E115" s="343"/>
      <c r="F115" s="343"/>
      <c r="G115" s="343"/>
      <c r="H115" s="343"/>
      <c r="I115" s="299"/>
      <c r="J115" s="299"/>
      <c r="K115" s="299"/>
      <c r="L115" s="299"/>
      <c r="M115" s="343"/>
      <c r="N115" s="299"/>
      <c r="O115" s="299"/>
      <c r="P115" s="299"/>
      <c r="Q115" s="299"/>
      <c r="R115" s="343"/>
      <c r="S115" s="299"/>
      <c r="T115" s="299"/>
      <c r="U115" s="299"/>
      <c r="V115" s="299"/>
      <c r="W115" s="343"/>
      <c r="X115" s="299"/>
      <c r="Y115" s="299"/>
      <c r="Z115" s="299"/>
      <c r="AA115" s="299"/>
      <c r="AB115" s="343"/>
      <c r="AC115" s="299"/>
      <c r="AD115" s="299"/>
      <c r="AE115" s="299"/>
      <c r="AF115" s="299"/>
      <c r="AG115" s="343"/>
      <c r="AH115" s="299"/>
      <c r="AI115" s="299"/>
      <c r="AJ115" s="299"/>
      <c r="AK115" s="299"/>
      <c r="AL115" s="343"/>
      <c r="AM115" s="299"/>
      <c r="AN115" s="299"/>
      <c r="AO115" s="299"/>
      <c r="AP115" s="299"/>
      <c r="AQ115" s="343"/>
      <c r="AR115" s="299"/>
      <c r="AS115" s="299"/>
      <c r="AT115" s="299"/>
      <c r="AU115" s="299"/>
      <c r="AV115" s="343"/>
      <c r="AW115" s="299"/>
      <c r="AX115" s="299"/>
      <c r="AY115" s="299"/>
      <c r="AZ115" s="299"/>
      <c r="BA115" s="343"/>
      <c r="BB115" s="299"/>
      <c r="BC115" s="299"/>
      <c r="BD115" s="299"/>
      <c r="BE115" s="299"/>
      <c r="BF115" s="343"/>
      <c r="BG115" s="741"/>
      <c r="BH115" s="299"/>
      <c r="BI115" s="299"/>
      <c r="BJ115" s="299"/>
      <c r="BK115" s="343"/>
      <c r="BL115" s="299"/>
      <c r="BM115" s="299"/>
      <c r="BN115" s="299"/>
      <c r="BO115" s="299"/>
      <c r="BP115" s="343"/>
      <c r="BQ115" s="125"/>
      <c r="BR115" s="125"/>
      <c r="BS115" s="125"/>
      <c r="BT115" s="125"/>
      <c r="BU115" s="755"/>
      <c r="BV115" s="125"/>
      <c r="BW115" s="125"/>
      <c r="BX115" s="125"/>
      <c r="BY115" s="125"/>
      <c r="BZ115" s="755"/>
      <c r="CA115" s="125"/>
      <c r="CB115" s="125"/>
      <c r="CC115" s="125"/>
      <c r="CD115" s="125"/>
      <c r="CE115" s="755"/>
      <c r="CF115" s="125"/>
      <c r="CG115" s="125"/>
      <c r="CH115" s="125"/>
      <c r="CI115" s="125"/>
      <c r="CJ115" s="755"/>
      <c r="CK115" s="125"/>
      <c r="CL115" s="125"/>
      <c r="CM115" s="125"/>
      <c r="CN115" s="125"/>
      <c r="CO115" s="755"/>
      <c r="CP115" s="125"/>
      <c r="CQ115" s="125"/>
      <c r="CR115" s="125"/>
      <c r="CS115" s="125"/>
      <c r="CT115" s="755"/>
      <c r="CU115" s="125"/>
      <c r="CV115" s="125"/>
      <c r="CW115" s="125"/>
      <c r="CX115" s="125"/>
      <c r="CY115" s="755"/>
      <c r="CZ115" s="125"/>
      <c r="DA115" s="125"/>
      <c r="DB115" s="125"/>
      <c r="DC115" s="125"/>
      <c r="DD115" s="755"/>
      <c r="DE115" s="125"/>
      <c r="DF115" s="125"/>
      <c r="DG115" s="125"/>
      <c r="DH115" s="179"/>
      <c r="DI115" s="755"/>
      <c r="DJ115" s="179"/>
      <c r="DK115" s="179"/>
      <c r="DL115" s="179"/>
      <c r="DM115" s="179"/>
      <c r="DN115" s="755"/>
      <c r="DO115" s="179"/>
      <c r="DP115" s="179"/>
      <c r="DQ115" s="179"/>
      <c r="DR115" s="179"/>
      <c r="DS115" s="755"/>
      <c r="DT115" s="179"/>
      <c r="DU115" s="179"/>
      <c r="DV115" s="179"/>
      <c r="DW115" s="179"/>
      <c r="DX115" s="755"/>
      <c r="DY115" s="179"/>
      <c r="DZ115" s="179"/>
      <c r="EA115" s="179"/>
      <c r="EB115" s="179"/>
      <c r="EC115" s="755"/>
      <c r="ED115" s="681"/>
      <c r="EE115" s="139"/>
    </row>
    <row r="116" spans="1:135" s="296" customFormat="1" ht="12" customHeight="1">
      <c r="A116" s="940"/>
      <c r="B116" s="940"/>
      <c r="C116" s="301" t="s">
        <v>170</v>
      </c>
      <c r="D116" s="343"/>
      <c r="E116" s="343"/>
      <c r="F116" s="343"/>
      <c r="G116" s="343"/>
      <c r="H116" s="343"/>
      <c r="I116" s="299"/>
      <c r="J116" s="299"/>
      <c r="K116" s="299"/>
      <c r="L116" s="299"/>
      <c r="M116" s="343"/>
      <c r="N116" s="299"/>
      <c r="O116" s="299"/>
      <c r="P116" s="299"/>
      <c r="Q116" s="299"/>
      <c r="R116" s="343"/>
      <c r="S116" s="299"/>
      <c r="T116" s="299"/>
      <c r="U116" s="299"/>
      <c r="V116" s="299"/>
      <c r="W116" s="343"/>
      <c r="X116" s="299"/>
      <c r="Y116" s="299"/>
      <c r="Z116" s="299"/>
      <c r="AA116" s="299"/>
      <c r="AB116" s="343"/>
      <c r="AC116" s="299"/>
      <c r="AD116" s="299"/>
      <c r="AE116" s="299"/>
      <c r="AF116" s="299"/>
      <c r="AG116" s="343"/>
      <c r="AH116" s="299"/>
      <c r="AI116" s="299"/>
      <c r="AJ116" s="299"/>
      <c r="AK116" s="299"/>
      <c r="AL116" s="343"/>
      <c r="AM116" s="299"/>
      <c r="AN116" s="299"/>
      <c r="AO116" s="299"/>
      <c r="AP116" s="299"/>
      <c r="AQ116" s="343"/>
      <c r="AR116" s="299"/>
      <c r="AS116" s="299"/>
      <c r="AT116" s="299"/>
      <c r="AU116" s="299"/>
      <c r="AV116" s="343"/>
      <c r="AW116" s="299"/>
      <c r="AX116" s="299"/>
      <c r="AY116" s="299"/>
      <c r="AZ116" s="299"/>
      <c r="BA116" s="343"/>
      <c r="BB116" s="299"/>
      <c r="BC116" s="299"/>
      <c r="BD116" s="299"/>
      <c r="BE116" s="299"/>
      <c r="BF116" s="343"/>
      <c r="BK116" s="343"/>
      <c r="BP116" s="343"/>
      <c r="BQ116" s="125">
        <f>BQ63</f>
        <v>-4.5299999999999994</v>
      </c>
      <c r="BR116" s="125">
        <f>BR63</f>
        <v>-3.2959999999999985</v>
      </c>
      <c r="BS116" s="125">
        <f>BS63</f>
        <v>-4.6569999999999974</v>
      </c>
      <c r="BT116" s="125">
        <f>BT63</f>
        <v>-6.3069999999999986</v>
      </c>
      <c r="BU116" s="300">
        <f>SUM(BQ116:BT116)</f>
        <v>-18.789999999999992</v>
      </c>
      <c r="BV116" s="125">
        <f>BV63</f>
        <v>-8.9289999999999896</v>
      </c>
      <c r="BW116" s="125">
        <f>BW63</f>
        <v>-8.4390000000000054</v>
      </c>
      <c r="BX116" s="125">
        <f>BX63</f>
        <v>-9.1200000000000045</v>
      </c>
      <c r="BY116" s="125">
        <f>BY63</f>
        <v>-8.8670000000000204</v>
      </c>
      <c r="BZ116" s="300">
        <f>SUM(BV116:BY116)</f>
        <v>-35.355000000000018</v>
      </c>
      <c r="CA116" s="125">
        <f>CA63</f>
        <v>-13.597999999999985</v>
      </c>
      <c r="CB116" s="125">
        <f>CB63</f>
        <v>-14.029999999999996</v>
      </c>
      <c r="CC116" s="125">
        <f>CC63</f>
        <v>-9.3799999999999883</v>
      </c>
      <c r="CD116" s="125">
        <f>CD63</f>
        <v>-2.9870000000000285</v>
      </c>
      <c r="CE116" s="300">
        <f>SUM(CA116:CD116)</f>
        <v>-39.994999999999997</v>
      </c>
      <c r="CF116" s="125">
        <f>CF63</f>
        <v>-15.902000000000026</v>
      </c>
      <c r="CG116" s="125">
        <f>CG63</f>
        <v>-23.953000000000024</v>
      </c>
      <c r="CH116" s="125">
        <f>CH63</f>
        <v>-23.184000000000026</v>
      </c>
      <c r="CI116" s="125">
        <f>CI63</f>
        <v>-1.5140000000000544</v>
      </c>
      <c r="CJ116" s="300">
        <f>SUM(CF116:CI116)</f>
        <v>-64.553000000000125</v>
      </c>
      <c r="CK116" s="125">
        <f>CK63</f>
        <v>-24.15100000000005</v>
      </c>
      <c r="CL116" s="125">
        <f>CL63</f>
        <v>-28.678000000000004</v>
      </c>
      <c r="CM116" s="125">
        <f>CM63</f>
        <v>-72.783999999999963</v>
      </c>
      <c r="CN116" s="125">
        <f>CN63</f>
        <v>0.77100000000005409</v>
      </c>
      <c r="CO116" s="300">
        <f>SUM(CK116:CN116)</f>
        <v>-124.84199999999996</v>
      </c>
      <c r="CP116" s="125">
        <f>CP63</f>
        <v>-31.429000000000002</v>
      </c>
      <c r="CQ116" s="125">
        <f>CQ63</f>
        <v>35.998000000000047</v>
      </c>
      <c r="CR116" s="125">
        <f>CR63</f>
        <v>191.06800000000004</v>
      </c>
      <c r="CS116" s="125">
        <f>CS63</f>
        <v>123.87199999999994</v>
      </c>
      <c r="CT116" s="300">
        <f>SUM(CP116:CS116)</f>
        <v>319.50900000000001</v>
      </c>
      <c r="CU116" s="125">
        <f>CU63</f>
        <v>1258.4449999999999</v>
      </c>
      <c r="CV116" s="125">
        <f>CV63</f>
        <v>879.09299999999996</v>
      </c>
      <c r="CW116" s="125">
        <f>CW63</f>
        <v>1148.4320000000002</v>
      </c>
      <c r="CX116" s="125">
        <f>CX63</f>
        <v>-371.31099999999941</v>
      </c>
      <c r="CY116" s="300">
        <f>SUM(CU116:CX116)</f>
        <v>2914.659000000001</v>
      </c>
      <c r="CZ116" s="125">
        <f>CZ63</f>
        <v>-1474.4079999999997</v>
      </c>
      <c r="DA116" s="125">
        <f>DA63</f>
        <v>-1203.9069999999999</v>
      </c>
      <c r="DB116" s="125">
        <f>DB63</f>
        <v>-158.40899999999996</v>
      </c>
      <c r="DC116" s="125">
        <f>DC63</f>
        <v>-623.69400000000019</v>
      </c>
      <c r="DD116" s="300">
        <f>SUM(CZ116:DC116)</f>
        <v>-3460.4179999999997</v>
      </c>
      <c r="DE116" s="125">
        <f>DE63</f>
        <v>68</v>
      </c>
      <c r="DF116" s="125">
        <f>DF63</f>
        <v>-1311</v>
      </c>
      <c r="DG116" s="125">
        <f>DG63</f>
        <v>718</v>
      </c>
      <c r="DH116" s="125">
        <f>DH63</f>
        <v>657</v>
      </c>
      <c r="DI116" s="300">
        <f t="shared" ref="DI116:DI121" si="551">SUM(DE116:DH116)</f>
        <v>132</v>
      </c>
      <c r="DJ116" s="125">
        <f>DJ63</f>
        <v>-273</v>
      </c>
      <c r="DK116" s="125">
        <f>DK63</f>
        <v>171</v>
      </c>
      <c r="DL116" s="125">
        <f>DL63</f>
        <v>828</v>
      </c>
      <c r="DM116" s="125">
        <f>DM63</f>
        <v>394.8646892579668</v>
      </c>
      <c r="DN116" s="300">
        <f t="shared" ref="DN116:DN121" si="552">SUM(DJ116:DM116)</f>
        <v>1120.8646892579668</v>
      </c>
      <c r="DO116" s="125">
        <f>DO63</f>
        <v>176.78994364722934</v>
      </c>
      <c r="DP116" s="125">
        <f>DP63</f>
        <v>319.79566296475468</v>
      </c>
      <c r="DQ116" s="125">
        <f>DQ63</f>
        <v>382.25395551576793</v>
      </c>
      <c r="DR116" s="125">
        <f>DR63</f>
        <v>533.63240406928321</v>
      </c>
      <c r="DS116" s="300">
        <f t="shared" ref="DS116:DS121" si="553">SUM(DO116:DR116)</f>
        <v>1412.4719661970353</v>
      </c>
      <c r="DT116" s="125">
        <f>DT63</f>
        <v>235.98534561823149</v>
      </c>
      <c r="DU116" s="125">
        <f>DU63</f>
        <v>409.10508648970711</v>
      </c>
      <c r="DV116" s="125">
        <f>DV63</f>
        <v>485.7327358233369</v>
      </c>
      <c r="DW116" s="125">
        <f>DW63</f>
        <v>679.08795531688145</v>
      </c>
      <c r="DX116" s="300">
        <f t="shared" ref="DX116:DX121" si="554">SUM(DT116:DW116)</f>
        <v>1809.9111232481569</v>
      </c>
      <c r="DY116" s="125">
        <f>DY63</f>
        <v>314.50237512423621</v>
      </c>
      <c r="DZ116" s="125">
        <f>DZ63</f>
        <v>521.38173734471013</v>
      </c>
      <c r="EA116" s="125">
        <f>EA63</f>
        <v>614.12497887339998</v>
      </c>
      <c r="EB116" s="125">
        <f>EB63</f>
        <v>857.57539651158925</v>
      </c>
      <c r="EC116" s="300">
        <f t="shared" ref="EC116:EC121" si="555">SUM(DY116:EB116)</f>
        <v>2307.5844878539356</v>
      </c>
      <c r="ED116" s="491"/>
      <c r="EE116" s="139"/>
    </row>
    <row r="117" spans="1:135" s="296" customFormat="1" ht="12" customHeight="1">
      <c r="A117" s="940"/>
      <c r="B117" s="940"/>
      <c r="C117" s="301" t="s">
        <v>169</v>
      </c>
      <c r="D117" s="343"/>
      <c r="E117" s="343"/>
      <c r="F117" s="343"/>
      <c r="G117" s="343"/>
      <c r="H117" s="343"/>
      <c r="I117" s="299"/>
      <c r="J117" s="299"/>
      <c r="K117" s="299"/>
      <c r="L117" s="299"/>
      <c r="M117" s="343"/>
      <c r="N117" s="299"/>
      <c r="O117" s="299"/>
      <c r="P117" s="299"/>
      <c r="Q117" s="299"/>
      <c r="R117" s="343"/>
      <c r="S117" s="299"/>
      <c r="T117" s="299"/>
      <c r="U117" s="299"/>
      <c r="V117" s="299"/>
      <c r="W117" s="343"/>
      <c r="X117" s="299"/>
      <c r="Y117" s="299"/>
      <c r="Z117" s="299"/>
      <c r="AA117" s="299"/>
      <c r="AB117" s="343"/>
      <c r="AC117" s="299"/>
      <c r="AD117" s="299"/>
      <c r="AE117" s="299"/>
      <c r="AF117" s="299"/>
      <c r="AG117" s="343"/>
      <c r="AH117" s="299"/>
      <c r="AI117" s="299"/>
      <c r="AJ117" s="299"/>
      <c r="AK117" s="299"/>
      <c r="AL117" s="343"/>
      <c r="AM117" s="299"/>
      <c r="AN117" s="299"/>
      <c r="AO117" s="299"/>
      <c r="AP117" s="299"/>
      <c r="AQ117" s="343"/>
      <c r="AR117" s="299"/>
      <c r="AS117" s="299"/>
      <c r="AT117" s="299"/>
      <c r="AU117" s="299"/>
      <c r="AV117" s="343"/>
      <c r="AW117" s="299"/>
      <c r="AX117" s="299"/>
      <c r="AY117" s="299"/>
      <c r="AZ117" s="299"/>
      <c r="BA117" s="343"/>
      <c r="BB117" s="299"/>
      <c r="BC117" s="299"/>
      <c r="BD117" s="299"/>
      <c r="BE117" s="299"/>
      <c r="BF117" s="343"/>
      <c r="BK117" s="343"/>
      <c r="BP117" s="343"/>
      <c r="BQ117" s="125">
        <f>BQ88</f>
        <v>1.44</v>
      </c>
      <c r="BR117" s="125">
        <f>BR88</f>
        <v>1.5710000000000002</v>
      </c>
      <c r="BS117" s="125">
        <f>BS88</f>
        <v>2.2680000000000002</v>
      </c>
      <c r="BT117" s="125">
        <f>BT88</f>
        <v>2.879</v>
      </c>
      <c r="BU117" s="300">
        <f>SUM(BQ117:BT117)</f>
        <v>8.1579999999999995</v>
      </c>
      <c r="BV117" s="125">
        <f>BV88</f>
        <v>3.46</v>
      </c>
      <c r="BW117" s="125">
        <f>BW88</f>
        <v>5.0860000000000003</v>
      </c>
      <c r="BX117" s="125">
        <f>BX88</f>
        <v>6.4870000000000001</v>
      </c>
      <c r="BY117" s="125">
        <f>BY88</f>
        <v>8.0620000000000012</v>
      </c>
      <c r="BZ117" s="300">
        <f>SUM(BV117:BY117)</f>
        <v>23.094999999999999</v>
      </c>
      <c r="CA117" s="125">
        <f>CA88</f>
        <v>9.2070000000000007</v>
      </c>
      <c r="CB117" s="125">
        <f>CB88</f>
        <v>11.600999999999999</v>
      </c>
      <c r="CC117" s="125">
        <f>CC88</f>
        <v>13.376000000000001</v>
      </c>
      <c r="CD117" s="125">
        <f>CD88</f>
        <v>14.978</v>
      </c>
      <c r="CE117" s="300">
        <f>SUM(CA117:CD117)</f>
        <v>49.161999999999999</v>
      </c>
      <c r="CF117" s="125">
        <f>CF88</f>
        <v>17.925000000000001</v>
      </c>
      <c r="CG117" s="125">
        <f>CG88</f>
        <v>24.191000000000003</v>
      </c>
      <c r="CH117" s="125">
        <f>CH88</f>
        <v>26.185000000000002</v>
      </c>
      <c r="CI117" s="125">
        <f>CI88</f>
        <v>27.419</v>
      </c>
      <c r="CJ117" s="300">
        <f>SUM(CF117:CI117)</f>
        <v>95.72</v>
      </c>
      <c r="CK117" s="125">
        <f>CK88</f>
        <v>31.163999999999998</v>
      </c>
      <c r="CL117" s="125">
        <f>CL88</f>
        <v>39.268000000000001</v>
      </c>
      <c r="CM117" s="125">
        <f>CM88</f>
        <v>40.032000000000004</v>
      </c>
      <c r="CN117" s="125">
        <f>CN88</f>
        <v>47.991999999999997</v>
      </c>
      <c r="CO117" s="300">
        <f>SUM(CK117:CN117)</f>
        <v>158.45599999999999</v>
      </c>
      <c r="CP117" s="125">
        <f>CP88</f>
        <v>53.752000000000002</v>
      </c>
      <c r="CQ117" s="125">
        <f>CQ88</f>
        <v>62.323999999999998</v>
      </c>
      <c r="CR117" s="125">
        <f>CR88</f>
        <v>63.806999999999988</v>
      </c>
      <c r="CS117" s="125">
        <f>CS88</f>
        <v>67.057000000000002</v>
      </c>
      <c r="CT117" s="300">
        <f>SUM(CP117:CS117)</f>
        <v>246.94</v>
      </c>
      <c r="CU117" s="125">
        <f>CU88</f>
        <v>69.156000000000006</v>
      </c>
      <c r="CV117" s="125">
        <f>CV88</f>
        <v>81.957999999999998</v>
      </c>
      <c r="CW117" s="125">
        <f>CW88</f>
        <v>81.34</v>
      </c>
      <c r="CX117" s="125">
        <f>CX88</f>
        <v>98.314300000000003</v>
      </c>
      <c r="CY117" s="300">
        <f>SUM(CU117:CX117)</f>
        <v>330.76830000000001</v>
      </c>
      <c r="CZ117" s="125">
        <f>CZ88</f>
        <v>117.98899999999999</v>
      </c>
      <c r="DA117" s="125">
        <f>DA88</f>
        <v>139.41900000000001</v>
      </c>
      <c r="DB117" s="125">
        <f>DB88</f>
        <v>149.98999999999998</v>
      </c>
      <c r="DC117" s="125">
        <f>DC88</f>
        <v>141.744</v>
      </c>
      <c r="DD117" s="300">
        <f>SUM(CZ117:DC117)</f>
        <v>549.14200000000005</v>
      </c>
      <c r="DE117" s="125">
        <f>DE88</f>
        <v>135</v>
      </c>
      <c r="DF117" s="125">
        <f>DF88</f>
        <v>115</v>
      </c>
      <c r="DG117" s="125">
        <f>DG88</f>
        <v>103</v>
      </c>
      <c r="DH117" s="125">
        <f>DH88</f>
        <v>103</v>
      </c>
      <c r="DI117" s="300">
        <f t="shared" si="551"/>
        <v>456</v>
      </c>
      <c r="DJ117" s="125">
        <f>DJ88</f>
        <v>111</v>
      </c>
      <c r="DK117" s="125">
        <f>DK88</f>
        <v>109</v>
      </c>
      <c r="DL117" s="125">
        <f>DL88</f>
        <v>110</v>
      </c>
      <c r="DM117" s="125">
        <f>DM88</f>
        <v>119.74479003445113</v>
      </c>
      <c r="DN117" s="300">
        <f t="shared" si="552"/>
        <v>449.74479003445111</v>
      </c>
      <c r="DO117" s="125">
        <f>DO88</f>
        <v>130.73271219252854</v>
      </c>
      <c r="DP117" s="125">
        <f>DP88</f>
        <v>124.27464593366588</v>
      </c>
      <c r="DQ117" s="125">
        <f>DQ88</f>
        <v>124.0385968145815</v>
      </c>
      <c r="DR117" s="125">
        <f>DR88</f>
        <v>134.51271492903157</v>
      </c>
      <c r="DS117" s="300">
        <f t="shared" si="553"/>
        <v>513.55866986980755</v>
      </c>
      <c r="DT117" s="125">
        <f>DT88</f>
        <v>145.96554333079041</v>
      </c>
      <c r="DU117" s="125">
        <f>DU88</f>
        <v>137.45469334685612</v>
      </c>
      <c r="DV117" s="125">
        <f>DV88</f>
        <v>136.53763363747845</v>
      </c>
      <c r="DW117" s="125">
        <f>DW88</f>
        <v>146.26333348638667</v>
      </c>
      <c r="DX117" s="300">
        <f t="shared" si="554"/>
        <v>566.22120380151159</v>
      </c>
      <c r="DY117" s="125">
        <f>DY88</f>
        <v>159.72246994088908</v>
      </c>
      <c r="DZ117" s="125">
        <f>DZ88</f>
        <v>148.7728889121064</v>
      </c>
      <c r="EA117" s="125">
        <f>EA88</f>
        <v>146.97952291895714</v>
      </c>
      <c r="EB117" s="125">
        <f>EB88</f>
        <v>155.01394959992123</v>
      </c>
      <c r="EC117" s="300">
        <f t="shared" si="555"/>
        <v>610.48883137187386</v>
      </c>
      <c r="ED117" s="491"/>
      <c r="EE117" s="139"/>
    </row>
    <row r="118" spans="1:135" s="296" customFormat="1" ht="12" customHeight="1">
      <c r="A118" s="940"/>
      <c r="B118" s="940"/>
      <c r="C118" s="301" t="s">
        <v>287</v>
      </c>
      <c r="D118" s="343"/>
      <c r="E118" s="343"/>
      <c r="F118" s="343"/>
      <c r="G118" s="343"/>
      <c r="H118" s="343"/>
      <c r="I118" s="299"/>
      <c r="J118" s="299"/>
      <c r="K118" s="299"/>
      <c r="L118" s="299"/>
      <c r="M118" s="343"/>
      <c r="N118" s="299"/>
      <c r="O118" s="299"/>
      <c r="P118" s="299"/>
      <c r="Q118" s="299"/>
      <c r="R118" s="343"/>
      <c r="S118" s="299"/>
      <c r="T118" s="299"/>
      <c r="U118" s="299"/>
      <c r="V118" s="299"/>
      <c r="W118" s="343"/>
      <c r="X118" s="299"/>
      <c r="Y118" s="299"/>
      <c r="Z118" s="299"/>
      <c r="AA118" s="299"/>
      <c r="AB118" s="343"/>
      <c r="AC118" s="299"/>
      <c r="AD118" s="299"/>
      <c r="AE118" s="299"/>
      <c r="AF118" s="299"/>
      <c r="AG118" s="343"/>
      <c r="AH118" s="299"/>
      <c r="AI118" s="299"/>
      <c r="AJ118" s="299"/>
      <c r="AK118" s="299"/>
      <c r="AL118" s="343"/>
      <c r="AM118" s="299"/>
      <c r="AN118" s="299"/>
      <c r="AO118" s="299"/>
      <c r="AP118" s="299"/>
      <c r="AQ118" s="343"/>
      <c r="AR118" s="299"/>
      <c r="AS118" s="299"/>
      <c r="AT118" s="299"/>
      <c r="AU118" s="299"/>
      <c r="AV118" s="343"/>
      <c r="AW118" s="299"/>
      <c r="AX118" s="299"/>
      <c r="AY118" s="299"/>
      <c r="AZ118" s="299"/>
      <c r="BA118" s="343"/>
      <c r="BB118" s="299"/>
      <c r="BC118" s="299"/>
      <c r="BD118" s="299"/>
      <c r="BE118" s="299"/>
      <c r="BF118" s="343"/>
      <c r="BK118" s="343"/>
      <c r="BP118" s="343"/>
      <c r="BQ118" s="125">
        <f>+BQ102</f>
        <v>0</v>
      </c>
      <c r="BR118" s="125">
        <f>+BR102</f>
        <v>0</v>
      </c>
      <c r="BS118" s="125">
        <f>+BS102</f>
        <v>0</v>
      </c>
      <c r="BT118" s="125">
        <f>+BT102</f>
        <v>2.33</v>
      </c>
      <c r="BU118" s="300">
        <f t="shared" ref="BU118:BU123" si="556">SUM(BQ118:BT118)</f>
        <v>2.33</v>
      </c>
      <c r="BV118" s="125">
        <f>+BV102</f>
        <v>0.33200000000000002</v>
      </c>
      <c r="BW118" s="125">
        <f>+BW102</f>
        <v>0.36199999999999999</v>
      </c>
      <c r="BX118" s="125">
        <f>+BX102</f>
        <v>0.79600000000000004</v>
      </c>
      <c r="BY118" s="125">
        <f>+BY102</f>
        <v>0.436</v>
      </c>
      <c r="BZ118" s="300">
        <f t="shared" ref="BZ118:BZ123" si="557">SUM(BV118:BY118)</f>
        <v>1.9259999999999999</v>
      </c>
      <c r="CA118" s="125">
        <f>+CA102</f>
        <v>0.94</v>
      </c>
      <c r="CB118" s="125">
        <f>+CB102</f>
        <v>1.3679999999999999</v>
      </c>
      <c r="CC118" s="125">
        <f>+CC102</f>
        <v>1.0129999999999999</v>
      </c>
      <c r="CD118" s="125">
        <f>+CD102</f>
        <v>2.7189999999999999</v>
      </c>
      <c r="CE118" s="300">
        <f t="shared" ref="CE118:CE123" si="558">SUM(CA118:CD118)</f>
        <v>6.0399999999999991</v>
      </c>
      <c r="CF118" s="125">
        <f>+CF102</f>
        <v>2.19</v>
      </c>
      <c r="CG118" s="125">
        <f>+CG102</f>
        <v>2.302</v>
      </c>
      <c r="CH118" s="125">
        <f>+CH102</f>
        <v>1.5429999999999999</v>
      </c>
      <c r="CI118" s="125">
        <f>+CI102</f>
        <v>2.0069999999999997</v>
      </c>
      <c r="CJ118" s="300">
        <f t="shared" ref="CJ118:CJ123" si="559">SUM(CF118:CI118)</f>
        <v>8.0419999999999998</v>
      </c>
      <c r="CK118" s="125">
        <f>+CK102</f>
        <v>3.2490000000000001</v>
      </c>
      <c r="CL118" s="125">
        <f>+CL102</f>
        <v>5.1609999999999996</v>
      </c>
      <c r="CM118" s="125">
        <f>+CM102</f>
        <v>4.4669999999999996</v>
      </c>
      <c r="CN118" s="125">
        <f>+CN102</f>
        <v>5.43</v>
      </c>
      <c r="CO118" s="300">
        <f t="shared" ref="CO118:CO123" si="560">SUM(CK118:CN118)</f>
        <v>18.306999999999999</v>
      </c>
      <c r="CP118" s="125">
        <f>+CP102</f>
        <v>6.1940000000000008</v>
      </c>
      <c r="CQ118" s="125">
        <f>+CQ102</f>
        <v>14.143000000000001</v>
      </c>
      <c r="CR118" s="125">
        <f>+CR102</f>
        <v>11.595000000000001</v>
      </c>
      <c r="CS118" s="125">
        <f>+CS102</f>
        <v>15.434000000000001</v>
      </c>
      <c r="CT118" s="300">
        <f t="shared" ref="CT118:CT123" si="561">SUM(CP118:CS118)</f>
        <v>47.366</v>
      </c>
      <c r="CU118" s="125">
        <f>+CU102</f>
        <v>17.812000000000001</v>
      </c>
      <c r="CV118" s="125">
        <f>+CV102</f>
        <v>10.587999999999999</v>
      </c>
      <c r="CW118" s="125">
        <f>+CW102</f>
        <v>26.798000000000002</v>
      </c>
      <c r="CX118" s="125">
        <f>+CX102</f>
        <v>11.088000000000001</v>
      </c>
      <c r="CY118" s="300">
        <f t="shared" ref="CY118:CY123" si="562">SUM(CU118:CX118)</f>
        <v>66.286000000000001</v>
      </c>
      <c r="CZ118" s="125">
        <f>+CZ102</f>
        <v>5.2050000000000001</v>
      </c>
      <c r="DA118" s="125">
        <f>+DA102</f>
        <v>1.6920000000000002</v>
      </c>
      <c r="DB118" s="125">
        <f>+DB102</f>
        <v>3.661</v>
      </c>
      <c r="DC118" s="125">
        <f>+DC102</f>
        <v>3.1609999999999996</v>
      </c>
      <c r="DD118" s="300">
        <f t="shared" ref="DD118:DD123" si="563">SUM(CZ118:DC118)</f>
        <v>13.718999999999999</v>
      </c>
      <c r="DE118" s="125">
        <f>+DE102</f>
        <v>12</v>
      </c>
      <c r="DF118" s="125">
        <f>+DF102</f>
        <v>6</v>
      </c>
      <c r="DG118" s="125">
        <f>+DG102</f>
        <v>0</v>
      </c>
      <c r="DH118" s="125">
        <f>+DH102</f>
        <v>0</v>
      </c>
      <c r="DI118" s="300">
        <f t="shared" si="551"/>
        <v>18</v>
      </c>
      <c r="DJ118" s="125">
        <f>+DJ102</f>
        <v>0</v>
      </c>
      <c r="DK118" s="125">
        <f>+DK102</f>
        <v>0</v>
      </c>
      <c r="DL118" s="125">
        <f>+DL102</f>
        <v>0</v>
      </c>
      <c r="DM118" s="125">
        <f>+DM102</f>
        <v>0</v>
      </c>
      <c r="DN118" s="300">
        <f t="shared" si="552"/>
        <v>0</v>
      </c>
      <c r="DO118" s="125">
        <f>+DO102</f>
        <v>0</v>
      </c>
      <c r="DP118" s="125">
        <f>+DP102</f>
        <v>0</v>
      </c>
      <c r="DQ118" s="125">
        <f>+DQ102</f>
        <v>0</v>
      </c>
      <c r="DR118" s="125">
        <f>+DR102</f>
        <v>0</v>
      </c>
      <c r="DS118" s="300">
        <f t="shared" si="553"/>
        <v>0</v>
      </c>
      <c r="DT118" s="125">
        <f>+DT102</f>
        <v>0</v>
      </c>
      <c r="DU118" s="125">
        <f>+DU102</f>
        <v>0</v>
      </c>
      <c r="DV118" s="125">
        <f>+DV102</f>
        <v>0</v>
      </c>
      <c r="DW118" s="125">
        <f>+DW102</f>
        <v>0</v>
      </c>
      <c r="DX118" s="300">
        <f t="shared" si="554"/>
        <v>0</v>
      </c>
      <c r="DY118" s="125">
        <f>+DY102</f>
        <v>0</v>
      </c>
      <c r="DZ118" s="125">
        <f>+DZ102</f>
        <v>0</v>
      </c>
      <c r="EA118" s="125">
        <f>+EA102</f>
        <v>0</v>
      </c>
      <c r="EB118" s="125">
        <f>+EB102</f>
        <v>0</v>
      </c>
      <c r="EC118" s="300">
        <f t="shared" si="555"/>
        <v>0</v>
      </c>
      <c r="ED118" s="491"/>
      <c r="EE118" s="139"/>
    </row>
    <row r="119" spans="1:135" s="296" customFormat="1" ht="12" customHeight="1">
      <c r="A119" s="940"/>
      <c r="B119" s="940"/>
      <c r="C119" s="301" t="s">
        <v>288</v>
      </c>
      <c r="D119" s="343"/>
      <c r="E119" s="343"/>
      <c r="F119" s="343"/>
      <c r="G119" s="343"/>
      <c r="H119" s="343"/>
      <c r="I119" s="299"/>
      <c r="J119" s="299"/>
      <c r="K119" s="299"/>
      <c r="L119" s="299"/>
      <c r="M119" s="343"/>
      <c r="N119" s="299"/>
      <c r="O119" s="299"/>
      <c r="P119" s="299"/>
      <c r="Q119" s="299"/>
      <c r="R119" s="343"/>
      <c r="S119" s="299"/>
      <c r="T119" s="299"/>
      <c r="U119" s="299"/>
      <c r="V119" s="299"/>
      <c r="W119" s="343"/>
      <c r="X119" s="299"/>
      <c r="Y119" s="299"/>
      <c r="Z119" s="299"/>
      <c r="AA119" s="299"/>
      <c r="AB119" s="343"/>
      <c r="AC119" s="299"/>
      <c r="AD119" s="299"/>
      <c r="AE119" s="299"/>
      <c r="AF119" s="299"/>
      <c r="AG119" s="343"/>
      <c r="AH119" s="299"/>
      <c r="AI119" s="299"/>
      <c r="AJ119" s="299"/>
      <c r="AK119" s="299"/>
      <c r="AL119" s="343"/>
      <c r="AM119" s="299"/>
      <c r="AN119" s="299"/>
      <c r="AO119" s="299"/>
      <c r="AP119" s="299"/>
      <c r="AQ119" s="343"/>
      <c r="AR119" s="299"/>
      <c r="AS119" s="299"/>
      <c r="AT119" s="299"/>
      <c r="AU119" s="299"/>
      <c r="AV119" s="343"/>
      <c r="AW119" s="299"/>
      <c r="AX119" s="299"/>
      <c r="AY119" s="299"/>
      <c r="AZ119" s="299"/>
      <c r="BA119" s="343"/>
      <c r="BB119" s="299"/>
      <c r="BC119" s="299"/>
      <c r="BD119" s="299"/>
      <c r="BE119" s="299"/>
      <c r="BF119" s="343"/>
      <c r="BK119" s="343"/>
      <c r="BP119" s="343"/>
      <c r="BQ119" s="125">
        <f>+BQ95</f>
        <v>0</v>
      </c>
      <c r="BR119" s="125">
        <f>+BR95</f>
        <v>0</v>
      </c>
      <c r="BS119" s="125">
        <f>+BS95</f>
        <v>0</v>
      </c>
      <c r="BT119" s="125">
        <f>+BT95</f>
        <v>0</v>
      </c>
      <c r="BU119" s="300">
        <f t="shared" si="556"/>
        <v>0</v>
      </c>
      <c r="BV119" s="125">
        <f>+BV95</f>
        <v>0</v>
      </c>
      <c r="BW119" s="125">
        <f>+BW95</f>
        <v>0</v>
      </c>
      <c r="BX119" s="125">
        <f>+BX95</f>
        <v>0</v>
      </c>
      <c r="BY119" s="125">
        <f>+BY95</f>
        <v>0</v>
      </c>
      <c r="BZ119" s="300">
        <f t="shared" si="557"/>
        <v>0</v>
      </c>
      <c r="CA119" s="125">
        <f>+CA95</f>
        <v>0</v>
      </c>
      <c r="CB119" s="125">
        <f>+CB95</f>
        <v>0</v>
      </c>
      <c r="CC119" s="125">
        <f>+CC95</f>
        <v>0</v>
      </c>
      <c r="CD119" s="125">
        <f>+CD95</f>
        <v>0</v>
      </c>
      <c r="CE119" s="300">
        <f t="shared" si="558"/>
        <v>0</v>
      </c>
      <c r="CF119" s="125">
        <f>+CF95</f>
        <v>0</v>
      </c>
      <c r="CG119" s="125">
        <f>+CG95</f>
        <v>0</v>
      </c>
      <c r="CH119" s="125">
        <f>+CH95</f>
        <v>1.2410000000000001</v>
      </c>
      <c r="CI119" s="125">
        <f>+CI95</f>
        <v>1.4470000000000001</v>
      </c>
      <c r="CJ119" s="300">
        <f t="shared" si="559"/>
        <v>2.6880000000000002</v>
      </c>
      <c r="CK119" s="125">
        <f>+CK95</f>
        <v>1.6830000000000001</v>
      </c>
      <c r="CL119" s="125">
        <f>+CL95</f>
        <v>1.5880000000000001</v>
      </c>
      <c r="CM119" s="125">
        <f>+CM95</f>
        <v>1.7070000000000001</v>
      </c>
      <c r="CN119" s="125">
        <f>+CN95</f>
        <v>5.1610000000000005</v>
      </c>
      <c r="CO119" s="300">
        <f t="shared" si="560"/>
        <v>10.138999999999999</v>
      </c>
      <c r="CP119" s="125">
        <f>+CP95</f>
        <v>6.0149999999999997</v>
      </c>
      <c r="CQ119" s="125">
        <f>+CQ95</f>
        <v>5.3019999999999996</v>
      </c>
      <c r="CR119" s="125">
        <f>+CR95</f>
        <v>4.9769999999999994</v>
      </c>
      <c r="CS119" s="125">
        <f>+CS95</f>
        <v>4.9750000000000005</v>
      </c>
      <c r="CT119" s="300">
        <f t="shared" si="561"/>
        <v>21.269000000000002</v>
      </c>
      <c r="CU119" s="125">
        <f>+CU95</f>
        <v>4.9749999999999996</v>
      </c>
      <c r="CV119" s="125">
        <f>+CV95</f>
        <v>4.8159999999999998</v>
      </c>
      <c r="CW119" s="125">
        <f>+CW95</f>
        <v>5.9799999999999995</v>
      </c>
      <c r="CX119" s="125">
        <f>+CX95</f>
        <v>6.3780000000000001</v>
      </c>
      <c r="CY119" s="300">
        <f t="shared" si="562"/>
        <v>22.149000000000001</v>
      </c>
      <c r="CZ119" s="125">
        <f>+CZ95</f>
        <v>6.6959999999999997</v>
      </c>
      <c r="DA119" s="125">
        <f>+DA95</f>
        <v>7.3260000000000005</v>
      </c>
      <c r="DB119" s="125">
        <f>+DB95</f>
        <v>19.157999999999998</v>
      </c>
      <c r="DC119" s="125">
        <f>+DC95</f>
        <v>20.522000000000002</v>
      </c>
      <c r="DD119" s="300">
        <f t="shared" si="563"/>
        <v>53.701999999999998</v>
      </c>
      <c r="DE119" s="125">
        <f>+DE95</f>
        <v>21</v>
      </c>
      <c r="DF119" s="125">
        <f>+DF95</f>
        <v>9</v>
      </c>
      <c r="DG119" s="125">
        <f>+DG95</f>
        <v>4</v>
      </c>
      <c r="DH119" s="125">
        <f>+DH95</f>
        <v>4</v>
      </c>
      <c r="DI119" s="300">
        <f t="shared" si="551"/>
        <v>38</v>
      </c>
      <c r="DJ119" s="125">
        <f>+DJ95</f>
        <v>4</v>
      </c>
      <c r="DK119" s="125">
        <f>+DK95</f>
        <v>4</v>
      </c>
      <c r="DL119" s="125">
        <f>+DL95</f>
        <v>4</v>
      </c>
      <c r="DM119" s="125">
        <f>+DM95</f>
        <v>2.7035891937011711</v>
      </c>
      <c r="DN119" s="300">
        <f t="shared" si="552"/>
        <v>14.703589193701172</v>
      </c>
      <c r="DO119" s="125">
        <f>+DO95</f>
        <v>1.1694417121035157</v>
      </c>
      <c r="DP119" s="125">
        <f>+DP95</f>
        <v>1.2540141907572775</v>
      </c>
      <c r="DQ119" s="125">
        <f>+DQ95</f>
        <v>1.3159528243645273</v>
      </c>
      <c r="DR119" s="125">
        <f>+DR95</f>
        <v>1.658969516842175</v>
      </c>
      <c r="DS119" s="300">
        <f t="shared" si="553"/>
        <v>5.3983782440674952</v>
      </c>
      <c r="DT119" s="125">
        <f>+DT95</f>
        <v>1.3996026284287864</v>
      </c>
      <c r="DU119" s="125">
        <f>+DU95</f>
        <v>1.5005730569562032</v>
      </c>
      <c r="DV119" s="125">
        <f>+DV95</f>
        <v>1.5737823955015644</v>
      </c>
      <c r="DW119" s="125">
        <f>+DW95</f>
        <v>1.9877572705046469</v>
      </c>
      <c r="DX119" s="300">
        <f t="shared" si="554"/>
        <v>6.4617153513912005</v>
      </c>
      <c r="DY119" s="125">
        <f>+DY95</f>
        <v>1.6501839894518862</v>
      </c>
      <c r="DZ119" s="125">
        <f>+DZ95</f>
        <v>1.7689690112668515</v>
      </c>
      <c r="EA119" s="125">
        <f>+EA95</f>
        <v>1.8544526191286239</v>
      </c>
      <c r="EB119" s="125">
        <f>+EB95</f>
        <v>2.3457785710208299</v>
      </c>
      <c r="EC119" s="300">
        <f t="shared" si="555"/>
        <v>7.6193841908681916</v>
      </c>
      <c r="ED119" s="491"/>
      <c r="EE119" s="139"/>
    </row>
    <row r="120" spans="1:135" s="296" customFormat="1" ht="12" customHeight="1">
      <c r="A120" s="940"/>
      <c r="B120" s="940"/>
      <c r="C120" s="301" t="s">
        <v>290</v>
      </c>
      <c r="D120" s="343"/>
      <c r="E120" s="343"/>
      <c r="F120" s="343"/>
      <c r="G120" s="343"/>
      <c r="H120" s="343"/>
      <c r="I120" s="299"/>
      <c r="J120" s="299"/>
      <c r="K120" s="299"/>
      <c r="L120" s="299"/>
      <c r="M120" s="343"/>
      <c r="N120" s="299"/>
      <c r="O120" s="299"/>
      <c r="P120" s="299"/>
      <c r="Q120" s="299"/>
      <c r="R120" s="343"/>
      <c r="S120" s="299"/>
      <c r="T120" s="299"/>
      <c r="U120" s="299"/>
      <c r="V120" s="299"/>
      <c r="W120" s="343"/>
      <c r="X120" s="299"/>
      <c r="Y120" s="299"/>
      <c r="Z120" s="299"/>
      <c r="AA120" s="299"/>
      <c r="AB120" s="343"/>
      <c r="AC120" s="299"/>
      <c r="AD120" s="299"/>
      <c r="AE120" s="299"/>
      <c r="AF120" s="299"/>
      <c r="AG120" s="343"/>
      <c r="AH120" s="299"/>
      <c r="AI120" s="299"/>
      <c r="AJ120" s="299"/>
      <c r="AK120" s="299"/>
      <c r="AL120" s="343"/>
      <c r="AM120" s="299"/>
      <c r="AN120" s="299"/>
      <c r="AO120" s="299"/>
      <c r="AP120" s="299"/>
      <c r="AQ120" s="343"/>
      <c r="AR120" s="299"/>
      <c r="AS120" s="299"/>
      <c r="AT120" s="299"/>
      <c r="AU120" s="299"/>
      <c r="AV120" s="343"/>
      <c r="AW120" s="299"/>
      <c r="AX120" s="299"/>
      <c r="AY120" s="299"/>
      <c r="AZ120" s="299"/>
      <c r="BA120" s="343"/>
      <c r="BB120" s="299"/>
      <c r="BC120" s="299"/>
      <c r="BD120" s="299"/>
      <c r="BE120" s="299"/>
      <c r="BF120" s="343"/>
      <c r="BK120" s="343"/>
      <c r="BP120" s="343"/>
      <c r="BQ120" s="412">
        <f>-BQ52</f>
        <v>0</v>
      </c>
      <c r="BR120" s="412">
        <f>-BR52</f>
        <v>0</v>
      </c>
      <c r="BS120" s="412">
        <f>-BS52</f>
        <v>0</v>
      </c>
      <c r="BT120" s="412">
        <f>-BT52</f>
        <v>0</v>
      </c>
      <c r="BU120" s="413">
        <f t="shared" si="556"/>
        <v>0</v>
      </c>
      <c r="BV120" s="412">
        <f>-BV52</f>
        <v>0</v>
      </c>
      <c r="BW120" s="412">
        <f>-BW52</f>
        <v>0</v>
      </c>
      <c r="BX120" s="412">
        <f>-BX52</f>
        <v>0</v>
      </c>
      <c r="BY120" s="412">
        <f>-BY52</f>
        <v>0</v>
      </c>
      <c r="BZ120" s="413">
        <f t="shared" si="557"/>
        <v>0</v>
      </c>
      <c r="CA120" s="412">
        <f>-CA52</f>
        <v>0</v>
      </c>
      <c r="CB120" s="412">
        <f>-CB52</f>
        <v>0</v>
      </c>
      <c r="CC120" s="412">
        <f>-CC52</f>
        <v>0</v>
      </c>
      <c r="CD120" s="412">
        <f>-CD52</f>
        <v>0</v>
      </c>
      <c r="CE120" s="413">
        <f t="shared" si="558"/>
        <v>0</v>
      </c>
      <c r="CF120" s="414">
        <f>-CF52</f>
        <v>0</v>
      </c>
      <c r="CG120" s="414">
        <f>-CG52</f>
        <v>0</v>
      </c>
      <c r="CH120" s="414">
        <f>-CH52</f>
        <v>0</v>
      </c>
      <c r="CI120" s="414">
        <f>-CI52</f>
        <v>0</v>
      </c>
      <c r="CJ120" s="413">
        <f t="shared" si="559"/>
        <v>0</v>
      </c>
      <c r="CK120" s="414">
        <f>-CK52</f>
        <v>0</v>
      </c>
      <c r="CL120" s="414">
        <f>-CL52</f>
        <v>0</v>
      </c>
      <c r="CM120" s="414">
        <f>-CM52</f>
        <v>0</v>
      </c>
      <c r="CN120" s="414">
        <f>-CN52</f>
        <v>0</v>
      </c>
      <c r="CO120" s="413">
        <f t="shared" si="560"/>
        <v>0</v>
      </c>
      <c r="CP120" s="414">
        <f>-CP52</f>
        <v>0</v>
      </c>
      <c r="CQ120" s="414">
        <f>-CQ52</f>
        <v>0</v>
      </c>
      <c r="CR120" s="412">
        <f>-CR52</f>
        <v>-133.239</v>
      </c>
      <c r="CS120" s="412">
        <f>-CS52</f>
        <v>-1.9540000000000077</v>
      </c>
      <c r="CT120" s="300">
        <f t="shared" si="561"/>
        <v>-135.19300000000001</v>
      </c>
      <c r="CU120" s="412">
        <f>-CU52</f>
        <v>-1250.944</v>
      </c>
      <c r="CV120" s="412">
        <f>-CV52</f>
        <v>-777.74900000000002</v>
      </c>
      <c r="CW120" s="412">
        <f>-CW52</f>
        <v>-1340.8420000000001</v>
      </c>
      <c r="CX120" s="412">
        <f>-CX52</f>
        <v>509.73499999999967</v>
      </c>
      <c r="CY120" s="300">
        <f t="shared" si="562"/>
        <v>-2859.8</v>
      </c>
      <c r="CZ120" s="412">
        <f>-CZ52</f>
        <v>1555.12</v>
      </c>
      <c r="DA120" s="412">
        <f>-DA52</f>
        <v>1017.0169999999999</v>
      </c>
      <c r="DB120" s="412">
        <f>-DB52</f>
        <v>-171.92000000000002</v>
      </c>
      <c r="DC120" s="412">
        <f>-DC52</f>
        <v>474.07300000000032</v>
      </c>
      <c r="DD120" s="300">
        <f t="shared" si="563"/>
        <v>2874.29</v>
      </c>
      <c r="DE120" s="412">
        <f>-DE52</f>
        <v>-215</v>
      </c>
      <c r="DF120" s="412">
        <f>-DF52</f>
        <v>-281</v>
      </c>
      <c r="DG120" s="412">
        <f>-DG52</f>
        <v>-545</v>
      </c>
      <c r="DH120" s="125">
        <f>-DH52</f>
        <v>-320</v>
      </c>
      <c r="DI120" s="300">
        <f t="shared" si="551"/>
        <v>-1361</v>
      </c>
      <c r="DJ120" s="125">
        <f>-DJ52</f>
        <v>417</v>
      </c>
      <c r="DK120" s="125">
        <f>-DK52</f>
        <v>120</v>
      </c>
      <c r="DL120" s="125">
        <f>-DL52</f>
        <v>-484</v>
      </c>
      <c r="DM120" s="125">
        <f>-DM52</f>
        <v>0</v>
      </c>
      <c r="DN120" s="300">
        <f t="shared" si="552"/>
        <v>53</v>
      </c>
      <c r="DO120" s="125">
        <f>-DO52</f>
        <v>0</v>
      </c>
      <c r="DP120" s="125">
        <f>-DP52</f>
        <v>0</v>
      </c>
      <c r="DQ120" s="125">
        <f>-DQ52</f>
        <v>0</v>
      </c>
      <c r="DR120" s="125">
        <f>-DR52</f>
        <v>0</v>
      </c>
      <c r="DS120" s="300">
        <f t="shared" si="553"/>
        <v>0</v>
      </c>
      <c r="DT120" s="125">
        <f>-DT52</f>
        <v>0</v>
      </c>
      <c r="DU120" s="125">
        <f>-DU52</f>
        <v>0</v>
      </c>
      <c r="DV120" s="125">
        <f>-DV52</f>
        <v>0</v>
      </c>
      <c r="DW120" s="125">
        <f>-DW52</f>
        <v>0</v>
      </c>
      <c r="DX120" s="300">
        <f t="shared" si="554"/>
        <v>0</v>
      </c>
      <c r="DY120" s="125">
        <f>-DY52</f>
        <v>0</v>
      </c>
      <c r="DZ120" s="125">
        <f>-DZ52</f>
        <v>0</v>
      </c>
      <c r="EA120" s="125">
        <f>-EA52</f>
        <v>0</v>
      </c>
      <c r="EB120" s="125">
        <f>-EB52</f>
        <v>0</v>
      </c>
      <c r="EC120" s="300">
        <f t="shared" si="555"/>
        <v>0</v>
      </c>
      <c r="ED120" s="491"/>
      <c r="EE120" s="139"/>
    </row>
    <row r="121" spans="1:135" s="296" customFormat="1" ht="12" customHeight="1">
      <c r="A121" s="940"/>
      <c r="B121" s="940"/>
      <c r="C121" s="301" t="s">
        <v>75</v>
      </c>
      <c r="D121" s="343"/>
      <c r="E121" s="343"/>
      <c r="F121" s="343"/>
      <c r="G121" s="343"/>
      <c r="H121" s="343"/>
      <c r="I121" s="299"/>
      <c r="J121" s="299"/>
      <c r="K121" s="299"/>
      <c r="L121" s="299"/>
      <c r="M121" s="343"/>
      <c r="N121" s="299"/>
      <c r="O121" s="299"/>
      <c r="P121" s="299"/>
      <c r="Q121" s="299"/>
      <c r="R121" s="343"/>
      <c r="S121" s="299"/>
      <c r="T121" s="299"/>
      <c r="U121" s="299"/>
      <c r="V121" s="299"/>
      <c r="W121" s="343"/>
      <c r="X121" s="299"/>
      <c r="Y121" s="299"/>
      <c r="Z121" s="299"/>
      <c r="AA121" s="299"/>
      <c r="AB121" s="343"/>
      <c r="AC121" s="299"/>
      <c r="AD121" s="299"/>
      <c r="AE121" s="299"/>
      <c r="AF121" s="299"/>
      <c r="AG121" s="343"/>
      <c r="AH121" s="299"/>
      <c r="AI121" s="299"/>
      <c r="AJ121" s="299"/>
      <c r="AK121" s="299"/>
      <c r="AL121" s="343"/>
      <c r="AM121" s="299"/>
      <c r="AN121" s="299"/>
      <c r="AO121" s="299"/>
      <c r="AP121" s="299"/>
      <c r="AQ121" s="343"/>
      <c r="AR121" s="299"/>
      <c r="AS121" s="299"/>
      <c r="AT121" s="299"/>
      <c r="AU121" s="299"/>
      <c r="AV121" s="343"/>
      <c r="AW121" s="299"/>
      <c r="AX121" s="299"/>
      <c r="AY121" s="299"/>
      <c r="AZ121" s="299"/>
      <c r="BA121" s="343"/>
      <c r="BB121" s="299"/>
      <c r="BC121" s="299"/>
      <c r="BD121" s="299"/>
      <c r="BE121" s="299"/>
      <c r="BF121" s="343"/>
      <c r="BK121" s="343"/>
      <c r="BP121" s="343"/>
      <c r="BQ121" s="412">
        <f>+BQ104</f>
        <v>0.56599999999999995</v>
      </c>
      <c r="BR121" s="415">
        <f>+BR104</f>
        <v>0</v>
      </c>
      <c r="BS121" s="415">
        <f>+BS104</f>
        <v>0</v>
      </c>
      <c r="BT121" s="415">
        <f>+BT104</f>
        <v>0</v>
      </c>
      <c r="BU121" s="300">
        <f t="shared" si="556"/>
        <v>0.56599999999999995</v>
      </c>
      <c r="BV121" s="415">
        <f>+BV104</f>
        <v>0</v>
      </c>
      <c r="BW121" s="415">
        <f>+BW104</f>
        <v>0</v>
      </c>
      <c r="BX121" s="415">
        <f>+BX104</f>
        <v>0</v>
      </c>
      <c r="BY121" s="415">
        <f>+BY104</f>
        <v>0</v>
      </c>
      <c r="BZ121" s="300">
        <f t="shared" si="557"/>
        <v>0</v>
      </c>
      <c r="CA121" s="415">
        <f>+CA104</f>
        <v>0</v>
      </c>
      <c r="CB121" s="415">
        <f>+CB104</f>
        <v>0</v>
      </c>
      <c r="CC121" s="415">
        <f>+CC104</f>
        <v>0</v>
      </c>
      <c r="CD121" s="415">
        <f>+CD104</f>
        <v>0</v>
      </c>
      <c r="CE121" s="300">
        <f t="shared" si="558"/>
        <v>0</v>
      </c>
      <c r="CF121" s="125">
        <f>+CF104</f>
        <v>0</v>
      </c>
      <c r="CG121" s="125">
        <f>+CG104</f>
        <v>0</v>
      </c>
      <c r="CH121" s="125">
        <f>+CH104</f>
        <v>0</v>
      </c>
      <c r="CI121" s="125">
        <f>+CI104</f>
        <v>0</v>
      </c>
      <c r="CJ121" s="300">
        <f t="shared" si="559"/>
        <v>0</v>
      </c>
      <c r="CK121" s="125">
        <f>+CK104</f>
        <v>0</v>
      </c>
      <c r="CL121" s="125">
        <f>+CL104</f>
        <v>0</v>
      </c>
      <c r="CM121" s="125">
        <f>+CM104</f>
        <v>0</v>
      </c>
      <c r="CN121" s="125">
        <f>+CN104</f>
        <v>0</v>
      </c>
      <c r="CO121" s="300">
        <f t="shared" si="560"/>
        <v>0</v>
      </c>
      <c r="CP121" s="125">
        <f>+CP104</f>
        <v>0</v>
      </c>
      <c r="CQ121" s="415">
        <f>+CQ104</f>
        <v>31.623000000000001</v>
      </c>
      <c r="CR121" s="415">
        <f>+CR104+1.13</f>
        <v>1.1299999999999999</v>
      </c>
      <c r="CS121" s="415">
        <f>+CS104+7.116</f>
        <v>7.1159999999999997</v>
      </c>
      <c r="CT121" s="300">
        <f t="shared" si="561"/>
        <v>39.869</v>
      </c>
      <c r="CU121" s="125">
        <f>+CU104</f>
        <v>0</v>
      </c>
      <c r="CV121" s="125">
        <f>+CV104</f>
        <v>0</v>
      </c>
      <c r="CW121" s="415">
        <f>+CW104</f>
        <v>30.145</v>
      </c>
      <c r="CX121" s="125">
        <f>+CX104</f>
        <v>0</v>
      </c>
      <c r="CY121" s="300">
        <f t="shared" si="562"/>
        <v>30.145</v>
      </c>
      <c r="CZ121" s="125">
        <f>+CZ104</f>
        <v>0</v>
      </c>
      <c r="DA121" s="125">
        <f>+DA104</f>
        <v>0</v>
      </c>
      <c r="DB121" s="125">
        <f>+DB104</f>
        <v>127.48099999999999</v>
      </c>
      <c r="DC121" s="125">
        <f>+DC104</f>
        <v>84.313999999999993</v>
      </c>
      <c r="DD121" s="300">
        <f t="shared" si="563"/>
        <v>211.79499999999999</v>
      </c>
      <c r="DE121" s="125">
        <f>+DE104</f>
        <v>0</v>
      </c>
      <c r="DF121" s="125">
        <f>+DF104</f>
        <v>1652</v>
      </c>
      <c r="DG121" s="125">
        <f>+DG104</f>
        <v>42</v>
      </c>
      <c r="DH121" s="125">
        <f>+DH104</f>
        <v>0</v>
      </c>
      <c r="DI121" s="300">
        <f t="shared" si="551"/>
        <v>1694</v>
      </c>
      <c r="DJ121" s="125">
        <f>+DJ104</f>
        <v>0</v>
      </c>
      <c r="DK121" s="125">
        <f>+DK104</f>
        <v>-55</v>
      </c>
      <c r="DL121" s="125">
        <f>+DL104</f>
        <v>0</v>
      </c>
      <c r="DM121" s="125">
        <f>+DM104</f>
        <v>0</v>
      </c>
      <c r="DN121" s="300">
        <f t="shared" si="552"/>
        <v>-55</v>
      </c>
      <c r="DO121" s="125">
        <f>+DO104</f>
        <v>0</v>
      </c>
      <c r="DP121" s="125">
        <f>+DP104</f>
        <v>0</v>
      </c>
      <c r="DQ121" s="125">
        <f>+DQ104</f>
        <v>0</v>
      </c>
      <c r="DR121" s="125">
        <f>+DR104</f>
        <v>0</v>
      </c>
      <c r="DS121" s="300">
        <f t="shared" si="553"/>
        <v>0</v>
      </c>
      <c r="DT121" s="125">
        <f>+DT104</f>
        <v>0</v>
      </c>
      <c r="DU121" s="125">
        <f>+DU104</f>
        <v>0</v>
      </c>
      <c r="DV121" s="125">
        <f>+DV104</f>
        <v>0</v>
      </c>
      <c r="DW121" s="125">
        <f>+DW104</f>
        <v>0</v>
      </c>
      <c r="DX121" s="300">
        <f t="shared" si="554"/>
        <v>0</v>
      </c>
      <c r="DY121" s="125">
        <f>+DY104</f>
        <v>0</v>
      </c>
      <c r="DZ121" s="125">
        <f>+DZ104</f>
        <v>0</v>
      </c>
      <c r="EA121" s="125">
        <f>+EA104</f>
        <v>0</v>
      </c>
      <c r="EB121" s="125">
        <f>+EB104</f>
        <v>0</v>
      </c>
      <c r="EC121" s="300">
        <f t="shared" si="555"/>
        <v>0</v>
      </c>
      <c r="ED121" s="491"/>
      <c r="EE121" s="139"/>
    </row>
    <row r="122" spans="1:135" s="320" customFormat="1" ht="12" customHeight="1">
      <c r="A122" s="940"/>
      <c r="B122" s="940"/>
      <c r="C122" s="416" t="s">
        <v>168</v>
      </c>
      <c r="D122" s="417"/>
      <c r="E122" s="417"/>
      <c r="F122" s="417"/>
      <c r="G122" s="417"/>
      <c r="H122" s="417"/>
      <c r="I122" s="418"/>
      <c r="J122" s="418"/>
      <c r="K122" s="418"/>
      <c r="L122" s="418"/>
      <c r="M122" s="417"/>
      <c r="N122" s="418"/>
      <c r="O122" s="418"/>
      <c r="P122" s="418"/>
      <c r="Q122" s="418"/>
      <c r="R122" s="417"/>
      <c r="S122" s="418"/>
      <c r="T122" s="418"/>
      <c r="U122" s="418"/>
      <c r="V122" s="418"/>
      <c r="W122" s="417"/>
      <c r="X122" s="418"/>
      <c r="Y122" s="418"/>
      <c r="Z122" s="418"/>
      <c r="AA122" s="418"/>
      <c r="AB122" s="417"/>
      <c r="AC122" s="418"/>
      <c r="AD122" s="418"/>
      <c r="AE122" s="418"/>
      <c r="AF122" s="418"/>
      <c r="AG122" s="417"/>
      <c r="AH122" s="418"/>
      <c r="AI122" s="418"/>
      <c r="AJ122" s="418"/>
      <c r="AK122" s="418"/>
      <c r="AL122" s="417"/>
      <c r="AM122" s="418"/>
      <c r="AN122" s="418"/>
      <c r="AO122" s="418"/>
      <c r="AP122" s="418"/>
      <c r="AQ122" s="417"/>
      <c r="AR122" s="418"/>
      <c r="AS122" s="418"/>
      <c r="AT122" s="418"/>
      <c r="AU122" s="418"/>
      <c r="AV122" s="417"/>
      <c r="AW122" s="418"/>
      <c r="AX122" s="418"/>
      <c r="AY122" s="418"/>
      <c r="AZ122" s="418"/>
      <c r="BA122" s="417"/>
      <c r="BB122" s="418"/>
      <c r="BC122" s="418"/>
      <c r="BD122" s="418"/>
      <c r="BE122" s="418"/>
      <c r="BF122" s="417"/>
      <c r="BG122" s="756"/>
      <c r="BH122" s="756"/>
      <c r="BI122" s="756"/>
      <c r="BJ122" s="756"/>
      <c r="BK122" s="417"/>
      <c r="BL122" s="756"/>
      <c r="BM122" s="756"/>
      <c r="BN122" s="756"/>
      <c r="BO122" s="751"/>
      <c r="BP122" s="417"/>
      <c r="BQ122" s="419">
        <f t="shared" ref="BQ122:DK122" si="564">+(BQ58+BQ123)/SUM(BQ116:BQ121,BQ58)</f>
        <v>0</v>
      </c>
      <c r="BR122" s="419">
        <f t="shared" si="564"/>
        <v>0</v>
      </c>
      <c r="BS122" s="419">
        <f t="shared" si="564"/>
        <v>0</v>
      </c>
      <c r="BT122" s="419">
        <f t="shared" si="564"/>
        <v>0</v>
      </c>
      <c r="BU122" s="286">
        <f t="shared" si="564"/>
        <v>0</v>
      </c>
      <c r="BV122" s="419">
        <f t="shared" si="564"/>
        <v>0</v>
      </c>
      <c r="BW122" s="419">
        <f t="shared" si="564"/>
        <v>0</v>
      </c>
      <c r="BX122" s="419">
        <f t="shared" si="564"/>
        <v>0</v>
      </c>
      <c r="BY122" s="419">
        <f t="shared" si="564"/>
        <v>0</v>
      </c>
      <c r="BZ122" s="286">
        <f t="shared" si="564"/>
        <v>0</v>
      </c>
      <c r="CA122" s="419">
        <f t="shared" si="564"/>
        <v>0</v>
      </c>
      <c r="CB122" s="419">
        <f t="shared" si="564"/>
        <v>0</v>
      </c>
      <c r="CC122" s="419">
        <f t="shared" si="564"/>
        <v>0</v>
      </c>
      <c r="CD122" s="419">
        <f t="shared" si="564"/>
        <v>0</v>
      </c>
      <c r="CE122" s="286">
        <f t="shared" si="564"/>
        <v>0</v>
      </c>
      <c r="CF122" s="419">
        <f t="shared" si="564"/>
        <v>0</v>
      </c>
      <c r="CG122" s="419">
        <f t="shared" si="564"/>
        <v>0</v>
      </c>
      <c r="CH122" s="419">
        <f t="shared" si="564"/>
        <v>0</v>
      </c>
      <c r="CI122" s="419">
        <f t="shared" si="564"/>
        <v>0</v>
      </c>
      <c r="CJ122" s="286">
        <f t="shared" si="564"/>
        <v>0</v>
      </c>
      <c r="CK122" s="419">
        <f t="shared" si="564"/>
        <v>-0.40552532440351791</v>
      </c>
      <c r="CL122" s="419">
        <f t="shared" si="564"/>
        <v>-0.38116385027971633</v>
      </c>
      <c r="CM122" s="419">
        <f t="shared" si="564"/>
        <v>0.7389075764856643</v>
      </c>
      <c r="CN122" s="419">
        <f t="shared" si="564"/>
        <v>0.12718489798512672</v>
      </c>
      <c r="CO122" s="286">
        <f t="shared" si="564"/>
        <v>-1.7196137196137182</v>
      </c>
      <c r="CP122" s="419">
        <f t="shared" si="564"/>
        <v>0.26088538124535404</v>
      </c>
      <c r="CQ122" s="419">
        <f t="shared" si="564"/>
        <v>6.4114462490332536E-2</v>
      </c>
      <c r="CR122" s="419">
        <f t="shared" si="564"/>
        <v>4.246766500739383E-2</v>
      </c>
      <c r="CS122" s="419">
        <f t="shared" si="564"/>
        <v>-1.535866515768433E-2</v>
      </c>
      <c r="CT122" s="286">
        <f t="shared" si="564"/>
        <v>4.9564957465200607E-2</v>
      </c>
      <c r="CU122" s="419">
        <f t="shared" si="564"/>
        <v>-3.7380523380522503</v>
      </c>
      <c r="CV122" s="419">
        <f t="shared" si="564"/>
        <v>0.28826884732843711</v>
      </c>
      <c r="CW122" s="419">
        <f t="shared" si="564"/>
        <v>0.17093522423979984</v>
      </c>
      <c r="CX122" s="419">
        <f t="shared" si="564"/>
        <v>9.7015088036644589E-2</v>
      </c>
      <c r="CY122" s="286">
        <f t="shared" si="564"/>
        <v>0.30276601180921048</v>
      </c>
      <c r="CZ122" s="419">
        <f t="shared" si="564"/>
        <v>-1.8174995052062572E-2</v>
      </c>
      <c r="DA122" s="419">
        <f t="shared" si="564"/>
        <v>0.12824756291090497</v>
      </c>
      <c r="DB122" s="419">
        <f t="shared" si="564"/>
        <v>4.0747245728883899E-2</v>
      </c>
      <c r="DC122" s="419">
        <f t="shared" si="564"/>
        <v>-0.20003515170156155</v>
      </c>
      <c r="DD122" s="286">
        <f t="shared" si="564"/>
        <v>-7.9607571788661999E-2</v>
      </c>
      <c r="DE122" s="419">
        <f t="shared" si="564"/>
        <v>-0.84615384615384615</v>
      </c>
      <c r="DF122" s="419">
        <f t="shared" si="564"/>
        <v>-0.12222222222222222</v>
      </c>
      <c r="DG122" s="419">
        <f t="shared" si="564"/>
        <v>-5.128205128205128E-2</v>
      </c>
      <c r="DH122" s="419">
        <f t="shared" si="564"/>
        <v>-6.6825775656324582E-2</v>
      </c>
      <c r="DI122" s="286">
        <f t="shared" si="564"/>
        <v>-8.3333333333333329E-2</v>
      </c>
      <c r="DJ122" s="419">
        <f t="shared" si="564"/>
        <v>-8.2644628099173556E-2</v>
      </c>
      <c r="DK122" s="419">
        <f t="shared" si="564"/>
        <v>-0.11356466876971609</v>
      </c>
      <c r="DL122" s="681">
        <f>-DL59</f>
        <v>-3.7209302325581395E-2</v>
      </c>
      <c r="DM122" s="420">
        <v>-0.25</v>
      </c>
      <c r="DN122" s="286">
        <f>+(DN58+DN123)/SUM(DN116:DN121,DN58)</f>
        <v>-0.12787926379918313</v>
      </c>
      <c r="DO122" s="420">
        <v>-0.25</v>
      </c>
      <c r="DP122" s="420">
        <v>-0.25</v>
      </c>
      <c r="DQ122" s="420">
        <v>-0.25</v>
      </c>
      <c r="DR122" s="420">
        <v>-0.25</v>
      </c>
      <c r="DS122" s="286">
        <f>+(DS58+DS123)/SUM(DS116:DS121,DS58)</f>
        <v>-0.23261754970284179</v>
      </c>
      <c r="DT122" s="420">
        <v>-0.25</v>
      </c>
      <c r="DU122" s="420">
        <v>-0.25</v>
      </c>
      <c r="DV122" s="420">
        <v>-0.25</v>
      </c>
      <c r="DW122" s="420">
        <v>-0.25</v>
      </c>
      <c r="DX122" s="286">
        <f>+(DX58+DX123)/SUM(DX116:DX121,DX58)</f>
        <v>-0.25604372694201222</v>
      </c>
      <c r="DY122" s="420">
        <v>-0.25</v>
      </c>
      <c r="DZ122" s="420">
        <v>-0.25</v>
      </c>
      <c r="EA122" s="420">
        <v>-0.25</v>
      </c>
      <c r="EB122" s="420">
        <v>-0.25</v>
      </c>
      <c r="EC122" s="286">
        <f>+(EC58+EC123)/SUM(EC116:EC121,EC58)</f>
        <v>-0.28056500845103677</v>
      </c>
      <c r="ED122" s="287"/>
      <c r="EE122" s="139"/>
    </row>
    <row r="123" spans="1:135" s="296" customFormat="1" ht="12" customHeight="1">
      <c r="A123" s="940"/>
      <c r="B123" s="940"/>
      <c r="C123" s="421" t="s">
        <v>289</v>
      </c>
      <c r="D123" s="343"/>
      <c r="E123" s="343"/>
      <c r="F123" s="343"/>
      <c r="G123" s="343"/>
      <c r="H123" s="343"/>
      <c r="I123" s="299"/>
      <c r="J123" s="299"/>
      <c r="K123" s="299"/>
      <c r="L123" s="299"/>
      <c r="M123" s="343"/>
      <c r="N123" s="299"/>
      <c r="O123" s="299"/>
      <c r="P123" s="299"/>
      <c r="Q123" s="299"/>
      <c r="R123" s="343"/>
      <c r="S123" s="299"/>
      <c r="T123" s="299"/>
      <c r="U123" s="299"/>
      <c r="V123" s="299"/>
      <c r="W123" s="343"/>
      <c r="X123" s="299"/>
      <c r="Y123" s="299"/>
      <c r="Z123" s="299"/>
      <c r="AA123" s="299"/>
      <c r="AB123" s="343"/>
      <c r="AC123" s="299"/>
      <c r="AD123" s="299"/>
      <c r="AE123" s="299"/>
      <c r="AF123" s="299"/>
      <c r="AG123" s="343"/>
      <c r="AH123" s="299"/>
      <c r="AI123" s="299"/>
      <c r="AJ123" s="299"/>
      <c r="AK123" s="299"/>
      <c r="AL123" s="343"/>
      <c r="AM123" s="299"/>
      <c r="AN123" s="299"/>
      <c r="AO123" s="299"/>
      <c r="AP123" s="299"/>
      <c r="AQ123" s="343"/>
      <c r="AR123" s="299"/>
      <c r="AS123" s="299"/>
      <c r="AT123" s="299"/>
      <c r="AU123" s="299"/>
      <c r="AV123" s="343"/>
      <c r="AW123" s="299"/>
      <c r="AX123" s="299"/>
      <c r="AY123" s="299"/>
      <c r="AZ123" s="299"/>
      <c r="BA123" s="343"/>
      <c r="BB123" s="299"/>
      <c r="BC123" s="299"/>
      <c r="BD123" s="299"/>
      <c r="BE123" s="299"/>
      <c r="BF123" s="343"/>
      <c r="BG123" s="338"/>
      <c r="BH123" s="338"/>
      <c r="BI123" s="338"/>
      <c r="BJ123" s="338"/>
      <c r="BK123" s="343"/>
      <c r="BL123" s="338"/>
      <c r="BM123" s="338"/>
      <c r="BN123" s="338"/>
      <c r="BO123" s="388"/>
      <c r="BP123" s="343"/>
      <c r="BQ123" s="398">
        <v>0</v>
      </c>
      <c r="BR123" s="398">
        <v>0</v>
      </c>
      <c r="BS123" s="398">
        <v>0</v>
      </c>
      <c r="BT123" s="398">
        <v>0</v>
      </c>
      <c r="BU123" s="300">
        <f t="shared" si="556"/>
        <v>0</v>
      </c>
      <c r="BV123" s="398">
        <v>0</v>
      </c>
      <c r="BW123" s="398">
        <v>0</v>
      </c>
      <c r="BX123" s="398">
        <v>0</v>
      </c>
      <c r="BY123" s="398">
        <v>0</v>
      </c>
      <c r="BZ123" s="300">
        <f t="shared" si="557"/>
        <v>0</v>
      </c>
      <c r="CA123" s="398">
        <v>0</v>
      </c>
      <c r="CB123" s="398">
        <v>0</v>
      </c>
      <c r="CC123" s="398">
        <v>0</v>
      </c>
      <c r="CD123" s="398">
        <v>0</v>
      </c>
      <c r="CE123" s="300">
        <f t="shared" si="558"/>
        <v>0</v>
      </c>
      <c r="CF123" s="398">
        <v>0</v>
      </c>
      <c r="CG123" s="398">
        <v>0</v>
      </c>
      <c r="CH123" s="398">
        <v>0</v>
      </c>
      <c r="CI123" s="398">
        <v>0</v>
      </c>
      <c r="CJ123" s="300">
        <f t="shared" si="559"/>
        <v>0</v>
      </c>
      <c r="CK123" s="398">
        <v>-4.8440000000000003</v>
      </c>
      <c r="CL123" s="398">
        <v>-6.609</v>
      </c>
      <c r="CM123" s="398">
        <v>-7.0179999999999998</v>
      </c>
      <c r="CN123" s="398">
        <v>-9.3059999999999992</v>
      </c>
      <c r="CO123" s="300">
        <f t="shared" si="560"/>
        <v>-27.777000000000001</v>
      </c>
      <c r="CP123" s="398">
        <v>-12.2</v>
      </c>
      <c r="CQ123" s="398">
        <v>-20.024000000000001</v>
      </c>
      <c r="CR123" s="398">
        <v>1.4159999999999999</v>
      </c>
      <c r="CS123" s="398">
        <v>-17.661000000000001</v>
      </c>
      <c r="CT123" s="300">
        <f t="shared" si="561"/>
        <v>-48.469000000000008</v>
      </c>
      <c r="CU123" s="398">
        <v>154.666</v>
      </c>
      <c r="CV123" s="398">
        <v>85.908000000000001</v>
      </c>
      <c r="CW123" s="398">
        <v>150.96700000000001</v>
      </c>
      <c r="CX123" s="398">
        <v>-81.355999999999995</v>
      </c>
      <c r="CY123" s="300">
        <f t="shared" si="562"/>
        <v>310.18500000000006</v>
      </c>
      <c r="CZ123" s="398">
        <v>-185.52</v>
      </c>
      <c r="DA123" s="398">
        <v>0</v>
      </c>
      <c r="DB123" s="398">
        <v>0</v>
      </c>
      <c r="DC123" s="398">
        <v>-9.1240000000000006</v>
      </c>
      <c r="DD123" s="300">
        <f t="shared" si="563"/>
        <v>-194.64400000000001</v>
      </c>
      <c r="DE123" s="398">
        <v>-3</v>
      </c>
      <c r="DF123" s="398">
        <v>-12</v>
      </c>
      <c r="DG123" s="398">
        <v>-6</v>
      </c>
      <c r="DH123" s="398">
        <v>-3</v>
      </c>
      <c r="DI123" s="300">
        <f>SUM(DE123:DH123)</f>
        <v>-24</v>
      </c>
      <c r="DJ123" s="398">
        <v>-3</v>
      </c>
      <c r="DK123" s="422">
        <v>-4</v>
      </c>
      <c r="DL123" s="1259">
        <f>+(SUM(DL116:DL121,DL58)*DL122)-DL58</f>
        <v>16.148837209302325</v>
      </c>
      <c r="DM123" s="392">
        <f>-(SUM(DM116:DM121,DM58)*DM122)+DM58</f>
        <v>-1.8767720306427407</v>
      </c>
      <c r="DN123" s="300">
        <f>SUM(DJ123:DM123)</f>
        <v>7.2720651786595845</v>
      </c>
      <c r="DO123" s="423">
        <f>-(SUM(DO116:DO121,DO58)*DO122)+DO58</f>
        <v>18.42953045455053</v>
      </c>
      <c r="DP123" s="423">
        <f>-(SUM(DP116:DP121,DP58)*DP122)+DP58</f>
        <v>5.0698636479297647</v>
      </c>
      <c r="DQ123" s="423">
        <f>-(SUM(DQ116:DQ121,DQ58)*DQ122)+DQ58</f>
        <v>-0.11263741118112591</v>
      </c>
      <c r="DR123" s="423">
        <f>-(SUM(DR116:DR121,DR58)*DR122)+DR58</f>
        <v>-9.8635425144852604</v>
      </c>
      <c r="DS123" s="300">
        <f>SUM(DO123:DR123)</f>
        <v>13.523214176813909</v>
      </c>
      <c r="DT123" s="423">
        <f>-(SUM(DT116:DT121,DT58)*DT122)+DT58</f>
        <v>17.424770711089543</v>
      </c>
      <c r="DU123" s="423">
        <f>-(SUM(DU116:DU121,DU58)*DU122)+DU58</f>
        <v>1.078271510027804</v>
      </c>
      <c r="DV123" s="423">
        <f>-(SUM(DV116:DV121,DV58)*DV122)+DV58</f>
        <v>-5.4374976734219302</v>
      </c>
      <c r="DW123" s="423">
        <f>-(SUM(DW116:DW121,DW58)*DW122)+DW58</f>
        <v>-18.811552748242093</v>
      </c>
      <c r="DX123" s="300">
        <f>SUM(DT123:DW123)</f>
        <v>-5.7460082005466759</v>
      </c>
      <c r="DY123" s="423">
        <f>-(SUM(DY116:DY121,DY58)*DY122)+DY58</f>
        <v>14.466385782489851</v>
      </c>
      <c r="DZ123" s="423">
        <f>-(SUM(DZ116:DZ121,DZ58)*DZ122)+DZ58</f>
        <v>-5.2630328956201708</v>
      </c>
      <c r="EA123" s="423">
        <f>-(SUM(EA116:EA121,EA58)*EA122)+EA58</f>
        <v>-13.32077652911272</v>
      </c>
      <c r="EB123" s="423">
        <f>-(SUM(EB116:EB121,EB58)*EB122)+EB58</f>
        <v>-31.220068936066127</v>
      </c>
      <c r="EC123" s="300">
        <f>SUM(DY123:EB123)</f>
        <v>-35.337492578309167</v>
      </c>
      <c r="ED123" s="491"/>
      <c r="EE123" s="139"/>
    </row>
    <row r="124" spans="1:135" s="297" customFormat="1" ht="12" customHeight="1">
      <c r="A124" s="940"/>
      <c r="B124" s="940"/>
      <c r="C124" s="291" t="s">
        <v>184</v>
      </c>
      <c r="D124" s="424"/>
      <c r="E124" s="424"/>
      <c r="F124" s="424"/>
      <c r="G124" s="424"/>
      <c r="H124" s="424"/>
      <c r="I124" s="425"/>
      <c r="J124" s="425"/>
      <c r="K124" s="425"/>
      <c r="L124" s="425"/>
      <c r="M124" s="424"/>
      <c r="N124" s="425"/>
      <c r="O124" s="425"/>
      <c r="P124" s="425"/>
      <c r="Q124" s="425"/>
      <c r="R124" s="424"/>
      <c r="S124" s="425"/>
      <c r="T124" s="425"/>
      <c r="U124" s="425"/>
      <c r="V124" s="425"/>
      <c r="W124" s="424"/>
      <c r="X124" s="425"/>
      <c r="Y124" s="425"/>
      <c r="Z124" s="425"/>
      <c r="AA124" s="425"/>
      <c r="AB124" s="424"/>
      <c r="AC124" s="425"/>
      <c r="AD124" s="425"/>
      <c r="AE124" s="425"/>
      <c r="AF124" s="425"/>
      <c r="AG124" s="424"/>
      <c r="AH124" s="425"/>
      <c r="AI124" s="425"/>
      <c r="AJ124" s="425"/>
      <c r="AK124" s="425"/>
      <c r="AL124" s="424"/>
      <c r="AM124" s="425"/>
      <c r="AN124" s="425"/>
      <c r="AO124" s="425"/>
      <c r="AP124" s="425"/>
      <c r="AQ124" s="424"/>
      <c r="AR124" s="425"/>
      <c r="AS124" s="425"/>
      <c r="AT124" s="425"/>
      <c r="AU124" s="425"/>
      <c r="AV124" s="424"/>
      <c r="AW124" s="425"/>
      <c r="AX124" s="425"/>
      <c r="AY124" s="425"/>
      <c r="AZ124" s="425"/>
      <c r="BA124" s="424"/>
      <c r="BB124" s="425"/>
      <c r="BC124" s="425"/>
      <c r="BD124" s="425"/>
      <c r="BE124" s="425"/>
      <c r="BF124" s="424"/>
      <c r="BG124" s="340"/>
      <c r="BH124" s="340"/>
      <c r="BI124" s="340"/>
      <c r="BJ124" s="340"/>
      <c r="BK124" s="424"/>
      <c r="BL124" s="340"/>
      <c r="BM124" s="340"/>
      <c r="BN124" s="340"/>
      <c r="BO124" s="340"/>
      <c r="BP124" s="424"/>
      <c r="BQ124" s="342">
        <f>SUM(BQ116:BQ121,BQ123)</f>
        <v>-2.5239999999999996</v>
      </c>
      <c r="BR124" s="342">
        <f>SUM(BR116:BR121,BR123)</f>
        <v>-1.7249999999999983</v>
      </c>
      <c r="BS124" s="342">
        <f>SUM(BS116:BS121,BS123)</f>
        <v>-2.3889999999999971</v>
      </c>
      <c r="BT124" s="342">
        <f>SUM(BT116:BT121,BT123)</f>
        <v>-1.0979999999999985</v>
      </c>
      <c r="BU124" s="404">
        <f>SUM(BQ124:BT124)</f>
        <v>-7.7359999999999935</v>
      </c>
      <c r="BV124" s="342">
        <f>SUM(BV116:BV121,BV123)</f>
        <v>-5.1369999999999898</v>
      </c>
      <c r="BW124" s="342">
        <f>SUM(BW116:BW121,BW123)</f>
        <v>-2.991000000000005</v>
      </c>
      <c r="BX124" s="342">
        <f>SUM(BX116:BX121,BX123)</f>
        <v>-1.8370000000000044</v>
      </c>
      <c r="BY124" s="342">
        <f>SUM(BY116:BY121,BY123)</f>
        <v>-0.36900000000001926</v>
      </c>
      <c r="BZ124" s="404">
        <f>SUM(BV124:BY124)</f>
        <v>-10.334000000000019</v>
      </c>
      <c r="CA124" s="342">
        <f>SUM(CA116:CA121,CA123)</f>
        <v>-3.4509999999999841</v>
      </c>
      <c r="CB124" s="342">
        <f>SUM(CB116:CB121,CB123)</f>
        <v>-1.0609999999999968</v>
      </c>
      <c r="CC124" s="342">
        <f>SUM(CC116:CC121,CC123)</f>
        <v>5.0090000000000128</v>
      </c>
      <c r="CD124" s="342">
        <f>SUM(CD116:CD121,CD123)</f>
        <v>14.709999999999971</v>
      </c>
      <c r="CE124" s="404">
        <f>SUM(CA124:CD124)</f>
        <v>15.207000000000003</v>
      </c>
      <c r="CF124" s="342">
        <f>SUM(CF116:CF121,CF123)</f>
        <v>4.2129999999999743</v>
      </c>
      <c r="CG124" s="342">
        <f>SUM(CG116:CG121,CG123)</f>
        <v>2.5399999999999783</v>
      </c>
      <c r="CH124" s="342">
        <f>SUM(CH116:CH121,CH123)</f>
        <v>5.784999999999977</v>
      </c>
      <c r="CI124" s="342">
        <f>SUM(CI116:CI121,CI123)</f>
        <v>29.358999999999941</v>
      </c>
      <c r="CJ124" s="404">
        <f>SUM(CF124:CI124)</f>
        <v>41.896999999999871</v>
      </c>
      <c r="CK124" s="342">
        <f>SUM(CK116:CK121,CK123)</f>
        <v>7.1009999999999485</v>
      </c>
      <c r="CL124" s="342">
        <f>SUM(CL116:CL121,CL123)</f>
        <v>10.729999999999995</v>
      </c>
      <c r="CM124" s="342">
        <f>SUM(CM116:CM121,CM123)</f>
        <v>-33.595999999999961</v>
      </c>
      <c r="CN124" s="342">
        <f>SUM(CN116:CN121,CN123)</f>
        <v>50.048000000000052</v>
      </c>
      <c r="CO124" s="404">
        <f>SUM(CK124:CN124)</f>
        <v>34.28300000000003</v>
      </c>
      <c r="CP124" s="342">
        <f>SUM(CP116:CP121,CP123)</f>
        <v>22.332000000000004</v>
      </c>
      <c r="CQ124" s="342">
        <f>SUM(CQ116:CQ121,CQ123)</f>
        <v>129.36600000000004</v>
      </c>
      <c r="CR124" s="342">
        <f>SUM(CR116:CR121,CR123)</f>
        <v>140.75399999999999</v>
      </c>
      <c r="CS124" s="342">
        <f>SUM(CS116:CS121,CS123)</f>
        <v>198.83899999999994</v>
      </c>
      <c r="CT124" s="404">
        <f>SUM(CP124:CS124)</f>
        <v>491.29099999999994</v>
      </c>
      <c r="CU124" s="342">
        <f>SUM(CU116:CU121,CU123)</f>
        <v>254.10999999999973</v>
      </c>
      <c r="CV124" s="342">
        <f>SUM(CV116:CV121,CV123)</f>
        <v>284.61399999999992</v>
      </c>
      <c r="CW124" s="342">
        <f>SUM(CW116:CW121,CW123)</f>
        <v>102.82000000000009</v>
      </c>
      <c r="CX124" s="342">
        <f>SUM(CX116:CX121,CX123)</f>
        <v>172.84830000000028</v>
      </c>
      <c r="CY124" s="404">
        <f>SUM(CU124:CX124)</f>
        <v>814.39229999999998</v>
      </c>
      <c r="CZ124" s="342">
        <f>SUM(CZ116:CZ121,CZ123)</f>
        <v>25.082000000000079</v>
      </c>
      <c r="DA124" s="342">
        <f>SUM(DA116:DA121,DA123)</f>
        <v>-38.452999999999861</v>
      </c>
      <c r="DB124" s="342">
        <f>SUM(DB116:DB121,DB123)</f>
        <v>-30.039000000000016</v>
      </c>
      <c r="DC124" s="342">
        <f>SUM(DC116:DC121,DC123)</f>
        <v>90.996000000000151</v>
      </c>
      <c r="DD124" s="404">
        <f>SUM(CZ124:DC124)</f>
        <v>47.586000000000354</v>
      </c>
      <c r="DE124" s="342">
        <f>SUM(DE116:DE121,DE123)</f>
        <v>18</v>
      </c>
      <c r="DF124" s="342">
        <f>SUM(DF116:DF121,DF123)</f>
        <v>178</v>
      </c>
      <c r="DG124" s="342">
        <f>SUM(DG116:DG121,DG123)</f>
        <v>316</v>
      </c>
      <c r="DH124" s="342">
        <f>SUM(DH116:DH121,DH123)</f>
        <v>441</v>
      </c>
      <c r="DI124" s="404">
        <f>SUM(DE124:DH124)</f>
        <v>953</v>
      </c>
      <c r="DJ124" s="342">
        <f>SUM(DJ116:DJ121,DJ123)</f>
        <v>256</v>
      </c>
      <c r="DK124" s="342">
        <f>SUM(DK116:DK121,DK123)</f>
        <v>345</v>
      </c>
      <c r="DL124" s="342">
        <f>SUM(DL116:DL121,DL123)</f>
        <v>474.14883720930231</v>
      </c>
      <c r="DM124" s="342">
        <f t="shared" ref="DM124:DO124" si="565">SUM(DM116:DM121,DM123)</f>
        <v>515.43629645547639</v>
      </c>
      <c r="DN124" s="404">
        <f>SUM(DJ124:DM124)</f>
        <v>1590.5851336647786</v>
      </c>
      <c r="DO124" s="342">
        <f t="shared" si="565"/>
        <v>327.12162800641192</v>
      </c>
      <c r="DP124" s="342">
        <f t="shared" ref="DP124" si="566">SUM(DP116:DP121,DP123)</f>
        <v>450.39418673710759</v>
      </c>
      <c r="DQ124" s="342">
        <f t="shared" ref="DQ124" si="567">SUM(DQ116:DQ121,DQ123)</f>
        <v>507.49586774353276</v>
      </c>
      <c r="DR124" s="342">
        <f t="shared" ref="DR124" si="568">SUM(DR116:DR121,DR123)</f>
        <v>659.94054600067159</v>
      </c>
      <c r="DS124" s="404">
        <f>SUM(DO124:DR124)</f>
        <v>1944.9522284877239</v>
      </c>
      <c r="DT124" s="342">
        <f t="shared" ref="DT124:DW124" si="569">SUM(DT116:DT121,DT123)</f>
        <v>400.7752622885402</v>
      </c>
      <c r="DU124" s="342">
        <f t="shared" si="569"/>
        <v>549.13862440354717</v>
      </c>
      <c r="DV124" s="342">
        <f t="shared" si="569"/>
        <v>618.40665418289495</v>
      </c>
      <c r="DW124" s="342">
        <f t="shared" si="569"/>
        <v>808.5274933255306</v>
      </c>
      <c r="DX124" s="404">
        <f>SUM(DT124:DW124)</f>
        <v>2376.8480342005128</v>
      </c>
      <c r="DY124" s="342">
        <f t="shared" ref="DY124:EB124" si="570">SUM(DY116:DY121,DY123)</f>
        <v>490.34141483706702</v>
      </c>
      <c r="DZ124" s="342">
        <f t="shared" si="570"/>
        <v>666.66056237246323</v>
      </c>
      <c r="EA124" s="342">
        <f t="shared" si="570"/>
        <v>749.63817788237316</v>
      </c>
      <c r="EB124" s="342">
        <f t="shared" si="570"/>
        <v>983.71505574646517</v>
      </c>
      <c r="EC124" s="404">
        <f>SUM(DY124:EB124)</f>
        <v>2890.3552108383683</v>
      </c>
      <c r="ED124" s="1168"/>
      <c r="EE124" s="139"/>
    </row>
    <row r="125" spans="1:135" ht="12" customHeight="1">
      <c r="A125" s="940"/>
      <c r="B125" s="940"/>
      <c r="C125" s="426" t="s">
        <v>183</v>
      </c>
      <c r="D125" s="376"/>
      <c r="E125" s="376"/>
      <c r="F125" s="376"/>
      <c r="G125" s="376"/>
      <c r="H125" s="376"/>
      <c r="I125" s="377"/>
      <c r="J125" s="377"/>
      <c r="K125" s="377"/>
      <c r="L125" s="377"/>
      <c r="M125" s="376"/>
      <c r="N125" s="377"/>
      <c r="O125" s="377"/>
      <c r="P125" s="377"/>
      <c r="Q125" s="377"/>
      <c r="R125" s="376"/>
      <c r="S125" s="377"/>
      <c r="T125" s="377"/>
      <c r="U125" s="377"/>
      <c r="V125" s="377"/>
      <c r="W125" s="376"/>
      <c r="X125" s="377"/>
      <c r="Y125" s="377"/>
      <c r="Z125" s="377"/>
      <c r="AA125" s="377"/>
      <c r="AB125" s="376"/>
      <c r="AC125" s="377"/>
      <c r="AD125" s="377"/>
      <c r="AE125" s="377"/>
      <c r="AF125" s="377"/>
      <c r="AG125" s="376"/>
      <c r="AH125" s="377"/>
      <c r="AI125" s="377"/>
      <c r="AJ125" s="377"/>
      <c r="AK125" s="377"/>
      <c r="AL125" s="376"/>
      <c r="AM125" s="377"/>
      <c r="AN125" s="377"/>
      <c r="AO125" s="377"/>
      <c r="AP125" s="377"/>
      <c r="AQ125" s="376"/>
      <c r="AR125" s="377"/>
      <c r="AS125" s="377"/>
      <c r="AT125" s="377"/>
      <c r="AU125" s="377"/>
      <c r="AV125" s="376"/>
      <c r="AW125" s="377"/>
      <c r="AX125" s="377"/>
      <c r="AY125" s="377"/>
      <c r="AZ125" s="377"/>
      <c r="BA125" s="376"/>
      <c r="BB125" s="377"/>
      <c r="BC125" s="377"/>
      <c r="BD125" s="377"/>
      <c r="BE125" s="377"/>
      <c r="BF125" s="376"/>
      <c r="BG125" s="377"/>
      <c r="BH125" s="377"/>
      <c r="BI125" s="377"/>
      <c r="BJ125" s="377"/>
      <c r="BK125" s="376"/>
      <c r="BL125" s="377"/>
      <c r="BM125" s="377"/>
      <c r="BN125" s="377"/>
      <c r="BO125" s="377"/>
      <c r="BP125" s="376"/>
      <c r="BQ125" s="378">
        <f t="shared" ref="BQ125:CV125" si="571">IFERROR(BQ124/BQ69,"")</f>
        <v>-6.4151085056891752E-2</v>
      </c>
      <c r="BR125" s="378">
        <f t="shared" si="571"/>
        <v>-3.2522293938227101E-2</v>
      </c>
      <c r="BS125" s="378">
        <f t="shared" si="571"/>
        <v>-3.1474862796474982E-2</v>
      </c>
      <c r="BT125" s="378">
        <f t="shared" si="571"/>
        <v>-1.7791153729583998E-2</v>
      </c>
      <c r="BU125" s="379">
        <f t="shared" si="571"/>
        <v>-7.5829012242817448E-2</v>
      </c>
      <c r="BV125" s="378">
        <f t="shared" si="571"/>
        <v>-6.382278610129298E-2</v>
      </c>
      <c r="BW125" s="378">
        <f t="shared" si="571"/>
        <v>-3.6767395809239746E-2</v>
      </c>
      <c r="BX125" s="378">
        <f t="shared" si="571"/>
        <v>-2.1633969557719158E-2</v>
      </c>
      <c r="BY125" s="378">
        <f t="shared" si="571"/>
        <v>-4.139687877631042E-3</v>
      </c>
      <c r="BZ125" s="379">
        <f t="shared" si="571"/>
        <v>-0.10129485684039266</v>
      </c>
      <c r="CA125" s="378">
        <f t="shared" si="571"/>
        <v>-3.8241240259938754E-2</v>
      </c>
      <c r="CB125" s="378">
        <f t="shared" si="571"/>
        <v>-1.1252454620632209E-2</v>
      </c>
      <c r="CC125" s="378">
        <f t="shared" si="571"/>
        <v>5.070968502846928E-2</v>
      </c>
      <c r="CD125" s="378">
        <f t="shared" si="571"/>
        <v>0.14776228385484266</v>
      </c>
      <c r="CE125" s="379">
        <f t="shared" si="571"/>
        <v>0.14906046912829965</v>
      </c>
      <c r="CF125" s="378">
        <f t="shared" si="571"/>
        <v>4.1200256875240052E-2</v>
      </c>
      <c r="CG125" s="378">
        <f t="shared" si="571"/>
        <v>2.3967221295845928E-2</v>
      </c>
      <c r="CH125" s="378">
        <f t="shared" si="571"/>
        <v>5.4244263390189174E-2</v>
      </c>
      <c r="CI125" s="378">
        <f t="shared" si="571"/>
        <v>0.27251252173178009</v>
      </c>
      <c r="CJ125" s="379">
        <f t="shared" si="571"/>
        <v>0.4106784030425692</v>
      </c>
      <c r="CK125" s="378">
        <f t="shared" si="571"/>
        <v>6.4018376420407822E-2</v>
      </c>
      <c r="CL125" s="378">
        <f t="shared" si="571"/>
        <v>9.5792102890110198E-2</v>
      </c>
      <c r="CM125" s="378">
        <f t="shared" si="571"/>
        <v>-0.29708101630817874</v>
      </c>
      <c r="CN125" s="378">
        <f t="shared" si="571"/>
        <v>0.43134698369107161</v>
      </c>
      <c r="CO125" s="379">
        <f t="shared" si="571"/>
        <v>0.33604524647369632</v>
      </c>
      <c r="CP125" s="378">
        <f t="shared" si="571"/>
        <v>0.19118791019157672</v>
      </c>
      <c r="CQ125" s="378">
        <f t="shared" si="571"/>
        <v>1.0356879546791293</v>
      </c>
      <c r="CR125" s="378">
        <f t="shared" si="571"/>
        <v>1.1268588529668238</v>
      </c>
      <c r="CS125" s="378">
        <f t="shared" si="571"/>
        <v>1.5849438314969533</v>
      </c>
      <c r="CT125" s="379">
        <f t="shared" si="571"/>
        <v>3.9936024292212546</v>
      </c>
      <c r="CU125" s="378">
        <f t="shared" si="571"/>
        <v>2.0060092968438084</v>
      </c>
      <c r="CV125" s="378">
        <f t="shared" si="571"/>
        <v>2.232703348418819</v>
      </c>
      <c r="CW125" s="378">
        <f t="shared" ref="CW125:EB125" si="572">IFERROR(CW124/CW69,"")</f>
        <v>0.8056782182315726</v>
      </c>
      <c r="CX125" s="380">
        <f t="shared" si="572"/>
        <v>1.3747058241772552</v>
      </c>
      <c r="CY125" s="379">
        <f t="shared" si="572"/>
        <v>6.4188126395071947</v>
      </c>
      <c r="CZ125" s="378">
        <f t="shared" si="572"/>
        <v>0.19904285163571911</v>
      </c>
      <c r="DA125" s="378">
        <f t="shared" si="572"/>
        <v>-3.0469607426330612E-2</v>
      </c>
      <c r="DB125" s="378">
        <f t="shared" si="572"/>
        <v>-2.3663465468268561E-2</v>
      </c>
      <c r="DC125" s="378">
        <f t="shared" si="572"/>
        <v>7.1462520198198681E-2</v>
      </c>
      <c r="DD125" s="379">
        <f t="shared" si="572"/>
        <v>3.7579717859998113E-2</v>
      </c>
      <c r="DE125" s="378">
        <f t="shared" si="572"/>
        <v>1.3935317895038242E-2</v>
      </c>
      <c r="DF125" s="378">
        <f t="shared" si="572"/>
        <v>0.13901822682186085</v>
      </c>
      <c r="DG125" s="378">
        <f t="shared" si="572"/>
        <v>0.24385911281146971</v>
      </c>
      <c r="DH125" s="378">
        <f t="shared" si="572"/>
        <v>0.33993795104100472</v>
      </c>
      <c r="DI125" s="379">
        <f t="shared" si="572"/>
        <v>0.73561684677900374</v>
      </c>
      <c r="DJ125" s="378">
        <f t="shared" si="572"/>
        <v>0.19885399217010385</v>
      </c>
      <c r="DK125" s="378">
        <f t="shared" si="572"/>
        <v>0.26540236079892543</v>
      </c>
      <c r="DL125" s="378">
        <f t="shared" ref="DL125" si="573">IFERROR(DL124/DL69,"")</f>
        <v>0.36428134468403517</v>
      </c>
      <c r="DM125" s="378">
        <f t="shared" si="572"/>
        <v>0.39524272461946863</v>
      </c>
      <c r="DN125" s="379">
        <f t="shared" si="572"/>
        <v>1.2251783990939886</v>
      </c>
      <c r="DO125" s="378">
        <f t="shared" si="572"/>
        <v>0.25036083251929114</v>
      </c>
      <c r="DP125" s="378">
        <f t="shared" si="572"/>
        <v>0.34404855323600692</v>
      </c>
      <c r="DQ125" s="378">
        <f t="shared" si="572"/>
        <v>0.38692864739123212</v>
      </c>
      <c r="DR125" s="378">
        <f t="shared" si="572"/>
        <v>0.5021993885989442</v>
      </c>
      <c r="DS125" s="379">
        <f t="shared" si="572"/>
        <v>1.4842990458942646</v>
      </c>
      <c r="DT125" s="378">
        <f t="shared" si="572"/>
        <v>0.30440153623054261</v>
      </c>
      <c r="DU125" s="378">
        <f t="shared" si="572"/>
        <v>0.41629774187872676</v>
      </c>
      <c r="DV125" s="378">
        <f t="shared" si="572"/>
        <v>0.46792247822771582</v>
      </c>
      <c r="DW125" s="378">
        <f t="shared" si="572"/>
        <v>0.61062389000548201</v>
      </c>
      <c r="DX125" s="379">
        <f t="shared" si="572"/>
        <v>1.8001642392492685</v>
      </c>
      <c r="DY125" s="378">
        <f t="shared" si="572"/>
        <v>0.36962247276098664</v>
      </c>
      <c r="DZ125" s="378">
        <f t="shared" si="572"/>
        <v>0.50158771599648</v>
      </c>
      <c r="EA125" s="378">
        <f t="shared" si="572"/>
        <v>0.56296020470147101</v>
      </c>
      <c r="EB125" s="378">
        <f t="shared" si="572"/>
        <v>0.73736194590887383</v>
      </c>
      <c r="EC125" s="379">
        <f t="shared" ref="EC125" si="574">IFERROR(EC124/EC69,"")</f>
        <v>2.1726265911942906</v>
      </c>
      <c r="ED125" s="1174"/>
    </row>
    <row r="126" spans="1:135" s="296" customFormat="1" ht="12" customHeight="1">
      <c r="A126" s="940"/>
      <c r="B126" s="940"/>
      <c r="C126" s="405" t="s">
        <v>140</v>
      </c>
      <c r="D126" s="406"/>
      <c r="E126" s="406"/>
      <c r="F126" s="406"/>
      <c r="G126" s="406"/>
      <c r="H126" s="406"/>
      <c r="I126" s="407"/>
      <c r="J126" s="407"/>
      <c r="K126" s="407"/>
      <c r="L126" s="407"/>
      <c r="M126" s="406"/>
      <c r="N126" s="753"/>
      <c r="O126" s="753"/>
      <c r="P126" s="753"/>
      <c r="Q126" s="753"/>
      <c r="R126" s="406"/>
      <c r="S126" s="753"/>
      <c r="T126" s="753"/>
      <c r="U126" s="753"/>
      <c r="V126" s="753"/>
      <c r="W126" s="406"/>
      <c r="X126" s="753"/>
      <c r="Y126" s="753"/>
      <c r="Z126" s="753"/>
      <c r="AA126" s="753"/>
      <c r="AB126" s="406"/>
      <c r="AC126" s="753"/>
      <c r="AD126" s="753"/>
      <c r="AE126" s="753"/>
      <c r="AF126" s="753"/>
      <c r="AG126" s="406"/>
      <c r="AH126" s="753"/>
      <c r="AI126" s="753"/>
      <c r="AJ126" s="753"/>
      <c r="AK126" s="753"/>
      <c r="AL126" s="406"/>
      <c r="AM126" s="753"/>
      <c r="AN126" s="753"/>
      <c r="AO126" s="753"/>
      <c r="AP126" s="753"/>
      <c r="AQ126" s="406"/>
      <c r="AR126" s="753"/>
      <c r="AS126" s="753"/>
      <c r="AT126" s="753"/>
      <c r="AU126" s="753"/>
      <c r="AV126" s="406"/>
      <c r="AW126" s="753"/>
      <c r="AX126" s="753"/>
      <c r="AY126" s="753"/>
      <c r="AZ126" s="753"/>
      <c r="BA126" s="406"/>
      <c r="BB126" s="753"/>
      <c r="BC126" s="753"/>
      <c r="BD126" s="753"/>
      <c r="BE126" s="753"/>
      <c r="BF126" s="406"/>
      <c r="BG126" s="753"/>
      <c r="BH126" s="753"/>
      <c r="BI126" s="753"/>
      <c r="BJ126" s="753"/>
      <c r="BK126" s="406"/>
      <c r="BL126" s="753"/>
      <c r="BM126" s="753"/>
      <c r="BN126" s="753"/>
      <c r="BO126" s="753"/>
      <c r="BP126" s="406"/>
      <c r="BQ126" s="409"/>
      <c r="BR126" s="409"/>
      <c r="BS126" s="409"/>
      <c r="BT126" s="409"/>
      <c r="BU126" s="408"/>
      <c r="BV126" s="409" t="str">
        <f t="shared" ref="BV126:DA126" si="575">+IF(BQ125&lt;=0,"nm",BV125/BQ125-1)</f>
        <v>nm</v>
      </c>
      <c r="BW126" s="409" t="str">
        <f t="shared" si="575"/>
        <v>nm</v>
      </c>
      <c r="BX126" s="409" t="str">
        <f t="shared" si="575"/>
        <v>nm</v>
      </c>
      <c r="BY126" s="409" t="str">
        <f t="shared" si="575"/>
        <v>nm</v>
      </c>
      <c r="BZ126" s="408" t="str">
        <f t="shared" si="575"/>
        <v>nm</v>
      </c>
      <c r="CA126" s="409" t="str">
        <f t="shared" si="575"/>
        <v>nm</v>
      </c>
      <c r="CB126" s="409" t="str">
        <f t="shared" si="575"/>
        <v>nm</v>
      </c>
      <c r="CC126" s="409" t="str">
        <f t="shared" si="575"/>
        <v>nm</v>
      </c>
      <c r="CD126" s="409" t="str">
        <f t="shared" si="575"/>
        <v>nm</v>
      </c>
      <c r="CE126" s="408" t="str">
        <f t="shared" si="575"/>
        <v>nm</v>
      </c>
      <c r="CF126" s="409" t="str">
        <f t="shared" si="575"/>
        <v>nm</v>
      </c>
      <c r="CG126" s="409" t="str">
        <f t="shared" si="575"/>
        <v>nm</v>
      </c>
      <c r="CH126" s="409">
        <f t="shared" si="575"/>
        <v>6.9702234587643686E-2</v>
      </c>
      <c r="CI126" s="409">
        <f t="shared" si="575"/>
        <v>0.84426305970939386</v>
      </c>
      <c r="CJ126" s="408">
        <f t="shared" si="575"/>
        <v>1.7551127770105781</v>
      </c>
      <c r="CK126" s="409">
        <f t="shared" si="575"/>
        <v>0.55383439997143991</v>
      </c>
      <c r="CL126" s="409">
        <f t="shared" si="575"/>
        <v>2.9967963623181122</v>
      </c>
      <c r="CM126" s="409">
        <f t="shared" si="575"/>
        <v>-6.4767268968373521</v>
      </c>
      <c r="CN126" s="409">
        <f t="shared" si="575"/>
        <v>0.58285197667219135</v>
      </c>
      <c r="CO126" s="408">
        <f t="shared" si="575"/>
        <v>-0.18173138888225571</v>
      </c>
      <c r="CP126" s="409">
        <f t="shared" si="575"/>
        <v>1.9864535916382549</v>
      </c>
      <c r="CQ126" s="409">
        <f t="shared" si="575"/>
        <v>9.8118302389419227</v>
      </c>
      <c r="CR126" s="409" t="str">
        <f t="shared" si="575"/>
        <v>nm</v>
      </c>
      <c r="CS126" s="409">
        <f t="shared" si="575"/>
        <v>2.6744057369648413</v>
      </c>
      <c r="CT126" s="408">
        <f t="shared" si="575"/>
        <v>10.884121174539068</v>
      </c>
      <c r="CU126" s="409">
        <f t="shared" si="575"/>
        <v>9.4923438664804678</v>
      </c>
      <c r="CV126" s="409">
        <f t="shared" si="575"/>
        <v>1.1557683840308268</v>
      </c>
      <c r="CW126" s="409">
        <f t="shared" si="575"/>
        <v>-0.28502295020324708</v>
      </c>
      <c r="CX126" s="410">
        <f t="shared" si="575"/>
        <v>-0.13264697659419999</v>
      </c>
      <c r="CY126" s="408">
        <f t="shared" si="575"/>
        <v>0.60727382188588352</v>
      </c>
      <c r="CZ126" s="409">
        <f t="shared" si="575"/>
        <v>-0.90077670529798304</v>
      </c>
      <c r="DA126" s="409">
        <f t="shared" si="575"/>
        <v>-1.0136469573747489</v>
      </c>
      <c r="DB126" s="409">
        <f t="shared" ref="DB126:EC126" si="576">+IF(CW125&lt;=0,"nm",DB125/CW125-1)</f>
        <v>-1.0293708641152157</v>
      </c>
      <c r="DC126" s="409">
        <f t="shared" si="576"/>
        <v>-0.9480161362952193</v>
      </c>
      <c r="DD126" s="408">
        <f t="shared" si="576"/>
        <v>-0.99414537859717256</v>
      </c>
      <c r="DE126" s="409">
        <f t="shared" si="576"/>
        <v>-0.92998835285709158</v>
      </c>
      <c r="DF126" s="409" t="str">
        <f t="shared" si="576"/>
        <v>nm</v>
      </c>
      <c r="DG126" s="409" t="str">
        <f t="shared" si="576"/>
        <v>nm</v>
      </c>
      <c r="DH126" s="409">
        <f t="shared" si="576"/>
        <v>3.756870455984469</v>
      </c>
      <c r="DI126" s="408">
        <f t="shared" si="576"/>
        <v>18.574836871301638</v>
      </c>
      <c r="DJ126" s="409">
        <f t="shared" si="576"/>
        <v>13.269785136434317</v>
      </c>
      <c r="DK126" s="409">
        <f t="shared" si="576"/>
        <v>0.90911916276283899</v>
      </c>
      <c r="DL126" s="409">
        <f t="shared" si="576"/>
        <v>0.49381887141394332</v>
      </c>
      <c r="DM126" s="409">
        <f t="shared" si="576"/>
        <v>0.1626907893311178</v>
      </c>
      <c r="DN126" s="408">
        <f t="shared" si="576"/>
        <v>0.66551161036971251</v>
      </c>
      <c r="DO126" s="409">
        <f t="shared" si="576"/>
        <v>0.25901838724528736</v>
      </c>
      <c r="DP126" s="409">
        <f t="shared" si="576"/>
        <v>0.29632815699279158</v>
      </c>
      <c r="DQ126" s="409">
        <f t="shared" si="576"/>
        <v>6.216981198101279E-2</v>
      </c>
      <c r="DR126" s="409">
        <f t="shared" si="576"/>
        <v>0.27061007658635883</v>
      </c>
      <c r="DS126" s="408">
        <f t="shared" si="576"/>
        <v>0.21149625800772687</v>
      </c>
      <c r="DT126" s="409">
        <f t="shared" si="576"/>
        <v>0.215851270214511</v>
      </c>
      <c r="DU126" s="409">
        <f t="shared" si="576"/>
        <v>0.2099970715271664</v>
      </c>
      <c r="DV126" s="409">
        <f t="shared" si="576"/>
        <v>0.20932497860410182</v>
      </c>
      <c r="DW126" s="409">
        <f t="shared" si="576"/>
        <v>0.21589930985185934</v>
      </c>
      <c r="DX126" s="408">
        <f t="shared" si="576"/>
        <v>0.21280428241783356</v>
      </c>
      <c r="DY126" s="409">
        <f t="shared" si="576"/>
        <v>0.2142595511773242</v>
      </c>
      <c r="DZ126" s="409">
        <f t="shared" si="576"/>
        <v>0.20487734027296112</v>
      </c>
      <c r="EA126" s="409">
        <f t="shared" si="576"/>
        <v>0.20310570852188214</v>
      </c>
      <c r="EB126" s="409">
        <f t="shared" si="576"/>
        <v>0.20755502360422562</v>
      </c>
      <c r="EC126" s="408">
        <f t="shared" si="576"/>
        <v>0.20690465004479375</v>
      </c>
      <c r="ED126" s="287"/>
      <c r="EE126" s="139"/>
    </row>
    <row r="127" spans="1:135" s="296" customFormat="1" ht="12" customHeight="1">
      <c r="A127" s="940"/>
      <c r="B127" s="940"/>
      <c r="C127" s="405" t="s">
        <v>141</v>
      </c>
      <c r="D127" s="406"/>
      <c r="E127" s="406"/>
      <c r="F127" s="406"/>
      <c r="G127" s="406"/>
      <c r="H127" s="406"/>
      <c r="I127" s="407"/>
      <c r="J127" s="407"/>
      <c r="K127" s="407"/>
      <c r="L127" s="407"/>
      <c r="M127" s="406"/>
      <c r="N127" s="753"/>
      <c r="O127" s="753"/>
      <c r="P127" s="753"/>
      <c r="Q127" s="753"/>
      <c r="R127" s="406"/>
      <c r="S127" s="753"/>
      <c r="T127" s="753"/>
      <c r="U127" s="753"/>
      <c r="V127" s="753"/>
      <c r="W127" s="406"/>
      <c r="X127" s="753"/>
      <c r="Y127" s="753"/>
      <c r="Z127" s="753"/>
      <c r="AA127" s="753"/>
      <c r="AB127" s="406"/>
      <c r="AC127" s="753"/>
      <c r="AD127" s="753"/>
      <c r="AE127" s="753"/>
      <c r="AF127" s="753"/>
      <c r="AG127" s="406"/>
      <c r="AH127" s="753"/>
      <c r="AI127" s="753"/>
      <c r="AJ127" s="753"/>
      <c r="AK127" s="753"/>
      <c r="AL127" s="406"/>
      <c r="AM127" s="753"/>
      <c r="AN127" s="753"/>
      <c r="AO127" s="753"/>
      <c r="AP127" s="753"/>
      <c r="AQ127" s="406"/>
      <c r="AR127" s="753"/>
      <c r="AS127" s="753"/>
      <c r="AT127" s="753"/>
      <c r="AU127" s="753"/>
      <c r="AV127" s="406"/>
      <c r="AW127" s="753"/>
      <c r="AX127" s="753"/>
      <c r="AY127" s="753"/>
      <c r="AZ127" s="753"/>
      <c r="BA127" s="406"/>
      <c r="BB127" s="753"/>
      <c r="BC127" s="753"/>
      <c r="BD127" s="753"/>
      <c r="BE127" s="753"/>
      <c r="BF127" s="406"/>
      <c r="BG127" s="753"/>
      <c r="BH127" s="753"/>
      <c r="BI127" s="753"/>
      <c r="BJ127" s="753"/>
      <c r="BK127" s="406"/>
      <c r="BL127" s="753"/>
      <c r="BM127" s="753"/>
      <c r="BN127" s="753"/>
      <c r="BO127" s="753"/>
      <c r="BP127" s="406"/>
      <c r="BQ127" s="409" t="str">
        <f>IFERROR((BQ125-BP125)/ABS(BP125),"")</f>
        <v/>
      </c>
      <c r="BR127" s="409">
        <f>IFERROR((BR125-BQ125)/ABS(BQ125),"")</f>
        <v>0.49303594928464534</v>
      </c>
      <c r="BS127" s="409">
        <f>IFERROR((BS125-BR125)/ABS(BR125),"")</f>
        <v>3.220655786893787E-2</v>
      </c>
      <c r="BT127" s="409">
        <f>IFERROR((BT125-BS125)/ABS(BS125),"")</f>
        <v>0.43475039606601518</v>
      </c>
      <c r="BU127" s="408"/>
      <c r="BV127" s="409">
        <f>IFERROR((BV125-BU125)/ABS(BU125),"")</f>
        <v>0.15833288323839009</v>
      </c>
      <c r="BW127" s="409">
        <f>IFERROR((BW125-BV125)/ABS(BV125),"")</f>
        <v>0.42391427803094794</v>
      </c>
      <c r="BX127" s="409">
        <f>IFERROR((BX125-BW125)/ABS(BW125),"")</f>
        <v>0.41159907897848769</v>
      </c>
      <c r="BY127" s="409">
        <f>IFERROR((BY125-BX125)/ABS(BX125),"")</f>
        <v>0.80864871485621692</v>
      </c>
      <c r="BZ127" s="408"/>
      <c r="CA127" s="409">
        <f>IFERROR((CA125-BZ125)/ABS(BZ125),"")</f>
        <v>0.62247599283155763</v>
      </c>
      <c r="CB127" s="409">
        <f>IFERROR((CB125-CA125)/ABS(CA125),"")</f>
        <v>0.7057507930144149</v>
      </c>
      <c r="CC127" s="409">
        <f>IFERROR((CC125-CB125)/ABS(CB125),"")</f>
        <v>5.5065442819462085</v>
      </c>
      <c r="CD127" s="409">
        <f>IFERROR((CD125-CC125)/ABS(CC125),"")</f>
        <v>1.9138868397996633</v>
      </c>
      <c r="CE127" s="408"/>
      <c r="CF127" s="409">
        <f>IFERROR((CF125-CE125)/ABS(CE125),"")</f>
        <v>-0.72360038099854573</v>
      </c>
      <c r="CG127" s="409">
        <f>IFERROR((CG125-CF125)/ABS(CF125),"")</f>
        <v>-0.41827495473093979</v>
      </c>
      <c r="CH127" s="409">
        <f>IFERROR((CH125-CG125)/ABS(CG125),"")</f>
        <v>1.2632687669801319</v>
      </c>
      <c r="CI127" s="409">
        <f>IFERROR((CI125-CH125)/ABS(CH125),"")</f>
        <v>4.023803526864147</v>
      </c>
      <c r="CJ127" s="408"/>
      <c r="CK127" s="409">
        <f>IFERROR((CK125-CJ125)/ABS(CJ125),"")</f>
        <v>-0.84411555137519145</v>
      </c>
      <c r="CL127" s="409">
        <f>IFERROR((CL125-CK125)/ABS(CK125),"")</f>
        <v>0.49632196638422599</v>
      </c>
      <c r="CM127" s="409">
        <f>IFERROR((CM125-CL125)/ABS(CL125),"")</f>
        <v>-4.1013101011988544</v>
      </c>
      <c r="CN127" s="409">
        <f>IFERROR((CN125-CM125)/ABS(CM125),"")</f>
        <v>2.4519506801592845</v>
      </c>
      <c r="CO127" s="408"/>
      <c r="CP127" s="409">
        <f>IFERROR((CP125-CO125)/ABS(CO125),"")</f>
        <v>-0.43106497652380332</v>
      </c>
      <c r="CQ127" s="409">
        <f>IFERROR((CQ125-CP125)/ABS(CP125),"")</f>
        <v>4.4171205367605886</v>
      </c>
      <c r="CR127" s="409">
        <f>IFERROR((CR125-CQ125)/ABS(CQ125),"")</f>
        <v>8.8029312184035632E-2</v>
      </c>
      <c r="CS127" s="409">
        <f>IFERROR((CS125-CR125)/ABS(CR125),"")</f>
        <v>0.40651495732945725</v>
      </c>
      <c r="CT127" s="408"/>
      <c r="CU127" s="409">
        <f>IFERROR((CU125-CS125)/ABS(CS125),"")</f>
        <v>0.26566585955867328</v>
      </c>
      <c r="CV127" s="409">
        <f>IFERROR((CV125-CU125)/ABS(CU125),"")</f>
        <v>0.11300747804692826</v>
      </c>
      <c r="CW127" s="409">
        <f>IFERROR((CW125-CV125)/ABS(CV125),"")</f>
        <v>-0.63914676851174745</v>
      </c>
      <c r="CX127" s="410">
        <f>IFERROR((CX125-CW125)/ABS(CW125),"")</f>
        <v>0.70627155242532502</v>
      </c>
      <c r="CY127" s="408"/>
      <c r="CZ127" s="409">
        <f>IFERROR((CZ125-CY125)/ABS(CY125),"")</f>
        <v>-0.96899070547555344</v>
      </c>
      <c r="DA127" s="409">
        <f>IFERROR((DA125-CZ125)/ABS(CZ125),"")</f>
        <v>-1.1530806415600143</v>
      </c>
      <c r="DB127" s="409">
        <f>IFERROR((DB125-DA125)/ABS(DA125),"")</f>
        <v>0.22337478336463426</v>
      </c>
      <c r="DC127" s="409">
        <f>IFERROR((DC125-DB125)/ABS(DB125),"")</f>
        <v>4.0199515913688169</v>
      </c>
      <c r="DD127" s="408"/>
      <c r="DE127" s="409">
        <f>IFERROR((DE125-DD125)/ABS(DD125),"")</f>
        <v>-0.62917981590618199</v>
      </c>
      <c r="DF127" s="409">
        <f>IFERROR((DF125-DE125)/ABS(DE125),"")</f>
        <v>8.9759637970913584</v>
      </c>
      <c r="DG127" s="409">
        <f>IFERROR((DG125-DF125)/ABS(DF125),"")</f>
        <v>0.75415208772553888</v>
      </c>
      <c r="DH127" s="409">
        <f>IFERROR((DH125-DG125)/ABS(DG125),"")</f>
        <v>0.39399322470189851</v>
      </c>
      <c r="DI127" s="408"/>
      <c r="DJ127" s="409">
        <f>IFERROR((DJ125-DI125)/ABS(DI125),"")</f>
        <v>-0.72967721845847799</v>
      </c>
      <c r="DK127" s="409">
        <f>IFERROR((DK125-DJ125)/ABS(DJ125),"")</f>
        <v>0.334659454922558</v>
      </c>
      <c r="DL127" s="409">
        <f>IFERROR((DL125-DK125)/ABS(DK125),"")</f>
        <v>0.37256256345067928</v>
      </c>
      <c r="DM127" s="409">
        <f>IFERROR((DM125-DL125)/ABS(DL125),"")</f>
        <v>8.4993042842444425E-2</v>
      </c>
      <c r="DN127" s="408"/>
      <c r="DO127" s="409">
        <f>IFERROR((DO125-DN125)/ABS(DN125),"")</f>
        <v>-0.79565356955000888</v>
      </c>
      <c r="DP127" s="409">
        <f>IFERROR((DP125-DO125)/ABS(DO125),"")</f>
        <v>0.37421077320270063</v>
      </c>
      <c r="DQ127" s="409">
        <f>IFERROR((DQ125-DP125)/ABS(DP125),"")</f>
        <v>0.1246338452869783</v>
      </c>
      <c r="DR127" s="409">
        <f>IFERROR((DR125-DQ125)/ABS(DQ125),"")</f>
        <v>0.29791213957636814</v>
      </c>
      <c r="DS127" s="408"/>
      <c r="DT127" s="409">
        <f>IFERROR((DT125-DS125)/ABS(DS125),"")</f>
        <v>-0.79491899757494899</v>
      </c>
      <c r="DU127" s="409">
        <f>IFERROR((DU125-DT125)/ABS(DT125),"")</f>
        <v>0.36759408981247071</v>
      </c>
      <c r="DV127" s="409">
        <f>IFERROR((DV125-DU125)/ABS(DU125),"")</f>
        <v>0.12400916737143403</v>
      </c>
      <c r="DW127" s="409">
        <f>IFERROR((DW125-DV125)/ABS(DV125),"")</f>
        <v>0.30496806291131012</v>
      </c>
      <c r="DX127" s="408"/>
      <c r="DY127" s="409">
        <f>IFERROR((DY125-DX125)/ABS(DX125),"")</f>
        <v>-0.79467291666946338</v>
      </c>
      <c r="DZ127" s="409">
        <f>IFERROR((DZ125-DY125)/ABS(DY125),"")</f>
        <v>0.35702710998534876</v>
      </c>
      <c r="EA127" s="409">
        <f>IFERROR((EA125-DZ125)/ABS(DZ125),"")</f>
        <v>0.12235644284682144</v>
      </c>
      <c r="EB127" s="409">
        <f>IFERROR((EB125-EA125)/ABS(EA125),"")</f>
        <v>0.30979408446798712</v>
      </c>
      <c r="EC127" s="408"/>
      <c r="ED127" s="287"/>
      <c r="EE127" s="139"/>
    </row>
    <row r="128" spans="1:135">
      <c r="A128" s="940"/>
      <c r="B128" s="940"/>
      <c r="C128" s="1552" t="s">
        <v>299</v>
      </c>
      <c r="D128" s="1553"/>
      <c r="E128" s="1553"/>
      <c r="F128" s="1553"/>
      <c r="G128" s="1553"/>
      <c r="H128" s="1553"/>
      <c r="M128" s="1553"/>
      <c r="R128" s="1553"/>
      <c r="W128" s="1553"/>
      <c r="AB128" s="1553"/>
      <c r="AG128" s="1553"/>
      <c r="AL128" s="1553"/>
      <c r="AQ128" s="1553"/>
      <c r="AV128" s="1553"/>
      <c r="BA128" s="1553"/>
      <c r="BF128" s="1553"/>
      <c r="BK128" s="1553"/>
      <c r="BP128" s="1553"/>
      <c r="BQ128" s="93"/>
      <c r="BR128" s="93"/>
      <c r="BS128" s="93"/>
      <c r="BT128" s="93"/>
      <c r="BU128" s="433"/>
      <c r="BV128" s="93"/>
      <c r="BW128" s="93"/>
      <c r="BX128" s="93"/>
      <c r="BY128" s="93"/>
      <c r="BZ128" s="433"/>
      <c r="CA128" s="93"/>
      <c r="CB128" s="93"/>
      <c r="CC128" s="93"/>
      <c r="CD128" s="93"/>
      <c r="CE128" s="433"/>
      <c r="CF128" s="93"/>
      <c r="CG128" s="93"/>
      <c r="CH128" s="93"/>
      <c r="CI128" s="93"/>
      <c r="CJ128" s="433"/>
      <c r="CK128" s="93"/>
      <c r="CL128" s="93"/>
      <c r="CM128" s="93"/>
      <c r="CN128" s="93"/>
      <c r="CO128" s="433"/>
      <c r="CP128" s="93"/>
      <c r="CQ128" s="93"/>
      <c r="CR128" s="93"/>
      <c r="CS128" s="93"/>
      <c r="CT128" s="433"/>
      <c r="CU128" s="93"/>
      <c r="CV128" s="93"/>
      <c r="CW128" s="93"/>
      <c r="CX128" s="93"/>
      <c r="CY128" s="433"/>
      <c r="CZ128" s="93"/>
      <c r="DA128" s="93"/>
      <c r="DB128" s="93"/>
      <c r="DC128" s="93"/>
      <c r="DD128" s="433"/>
      <c r="DE128" s="93"/>
      <c r="DF128" s="93"/>
      <c r="DG128" s="93"/>
      <c r="DH128" s="93"/>
      <c r="DI128" s="433"/>
      <c r="DJ128" s="93"/>
      <c r="DK128" s="93"/>
      <c r="DL128" s="93"/>
      <c r="DM128" s="93"/>
      <c r="DN128" s="433"/>
      <c r="DO128" s="93"/>
      <c r="DP128" s="93"/>
      <c r="DQ128" s="93"/>
      <c r="DR128" s="93"/>
      <c r="DS128" s="433"/>
      <c r="DT128" s="93"/>
      <c r="DU128" s="93"/>
      <c r="DV128" s="93"/>
      <c r="DW128" s="93"/>
      <c r="DX128" s="433"/>
      <c r="DY128" s="93"/>
      <c r="DZ128" s="93"/>
      <c r="EA128" s="93"/>
      <c r="EB128" s="93"/>
      <c r="EC128" s="433"/>
      <c r="ED128" s="134"/>
    </row>
    <row r="129" spans="1:134">
      <c r="A129" s="940"/>
      <c r="B129" s="940"/>
      <c r="C129" s="436" t="s">
        <v>28</v>
      </c>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757"/>
      <c r="BR129" s="437"/>
      <c r="BS129" s="437"/>
      <c r="BT129" s="437"/>
      <c r="BU129" s="438"/>
      <c r="BV129" s="437"/>
      <c r="BW129" s="437"/>
      <c r="BX129" s="437"/>
      <c r="BY129" s="437"/>
      <c r="BZ129" s="438"/>
      <c r="CA129" s="437"/>
      <c r="CB129" s="437"/>
      <c r="CC129" s="437"/>
      <c r="CD129" s="437"/>
      <c r="CE129" s="438"/>
      <c r="CF129" s="437"/>
      <c r="CG129" s="437"/>
      <c r="CH129" s="437"/>
      <c r="CI129" s="437"/>
      <c r="CJ129" s="438"/>
      <c r="CK129" s="437"/>
      <c r="CL129" s="437"/>
      <c r="CM129" s="437"/>
      <c r="CN129" s="437"/>
      <c r="CO129" s="438"/>
      <c r="CP129" s="437"/>
      <c r="CQ129" s="437"/>
      <c r="CR129" s="437"/>
      <c r="CS129" s="437"/>
      <c r="CT129" s="438"/>
      <c r="CU129" s="437"/>
      <c r="CV129" s="437"/>
      <c r="CW129" s="437"/>
      <c r="CX129" s="437"/>
      <c r="CY129" s="438"/>
      <c r="CZ129" s="437"/>
      <c r="DA129" s="437"/>
      <c r="DB129" s="437"/>
      <c r="DC129" s="437"/>
      <c r="DD129" s="438"/>
      <c r="DE129" s="437"/>
      <c r="DF129" s="437"/>
      <c r="DG129" s="437"/>
      <c r="DH129" s="437"/>
      <c r="DI129" s="438"/>
      <c r="DJ129" s="437"/>
      <c r="DK129" s="437"/>
      <c r="DL129" s="437"/>
      <c r="DM129" s="437"/>
      <c r="DN129" s="438"/>
      <c r="DO129" s="437"/>
      <c r="DP129" s="437"/>
      <c r="DQ129" s="437"/>
      <c r="DR129" s="437"/>
      <c r="DS129" s="438"/>
      <c r="DT129" s="437"/>
      <c r="DU129" s="437"/>
      <c r="DV129" s="437"/>
      <c r="DW129" s="437"/>
      <c r="DX129" s="438"/>
      <c r="DY129" s="437"/>
      <c r="DZ129" s="437"/>
      <c r="EA129" s="437"/>
      <c r="EB129" s="437"/>
      <c r="EC129" s="438"/>
      <c r="ED129" s="134"/>
    </row>
    <row r="130" spans="1:134">
      <c r="A130" s="940"/>
      <c r="B130" s="940"/>
      <c r="C130" s="439" t="s">
        <v>300</v>
      </c>
      <c r="BQ130" s="419">
        <f t="shared" ref="BQ130:DL130" si="577">BQ84/BQ$11</f>
        <v>1.5797365320766841E-3</v>
      </c>
      <c r="BR130" s="419">
        <f t="shared" si="577"/>
        <v>1.602635444953924E-3</v>
      </c>
      <c r="BS130" s="419">
        <f t="shared" si="577"/>
        <v>1.2692759443791914E-3</v>
      </c>
      <c r="BT130" s="419">
        <f t="shared" si="577"/>
        <v>1.1970415971955025E-3</v>
      </c>
      <c r="BU130" s="590">
        <f t="shared" si="577"/>
        <v>1.3740480332110334E-3</v>
      </c>
      <c r="BV130" s="419">
        <f t="shared" si="577"/>
        <v>1.443854679464261E-3</v>
      </c>
      <c r="BW130" s="419">
        <f t="shared" si="577"/>
        <v>1.4887993813980866E-3</v>
      </c>
      <c r="BX130" s="419">
        <f t="shared" si="577"/>
        <v>1.8879672216754705E-3</v>
      </c>
      <c r="BY130" s="419">
        <f t="shared" si="577"/>
        <v>1.5799605776826734E-3</v>
      </c>
      <c r="BZ130" s="590">
        <f t="shared" si="577"/>
        <v>1.6130275087971645E-3</v>
      </c>
      <c r="CA130" s="419">
        <f t="shared" si="577"/>
        <v>1.6800257499273821E-3</v>
      </c>
      <c r="CB130" s="419">
        <f t="shared" si="577"/>
        <v>1.7210115063796116E-3</v>
      </c>
      <c r="CC130" s="419">
        <f t="shared" si="577"/>
        <v>1.854703247480403E-3</v>
      </c>
      <c r="CD130" s="419">
        <f t="shared" si="577"/>
        <v>1.3868069331370561E-3</v>
      </c>
      <c r="CE130" s="590">
        <f t="shared" si="577"/>
        <v>1.6367049653648277E-3</v>
      </c>
      <c r="CF130" s="419">
        <f t="shared" si="577"/>
        <v>1.9874965008864422E-3</v>
      </c>
      <c r="CG130" s="419">
        <f t="shared" si="577"/>
        <v>2.3840335071010723E-3</v>
      </c>
      <c r="CH130" s="419">
        <f t="shared" si="577"/>
        <v>2.2883464660228689E-3</v>
      </c>
      <c r="CI130" s="419">
        <f t="shared" si="577"/>
        <v>1.7565186033932218E-3</v>
      </c>
      <c r="CJ130" s="590">
        <f t="shared" si="577"/>
        <v>2.0797052632755921E-3</v>
      </c>
      <c r="CK130" s="419">
        <f t="shared" si="577"/>
        <v>2.2278942343095711E-3</v>
      </c>
      <c r="CL130" s="419">
        <f t="shared" si="577"/>
        <v>2.4697565328375406E-3</v>
      </c>
      <c r="CM130" s="419">
        <f t="shared" si="577"/>
        <v>2.3761240500624757E-3</v>
      </c>
      <c r="CN130" s="419">
        <f t="shared" si="577"/>
        <v>2.0508353788898565E-3</v>
      </c>
      <c r="CO130" s="590">
        <f t="shared" si="577"/>
        <v>2.2633767020472408E-3</v>
      </c>
      <c r="CP130" s="419">
        <f t="shared" si="577"/>
        <v>2.4425479945787347E-3</v>
      </c>
      <c r="CQ130" s="419">
        <f t="shared" si="577"/>
        <v>1.6630712782830608E-3</v>
      </c>
      <c r="CR130" s="419">
        <f t="shared" si="577"/>
        <v>3.4753487402349476E-3</v>
      </c>
      <c r="CS130" s="419">
        <f t="shared" si="577"/>
        <v>1.5136886546989806E-3</v>
      </c>
      <c r="CT130" s="590">
        <f t="shared" si="577"/>
        <v>2.2130124311697838E-3</v>
      </c>
      <c r="CU130" s="419">
        <f t="shared" si="577"/>
        <v>1.5323973066220804E-3</v>
      </c>
      <c r="CV130" s="419">
        <f t="shared" si="577"/>
        <v>1.4623317804805061E-3</v>
      </c>
      <c r="CW130" s="419">
        <f t="shared" si="577"/>
        <v>1.5119155676579991E-3</v>
      </c>
      <c r="CX130" s="419">
        <f t="shared" si="577"/>
        <v>1.3224407691460438E-3</v>
      </c>
      <c r="CY130" s="590">
        <f t="shared" si="577"/>
        <v>1.447573384771771E-3</v>
      </c>
      <c r="CZ130" s="419">
        <f t="shared" si="577"/>
        <v>1.717315139375037E-3</v>
      </c>
      <c r="DA130" s="419">
        <f t="shared" si="577"/>
        <v>1.8215330065023863E-3</v>
      </c>
      <c r="DB130" s="419">
        <f t="shared" si="577"/>
        <v>1.6542233933538278E-3</v>
      </c>
      <c r="DC130" s="419">
        <f t="shared" si="577"/>
        <v>1.0979966316575771E-3</v>
      </c>
      <c r="DD130" s="590">
        <f t="shared" si="577"/>
        <v>1.5341444006497298E-3</v>
      </c>
      <c r="DE130" s="419">
        <f t="shared" si="577"/>
        <v>1.3262599469496021E-3</v>
      </c>
      <c r="DF130" s="419">
        <f t="shared" si="577"/>
        <v>5.9031877213695393E-4</v>
      </c>
      <c r="DG130" s="419">
        <f t="shared" si="577"/>
        <v>0</v>
      </c>
      <c r="DH130" s="419">
        <f t="shared" si="577"/>
        <v>4.6641791044776119E-4</v>
      </c>
      <c r="DI130" s="590">
        <f t="shared" si="577"/>
        <v>5.6657223796033991E-4</v>
      </c>
      <c r="DJ130" s="419">
        <f t="shared" si="577"/>
        <v>5.3734551316496511E-4</v>
      </c>
      <c r="DK130" s="419">
        <f t="shared" si="577"/>
        <v>1.4669926650366749E-3</v>
      </c>
      <c r="DL130" s="419">
        <f t="shared" si="577"/>
        <v>0</v>
      </c>
      <c r="DM130" s="420">
        <f>+DH130</f>
        <v>4.6641791044776119E-4</v>
      </c>
      <c r="DN130" s="590">
        <f>DN84/DN$11</f>
        <v>5.9977756667094532E-4</v>
      </c>
      <c r="DO130" s="420">
        <f>+DJ130</f>
        <v>5.3734551316496511E-4</v>
      </c>
      <c r="DP130" s="420">
        <f t="shared" ref="DP130:DR130" si="578">+DK130</f>
        <v>1.4669926650366749E-3</v>
      </c>
      <c r="DQ130" s="420">
        <f t="shared" si="578"/>
        <v>0</v>
      </c>
      <c r="DR130" s="420">
        <f t="shared" si="578"/>
        <v>4.6641791044776119E-4</v>
      </c>
      <c r="DS130" s="590">
        <f>DS84/DS$11</f>
        <v>6.0051312182583957E-4</v>
      </c>
      <c r="DT130" s="420">
        <f>+DO130</f>
        <v>5.3734551316496511E-4</v>
      </c>
      <c r="DU130" s="420">
        <f t="shared" ref="DU130" si="579">+DP130</f>
        <v>1.4669926650366749E-3</v>
      </c>
      <c r="DV130" s="420">
        <f t="shared" ref="DV130" si="580">+DQ130</f>
        <v>0</v>
      </c>
      <c r="DW130" s="420">
        <f t="shared" ref="DW130" si="581">+DR130</f>
        <v>4.6641791044776119E-4</v>
      </c>
      <c r="DX130" s="590">
        <f>DX84/DX$11</f>
        <v>6.0054107029910563E-4</v>
      </c>
      <c r="DY130" s="420">
        <f>+DT130</f>
        <v>5.3734551316496511E-4</v>
      </c>
      <c r="DZ130" s="420">
        <f t="shared" ref="DZ130" si="582">+DU130</f>
        <v>1.4669926650366749E-3</v>
      </c>
      <c r="EA130" s="420">
        <f t="shared" ref="EA130" si="583">+DV130</f>
        <v>0</v>
      </c>
      <c r="EB130" s="420">
        <f t="shared" ref="EB130" si="584">+DW130</f>
        <v>4.6641791044776119E-4</v>
      </c>
      <c r="EC130" s="590">
        <f>EC84/EC$11</f>
        <v>6.0055990768744167E-4</v>
      </c>
      <c r="ED130" s="419"/>
    </row>
    <row r="131" spans="1:134">
      <c r="A131" s="940"/>
      <c r="B131" s="940"/>
      <c r="C131" s="439" t="s">
        <v>301</v>
      </c>
      <c r="BQ131" s="419">
        <f t="shared" ref="BQ131:DL131" si="585">BQ85/BQ$11</f>
        <v>4.6588840098532721E-3</v>
      </c>
      <c r="BR131" s="419">
        <f t="shared" si="585"/>
        <v>4.0511062636335304E-3</v>
      </c>
      <c r="BS131" s="419">
        <f t="shared" si="585"/>
        <v>6.1569355510930927E-3</v>
      </c>
      <c r="BT131" s="419">
        <f t="shared" si="585"/>
        <v>5.9567069955680958E-3</v>
      </c>
      <c r="BU131" s="590">
        <f t="shared" si="585"/>
        <v>5.3548893209181755E-3</v>
      </c>
      <c r="BV131" s="419">
        <f t="shared" si="585"/>
        <v>7.7555622782651728E-3</v>
      </c>
      <c r="BW131" s="419">
        <f t="shared" si="585"/>
        <v>1.0871697808348818E-2</v>
      </c>
      <c r="BX131" s="419">
        <f t="shared" si="585"/>
        <v>1.1498523770310711E-2</v>
      </c>
      <c r="BY131" s="419">
        <f t="shared" si="585"/>
        <v>9.9706250047935721E-3</v>
      </c>
      <c r="BZ131" s="590">
        <f t="shared" si="585"/>
        <v>1.0148203323658593E-2</v>
      </c>
      <c r="CA131" s="419">
        <f t="shared" si="585"/>
        <v>1.1626720260011462E-2</v>
      </c>
      <c r="CB131" s="419">
        <f t="shared" si="585"/>
        <v>1.3214203290362995E-2</v>
      </c>
      <c r="CC131" s="419">
        <f t="shared" si="585"/>
        <v>1.4960106382978722E-2</v>
      </c>
      <c r="CD131" s="419">
        <f t="shared" si="585"/>
        <v>1.3176909888965685E-2</v>
      </c>
      <c r="CE131" s="590">
        <f t="shared" si="585"/>
        <v>1.3346125969844233E-2</v>
      </c>
      <c r="CF131" s="419">
        <f t="shared" si="585"/>
        <v>1.883922739572642E-2</v>
      </c>
      <c r="CG131" s="419">
        <f t="shared" si="585"/>
        <v>2.3358629670603318E-2</v>
      </c>
      <c r="CH131" s="419">
        <f t="shared" si="585"/>
        <v>2.2272498370756563E-2</v>
      </c>
      <c r="CI131" s="419">
        <f t="shared" si="585"/>
        <v>1.7893806236222672E-2</v>
      </c>
      <c r="CJ131" s="590">
        <f t="shared" si="585"/>
        <v>2.0431799737055192E-2</v>
      </c>
      <c r="CK131" s="419">
        <f t="shared" si="585"/>
        <v>2.1327250828439663E-2</v>
      </c>
      <c r="CL131" s="419">
        <f t="shared" si="585"/>
        <v>2.323062940115311E-2</v>
      </c>
      <c r="CM131" s="419">
        <f t="shared" si="585"/>
        <v>2.2294086318851266E-2</v>
      </c>
      <c r="CN131" s="419">
        <f t="shared" si="585"/>
        <v>1.9728402882255126E-2</v>
      </c>
      <c r="CO131" s="590">
        <f t="shared" si="585"/>
        <v>2.1491306719858976E-2</v>
      </c>
      <c r="CP131" s="419">
        <f t="shared" si="585"/>
        <v>2.3844630117808262E-2</v>
      </c>
      <c r="CQ131" s="419">
        <f t="shared" si="585"/>
        <v>1.4857050064325021E-2</v>
      </c>
      <c r="CR131" s="419">
        <f t="shared" si="585"/>
        <v>1.3153419641519145E-2</v>
      </c>
      <c r="CS131" s="419">
        <f t="shared" si="585"/>
        <v>8.9655369912778806E-3</v>
      </c>
      <c r="CT131" s="590">
        <f t="shared" si="585"/>
        <v>1.388637138670165E-2</v>
      </c>
      <c r="CU131" s="419">
        <f t="shared" si="585"/>
        <v>8.9546622808747717E-3</v>
      </c>
      <c r="CV131" s="419">
        <f t="shared" si="585"/>
        <v>8.6391024123561224E-3</v>
      </c>
      <c r="CW131" s="419">
        <f t="shared" si="585"/>
        <v>9.1916279566447764E-3</v>
      </c>
      <c r="CX131" s="419">
        <f t="shared" si="585"/>
        <v>9.2015066404642232E-3</v>
      </c>
      <c r="CY131" s="590">
        <f t="shared" si="585"/>
        <v>9.0096698595966574E-3</v>
      </c>
      <c r="CZ131" s="419">
        <f t="shared" si="585"/>
        <v>1.22322355089592E-2</v>
      </c>
      <c r="DA131" s="419">
        <f t="shared" si="585"/>
        <v>1.3260358762469468E-2</v>
      </c>
      <c r="DB131" s="419">
        <f t="shared" si="585"/>
        <v>1.2276387058995752E-2</v>
      </c>
      <c r="DC131" s="419">
        <f t="shared" si="585"/>
        <v>8.4075994047186769E-3</v>
      </c>
      <c r="DD131" s="590">
        <f t="shared" si="585"/>
        <v>1.1295810041100996E-2</v>
      </c>
      <c r="DE131" s="419">
        <f t="shared" si="585"/>
        <v>9.2838196286472146E-3</v>
      </c>
      <c r="DF131" s="419">
        <f t="shared" si="585"/>
        <v>7.0838252656434475E-3</v>
      </c>
      <c r="DG131" s="419">
        <f t="shared" si="585"/>
        <v>7.5845974329054842E-3</v>
      </c>
      <c r="DH131" s="419">
        <f t="shared" si="585"/>
        <v>6.5298507462686565E-3</v>
      </c>
      <c r="DI131" s="590">
        <f t="shared" si="585"/>
        <v>7.5070821529745046E-3</v>
      </c>
      <c r="DJ131" s="419">
        <f t="shared" si="585"/>
        <v>6.4481461579795809E-3</v>
      </c>
      <c r="DK131" s="419">
        <f t="shared" si="585"/>
        <v>4.8899755501222494E-3</v>
      </c>
      <c r="DL131" s="419">
        <f t="shared" si="585"/>
        <v>6.4754856614246065E-3</v>
      </c>
      <c r="DM131" s="420">
        <f>+DH131-0.125%</f>
        <v>5.2798507462686562E-3</v>
      </c>
      <c r="DN131" s="590">
        <f>DN85/DN$11</f>
        <v>5.7315209720570212E-3</v>
      </c>
      <c r="DO131" s="420">
        <f>+DJ131-0.125%</f>
        <v>5.1981461579795806E-3</v>
      </c>
      <c r="DP131" s="420">
        <f t="shared" ref="DP131:DR133" si="586">+DK131-0.125%</f>
        <v>3.6399755501222491E-3</v>
      </c>
      <c r="DQ131" s="420">
        <f t="shared" si="586"/>
        <v>5.2254856614246063E-3</v>
      </c>
      <c r="DR131" s="420">
        <f t="shared" si="586"/>
        <v>4.029850746268656E-3</v>
      </c>
      <c r="DS131" s="590">
        <f>DS85/DS$11</f>
        <v>4.4838284763626104E-3</v>
      </c>
      <c r="DT131" s="420">
        <f>+DO131-0.125%</f>
        <v>3.9481461579795804E-3</v>
      </c>
      <c r="DU131" s="420">
        <f t="shared" ref="DU131:DU133" si="587">+DP131-0.125%</f>
        <v>2.3899755501222489E-3</v>
      </c>
      <c r="DV131" s="420">
        <f t="shared" ref="DV131:DV133" si="588">+DQ131-0.125%</f>
        <v>3.975485661424606E-3</v>
      </c>
      <c r="DW131" s="420">
        <f t="shared" ref="DW131:DW133" si="589">+DR131-0.125%</f>
        <v>2.7798507462686558E-3</v>
      </c>
      <c r="DX131" s="590">
        <f>DX85/DX$11</f>
        <v>3.2335665377554038E-3</v>
      </c>
      <c r="DY131" s="420">
        <f>+DT131-0.125%</f>
        <v>2.6981461579795802E-3</v>
      </c>
      <c r="DZ131" s="420">
        <f t="shared" ref="DZ131:DZ133" si="590">+DU131-0.125%</f>
        <v>1.1399755501222489E-3</v>
      </c>
      <c r="EA131" s="420">
        <f t="shared" ref="EA131:EA133" si="591">+DV131-0.125%</f>
        <v>2.7254856614246058E-3</v>
      </c>
      <c r="EB131" s="420">
        <f t="shared" ref="EB131:EB133" si="592">+DW131-0.125%</f>
        <v>1.5298507462686557E-3</v>
      </c>
      <c r="EC131" s="590">
        <f>EC85/EC$11</f>
        <v>1.9833616149271551E-3</v>
      </c>
      <c r="ED131" s="419"/>
    </row>
    <row r="132" spans="1:134">
      <c r="A132" s="940"/>
      <c r="B132" s="940"/>
      <c r="C132" s="439" t="s">
        <v>302</v>
      </c>
      <c r="BQ132" s="419">
        <f t="shared" ref="BQ132:DL132" si="593">BQ86/BQ$11</f>
        <v>2.0857877262504019E-2</v>
      </c>
      <c r="BR132" s="419">
        <f t="shared" si="593"/>
        <v>1.8385789965721405E-2</v>
      </c>
      <c r="BS132" s="419">
        <f t="shared" si="593"/>
        <v>2.3642632516197477E-2</v>
      </c>
      <c r="BT132" s="419">
        <f t="shared" si="593"/>
        <v>2.359882005899705E-2</v>
      </c>
      <c r="BU132" s="590">
        <f t="shared" si="593"/>
        <v>2.1970150999108328E-2</v>
      </c>
      <c r="BV132" s="419">
        <f t="shared" si="593"/>
        <v>2.791452380297571E-2</v>
      </c>
      <c r="BW132" s="419">
        <f t="shared" si="593"/>
        <v>3.5027179244520874E-2</v>
      </c>
      <c r="BX132" s="419">
        <f t="shared" si="593"/>
        <v>4.0360320552732531E-2</v>
      </c>
      <c r="BY132" s="419">
        <f t="shared" si="593"/>
        <v>4.0127930788523052E-2</v>
      </c>
      <c r="BZ132" s="590">
        <f t="shared" si="593"/>
        <v>3.6770862764235995E-2</v>
      </c>
      <c r="CA132" s="419">
        <f t="shared" si="593"/>
        <v>4.5792477566945884E-2</v>
      </c>
      <c r="CB132" s="419">
        <f t="shared" si="593"/>
        <v>4.7838844746299167E-2</v>
      </c>
      <c r="CC132" s="419">
        <f t="shared" si="593"/>
        <v>5.0129479283314668E-2</v>
      </c>
      <c r="CD132" s="419">
        <f t="shared" si="593"/>
        <v>4.3323130503469268E-2</v>
      </c>
      <c r="CE132" s="590">
        <f t="shared" si="593"/>
        <v>4.6540641374475722E-2</v>
      </c>
      <c r="CF132" s="419">
        <f t="shared" si="593"/>
        <v>5.069049174209201E-2</v>
      </c>
      <c r="CG132" s="419">
        <f t="shared" si="593"/>
        <v>5.5677796238615629E-2</v>
      </c>
      <c r="CH132" s="419">
        <f t="shared" si="593"/>
        <v>5.450189584691037E-2</v>
      </c>
      <c r="CI132" s="419">
        <f t="shared" si="593"/>
        <v>4.6358713670018793E-2</v>
      </c>
      <c r="CJ132" s="590">
        <f t="shared" si="593"/>
        <v>5.1400027393967186E-2</v>
      </c>
      <c r="CK132" s="419">
        <f t="shared" si="593"/>
        <v>5.6524235370473228E-2</v>
      </c>
      <c r="CL132" s="419">
        <f t="shared" si="593"/>
        <v>6.3492633550565086E-2</v>
      </c>
      <c r="CM132" s="419">
        <f t="shared" si="593"/>
        <v>5.9239230627419648E-2</v>
      </c>
      <c r="CN132" s="419">
        <f t="shared" si="593"/>
        <v>5.8031118853432574E-2</v>
      </c>
      <c r="CO132" s="590">
        <f t="shared" si="593"/>
        <v>5.9276771304540121E-2</v>
      </c>
      <c r="CP132" s="419">
        <f t="shared" si="593"/>
        <v>6.9370065170074102E-2</v>
      </c>
      <c r="CQ132" s="419">
        <f t="shared" si="593"/>
        <v>5.5101135172137675E-2</v>
      </c>
      <c r="CR132" s="419">
        <f t="shared" si="593"/>
        <v>5.1350981554720128E-2</v>
      </c>
      <c r="CS132" s="419">
        <f t="shared" si="593"/>
        <v>4.3720033055687384E-2</v>
      </c>
      <c r="CT132" s="590">
        <f t="shared" si="593"/>
        <v>5.2609480623084355E-2</v>
      </c>
      <c r="CU132" s="419">
        <f t="shared" si="593"/>
        <v>4.4797587005270846E-2</v>
      </c>
      <c r="CV132" s="419">
        <f t="shared" si="593"/>
        <v>4.3545685585267703E-2</v>
      </c>
      <c r="CW132" s="419">
        <f t="shared" si="593"/>
        <v>4.8226458077491235E-2</v>
      </c>
      <c r="CX132" s="419">
        <f t="shared" si="593"/>
        <v>4.9247694242998664E-2</v>
      </c>
      <c r="CY132" s="590">
        <f t="shared" si="593"/>
        <v>4.6660823755121587E-2</v>
      </c>
      <c r="CZ132" s="419">
        <f t="shared" si="593"/>
        <v>6.8513147389174175E-2</v>
      </c>
      <c r="DA132" s="419">
        <f t="shared" si="593"/>
        <v>7.5341508482598907E-2</v>
      </c>
      <c r="DB132" s="419">
        <f t="shared" si="593"/>
        <v>7.6946274337578682E-2</v>
      </c>
      <c r="DC132" s="419">
        <f t="shared" si="593"/>
        <v>5.8465294660796856E-2</v>
      </c>
      <c r="DD132" s="590">
        <f t="shared" si="593"/>
        <v>6.9036676605003261E-2</v>
      </c>
      <c r="DE132" s="419">
        <f t="shared" si="593"/>
        <v>6.6976127320954912E-2</v>
      </c>
      <c r="DF132" s="419">
        <f t="shared" si="593"/>
        <v>4.9586776859504134E-2</v>
      </c>
      <c r="DG132" s="419">
        <f t="shared" si="593"/>
        <v>4.0840140023337225E-2</v>
      </c>
      <c r="DH132" s="419">
        <f t="shared" si="593"/>
        <v>3.2182835820895525E-2</v>
      </c>
      <c r="DI132" s="590">
        <f t="shared" si="593"/>
        <v>4.5892351274787538E-2</v>
      </c>
      <c r="DJ132" s="419">
        <f t="shared" si="593"/>
        <v>3.8688876947877482E-2</v>
      </c>
      <c r="DK132" s="419">
        <f t="shared" si="593"/>
        <v>3.5696821515892423E-2</v>
      </c>
      <c r="DL132" s="419">
        <f t="shared" si="593"/>
        <v>3.4227567067530065E-2</v>
      </c>
      <c r="DM132" s="420">
        <f t="shared" ref="DM132:DO133" si="594">+DH132-0.125%</f>
        <v>3.0932835820895524E-2</v>
      </c>
      <c r="DN132" s="590">
        <f>DN86/DN$11</f>
        <v>3.4501123339567966E-2</v>
      </c>
      <c r="DO132" s="420">
        <f t="shared" si="594"/>
        <v>3.7438876947877481E-2</v>
      </c>
      <c r="DP132" s="420">
        <f t="shared" si="586"/>
        <v>3.4446821515892422E-2</v>
      </c>
      <c r="DQ132" s="420">
        <f t="shared" si="586"/>
        <v>3.2977567067530064E-2</v>
      </c>
      <c r="DR132" s="420">
        <f t="shared" si="586"/>
        <v>2.9682835820895523E-2</v>
      </c>
      <c r="DS132" s="590">
        <f>DS86/DS$11</f>
        <v>3.3272812975905404E-2</v>
      </c>
      <c r="DT132" s="420">
        <f t="shared" ref="DT132:DT133" si="595">+DO132-0.125%</f>
        <v>3.618887694787748E-2</v>
      </c>
      <c r="DU132" s="420">
        <f t="shared" si="587"/>
        <v>3.319682151589242E-2</v>
      </c>
      <c r="DV132" s="420">
        <f t="shared" si="588"/>
        <v>3.1727567067530063E-2</v>
      </c>
      <c r="DW132" s="420">
        <f t="shared" si="589"/>
        <v>2.8432835820895522E-2</v>
      </c>
      <c r="DX132" s="590">
        <f>DX86/DX$11</f>
        <v>3.2021553815728361E-2</v>
      </c>
      <c r="DY132" s="420">
        <f t="shared" ref="DY132:DY133" si="596">+DT132-0.125%</f>
        <v>3.4938876947877479E-2</v>
      </c>
      <c r="DZ132" s="420">
        <f t="shared" si="590"/>
        <v>3.1946821515892419E-2</v>
      </c>
      <c r="EA132" s="420">
        <f t="shared" si="591"/>
        <v>3.0477567067530062E-2</v>
      </c>
      <c r="EB132" s="420">
        <f t="shared" si="592"/>
        <v>2.7182835820895521E-2</v>
      </c>
      <c r="EC132" s="590">
        <f>EC86/EC$11</f>
        <v>3.0770548457338336E-2</v>
      </c>
      <c r="ED132" s="419"/>
    </row>
    <row r="133" spans="1:134">
      <c r="A133" s="940"/>
      <c r="B133" s="940"/>
      <c r="C133" s="439" t="s">
        <v>303</v>
      </c>
      <c r="BQ133" s="419">
        <f t="shared" ref="BQ133:DA133" si="597">BQ87/BQ$11</f>
        <v>1.1459783656420692E-2</v>
      </c>
      <c r="BR133" s="419">
        <f t="shared" si="597"/>
        <v>1.0929083381560789E-2</v>
      </c>
      <c r="BS133" s="419">
        <f t="shared" si="597"/>
        <v>1.1897093926419884E-2</v>
      </c>
      <c r="BT133" s="419">
        <f t="shared" si="597"/>
        <v>1.027460704259473E-2</v>
      </c>
      <c r="BU133" s="590">
        <f t="shared" si="597"/>
        <v>1.1050854394761077E-2</v>
      </c>
      <c r="BV133" s="419">
        <f t="shared" si="597"/>
        <v>1.0464508676879073E-2</v>
      </c>
      <c r="BW133" s="419">
        <f t="shared" si="597"/>
        <v>1.1310258866435077E-2</v>
      </c>
      <c r="BX133" s="419">
        <f t="shared" si="597"/>
        <v>1.1398099981923718E-2</v>
      </c>
      <c r="BY133" s="419">
        <f t="shared" si="597"/>
        <v>1.0154698081805144E-2</v>
      </c>
      <c r="BZ133" s="590">
        <f t="shared" si="597"/>
        <v>1.0787763593866387E-2</v>
      </c>
      <c r="CA133" s="419">
        <f t="shared" si="597"/>
        <v>1.3181136608075114E-2</v>
      </c>
      <c r="CB133" s="419">
        <f t="shared" si="597"/>
        <v>1.3721934654314068E-2</v>
      </c>
      <c r="CC133" s="419">
        <f t="shared" si="597"/>
        <v>1.1069895483389323E-2</v>
      </c>
      <c r="CD133" s="419">
        <f t="shared" si="597"/>
        <v>9.3351405207931278E-3</v>
      </c>
      <c r="CE133" s="590">
        <f t="shared" si="597"/>
        <v>1.1492579874766821E-2</v>
      </c>
      <c r="CF133" s="419">
        <f t="shared" si="597"/>
        <v>1.211159839507325E-2</v>
      </c>
      <c r="CG133" s="419">
        <f t="shared" si="597"/>
        <v>1.7333229916354716E-2</v>
      </c>
      <c r="CH133" s="419">
        <f t="shared" si="597"/>
        <v>1.7895758042538068E-2</v>
      </c>
      <c r="CI133" s="419">
        <f t="shared" si="597"/>
        <v>1.3729344911621524E-2</v>
      </c>
      <c r="CJ133" s="590">
        <f t="shared" si="597"/>
        <v>1.5277261423237728E-2</v>
      </c>
      <c r="CK133" s="419">
        <f t="shared" si="597"/>
        <v>1.7161650264289417E-2</v>
      </c>
      <c r="CL133" s="419">
        <f t="shared" si="597"/>
        <v>1.9288411758693186E-2</v>
      </c>
      <c r="CM133" s="419">
        <f t="shared" si="597"/>
        <v>1.8591634404637538E-2</v>
      </c>
      <c r="CN133" s="419">
        <f t="shared" si="597"/>
        <v>1.5193206112914718E-2</v>
      </c>
      <c r="CO133" s="590">
        <f t="shared" si="597"/>
        <v>1.7373253756083774E-2</v>
      </c>
      <c r="CP133" s="419">
        <f t="shared" si="597"/>
        <v>1.870847083304078E-2</v>
      </c>
      <c r="CQ133" s="419">
        <f t="shared" si="597"/>
        <v>1.5625590579289163E-2</v>
      </c>
      <c r="CR133" s="419">
        <f t="shared" si="597"/>
        <v>1.5166698158078199E-2</v>
      </c>
      <c r="CS133" s="419">
        <f t="shared" si="597"/>
        <v>1.4384133270058422E-2</v>
      </c>
      <c r="CT133" s="590">
        <f t="shared" si="597"/>
        <v>1.5585642693560076E-2</v>
      </c>
      <c r="CU133" s="419">
        <f t="shared" si="597"/>
        <v>1.4665497391890131E-2</v>
      </c>
      <c r="CV133" s="419">
        <f t="shared" si="597"/>
        <v>1.9565945624840882E-2</v>
      </c>
      <c r="CW133" s="419">
        <f t="shared" si="597"/>
        <v>1.345328990691797E-2</v>
      </c>
      <c r="CX133" s="419">
        <f t="shared" si="597"/>
        <v>1.1469365750160866E-2</v>
      </c>
      <c r="CY133" s="590">
        <f t="shared" si="597"/>
        <v>1.4603231323788081E-2</v>
      </c>
      <c r="CZ133" s="419">
        <f t="shared" si="597"/>
        <v>1.5565505145714229E-2</v>
      </c>
      <c r="DA133" s="419">
        <f t="shared" si="597"/>
        <v>1.7230821975456018E-2</v>
      </c>
      <c r="DB133" s="419">
        <f t="shared" ref="DB133:DC133" si="598">DB87/DB$11</f>
        <v>1.8909383691992385E-2</v>
      </c>
      <c r="DC133" s="419">
        <f t="shared" si="598"/>
        <v>1.3726975212365804E-2</v>
      </c>
      <c r="DD133" s="590">
        <f>DD87/DD$11</f>
        <v>1.6196821922818124E-2</v>
      </c>
      <c r="DE133" s="419">
        <f t="shared" ref="DE133:DG133" si="599">DE87/DE$11</f>
        <v>1.1936339522546418E-2</v>
      </c>
      <c r="DF133" s="419">
        <f t="shared" si="599"/>
        <v>1.0625737898465172E-2</v>
      </c>
      <c r="DG133" s="419">
        <f t="shared" si="599"/>
        <v>1.1668611435239206E-2</v>
      </c>
      <c r="DH133" s="419">
        <f t="shared" ref="DH133:DJ133" si="600">DH87/DH$11</f>
        <v>8.8619402985074622E-3</v>
      </c>
      <c r="DI133" s="590">
        <f>DI87/DI$11</f>
        <v>1.0623229461756374E-2</v>
      </c>
      <c r="DJ133" s="419">
        <f t="shared" si="600"/>
        <v>1.3970983342289092E-2</v>
      </c>
      <c r="DK133" s="419">
        <f>DK87/DK$11</f>
        <v>1.1246943765281174E-2</v>
      </c>
      <c r="DL133" s="419">
        <f>DL87/DL$11</f>
        <v>1.0175763182238668E-2</v>
      </c>
      <c r="DM133" s="420">
        <f t="shared" si="594"/>
        <v>7.611940298507462E-3</v>
      </c>
      <c r="DN133" s="590">
        <f>DN87/DN$11</f>
        <v>1.0440475210570281E-2</v>
      </c>
      <c r="DO133" s="420">
        <f t="shared" si="594"/>
        <v>1.2720983342289093E-2</v>
      </c>
      <c r="DP133" s="420">
        <f t="shared" si="586"/>
        <v>9.9969437652811747E-3</v>
      </c>
      <c r="DQ133" s="420">
        <f t="shared" si="586"/>
        <v>8.9257631822386684E-3</v>
      </c>
      <c r="DR133" s="420">
        <f t="shared" si="586"/>
        <v>6.3619402985074618E-3</v>
      </c>
      <c r="DS133" s="590">
        <f>DS87/DS$11</f>
        <v>9.2088593889124229E-3</v>
      </c>
      <c r="DT133" s="420">
        <f t="shared" si="595"/>
        <v>1.1470983342289093E-2</v>
      </c>
      <c r="DU133" s="420">
        <f t="shared" si="587"/>
        <v>8.7469437652811753E-3</v>
      </c>
      <c r="DV133" s="420">
        <f t="shared" si="588"/>
        <v>7.6757631822386681E-3</v>
      </c>
      <c r="DW133" s="420">
        <f t="shared" si="589"/>
        <v>5.1119402985074615E-3</v>
      </c>
      <c r="DX133" s="590">
        <f>DX87/DX$11</f>
        <v>7.9578751535908793E-3</v>
      </c>
      <c r="DY133" s="420">
        <f t="shared" si="596"/>
        <v>1.0220983342289094E-2</v>
      </c>
      <c r="DZ133" s="420">
        <f t="shared" si="590"/>
        <v>7.4969437652811751E-3</v>
      </c>
      <c r="EA133" s="420">
        <f t="shared" si="591"/>
        <v>6.4257631822386679E-3</v>
      </c>
      <c r="EB133" s="420">
        <f t="shared" si="592"/>
        <v>3.8619402985074613E-3</v>
      </c>
      <c r="EC133" s="590">
        <f>EC87/EC$11</f>
        <v>6.7070898573593054E-3</v>
      </c>
      <c r="ED133" s="419"/>
    </row>
    <row r="134" spans="1:134">
      <c r="A134" s="940"/>
      <c r="B134" s="940"/>
      <c r="C134" s="439"/>
      <c r="BQ134" s="90"/>
      <c r="BR134" s="90"/>
      <c r="BS134" s="90"/>
      <c r="BT134" s="90"/>
      <c r="BU134" s="758"/>
      <c r="BV134" s="90"/>
      <c r="BW134" s="90"/>
      <c r="BX134" s="90"/>
      <c r="BY134" s="90"/>
      <c r="BZ134" s="758"/>
      <c r="CA134" s="90"/>
      <c r="CB134" s="90"/>
      <c r="CC134" s="90"/>
      <c r="CD134" s="90"/>
      <c r="CE134" s="758"/>
      <c r="CF134" s="90"/>
      <c r="CG134" s="90"/>
      <c r="CH134" s="90"/>
      <c r="CI134" s="90"/>
      <c r="CJ134" s="758"/>
      <c r="CK134" s="90"/>
      <c r="CL134" s="90"/>
      <c r="CM134" s="90"/>
      <c r="CN134" s="90"/>
      <c r="CO134" s="758"/>
      <c r="CP134" s="90"/>
      <c r="CQ134" s="90"/>
      <c r="CR134" s="90"/>
      <c r="CS134" s="90"/>
      <c r="CT134" s="758"/>
      <c r="CU134" s="90"/>
      <c r="CV134" s="90"/>
      <c r="CW134" s="90"/>
      <c r="CX134" s="90"/>
      <c r="CY134" s="758"/>
      <c r="CZ134" s="90"/>
      <c r="DA134" s="90"/>
      <c r="DB134" s="90"/>
      <c r="DC134" s="90"/>
      <c r="DD134" s="758"/>
      <c r="DE134" s="90"/>
      <c r="DF134" s="90"/>
      <c r="DG134" s="90"/>
      <c r="DH134" s="90"/>
      <c r="DI134" s="758"/>
      <c r="DJ134" s="90"/>
      <c r="DK134" s="90"/>
      <c r="DL134" s="90"/>
      <c r="DM134" s="420"/>
      <c r="DN134" s="758"/>
      <c r="DO134" s="420"/>
      <c r="DP134" s="420"/>
      <c r="DQ134" s="420"/>
      <c r="DR134" s="420"/>
      <c r="DS134" s="758"/>
      <c r="DT134" s="420"/>
      <c r="DU134" s="420"/>
      <c r="DV134" s="420"/>
      <c r="DW134" s="420"/>
      <c r="DX134" s="758"/>
      <c r="DY134" s="420"/>
      <c r="DZ134" s="420"/>
      <c r="EA134" s="420"/>
      <c r="EB134" s="420"/>
      <c r="EC134" s="758"/>
      <c r="ED134" s="90"/>
    </row>
    <row r="135" spans="1:134">
      <c r="A135" s="940"/>
      <c r="B135" s="940"/>
      <c r="C135" s="440" t="s">
        <v>246</v>
      </c>
      <c r="BF135" s="727"/>
      <c r="BG135" s="727"/>
      <c r="BH135" s="727"/>
      <c r="BI135" s="727"/>
      <c r="BJ135" s="727"/>
      <c r="BK135" s="727"/>
      <c r="BL135" s="727"/>
      <c r="BM135" s="727"/>
      <c r="BN135" s="727"/>
      <c r="BO135" s="727"/>
      <c r="BP135" s="727"/>
      <c r="BQ135" s="733"/>
      <c r="BR135" s="733"/>
      <c r="BS135" s="733"/>
      <c r="BT135" s="733"/>
      <c r="BU135" s="590"/>
      <c r="BV135" s="733"/>
      <c r="BW135" s="733"/>
      <c r="BX135" s="733"/>
      <c r="BY135" s="733"/>
      <c r="BZ135" s="590"/>
      <c r="CA135" s="733"/>
      <c r="CB135" s="733"/>
      <c r="CC135" s="733"/>
      <c r="CD135" s="733"/>
      <c r="CE135" s="590"/>
      <c r="CF135" s="733"/>
      <c r="CG135" s="733"/>
      <c r="CH135" s="733"/>
      <c r="CI135" s="733"/>
      <c r="CJ135" s="590"/>
      <c r="CK135" s="733"/>
      <c r="CL135" s="733"/>
      <c r="CM135" s="733"/>
      <c r="CN135" s="733"/>
      <c r="CO135" s="590"/>
      <c r="CP135" s="733"/>
      <c r="CQ135" s="733"/>
      <c r="CR135" s="733"/>
      <c r="CS135" s="733"/>
      <c r="CT135" s="590"/>
      <c r="CU135" s="733"/>
      <c r="CV135" s="733"/>
      <c r="CW135" s="733"/>
      <c r="CX135" s="733"/>
      <c r="CY135" s="590"/>
      <c r="CZ135" s="733"/>
      <c r="DA135" s="733"/>
      <c r="DB135" s="733"/>
      <c r="DC135" s="733"/>
      <c r="DD135" s="590"/>
      <c r="DE135" s="733"/>
      <c r="DF135" s="733"/>
      <c r="DG135" s="733"/>
      <c r="DH135" s="733"/>
      <c r="DI135" s="590"/>
      <c r="DJ135" s="733"/>
      <c r="DK135" s="733"/>
      <c r="DL135" s="733"/>
      <c r="DM135" s="420"/>
      <c r="DN135" s="590"/>
      <c r="DO135" s="420"/>
      <c r="DP135" s="420"/>
      <c r="DQ135" s="420"/>
      <c r="DR135" s="420"/>
      <c r="DS135" s="590"/>
      <c r="DT135" s="420"/>
      <c r="DU135" s="420"/>
      <c r="DV135" s="420"/>
      <c r="DW135" s="420"/>
      <c r="DX135" s="590"/>
      <c r="DY135" s="420"/>
      <c r="DZ135" s="420"/>
      <c r="EA135" s="420"/>
      <c r="EB135" s="420"/>
      <c r="EC135" s="590"/>
      <c r="ED135" s="419"/>
    </row>
    <row r="136" spans="1:134">
      <c r="A136" s="940"/>
      <c r="B136" s="940"/>
      <c r="C136" s="439" t="s">
        <v>300</v>
      </c>
      <c r="BF136" s="727"/>
      <c r="BG136" s="727"/>
      <c r="BH136" s="727"/>
      <c r="BI136" s="727"/>
      <c r="BJ136" s="727"/>
      <c r="BK136" s="727"/>
      <c r="BL136" s="727"/>
      <c r="BM136" s="727"/>
      <c r="BN136" s="727"/>
      <c r="BO136" s="727"/>
      <c r="BP136" s="727"/>
      <c r="BQ136" s="419">
        <f t="shared" ref="BQ136:CX136" si="601">BQ91/BQ$11</f>
        <v>0</v>
      </c>
      <c r="BR136" s="419">
        <f t="shared" si="601"/>
        <v>0</v>
      </c>
      <c r="BS136" s="419">
        <f t="shared" si="601"/>
        <v>0</v>
      </c>
      <c r="BT136" s="419">
        <f t="shared" si="601"/>
        <v>0</v>
      </c>
      <c r="BU136" s="590">
        <f t="shared" si="601"/>
        <v>0</v>
      </c>
      <c r="BV136" s="419">
        <f t="shared" si="601"/>
        <v>0</v>
      </c>
      <c r="BW136" s="419">
        <f t="shared" si="601"/>
        <v>0</v>
      </c>
      <c r="BX136" s="419">
        <f t="shared" si="601"/>
        <v>0</v>
      </c>
      <c r="BY136" s="419">
        <f t="shared" si="601"/>
        <v>0</v>
      </c>
      <c r="BZ136" s="590">
        <f t="shared" si="601"/>
        <v>0</v>
      </c>
      <c r="CA136" s="419">
        <f t="shared" si="601"/>
        <v>0</v>
      </c>
      <c r="CB136" s="419">
        <f t="shared" si="601"/>
        <v>0</v>
      </c>
      <c r="CC136" s="419">
        <f t="shared" si="601"/>
        <v>0</v>
      </c>
      <c r="CD136" s="419">
        <f t="shared" si="601"/>
        <v>0</v>
      </c>
      <c r="CE136" s="590">
        <f t="shared" si="601"/>
        <v>0</v>
      </c>
      <c r="CF136" s="419">
        <f t="shared" si="601"/>
        <v>0</v>
      </c>
      <c r="CG136" s="419">
        <f t="shared" si="601"/>
        <v>0</v>
      </c>
      <c r="CH136" s="419">
        <f t="shared" si="601"/>
        <v>4.595207062029742E-3</v>
      </c>
      <c r="CI136" s="419">
        <f t="shared" si="601"/>
        <v>4.2080834753476688E-3</v>
      </c>
      <c r="CJ136" s="590">
        <f t="shared" si="601"/>
        <v>2.5045912848050142E-3</v>
      </c>
      <c r="CK136" s="419">
        <f t="shared" si="601"/>
        <v>5.0704875780855094E-3</v>
      </c>
      <c r="CL136" s="419">
        <f t="shared" si="601"/>
        <v>4.2267645360642469E-3</v>
      </c>
      <c r="CM136" s="419">
        <f t="shared" si="601"/>
        <v>4.2222290501648949E-3</v>
      </c>
      <c r="CN136" s="419">
        <f t="shared" si="601"/>
        <v>9.5415313959933482E-3</v>
      </c>
      <c r="CO136" s="590">
        <f t="shared" si="601"/>
        <v>6.0981907560197779E-3</v>
      </c>
      <c r="CP136" s="419">
        <f t="shared" si="601"/>
        <v>1.1848910959763917E-2</v>
      </c>
      <c r="CQ136" s="419">
        <f t="shared" si="601"/>
        <v>6.7978738445644308E-3</v>
      </c>
      <c r="CR136" s="419">
        <f t="shared" si="601"/>
        <v>5.9043138890155786E-3</v>
      </c>
      <c r="CS136" s="419">
        <f t="shared" si="601"/>
        <v>4.6351601237133652E-3</v>
      </c>
      <c r="CT136" s="590">
        <f t="shared" si="601"/>
        <v>6.6523501864317039E-3</v>
      </c>
      <c r="CU136" s="419">
        <f t="shared" si="601"/>
        <v>4.5830311526763347E-3</v>
      </c>
      <c r="CV136" s="419">
        <f t="shared" si="601"/>
        <v>3.9055067466467761E-3</v>
      </c>
      <c r="CW136" s="419">
        <f t="shared" si="601"/>
        <v>4.9264064641287124E-3</v>
      </c>
      <c r="CX136" s="419">
        <f t="shared" si="601"/>
        <v>4.3187654707454361E-3</v>
      </c>
      <c r="CY136" s="590">
        <f t="shared" ref="CY136:CZ139" si="602">CY91/CY$11</f>
        <v>4.4231649904073328E-3</v>
      </c>
      <c r="CZ136" s="419">
        <f>CZ91/CZ$11</f>
        <v>5.1793626409598354E-3</v>
      </c>
      <c r="DA136" s="419">
        <f>DA91/DA$11</f>
        <v>5.3603569864940932E-3</v>
      </c>
      <c r="DB136" s="419">
        <f>DB91/DB$11</f>
        <v>1.2540623627580148E-2</v>
      </c>
      <c r="DC136" s="419">
        <f>DC91/DC$11</f>
        <v>1.0581690373019139E-2</v>
      </c>
      <c r="DD136" s="590">
        <f>DD91/DD11</f>
        <v>8.6909253510442392E-3</v>
      </c>
      <c r="DE136" s="419">
        <f t="shared" ref="DE136:DJ136" si="603">DE91/DE$11</f>
        <v>1.2599469496021221E-2</v>
      </c>
      <c r="DF136" s="419">
        <f t="shared" si="603"/>
        <v>4.7225501770956314E-3</v>
      </c>
      <c r="DG136" s="419">
        <f t="shared" si="603"/>
        <v>2.3337222870478411E-3</v>
      </c>
      <c r="DH136" s="419">
        <f t="shared" si="603"/>
        <v>1.8656716417910447E-3</v>
      </c>
      <c r="DI136" s="590">
        <f t="shared" si="603"/>
        <v>4.9575070821529744E-3</v>
      </c>
      <c r="DJ136" s="419">
        <f t="shared" si="603"/>
        <v>2.1493820526598604E-3</v>
      </c>
      <c r="DK136" s="419">
        <f t="shared" ref="DK136:DL136" si="604">DK91/DK$11</f>
        <v>1.9559902200488996E-3</v>
      </c>
      <c r="DL136" s="419">
        <f t="shared" si="604"/>
        <v>1.3876040703052729E-3</v>
      </c>
      <c r="DM136" s="420">
        <v>1E-3</v>
      </c>
      <c r="DN136" s="590">
        <f>DN91/DN$11</f>
        <v>1.5622698340161259E-3</v>
      </c>
      <c r="DO136" s="920">
        <v>5.0000000000000001E-4</v>
      </c>
      <c r="DP136" s="920">
        <v>5.0000000000000001E-4</v>
      </c>
      <c r="DQ136" s="920">
        <v>5.0000000000000001E-4</v>
      </c>
      <c r="DR136" s="920">
        <v>5.0000000000000001E-4</v>
      </c>
      <c r="DS136" s="590">
        <f>DS91/DS$11</f>
        <v>5.0000000000000001E-4</v>
      </c>
      <c r="DT136" s="920">
        <v>5.0000000000000001E-4</v>
      </c>
      <c r="DU136" s="920">
        <v>5.0000000000000001E-4</v>
      </c>
      <c r="DV136" s="920">
        <v>5.0000000000000001E-4</v>
      </c>
      <c r="DW136" s="920">
        <v>5.0000000000000001E-4</v>
      </c>
      <c r="DX136" s="590">
        <f>DX91/DX$11</f>
        <v>5.0000000000000001E-4</v>
      </c>
      <c r="DY136" s="920">
        <v>5.0000000000000001E-4</v>
      </c>
      <c r="DZ136" s="920">
        <v>5.0000000000000001E-4</v>
      </c>
      <c r="EA136" s="920">
        <v>5.0000000000000001E-4</v>
      </c>
      <c r="EB136" s="920">
        <v>5.0000000000000001E-4</v>
      </c>
      <c r="EC136" s="590">
        <f>EC91/EC$11</f>
        <v>5.0000000000000001E-4</v>
      </c>
      <c r="ED136" s="419"/>
    </row>
    <row r="137" spans="1:134">
      <c r="A137" s="940"/>
      <c r="B137" s="940"/>
      <c r="C137" s="439" t="s">
        <v>301</v>
      </c>
      <c r="BQ137" s="419">
        <f t="shared" ref="BQ137:BU139" si="605">BQ92/BQ$11</f>
        <v>0</v>
      </c>
      <c r="BR137" s="419">
        <f t="shared" si="605"/>
        <v>0</v>
      </c>
      <c r="BS137" s="419">
        <f t="shared" si="605"/>
        <v>0</v>
      </c>
      <c r="BT137" s="419">
        <f t="shared" si="605"/>
        <v>0</v>
      </c>
      <c r="BU137" s="590">
        <f t="shared" si="605"/>
        <v>0</v>
      </c>
      <c r="BV137" s="419">
        <f t="shared" ref="BV137:CW137" si="606">BV92/BV$11</f>
        <v>0</v>
      </c>
      <c r="BW137" s="419">
        <f t="shared" si="606"/>
        <v>0</v>
      </c>
      <c r="BX137" s="419">
        <f t="shared" si="606"/>
        <v>0</v>
      </c>
      <c r="BY137" s="419">
        <f t="shared" si="606"/>
        <v>0</v>
      </c>
      <c r="BZ137" s="590">
        <f t="shared" si="606"/>
        <v>0</v>
      </c>
      <c r="CA137" s="419">
        <f t="shared" si="606"/>
        <v>0</v>
      </c>
      <c r="CB137" s="419">
        <f t="shared" si="606"/>
        <v>0</v>
      </c>
      <c r="CC137" s="419">
        <f t="shared" si="606"/>
        <v>0</v>
      </c>
      <c r="CD137" s="419">
        <f t="shared" si="606"/>
        <v>0</v>
      </c>
      <c r="CE137" s="590">
        <f t="shared" si="606"/>
        <v>0</v>
      </c>
      <c r="CF137" s="419">
        <f t="shared" si="606"/>
        <v>0</v>
      </c>
      <c r="CG137" s="419">
        <f t="shared" si="606"/>
        <v>0</v>
      </c>
      <c r="CH137" s="419">
        <f t="shared" si="606"/>
        <v>0</v>
      </c>
      <c r="CI137" s="419">
        <f t="shared" si="606"/>
        <v>0</v>
      </c>
      <c r="CJ137" s="590">
        <f t="shared" si="606"/>
        <v>0</v>
      </c>
      <c r="CK137" s="419">
        <f t="shared" si="606"/>
        <v>0</v>
      </c>
      <c r="CL137" s="419">
        <f t="shared" si="606"/>
        <v>0</v>
      </c>
      <c r="CM137" s="419">
        <f t="shared" si="606"/>
        <v>0</v>
      </c>
      <c r="CN137" s="419">
        <f t="shared" si="606"/>
        <v>5.6021854461952637E-4</v>
      </c>
      <c r="CO137" s="590">
        <f t="shared" si="606"/>
        <v>1.7932127846566882E-4</v>
      </c>
      <c r="CP137" s="419">
        <f t="shared" si="606"/>
        <v>8.2553015844647143E-4</v>
      </c>
      <c r="CQ137" s="419">
        <f t="shared" si="606"/>
        <v>5.4315795957392895E-4</v>
      </c>
      <c r="CR137" s="419">
        <f t="shared" si="606"/>
        <v>5.0560004169897255E-4</v>
      </c>
      <c r="CS137" s="419">
        <f t="shared" si="606"/>
        <v>3.927408401381139E-4</v>
      </c>
      <c r="CT137" s="590">
        <f t="shared" si="606"/>
        <v>5.2841944214882387E-4</v>
      </c>
      <c r="CU137" s="419">
        <f t="shared" si="606"/>
        <v>3.9043258109315056E-4</v>
      </c>
      <c r="CV137" s="419">
        <f t="shared" si="606"/>
        <v>3.448137246582012E-4</v>
      </c>
      <c r="CW137" s="419">
        <f t="shared" si="606"/>
        <v>3.4349582643672025E-4</v>
      </c>
      <c r="CX137" s="419">
        <f>CX92/CX$11</f>
        <v>2.7970528048787554E-4</v>
      </c>
      <c r="CY137" s="590">
        <f t="shared" si="602"/>
        <v>3.3478929090587393E-4</v>
      </c>
      <c r="CZ137" s="419">
        <f t="shared" si="602"/>
        <v>3.2069842467284188E-4</v>
      </c>
      <c r="DA137" s="419">
        <f t="shared" ref="DA137:DB137" si="607">DA92/DA$11</f>
        <v>2.965106716816093E-4</v>
      </c>
      <c r="DB137" s="419">
        <f t="shared" si="607"/>
        <v>1.4822134387351778E-3</v>
      </c>
      <c r="DC137" s="419">
        <f t="shared" ref="DC137:DE137" si="608">DC92/DC$11</f>
        <v>1.2467016872836426E-3</v>
      </c>
      <c r="DD137" s="590">
        <f>DD92/DD$11</f>
        <v>8.8537864490994774E-4</v>
      </c>
      <c r="DE137" s="419">
        <f t="shared" si="608"/>
        <v>1.3262599469496021E-3</v>
      </c>
      <c r="DF137" s="419">
        <f t="shared" ref="DF137:DG137" si="609">DF92/DF$11</f>
        <v>5.9031877213695393E-4</v>
      </c>
      <c r="DG137" s="419">
        <f t="shared" si="609"/>
        <v>0</v>
      </c>
      <c r="DH137" s="419">
        <f t="shared" ref="DH137:DJ137" si="610">DH92/DH$11</f>
        <v>0</v>
      </c>
      <c r="DI137" s="590">
        <f>DI92/DI$11</f>
        <v>4.2492917847025496E-4</v>
      </c>
      <c r="DJ137" s="419">
        <f t="shared" si="610"/>
        <v>0</v>
      </c>
      <c r="DK137" s="419">
        <f t="shared" ref="DK137:DL137" si="611">DK92/DK$11</f>
        <v>0</v>
      </c>
      <c r="DL137" s="419">
        <f t="shared" si="611"/>
        <v>0</v>
      </c>
      <c r="DM137" s="420">
        <v>0</v>
      </c>
      <c r="DN137" s="590">
        <f>DN92/DN$11</f>
        <v>0</v>
      </c>
      <c r="DO137" s="420">
        <v>0</v>
      </c>
      <c r="DP137" s="420">
        <v>0</v>
      </c>
      <c r="DQ137" s="420">
        <v>0</v>
      </c>
      <c r="DR137" s="420">
        <v>0</v>
      </c>
      <c r="DS137" s="590">
        <f>DS92/DS$11</f>
        <v>0</v>
      </c>
      <c r="DT137" s="420">
        <v>0</v>
      </c>
      <c r="DU137" s="420">
        <v>0</v>
      </c>
      <c r="DV137" s="420">
        <v>0</v>
      </c>
      <c r="DW137" s="420">
        <v>0</v>
      </c>
      <c r="DX137" s="590">
        <f>DX92/DX$11</f>
        <v>0</v>
      </c>
      <c r="DY137" s="420">
        <v>0</v>
      </c>
      <c r="DZ137" s="420">
        <v>0</v>
      </c>
      <c r="EA137" s="420">
        <v>0</v>
      </c>
      <c r="EB137" s="420">
        <v>0</v>
      </c>
      <c r="EC137" s="590">
        <f>EC92/EC$11</f>
        <v>0</v>
      </c>
      <c r="ED137" s="419"/>
    </row>
    <row r="138" spans="1:134">
      <c r="A138" s="940"/>
      <c r="B138" s="940"/>
      <c r="C138" s="439" t="s">
        <v>302</v>
      </c>
      <c r="BQ138" s="419">
        <f t="shared" si="605"/>
        <v>0</v>
      </c>
      <c r="BR138" s="419">
        <f t="shared" si="605"/>
        <v>0</v>
      </c>
      <c r="BS138" s="419">
        <f t="shared" si="605"/>
        <v>0</v>
      </c>
      <c r="BT138" s="419">
        <f t="shared" si="605"/>
        <v>0</v>
      </c>
      <c r="BU138" s="590">
        <f t="shared" si="605"/>
        <v>0</v>
      </c>
      <c r="BV138" s="419">
        <f t="shared" ref="BV138:CW138" si="612">BV93/BV$11</f>
        <v>0</v>
      </c>
      <c r="BW138" s="419">
        <f t="shared" si="612"/>
        <v>0</v>
      </c>
      <c r="BX138" s="419">
        <f t="shared" si="612"/>
        <v>0</v>
      </c>
      <c r="BY138" s="419">
        <f t="shared" si="612"/>
        <v>0</v>
      </c>
      <c r="BZ138" s="590">
        <f t="shared" si="612"/>
        <v>0</v>
      </c>
      <c r="CA138" s="419">
        <f t="shared" si="612"/>
        <v>0</v>
      </c>
      <c r="CB138" s="419">
        <f t="shared" si="612"/>
        <v>0</v>
      </c>
      <c r="CC138" s="419">
        <f t="shared" si="612"/>
        <v>0</v>
      </c>
      <c r="CD138" s="419">
        <f t="shared" si="612"/>
        <v>0</v>
      </c>
      <c r="CE138" s="590">
        <f t="shared" si="612"/>
        <v>0</v>
      </c>
      <c r="CF138" s="419">
        <f t="shared" si="612"/>
        <v>0</v>
      </c>
      <c r="CG138" s="419">
        <f t="shared" si="612"/>
        <v>0</v>
      </c>
      <c r="CH138" s="419">
        <f t="shared" si="612"/>
        <v>0</v>
      </c>
      <c r="CI138" s="419">
        <f t="shared" si="612"/>
        <v>0</v>
      </c>
      <c r="CJ138" s="590">
        <f t="shared" si="612"/>
        <v>0</v>
      </c>
      <c r="CK138" s="419">
        <f t="shared" si="612"/>
        <v>1.8097740278705203E-4</v>
      </c>
      <c r="CL138" s="419">
        <f t="shared" si="612"/>
        <v>1.6023028960243551E-4</v>
      </c>
      <c r="CM138" s="419">
        <f t="shared" si="612"/>
        <v>1.4850775312890473E-4</v>
      </c>
      <c r="CN138" s="419">
        <f t="shared" si="612"/>
        <v>1.1481510808456726E-4</v>
      </c>
      <c r="CO138" s="590">
        <f t="shared" si="612"/>
        <v>1.4700542969623735E-4</v>
      </c>
      <c r="CP138" s="419">
        <f t="shared" si="612"/>
        <v>1.2340399275746224E-4</v>
      </c>
      <c r="CQ138" s="419">
        <f t="shared" si="612"/>
        <v>8.1193715606412065E-5</v>
      </c>
      <c r="CR138" s="419">
        <f t="shared" si="612"/>
        <v>7.5579387676650536E-5</v>
      </c>
      <c r="CS138" s="419">
        <f t="shared" si="612"/>
        <v>6.0342993667053952E-5</v>
      </c>
      <c r="CT138" s="590">
        <f t="shared" si="612"/>
        <v>7.9536001305346218E-5</v>
      </c>
      <c r="CU138" s="419">
        <f t="shared" si="612"/>
        <v>5.8666035501043352E-5</v>
      </c>
      <c r="CV138" s="419">
        <f t="shared" si="612"/>
        <v>5.181138867921158E-5</v>
      </c>
      <c r="CW138" s="419">
        <f t="shared" si="612"/>
        <v>5.1613362521579727E-5</v>
      </c>
      <c r="CX138" s="419">
        <f>CX93/CX$11</f>
        <v>2.3188002527492273E-5</v>
      </c>
      <c r="CY138" s="590">
        <f t="shared" si="602"/>
        <v>4.4667483113089401E-5</v>
      </c>
      <c r="CZ138" s="419">
        <f t="shared" si="602"/>
        <v>6.3142695013305655E-5</v>
      </c>
      <c r="DA138" s="419">
        <f t="shared" ref="DA138:DB138" si="613">DA93/DA$11</f>
        <v>0</v>
      </c>
      <c r="DB138" s="419">
        <f t="shared" si="613"/>
        <v>0</v>
      </c>
      <c r="DC138" s="419">
        <f t="shared" ref="DC138:DE138" si="614">DC93/DC$11</f>
        <v>0</v>
      </c>
      <c r="DD138" s="590">
        <f>DD93/DD$11</f>
        <v>1.3571758171269872E-5</v>
      </c>
      <c r="DE138" s="419">
        <f t="shared" si="614"/>
        <v>0</v>
      </c>
      <c r="DF138" s="419">
        <f t="shared" ref="DF138:DG138" si="615">DF93/DF$11</f>
        <v>0</v>
      </c>
      <c r="DG138" s="419">
        <f t="shared" si="615"/>
        <v>0</v>
      </c>
      <c r="DH138" s="419">
        <f t="shared" ref="DH138:DJ138" si="616">DH93/DH$11</f>
        <v>0</v>
      </c>
      <c r="DI138" s="590">
        <f>DI93/DI$11</f>
        <v>0</v>
      </c>
      <c r="DJ138" s="419">
        <f t="shared" si="616"/>
        <v>0</v>
      </c>
      <c r="DK138" s="419">
        <f t="shared" ref="DK138:DL138" si="617">DK93/DK$11</f>
        <v>0</v>
      </c>
      <c r="DL138" s="419">
        <f t="shared" si="617"/>
        <v>4.6253469010175765E-4</v>
      </c>
      <c r="DM138" s="420">
        <v>0</v>
      </c>
      <c r="DN138" s="590">
        <f>DN93/DN$11</f>
        <v>1.1400442701056889E-4</v>
      </c>
      <c r="DO138" s="420">
        <v>0</v>
      </c>
      <c r="DP138" s="420">
        <v>0</v>
      </c>
      <c r="DQ138" s="420">
        <v>0</v>
      </c>
      <c r="DR138" s="420">
        <v>0</v>
      </c>
      <c r="DS138" s="590">
        <f>DS93/DS$11</f>
        <v>0</v>
      </c>
      <c r="DT138" s="420">
        <v>0</v>
      </c>
      <c r="DU138" s="420">
        <v>0</v>
      </c>
      <c r="DV138" s="420">
        <v>0</v>
      </c>
      <c r="DW138" s="420">
        <v>0</v>
      </c>
      <c r="DX138" s="590">
        <f>DX93/DX$11</f>
        <v>0</v>
      </c>
      <c r="DY138" s="420">
        <v>0</v>
      </c>
      <c r="DZ138" s="420">
        <v>0</v>
      </c>
      <c r="EA138" s="420">
        <v>0</v>
      </c>
      <c r="EB138" s="420">
        <v>0</v>
      </c>
      <c r="EC138" s="590">
        <f>EC93/EC$11</f>
        <v>0</v>
      </c>
      <c r="ED138" s="419"/>
    </row>
    <row r="139" spans="1:134">
      <c r="A139" s="940"/>
      <c r="B139" s="940"/>
      <c r="C139" s="439" t="s">
        <v>303</v>
      </c>
      <c r="BQ139" s="419">
        <f t="shared" si="605"/>
        <v>0</v>
      </c>
      <c r="BR139" s="419">
        <f t="shared" si="605"/>
        <v>0</v>
      </c>
      <c r="BS139" s="419">
        <f t="shared" si="605"/>
        <v>0</v>
      </c>
      <c r="BT139" s="419">
        <f t="shared" si="605"/>
        <v>0</v>
      </c>
      <c r="BU139" s="590">
        <f t="shared" si="605"/>
        <v>0</v>
      </c>
      <c r="BV139" s="419">
        <f t="shared" ref="BV139:CW139" si="618">BV94/BV$11</f>
        <v>0</v>
      </c>
      <c r="BW139" s="419">
        <f t="shared" si="618"/>
        <v>0</v>
      </c>
      <c r="BX139" s="419">
        <f t="shared" si="618"/>
        <v>0</v>
      </c>
      <c r="BY139" s="419">
        <f t="shared" si="618"/>
        <v>0</v>
      </c>
      <c r="BZ139" s="590">
        <f t="shared" si="618"/>
        <v>0</v>
      </c>
      <c r="CA139" s="419">
        <f t="shared" si="618"/>
        <v>0</v>
      </c>
      <c r="CB139" s="419">
        <f t="shared" si="618"/>
        <v>0</v>
      </c>
      <c r="CC139" s="419">
        <f t="shared" si="618"/>
        <v>0</v>
      </c>
      <c r="CD139" s="419">
        <f t="shared" si="618"/>
        <v>0</v>
      </c>
      <c r="CE139" s="590">
        <f t="shared" si="618"/>
        <v>0</v>
      </c>
      <c r="CF139" s="419">
        <f t="shared" si="618"/>
        <v>0</v>
      </c>
      <c r="CG139" s="419">
        <f t="shared" si="618"/>
        <v>0</v>
      </c>
      <c r="CH139" s="419">
        <f t="shared" si="618"/>
        <v>0</v>
      </c>
      <c r="CI139" s="419">
        <f t="shared" si="618"/>
        <v>0</v>
      </c>
      <c r="CJ139" s="590">
        <f t="shared" si="618"/>
        <v>0</v>
      </c>
      <c r="CK139" s="419">
        <f t="shared" si="618"/>
        <v>0</v>
      </c>
      <c r="CL139" s="419">
        <f t="shared" si="618"/>
        <v>0</v>
      </c>
      <c r="CM139" s="419">
        <f t="shared" si="618"/>
        <v>0</v>
      </c>
      <c r="CN139" s="419">
        <f t="shared" si="618"/>
        <v>0</v>
      </c>
      <c r="CO139" s="590">
        <f t="shared" si="618"/>
        <v>0</v>
      </c>
      <c r="CP139" s="419">
        <f t="shared" si="618"/>
        <v>0</v>
      </c>
      <c r="CQ139" s="419">
        <f t="shared" si="618"/>
        <v>0</v>
      </c>
      <c r="CR139" s="419">
        <f t="shared" si="618"/>
        <v>0</v>
      </c>
      <c r="CS139" s="419">
        <f t="shared" si="618"/>
        <v>0</v>
      </c>
      <c r="CT139" s="590">
        <f t="shared" si="618"/>
        <v>0</v>
      </c>
      <c r="CU139" s="419">
        <f t="shared" si="618"/>
        <v>0</v>
      </c>
      <c r="CV139" s="419">
        <f t="shared" si="618"/>
        <v>0</v>
      </c>
      <c r="CW139" s="419">
        <f t="shared" si="618"/>
        <v>0</v>
      </c>
      <c r="CX139" s="419">
        <f>CX94/CX$11</f>
        <v>0</v>
      </c>
      <c r="CY139" s="590">
        <f t="shared" si="602"/>
        <v>0</v>
      </c>
      <c r="CZ139" s="419">
        <f t="shared" si="602"/>
        <v>0</v>
      </c>
      <c r="DA139" s="419">
        <f t="shared" ref="DA139:DB139" si="619">DA94/DA$11</f>
        <v>0</v>
      </c>
      <c r="DB139" s="419">
        <f t="shared" si="619"/>
        <v>0</v>
      </c>
      <c r="DC139" s="419">
        <f t="shared" ref="DC139:DE139" si="620">DC94/DC$11</f>
        <v>0</v>
      </c>
      <c r="DD139" s="590">
        <f>DD94/DD$11</f>
        <v>0</v>
      </c>
      <c r="DE139" s="419">
        <f t="shared" si="620"/>
        <v>0</v>
      </c>
      <c r="DF139" s="419">
        <f t="shared" ref="DF139:DG139" si="621">DF94/DF$11</f>
        <v>0</v>
      </c>
      <c r="DG139" s="419">
        <f t="shared" si="621"/>
        <v>0</v>
      </c>
      <c r="DH139" s="419">
        <f t="shared" ref="DH139:DJ139" si="622">DH94/DH$11</f>
        <v>0</v>
      </c>
      <c r="DI139" s="590">
        <f>DI94/DI$11</f>
        <v>0</v>
      </c>
      <c r="DJ139" s="419">
        <f t="shared" si="622"/>
        <v>0</v>
      </c>
      <c r="DK139" s="419">
        <f t="shared" ref="DK139:DL139" si="623">DK94/DK$11</f>
        <v>0</v>
      </c>
      <c r="DL139" s="419">
        <f t="shared" si="623"/>
        <v>0</v>
      </c>
      <c r="DM139" s="420">
        <v>0</v>
      </c>
      <c r="DN139" s="590">
        <f>DN94/DN$11</f>
        <v>0</v>
      </c>
      <c r="DO139" s="420">
        <v>0</v>
      </c>
      <c r="DP139" s="420">
        <v>0</v>
      </c>
      <c r="DQ139" s="420">
        <v>0</v>
      </c>
      <c r="DR139" s="420">
        <v>0</v>
      </c>
      <c r="DS139" s="590">
        <f>DS94/DS$11</f>
        <v>0</v>
      </c>
      <c r="DT139" s="420">
        <v>0</v>
      </c>
      <c r="DU139" s="420">
        <v>0</v>
      </c>
      <c r="DV139" s="420">
        <v>0</v>
      </c>
      <c r="DW139" s="420">
        <v>0</v>
      </c>
      <c r="DX139" s="590">
        <f>DX94/DX$11</f>
        <v>0</v>
      </c>
      <c r="DY139" s="420">
        <v>0</v>
      </c>
      <c r="DZ139" s="420">
        <v>0</v>
      </c>
      <c r="EA139" s="420">
        <v>0</v>
      </c>
      <c r="EB139" s="420">
        <v>0</v>
      </c>
      <c r="EC139" s="590">
        <f>EC94/EC$11</f>
        <v>0</v>
      </c>
      <c r="ED139" s="419"/>
    </row>
    <row r="140" spans="1:134">
      <c r="A140" s="940"/>
      <c r="B140" s="940"/>
      <c r="C140" s="439"/>
      <c r="BQ140" s="90"/>
      <c r="BR140" s="90"/>
      <c r="BS140" s="90"/>
      <c r="BT140" s="90"/>
      <c r="BU140" s="758"/>
      <c r="BV140" s="90"/>
      <c r="BW140" s="90"/>
      <c r="BX140" s="90"/>
      <c r="BY140" s="90"/>
      <c r="BZ140" s="758"/>
      <c r="CA140" s="90"/>
      <c r="CB140" s="90"/>
      <c r="CC140" s="90"/>
      <c r="CD140" s="90"/>
      <c r="CE140" s="758"/>
      <c r="CF140" s="90"/>
      <c r="CG140" s="90"/>
      <c r="CH140" s="90"/>
      <c r="CI140" s="90"/>
      <c r="CJ140" s="758"/>
      <c r="CK140" s="90"/>
      <c r="CL140" s="90"/>
      <c r="CM140" s="90"/>
      <c r="CN140" s="90"/>
      <c r="CO140" s="758"/>
      <c r="CP140" s="90"/>
      <c r="CQ140" s="90"/>
      <c r="CR140" s="90"/>
      <c r="CS140" s="90"/>
      <c r="CT140" s="758"/>
      <c r="CU140" s="90"/>
      <c r="CV140" s="90"/>
      <c r="CW140" s="90"/>
      <c r="CX140" s="90"/>
      <c r="CY140" s="758"/>
      <c r="CZ140" s="90"/>
      <c r="DA140" s="90"/>
      <c r="DB140" s="90"/>
      <c r="DC140" s="90"/>
      <c r="DD140" s="758"/>
      <c r="DE140" s="90"/>
      <c r="DF140" s="90"/>
      <c r="DG140" s="90"/>
      <c r="DH140" s="90"/>
      <c r="DI140" s="758"/>
      <c r="DJ140" s="90"/>
      <c r="DK140" s="90"/>
      <c r="DL140" s="90"/>
      <c r="DM140" s="420"/>
      <c r="DN140" s="758"/>
      <c r="DO140" s="420"/>
      <c r="DP140" s="420"/>
      <c r="DQ140" s="420"/>
      <c r="DR140" s="420"/>
      <c r="DS140" s="758"/>
      <c r="DT140" s="420"/>
      <c r="DU140" s="420"/>
      <c r="DV140" s="420"/>
      <c r="DW140" s="420"/>
      <c r="DX140" s="758"/>
      <c r="DY140" s="420"/>
      <c r="DZ140" s="420"/>
      <c r="EA140" s="420"/>
      <c r="EB140" s="420"/>
      <c r="EC140" s="758"/>
      <c r="ED140" s="90"/>
    </row>
    <row r="141" spans="1:134">
      <c r="A141" s="940"/>
      <c r="B141" s="940"/>
      <c r="C141" s="440" t="s">
        <v>248</v>
      </c>
      <c r="BQ141" s="90"/>
      <c r="BR141" s="90"/>
      <c r="BS141" s="90"/>
      <c r="BT141" s="90"/>
      <c r="BU141" s="758"/>
      <c r="BV141" s="90"/>
      <c r="BW141" s="90"/>
      <c r="BX141" s="90"/>
      <c r="BY141" s="90"/>
      <c r="BZ141" s="758"/>
      <c r="CA141" s="90"/>
      <c r="CB141" s="90"/>
      <c r="CC141" s="90"/>
      <c r="CD141" s="90"/>
      <c r="CE141" s="758"/>
      <c r="CF141" s="90"/>
      <c r="CG141" s="90"/>
      <c r="CH141" s="90"/>
      <c r="CI141" s="90"/>
      <c r="CJ141" s="758"/>
      <c r="CK141" s="90"/>
      <c r="CL141" s="90"/>
      <c r="CM141" s="90"/>
      <c r="CN141" s="90"/>
      <c r="CO141" s="758"/>
      <c r="CP141" s="90"/>
      <c r="CQ141" s="90"/>
      <c r="CR141" s="90"/>
      <c r="CS141" s="90"/>
      <c r="CT141" s="758"/>
      <c r="CU141" s="90"/>
      <c r="CV141" s="90"/>
      <c r="CW141" s="90"/>
      <c r="CX141" s="90"/>
      <c r="CY141" s="758"/>
      <c r="CZ141" s="90"/>
      <c r="DA141" s="90"/>
      <c r="DB141" s="90"/>
      <c r="DC141" s="90"/>
      <c r="DD141" s="758"/>
      <c r="DE141" s="90"/>
      <c r="DF141" s="90"/>
      <c r="DG141" s="90"/>
      <c r="DH141" s="90"/>
      <c r="DI141" s="758"/>
      <c r="DJ141" s="90"/>
      <c r="DK141" s="90"/>
      <c r="DL141" s="90"/>
      <c r="DM141" s="420"/>
      <c r="DN141" s="758"/>
      <c r="DO141" s="420"/>
      <c r="DP141" s="420"/>
      <c r="DQ141" s="420"/>
      <c r="DR141" s="420"/>
      <c r="DS141" s="758"/>
      <c r="DT141" s="420"/>
      <c r="DU141" s="420"/>
      <c r="DV141" s="420"/>
      <c r="DW141" s="420"/>
      <c r="DX141" s="758"/>
      <c r="DY141" s="420"/>
      <c r="DZ141" s="420"/>
      <c r="EA141" s="420"/>
      <c r="EB141" s="420"/>
      <c r="EC141" s="758"/>
      <c r="ED141" s="90"/>
    </row>
    <row r="142" spans="1:134">
      <c r="A142" s="940"/>
      <c r="B142" s="940"/>
      <c r="C142" s="439" t="s">
        <v>300</v>
      </c>
      <c r="BQ142" s="419">
        <f t="shared" ref="BQ142:CX142" si="624">BQ98/BQ$11</f>
        <v>0</v>
      </c>
      <c r="BR142" s="419">
        <f t="shared" si="624"/>
        <v>0</v>
      </c>
      <c r="BS142" s="419">
        <f t="shared" si="624"/>
        <v>0</v>
      </c>
      <c r="BT142" s="419">
        <f t="shared" si="624"/>
        <v>8.9778119789662688E-4</v>
      </c>
      <c r="BU142" s="590">
        <f t="shared" si="624"/>
        <v>3.0696817763225213E-4</v>
      </c>
      <c r="BV142" s="419">
        <f t="shared" si="624"/>
        <v>1.3750996947278676E-4</v>
      </c>
      <c r="BW142" s="419">
        <f t="shared" si="624"/>
        <v>2.6544485094694565E-4</v>
      </c>
      <c r="BX142" s="419">
        <f t="shared" si="624"/>
        <v>4.6194942658016829E-4</v>
      </c>
      <c r="BY142" s="419">
        <f t="shared" si="624"/>
        <v>7.6697115421489004E-5</v>
      </c>
      <c r="BZ142" s="590">
        <f t="shared" si="624"/>
        <v>2.285978475843115E-4</v>
      </c>
      <c r="CA142" s="419">
        <f t="shared" si="624"/>
        <v>2.747705665769083E-4</v>
      </c>
      <c r="CB142" s="419">
        <f t="shared" si="624"/>
        <v>3.0332003560713458E-4</v>
      </c>
      <c r="CC142" s="419">
        <f t="shared" si="624"/>
        <v>2.157988055244494E-4</v>
      </c>
      <c r="CD142" s="419">
        <f t="shared" si="624"/>
        <v>2.737709479655677E-4</v>
      </c>
      <c r="CE142" s="590">
        <f t="shared" si="624"/>
        <v>2.6585316588049378E-4</v>
      </c>
      <c r="CF142" s="419">
        <f t="shared" si="624"/>
        <v>2.9392553886348796E-4</v>
      </c>
      <c r="CG142" s="419">
        <f t="shared" si="624"/>
        <v>2.1635920526773432E-4</v>
      </c>
      <c r="CH142" s="419">
        <f t="shared" si="624"/>
        <v>1.3700456188162806E-4</v>
      </c>
      <c r="CI142" s="419">
        <f t="shared" si="624"/>
        <v>1.6285602945367619E-4</v>
      </c>
      <c r="CJ142" s="590">
        <f t="shared" si="624"/>
        <v>1.9473942653431842E-4</v>
      </c>
      <c r="CK142" s="419">
        <f t="shared" si="624"/>
        <v>3.1203000480526212E-4</v>
      </c>
      <c r="CL142" s="419">
        <f t="shared" si="624"/>
        <v>3.6466203840554288E-4</v>
      </c>
      <c r="CM142" s="419">
        <f t="shared" si="624"/>
        <v>2.8933407075114196E-4</v>
      </c>
      <c r="CN142" s="419">
        <f t="shared" si="624"/>
        <v>3.4246575342465748E-4</v>
      </c>
      <c r="CO142" s="590">
        <f t="shared" si="624"/>
        <v>3.28227640442461E-4</v>
      </c>
      <c r="CP142" s="419">
        <f t="shared" si="624"/>
        <v>3.7446728836747158E-4</v>
      </c>
      <c r="CQ142" s="419">
        <f t="shared" si="624"/>
        <v>4.773630520997675E-4</v>
      </c>
      <c r="CR142" s="419">
        <f t="shared" si="624"/>
        <v>3.2186394407125312E-4</v>
      </c>
      <c r="CS142" s="419">
        <f t="shared" si="624"/>
        <v>2.3012158601842613E-4</v>
      </c>
      <c r="CT142" s="590">
        <f t="shared" si="624"/>
        <v>3.3760131026174857E-4</v>
      </c>
      <c r="CU142" s="419">
        <f t="shared" si="624"/>
        <v>3.398584125577684E-4</v>
      </c>
      <c r="CV142" s="419">
        <f t="shared" si="624"/>
        <v>1.5364756642800674E-4</v>
      </c>
      <c r="CW142" s="419">
        <f t="shared" si="624"/>
        <v>2.5628704148646482E-4</v>
      </c>
      <c r="CX142" s="419">
        <f t="shared" si="624"/>
        <v>1.2318626342730271E-4</v>
      </c>
      <c r="CY142" s="590">
        <f t="shared" ref="CY142:CZ145" si="625">CY98/CY$11</f>
        <v>2.0946013925846776E-4</v>
      </c>
      <c r="CZ142" s="419">
        <f t="shared" ref="CZ142:DG142" si="626">CZ98/CZ$11</f>
        <v>9.6375692388729695E-5</v>
      </c>
      <c r="DA142" s="419">
        <f t="shared" si="626"/>
        <v>3.8608160375209546E-5</v>
      </c>
      <c r="DB142" s="419">
        <f t="shared" si="626"/>
        <v>4.9041135997657736E-5</v>
      </c>
      <c r="DC142" s="419">
        <f t="shared" si="626"/>
        <v>4.1499085290995041E-5</v>
      </c>
      <c r="DD142" s="590">
        <f t="shared" si="626"/>
        <v>5.4465608450490933E-5</v>
      </c>
      <c r="DE142" s="419">
        <f t="shared" si="626"/>
        <v>0</v>
      </c>
      <c r="DF142" s="419">
        <f t="shared" si="626"/>
        <v>0</v>
      </c>
      <c r="DG142" s="419">
        <f t="shared" si="626"/>
        <v>0</v>
      </c>
      <c r="DH142" s="419">
        <f t="shared" ref="DH142:DJ142" si="627">DH98/DH$11</f>
        <v>0</v>
      </c>
      <c r="DI142" s="590">
        <f>DI98/DI$11</f>
        <v>0</v>
      </c>
      <c r="DJ142" s="419">
        <f t="shared" si="627"/>
        <v>0</v>
      </c>
      <c r="DK142" s="419">
        <f t="shared" ref="DK142:DL142" si="628">DK98/DK$11</f>
        <v>0</v>
      </c>
      <c r="DL142" s="419">
        <f t="shared" si="628"/>
        <v>0</v>
      </c>
      <c r="DM142" s="420">
        <v>0</v>
      </c>
      <c r="DN142" s="590">
        <f>DN98/DN$11</f>
        <v>0</v>
      </c>
      <c r="DO142" s="420">
        <v>0</v>
      </c>
      <c r="DP142" s="420">
        <v>0</v>
      </c>
      <c r="DQ142" s="420">
        <v>0</v>
      </c>
      <c r="DR142" s="420">
        <v>0</v>
      </c>
      <c r="DS142" s="590">
        <f>DS98/DS$11</f>
        <v>0</v>
      </c>
      <c r="DT142" s="420">
        <v>0</v>
      </c>
      <c r="DU142" s="420">
        <v>0</v>
      </c>
      <c r="DV142" s="420">
        <v>0</v>
      </c>
      <c r="DW142" s="420">
        <v>0</v>
      </c>
      <c r="DX142" s="590">
        <f>DX98/DX$11</f>
        <v>0</v>
      </c>
      <c r="DY142" s="420">
        <v>0</v>
      </c>
      <c r="DZ142" s="420">
        <v>0</v>
      </c>
      <c r="EA142" s="420">
        <v>0</v>
      </c>
      <c r="EB142" s="420">
        <v>0</v>
      </c>
      <c r="EC142" s="590">
        <f>EC98/EC$11</f>
        <v>0</v>
      </c>
      <c r="ED142" s="419"/>
    </row>
    <row r="143" spans="1:134">
      <c r="A143" s="940"/>
      <c r="B143" s="940"/>
      <c r="C143" s="439" t="s">
        <v>301</v>
      </c>
      <c r="BQ143" s="419">
        <f t="shared" ref="BQ143:CJ143" si="629">BQ99/BQ$11</f>
        <v>0</v>
      </c>
      <c r="BR143" s="419">
        <f t="shared" si="629"/>
        <v>0</v>
      </c>
      <c r="BS143" s="419">
        <f t="shared" si="629"/>
        <v>0</v>
      </c>
      <c r="BT143" s="419">
        <f t="shared" si="629"/>
        <v>3.5911247915865075E-3</v>
      </c>
      <c r="BU143" s="590">
        <f t="shared" si="629"/>
        <v>1.2278727105290085E-3</v>
      </c>
      <c r="BV143" s="419">
        <f t="shared" si="629"/>
        <v>5.6379087483842576E-4</v>
      </c>
      <c r="BW143" s="419">
        <f t="shared" si="629"/>
        <v>9.5790967950419538E-4</v>
      </c>
      <c r="BX143" s="419">
        <f t="shared" si="629"/>
        <v>2.460382815481331E-3</v>
      </c>
      <c r="BY143" s="419">
        <f t="shared" si="629"/>
        <v>9.5104423122646371E-4</v>
      </c>
      <c r="BZ143" s="590">
        <f t="shared" si="629"/>
        <v>1.266277964708602E-3</v>
      </c>
      <c r="CA143" s="419">
        <f t="shared" si="629"/>
        <v>1.4052551833504737E-3</v>
      </c>
      <c r="CB143" s="419">
        <f t="shared" si="629"/>
        <v>1.9847680590814676E-3</v>
      </c>
      <c r="CC143" s="419">
        <f t="shared" si="629"/>
        <v>9.5651362448674875E-4</v>
      </c>
      <c r="CD143" s="419">
        <f t="shared" si="629"/>
        <v>1.1040598885168795E-3</v>
      </c>
      <c r="CE143" s="590">
        <f t="shared" si="629"/>
        <v>1.3218397633164218E-3</v>
      </c>
      <c r="CF143" s="419">
        <f t="shared" si="629"/>
        <v>3.410469347765233E-3</v>
      </c>
      <c r="CG143" s="419">
        <f t="shared" si="629"/>
        <v>2.1513453052093585E-3</v>
      </c>
      <c r="CH143" s="419">
        <f t="shared" si="629"/>
        <v>1.4144795307778899E-3</v>
      </c>
      <c r="CI143" s="419">
        <f t="shared" si="629"/>
        <v>1.419173970953464E-3</v>
      </c>
      <c r="CJ143" s="590">
        <f t="shared" si="629"/>
        <v>1.9828014338039695E-3</v>
      </c>
      <c r="CK143" s="419">
        <f t="shared" ref="CK143:CN145" si="630">CK99/CK$11</f>
        <v>2.5274430389226232E-3</v>
      </c>
      <c r="CL143" s="419">
        <f t="shared" si="630"/>
        <v>3.0443755024462749E-3</v>
      </c>
      <c r="CM143" s="419">
        <f t="shared" si="630"/>
        <v>2.5220713246891578E-3</v>
      </c>
      <c r="CN143" s="419">
        <f t="shared" si="630"/>
        <v>2.6783593316968878E-3</v>
      </c>
      <c r="CO143" s="590">
        <f t="shared" ref="CO143:CX143" si="631">CO99/CO$11</f>
        <v>2.6929873974526242E-3</v>
      </c>
      <c r="CP143" s="419">
        <f t="shared" si="631"/>
        <v>2.6106327433345891E-3</v>
      </c>
      <c r="CQ143" s="419">
        <f t="shared" si="631"/>
        <v>2.5450030167665024E-3</v>
      </c>
      <c r="CR143" s="419">
        <f t="shared" si="631"/>
        <v>1.8073898397847291E-3</v>
      </c>
      <c r="CS143" s="419">
        <f t="shared" si="631"/>
        <v>1.3070906085846604E-3</v>
      </c>
      <c r="CT143" s="590">
        <f t="shared" si="631"/>
        <v>1.94914406632415E-3</v>
      </c>
      <c r="CU143" s="419">
        <f t="shared" si="631"/>
        <v>2.0553342092779325E-3</v>
      </c>
      <c r="CV143" s="419">
        <f t="shared" si="631"/>
        <v>1.1782624425496562E-3</v>
      </c>
      <c r="CW143" s="419">
        <f t="shared" si="631"/>
        <v>1.1960061936035027E-3</v>
      </c>
      <c r="CX143" s="419">
        <f t="shared" si="631"/>
        <v>7.5505933230146714E-4</v>
      </c>
      <c r="CY143" s="590">
        <f t="shared" si="625"/>
        <v>1.2439677214553101E-3</v>
      </c>
      <c r="CZ143" s="419">
        <f t="shared" si="625"/>
        <v>3.9879596850508838E-4</v>
      </c>
      <c r="DA143" s="419">
        <f t="shared" ref="DA143:DB143" si="632">DA99/DA$11</f>
        <v>1.5597696791584657E-4</v>
      </c>
      <c r="DB143" s="419">
        <f t="shared" si="632"/>
        <v>3.3084467867076564E-4</v>
      </c>
      <c r="DC143" s="419">
        <f t="shared" ref="DC143:DE143" si="633">DC99/DC$11</f>
        <v>1.7694748867132609E-4</v>
      </c>
      <c r="DD143" s="590">
        <f>DD99/DD$11</f>
        <v>2.5732767795789323E-4</v>
      </c>
      <c r="DE143" s="419">
        <f t="shared" si="633"/>
        <v>6.6312997347480103E-4</v>
      </c>
      <c r="DF143" s="419">
        <f t="shared" ref="DF143:DG143" si="634">DF99/DF$11</f>
        <v>5.9031877213695393E-4</v>
      </c>
      <c r="DG143" s="419">
        <f t="shared" si="634"/>
        <v>0</v>
      </c>
      <c r="DH143" s="419">
        <f t="shared" ref="DH143:DJ143" si="635">DH99/DH$11</f>
        <v>0</v>
      </c>
      <c r="DI143" s="590">
        <f>DI99/DI$11</f>
        <v>0</v>
      </c>
      <c r="DJ143" s="419">
        <f t="shared" si="635"/>
        <v>0</v>
      </c>
      <c r="DK143" s="419">
        <f t="shared" ref="DK143:DL143" si="636">DK99/DK$11</f>
        <v>0</v>
      </c>
      <c r="DL143" s="419">
        <f t="shared" si="636"/>
        <v>0</v>
      </c>
      <c r="DM143" s="420">
        <v>0</v>
      </c>
      <c r="DN143" s="590">
        <f>DN99/DN$11</f>
        <v>0</v>
      </c>
      <c r="DO143" s="420">
        <v>0</v>
      </c>
      <c r="DP143" s="420">
        <v>0</v>
      </c>
      <c r="DQ143" s="420">
        <v>0</v>
      </c>
      <c r="DR143" s="420">
        <v>0</v>
      </c>
      <c r="DS143" s="590">
        <f>DS99/DS$11</f>
        <v>0</v>
      </c>
      <c r="DT143" s="420">
        <v>0</v>
      </c>
      <c r="DU143" s="420">
        <v>0</v>
      </c>
      <c r="DV143" s="420">
        <v>0</v>
      </c>
      <c r="DW143" s="420">
        <v>0</v>
      </c>
      <c r="DX143" s="590">
        <f>DX99/DX$11</f>
        <v>0</v>
      </c>
      <c r="DY143" s="420">
        <v>0</v>
      </c>
      <c r="DZ143" s="420">
        <v>0</v>
      </c>
      <c r="EA143" s="420">
        <v>0</v>
      </c>
      <c r="EB143" s="420">
        <v>0</v>
      </c>
      <c r="EC143" s="590">
        <f>EC99/EC$11</f>
        <v>0</v>
      </c>
      <c r="ED143" s="419"/>
    </row>
    <row r="144" spans="1:134">
      <c r="A144" s="940"/>
      <c r="B144" s="940"/>
      <c r="C144" s="439" t="s">
        <v>302</v>
      </c>
      <c r="BQ144" s="419">
        <f t="shared" ref="BQ144:CJ144" si="637">BQ100/BQ$11</f>
        <v>0</v>
      </c>
      <c r="BR144" s="419">
        <f t="shared" si="637"/>
        <v>0</v>
      </c>
      <c r="BS144" s="419">
        <f t="shared" si="637"/>
        <v>0</v>
      </c>
      <c r="BT144" s="419">
        <f t="shared" si="637"/>
        <v>2.6562923061576392E-2</v>
      </c>
      <c r="BU144" s="590">
        <f t="shared" si="637"/>
        <v>9.0823600493098091E-3</v>
      </c>
      <c r="BV144" s="419">
        <f t="shared" si="637"/>
        <v>3.5890102032397346E-3</v>
      </c>
      <c r="BW144" s="419">
        <f t="shared" si="637"/>
        <v>2.5390377047099151E-3</v>
      </c>
      <c r="BX144" s="419">
        <f t="shared" si="637"/>
        <v>3.4043664263190667E-3</v>
      </c>
      <c r="BY144" s="419">
        <f t="shared" si="637"/>
        <v>1.7640336546942473E-3</v>
      </c>
      <c r="BZ144" s="590">
        <f t="shared" si="637"/>
        <v>2.6969408984665968E-3</v>
      </c>
      <c r="CA144" s="419">
        <f t="shared" si="637"/>
        <v>3.8075349939943001E-3</v>
      </c>
      <c r="CB144" s="419">
        <f t="shared" si="637"/>
        <v>5.4070093303880511E-3</v>
      </c>
      <c r="CC144" s="419">
        <f t="shared" si="637"/>
        <v>4.2518197088465843E-3</v>
      </c>
      <c r="CD144" s="419">
        <f t="shared" si="637"/>
        <v>5.3407775094922224E-3</v>
      </c>
      <c r="CE144" s="590">
        <f t="shared" si="637"/>
        <v>4.7883274122833075E-3</v>
      </c>
      <c r="CF144" s="419">
        <f t="shared" si="637"/>
        <v>4.9034244658019968E-3</v>
      </c>
      <c r="CG144" s="419">
        <f t="shared" si="637"/>
        <v>6.4581181647840697E-3</v>
      </c>
      <c r="CH144" s="419">
        <f t="shared" si="637"/>
        <v>3.5176846969607206E-3</v>
      </c>
      <c r="CI144" s="419">
        <f t="shared" si="637"/>
        <v>2.4079427212079264E-3</v>
      </c>
      <c r="CJ144" s="590">
        <f t="shared" si="637"/>
        <v>4.1100268442243E-3</v>
      </c>
      <c r="CK144" s="419">
        <f t="shared" si="630"/>
        <v>5.6415024868791391E-3</v>
      </c>
      <c r="CL144" s="419">
        <f t="shared" si="630"/>
        <v>9.5723785081455008E-3</v>
      </c>
      <c r="CM144" s="419">
        <f t="shared" si="630"/>
        <v>7.1104488006718692E-3</v>
      </c>
      <c r="CN144" s="419">
        <f t="shared" si="630"/>
        <v>6.029772745268825E-3</v>
      </c>
      <c r="CO144" s="590">
        <f t="shared" ref="CO144:CX144" si="638">CO100/CO$11</f>
        <v>7.0309148616786625E-3</v>
      </c>
      <c r="CP144" s="419">
        <f t="shared" si="638"/>
        <v>8.1212593164695403E-3</v>
      </c>
      <c r="CQ144" s="419">
        <f t="shared" si="638"/>
        <v>1.4648466208715447E-2</v>
      </c>
      <c r="CR144" s="419">
        <f t="shared" si="638"/>
        <v>1.0859976153400095E-2</v>
      </c>
      <c r="CS144" s="419">
        <f t="shared" si="638"/>
        <v>1.1777111391120787E-2</v>
      </c>
      <c r="CT144" s="590">
        <f t="shared" si="638"/>
        <v>1.1650488088203719E-2</v>
      </c>
      <c r="CU144" s="419">
        <f t="shared" si="638"/>
        <v>1.1872791805366325E-2</v>
      </c>
      <c r="CV144" s="419">
        <f t="shared" si="638"/>
        <v>6.4683838866581205E-3</v>
      </c>
      <c r="CW144" s="419">
        <f t="shared" si="638"/>
        <v>8.5838361186751384E-3</v>
      </c>
      <c r="CX144" s="419">
        <f t="shared" si="638"/>
        <v>5.0499121754404271E-3</v>
      </c>
      <c r="CY144" s="590">
        <f t="shared" si="625"/>
        <v>7.717933951103418E-3</v>
      </c>
      <c r="CZ144" s="419">
        <f t="shared" si="625"/>
        <v>2.7192900102440713E-3</v>
      </c>
      <c r="DA144" s="419">
        <f t="shared" ref="DA144:DB144" si="639">DA100/DA$11</f>
        <v>9.2273503296750811E-4</v>
      </c>
      <c r="DB144" s="419">
        <f t="shared" si="639"/>
        <v>2.0846142585273018E-3</v>
      </c>
      <c r="DC144" s="419">
        <f t="shared" ref="DC144:DE144" si="640">DC100/DC$11</f>
        <v>1.2397851730684768E-3</v>
      </c>
      <c r="DD144" s="590">
        <f>DD100/DD$11</f>
        <v>1.6905767711501562E-3</v>
      </c>
      <c r="DE144" s="419">
        <f t="shared" si="640"/>
        <v>3.3156498673740055E-3</v>
      </c>
      <c r="DF144" s="419">
        <f t="shared" ref="DF144:DG144" si="641">DF100/DF$11</f>
        <v>2.3612750885478157E-3</v>
      </c>
      <c r="DG144" s="419">
        <f t="shared" si="641"/>
        <v>0</v>
      </c>
      <c r="DH144" s="419">
        <f t="shared" ref="DH144:DJ144" si="642">DH100/DH$11</f>
        <v>0</v>
      </c>
      <c r="DI144" s="590">
        <f>DI100/DI$11</f>
        <v>0</v>
      </c>
      <c r="DJ144" s="419">
        <f t="shared" si="642"/>
        <v>0</v>
      </c>
      <c r="DK144" s="419">
        <f t="shared" ref="DK144:DL144" si="643">DK100/DK$11</f>
        <v>0</v>
      </c>
      <c r="DL144" s="419">
        <f t="shared" si="643"/>
        <v>0</v>
      </c>
      <c r="DM144" s="420">
        <v>0</v>
      </c>
      <c r="DN144" s="590">
        <f>DN100/DN$11</f>
        <v>0</v>
      </c>
      <c r="DO144" s="420">
        <v>0</v>
      </c>
      <c r="DP144" s="420">
        <v>0</v>
      </c>
      <c r="DQ144" s="420">
        <v>0</v>
      </c>
      <c r="DR144" s="420">
        <v>0</v>
      </c>
      <c r="DS144" s="590">
        <f>DS100/DS$11</f>
        <v>0</v>
      </c>
      <c r="DT144" s="420">
        <v>0</v>
      </c>
      <c r="DU144" s="420">
        <v>0</v>
      </c>
      <c r="DV144" s="420">
        <v>0</v>
      </c>
      <c r="DW144" s="420">
        <v>0</v>
      </c>
      <c r="DX144" s="590">
        <f>DX100/DX$11</f>
        <v>0</v>
      </c>
      <c r="DY144" s="420">
        <v>0</v>
      </c>
      <c r="DZ144" s="420">
        <v>0</v>
      </c>
      <c r="EA144" s="420">
        <v>0</v>
      </c>
      <c r="EB144" s="420">
        <v>0</v>
      </c>
      <c r="EC144" s="590">
        <f>EC100/EC$11</f>
        <v>0</v>
      </c>
      <c r="ED144" s="419"/>
    </row>
    <row r="145" spans="1:134">
      <c r="A145" s="940"/>
      <c r="B145" s="940"/>
      <c r="C145" s="439" t="s">
        <v>303</v>
      </c>
      <c r="BQ145" s="419">
        <f t="shared" ref="BQ145:CJ145" si="644">BQ101/BQ$11</f>
        <v>0</v>
      </c>
      <c r="BR145" s="419">
        <f t="shared" si="644"/>
        <v>0</v>
      </c>
      <c r="BS145" s="419">
        <f t="shared" si="644"/>
        <v>0</v>
      </c>
      <c r="BT145" s="419">
        <f t="shared" si="644"/>
        <v>2.1518247759109627E-3</v>
      </c>
      <c r="BU145" s="590">
        <f t="shared" si="644"/>
        <v>7.357491241661916E-4</v>
      </c>
      <c r="BV145" s="419">
        <f t="shared" si="644"/>
        <v>2.7501993894557352E-4</v>
      </c>
      <c r="BW145" s="419">
        <f t="shared" si="644"/>
        <v>4.1547889713434971E-4</v>
      </c>
      <c r="BX145" s="419">
        <f t="shared" si="644"/>
        <v>1.6670348872240856E-3</v>
      </c>
      <c r="BY145" s="419">
        <f t="shared" si="644"/>
        <v>5.5221923103472082E-4</v>
      </c>
      <c r="BZ145" s="590">
        <f t="shared" si="644"/>
        <v>7.5514345157064698E-4</v>
      </c>
      <c r="CA145" s="419">
        <f t="shared" si="644"/>
        <v>1.8919916155724255E-3</v>
      </c>
      <c r="CB145" s="419">
        <f t="shared" si="644"/>
        <v>1.3253766773268275E-3</v>
      </c>
      <c r="CC145" s="419">
        <f t="shared" si="644"/>
        <v>4.8408921239268384E-4</v>
      </c>
      <c r="CD145" s="419">
        <f t="shared" si="644"/>
        <v>5.4843950559659623E-3</v>
      </c>
      <c r="CE145" s="590">
        <f t="shared" si="644"/>
        <v>2.594667490464931E-3</v>
      </c>
      <c r="CF145" s="419">
        <f t="shared" si="644"/>
        <v>1.6095922366333862E-3</v>
      </c>
      <c r="CG145" s="419">
        <f t="shared" si="644"/>
        <v>5.7151488183929827E-4</v>
      </c>
      <c r="CH145" s="419">
        <f t="shared" si="644"/>
        <v>6.44291723443332E-4</v>
      </c>
      <c r="CI145" s="419">
        <f t="shared" si="644"/>
        <v>1.846671048269364E-3</v>
      </c>
      <c r="CJ145" s="590">
        <f t="shared" si="644"/>
        <v>1.2057072628488424E-3</v>
      </c>
      <c r="CK145" s="419">
        <f t="shared" si="630"/>
        <v>1.6568793255159419E-3</v>
      </c>
      <c r="CL145" s="419">
        <f t="shared" si="630"/>
        <v>1.2763171344194002E-3</v>
      </c>
      <c r="CM145" s="419">
        <f t="shared" si="630"/>
        <v>1.5158032733157171E-3</v>
      </c>
      <c r="CN145" s="419">
        <f t="shared" si="630"/>
        <v>1.6984717713199777E-3</v>
      </c>
      <c r="CO145" s="590">
        <f t="shared" ref="CO145:CX145" si="645">CO101/CO$11</f>
        <v>1.5479925204651202E-3</v>
      </c>
      <c r="CP145" s="419">
        <f t="shared" si="645"/>
        <v>2.0723360163063483E-3</v>
      </c>
      <c r="CQ145" s="419">
        <f t="shared" si="645"/>
        <v>2.1278353055473507E-3</v>
      </c>
      <c r="CR145" s="419">
        <f t="shared" si="645"/>
        <v>2.1201321336191451E-3</v>
      </c>
      <c r="CS145" s="419">
        <f t="shared" si="645"/>
        <v>2.4709944525356333E-3</v>
      </c>
      <c r="CT145" s="590">
        <f t="shared" si="645"/>
        <v>2.2314456675238117E-3</v>
      </c>
      <c r="CU145" s="419">
        <f t="shared" si="645"/>
        <v>3.7485573718425286E-3</v>
      </c>
      <c r="CV145" s="419">
        <f t="shared" si="645"/>
        <v>1.6579644377347706E-3</v>
      </c>
      <c r="CW145" s="419">
        <f t="shared" si="645"/>
        <v>1.381102390232616E-2</v>
      </c>
      <c r="CX145" s="419">
        <f t="shared" si="645"/>
        <v>2.1064851046068761E-3</v>
      </c>
      <c r="CY145" s="590">
        <f t="shared" si="625"/>
        <v>5.2015934582519494E-3</v>
      </c>
      <c r="CZ145" s="419">
        <f t="shared" si="625"/>
        <v>1.1099821123391627E-3</v>
      </c>
      <c r="DA145" s="419">
        <f t="shared" ref="DA145:DB145" si="646">DA101/DA$11</f>
        <v>1.8917998583852676E-4</v>
      </c>
      <c r="DB145" s="419">
        <f t="shared" si="646"/>
        <v>2.1519543258673691E-4</v>
      </c>
      <c r="DC145" s="419">
        <f t="shared" ref="DC145:DE145" si="647">DC101/DC$11</f>
        <v>3.636933724808038E-4</v>
      </c>
      <c r="DD145" s="590">
        <f>DD101/DD$11</f>
        <v>4.4751086812108292E-4</v>
      </c>
      <c r="DE145" s="419">
        <f t="shared" si="647"/>
        <v>3.9787798408488064E-3</v>
      </c>
      <c r="DF145" s="419">
        <f t="shared" ref="DF145:DG145" si="648">DF101/DF$11</f>
        <v>5.9031877213695393E-4</v>
      </c>
      <c r="DG145" s="419">
        <f t="shared" si="648"/>
        <v>0</v>
      </c>
      <c r="DH145" s="419">
        <f t="shared" ref="DH145:DJ145" si="649">DH101/DH$11</f>
        <v>0</v>
      </c>
      <c r="DI145" s="590">
        <f>DI101/DI$11</f>
        <v>0</v>
      </c>
      <c r="DJ145" s="419">
        <f t="shared" si="649"/>
        <v>0</v>
      </c>
      <c r="DK145" s="419">
        <f t="shared" ref="DK145:DL145" si="650">DK101/DK$11</f>
        <v>0</v>
      </c>
      <c r="DL145" s="419">
        <f t="shared" si="650"/>
        <v>0</v>
      </c>
      <c r="DM145" s="420">
        <v>0</v>
      </c>
      <c r="DN145" s="590">
        <f>DN101/DN$11</f>
        <v>0</v>
      </c>
      <c r="DO145" s="420">
        <v>0</v>
      </c>
      <c r="DP145" s="420">
        <v>0</v>
      </c>
      <c r="DQ145" s="420">
        <v>0</v>
      </c>
      <c r="DR145" s="420">
        <v>0</v>
      </c>
      <c r="DS145" s="590">
        <f>DS101/DS$11</f>
        <v>0</v>
      </c>
      <c r="DT145" s="420">
        <v>0</v>
      </c>
      <c r="DU145" s="420">
        <v>0</v>
      </c>
      <c r="DV145" s="420">
        <v>0</v>
      </c>
      <c r="DW145" s="420">
        <v>0</v>
      </c>
      <c r="DX145" s="590">
        <f>DX101/DX$11</f>
        <v>0</v>
      </c>
      <c r="DY145" s="420">
        <v>0</v>
      </c>
      <c r="DZ145" s="420">
        <v>0</v>
      </c>
      <c r="EA145" s="420">
        <v>0</v>
      </c>
      <c r="EB145" s="420">
        <v>0</v>
      </c>
      <c r="EC145" s="590">
        <f>EC101/EC$11</f>
        <v>0</v>
      </c>
      <c r="ED145" s="419"/>
    </row>
    <row r="146" spans="1:134">
      <c r="A146" s="940"/>
      <c r="B146" s="940"/>
      <c r="C146" s="441"/>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32"/>
      <c r="AA146" s="432"/>
      <c r="AB146" s="432"/>
      <c r="AC146" s="432"/>
      <c r="AD146" s="432"/>
      <c r="AE146" s="432"/>
      <c r="AF146" s="432"/>
      <c r="AG146" s="432"/>
      <c r="AH146" s="432"/>
      <c r="AI146" s="432"/>
      <c r="AJ146" s="432"/>
      <c r="AK146" s="432"/>
      <c r="AL146" s="432"/>
      <c r="AM146" s="432"/>
      <c r="AN146" s="432"/>
      <c r="AO146" s="432"/>
      <c r="AP146" s="432"/>
      <c r="AQ146" s="432"/>
      <c r="AR146" s="432"/>
      <c r="AS146" s="432"/>
      <c r="AT146" s="432"/>
      <c r="AU146" s="432"/>
      <c r="AV146" s="432"/>
      <c r="AW146" s="432"/>
      <c r="AX146" s="432"/>
      <c r="AY146" s="432"/>
      <c r="AZ146" s="432"/>
      <c r="BA146" s="432"/>
      <c r="BB146" s="432"/>
      <c r="BC146" s="432"/>
      <c r="BD146" s="432"/>
      <c r="BE146" s="432"/>
      <c r="BF146" s="432"/>
      <c r="BG146" s="432"/>
      <c r="BH146" s="432"/>
      <c r="BI146" s="432"/>
      <c r="BJ146" s="432"/>
      <c r="BK146" s="432"/>
      <c r="BL146" s="432"/>
      <c r="BM146" s="432"/>
      <c r="BN146" s="432"/>
      <c r="BO146" s="432"/>
      <c r="BP146" s="432"/>
      <c r="BQ146" s="442"/>
      <c r="BR146" s="442"/>
      <c r="BS146" s="442"/>
      <c r="BT146" s="442"/>
      <c r="BU146" s="443"/>
      <c r="BV146" s="444"/>
      <c r="BW146" s="444"/>
      <c r="BX146" s="444"/>
      <c r="BY146" s="444"/>
      <c r="BZ146" s="443"/>
      <c r="CA146" s="442"/>
      <c r="CB146" s="442"/>
      <c r="CC146" s="442"/>
      <c r="CD146" s="442"/>
      <c r="CE146" s="443"/>
      <c r="CF146" s="442"/>
      <c r="CG146" s="442"/>
      <c r="CH146" s="442"/>
      <c r="CI146" s="442"/>
      <c r="CJ146" s="443"/>
      <c r="CK146" s="442"/>
      <c r="CL146" s="442"/>
      <c r="CM146" s="442"/>
      <c r="CN146" s="442"/>
      <c r="CO146" s="443"/>
      <c r="CP146" s="442"/>
      <c r="CQ146" s="442"/>
      <c r="CR146" s="442"/>
      <c r="CS146" s="442"/>
      <c r="CT146" s="443"/>
      <c r="CU146" s="442"/>
      <c r="CV146" s="442"/>
      <c r="CW146" s="442"/>
      <c r="CX146" s="442"/>
      <c r="CY146" s="443"/>
      <c r="CZ146" s="442"/>
      <c r="DA146" s="442"/>
      <c r="DB146" s="442"/>
      <c r="DC146" s="442"/>
      <c r="DD146" s="443"/>
      <c r="DE146" s="442"/>
      <c r="DF146" s="442"/>
      <c r="DG146" s="442"/>
      <c r="DH146" s="442"/>
      <c r="DI146" s="443"/>
      <c r="DJ146" s="442"/>
      <c r="DK146" s="442"/>
      <c r="DL146" s="442"/>
      <c r="DM146" s="442"/>
      <c r="DN146" s="443"/>
      <c r="DO146" s="442"/>
      <c r="DP146" s="442"/>
      <c r="DQ146" s="442"/>
      <c r="DR146" s="442"/>
      <c r="DS146" s="443"/>
      <c r="DT146" s="442"/>
      <c r="DU146" s="442"/>
      <c r="DV146" s="442"/>
      <c r="DW146" s="442"/>
      <c r="DX146" s="443"/>
      <c r="DY146" s="442"/>
      <c r="DZ146" s="442"/>
      <c r="EA146" s="442"/>
      <c r="EB146" s="442"/>
      <c r="EC146" s="443"/>
      <c r="ED146" s="134"/>
    </row>
    <row r="147" spans="1:134" ht="12" customHeight="1">
      <c r="A147" s="940"/>
      <c r="B147" s="940"/>
      <c r="C147" s="123" t="s">
        <v>84</v>
      </c>
      <c r="D147" s="427"/>
      <c r="E147" s="427"/>
      <c r="F147" s="427"/>
      <c r="G147" s="427"/>
      <c r="H147" s="427"/>
      <c r="I147" s="428"/>
      <c r="J147" s="428"/>
      <c r="K147" s="428"/>
      <c r="L147" s="428"/>
      <c r="M147" s="427"/>
      <c r="N147" s="428"/>
      <c r="O147" s="428"/>
      <c r="P147" s="428"/>
      <c r="Q147" s="428"/>
      <c r="R147" s="427"/>
      <c r="S147" s="428"/>
      <c r="T147" s="428"/>
      <c r="U147" s="428"/>
      <c r="V147" s="428"/>
      <c r="W147" s="427"/>
      <c r="X147" s="428"/>
      <c r="Y147" s="428"/>
      <c r="Z147" s="428"/>
      <c r="AA147" s="428"/>
      <c r="AB147" s="427"/>
      <c r="AC147" s="428"/>
      <c r="AD147" s="428"/>
      <c r="AE147" s="428"/>
      <c r="AF147" s="428"/>
      <c r="AG147" s="427"/>
      <c r="AH147" s="428"/>
      <c r="AI147" s="428"/>
      <c r="AJ147" s="428"/>
      <c r="AK147" s="428"/>
      <c r="AL147" s="427"/>
      <c r="AM147" s="428"/>
      <c r="AN147" s="428"/>
      <c r="AO147" s="428"/>
      <c r="AP147" s="428"/>
      <c r="AQ147" s="427"/>
      <c r="AR147" s="428"/>
      <c r="AS147" s="428"/>
      <c r="AT147" s="428"/>
      <c r="AU147" s="428"/>
      <c r="AV147" s="427"/>
      <c r="AW147" s="428"/>
      <c r="AX147" s="428"/>
      <c r="AY147" s="428"/>
      <c r="AZ147" s="428"/>
      <c r="BA147" s="427"/>
      <c r="BB147" s="428"/>
      <c r="BC147" s="428"/>
      <c r="BD147" s="428"/>
      <c r="BE147" s="428"/>
      <c r="BF147" s="427"/>
      <c r="BG147" s="428"/>
      <c r="BH147" s="428"/>
      <c r="BI147" s="428"/>
      <c r="BJ147" s="428"/>
      <c r="BK147" s="427"/>
      <c r="BL147" s="428"/>
      <c r="BM147" s="428"/>
      <c r="BN147" s="428"/>
      <c r="BO147" s="428"/>
      <c r="BP147" s="427"/>
      <c r="BQ147" s="429">
        <f>BP147</f>
        <v>0</v>
      </c>
      <c r="BR147" s="429">
        <f>BQ147</f>
        <v>0</v>
      </c>
      <c r="BS147" s="429">
        <f>BR147</f>
        <v>0</v>
      </c>
      <c r="BT147" s="429">
        <f>BS147</f>
        <v>0</v>
      </c>
      <c r="BU147" s="430">
        <f>SUM(BQ147:BT147)</f>
        <v>0</v>
      </c>
      <c r="BV147" s="429">
        <f>BU147</f>
        <v>0</v>
      </c>
      <c r="BW147" s="429">
        <f>BV147</f>
        <v>0</v>
      </c>
      <c r="BX147" s="429">
        <f>BW147</f>
        <v>0</v>
      </c>
      <c r="BY147" s="429">
        <f>BX147</f>
        <v>0</v>
      </c>
      <c r="BZ147" s="430">
        <f>SUM(BV147:BY147)</f>
        <v>0</v>
      </c>
      <c r="CA147" s="429">
        <f>BZ147</f>
        <v>0</v>
      </c>
      <c r="CB147" s="429">
        <f>CA147</f>
        <v>0</v>
      </c>
      <c r="CC147" s="429">
        <f>CB147</f>
        <v>0</v>
      </c>
      <c r="CD147" s="429">
        <f>CC147</f>
        <v>0</v>
      </c>
      <c r="CE147" s="430">
        <f>SUM(CA147:CD147)</f>
        <v>0</v>
      </c>
      <c r="CF147" s="429">
        <f>CE147</f>
        <v>0</v>
      </c>
      <c r="CG147" s="429">
        <f>CF147</f>
        <v>0</v>
      </c>
      <c r="CH147" s="429">
        <f>CG147</f>
        <v>0</v>
      </c>
      <c r="CI147" s="429">
        <f>CH147</f>
        <v>0</v>
      </c>
      <c r="CJ147" s="430">
        <f>SUM(CF147:CI147)</f>
        <v>0</v>
      </c>
      <c r="CK147" s="429">
        <f>CJ147</f>
        <v>0</v>
      </c>
      <c r="CL147" s="429">
        <f>CK147</f>
        <v>0</v>
      </c>
      <c r="CM147" s="429">
        <f>CL147</f>
        <v>0</v>
      </c>
      <c r="CN147" s="429">
        <f>CM147</f>
        <v>0</v>
      </c>
      <c r="CO147" s="430">
        <f>SUM(CK147:CN147)</f>
        <v>0</v>
      </c>
      <c r="CP147" s="429">
        <f>CO147</f>
        <v>0</v>
      </c>
      <c r="CQ147" s="429">
        <f>CP147</f>
        <v>0</v>
      </c>
      <c r="CR147" s="429">
        <f>CQ147</f>
        <v>0</v>
      </c>
      <c r="CS147" s="429">
        <f>CR147</f>
        <v>0</v>
      </c>
      <c r="CT147" s="430">
        <f>SUM(CP147:CS147)</f>
        <v>0</v>
      </c>
      <c r="CU147" s="429">
        <f>CT147</f>
        <v>0</v>
      </c>
      <c r="CV147" s="429">
        <f>CU147</f>
        <v>0</v>
      </c>
      <c r="CW147" s="429">
        <f>CV147</f>
        <v>0</v>
      </c>
      <c r="CX147" s="431">
        <f>CW147</f>
        <v>0</v>
      </c>
      <c r="CY147" s="430">
        <f>SUM(CU147:CX147)</f>
        <v>0</v>
      </c>
      <c r="CZ147" s="429">
        <f>CY147</f>
        <v>0</v>
      </c>
      <c r="DA147" s="429">
        <f>CZ147</f>
        <v>0</v>
      </c>
      <c r="DB147" s="429">
        <f>DA147</f>
        <v>0</v>
      </c>
      <c r="DC147" s="429">
        <f>DB147</f>
        <v>0</v>
      </c>
      <c r="DD147" s="430">
        <f>SUM(CZ147:DC147)</f>
        <v>0</v>
      </c>
      <c r="DE147" s="429">
        <f>DD147</f>
        <v>0</v>
      </c>
      <c r="DF147" s="429">
        <f>DE147</f>
        <v>0</v>
      </c>
      <c r="DG147" s="429">
        <f>DF147</f>
        <v>0</v>
      </c>
      <c r="DH147" s="429">
        <f>DG147</f>
        <v>0</v>
      </c>
      <c r="DI147" s="430">
        <f>SUM(DE147:DH147)</f>
        <v>0</v>
      </c>
      <c r="DJ147" s="429">
        <f>DI147</f>
        <v>0</v>
      </c>
      <c r="DK147" s="429">
        <f>DJ147</f>
        <v>0</v>
      </c>
      <c r="DL147" s="429">
        <f>DK147</f>
        <v>0</v>
      </c>
      <c r="DM147" s="429">
        <f>DL147</f>
        <v>0</v>
      </c>
      <c r="DN147" s="430">
        <f>SUM(DJ147:DM147)</f>
        <v>0</v>
      </c>
      <c r="DO147" s="429">
        <f>DN147</f>
        <v>0</v>
      </c>
      <c r="DP147" s="429">
        <f>DO147</f>
        <v>0</v>
      </c>
      <c r="DQ147" s="429">
        <f>DP147</f>
        <v>0</v>
      </c>
      <c r="DR147" s="429">
        <f>DQ147</f>
        <v>0</v>
      </c>
      <c r="DS147" s="430">
        <f>SUM(DO147:DR147)</f>
        <v>0</v>
      </c>
      <c r="DT147" s="429">
        <f>DS147</f>
        <v>0</v>
      </c>
      <c r="DU147" s="429">
        <f>DT147</f>
        <v>0</v>
      </c>
      <c r="DV147" s="429">
        <f>DU147</f>
        <v>0</v>
      </c>
      <c r="DW147" s="429">
        <f>DV147</f>
        <v>0</v>
      </c>
      <c r="DX147" s="430">
        <f>SUM(DT147:DW147)</f>
        <v>0</v>
      </c>
      <c r="DY147" s="429">
        <f>DX147</f>
        <v>0</v>
      </c>
      <c r="DZ147" s="429">
        <f>DY147</f>
        <v>0</v>
      </c>
      <c r="EA147" s="429">
        <f>DZ147</f>
        <v>0</v>
      </c>
      <c r="EB147" s="429">
        <f>EA147</f>
        <v>0</v>
      </c>
      <c r="EC147" s="430">
        <f>SUM(DY147:EB147)</f>
        <v>0</v>
      </c>
      <c r="ED147" s="1176"/>
    </row>
  </sheetData>
  <phoneticPr fontId="0" type="noConversion"/>
  <pageMargins left="0.15" right="0.15" top="0.3" bottom="0.3" header="0.25" footer="0.25"/>
  <pageSetup scale="65" pageOrder="overThenDown" orientation="portrait" verticalDpi="598" r:id="rId1"/>
  <headerFooter alignWithMargins="0">
    <oddFooter>&amp;R&amp;"Book Antiqua,Regular"&amp;8Daniel Salmon
BMO Capital Markets
 (212) 885-4029</oddFooter>
  </headerFooter>
  <ignoredErrors>
    <ignoredError sqref="CT84:CT87 CT57 CO63 CT60:CT61 CO60 CT77 CT48 CT55 CT45 CZ48 CT76 CT79 CW48 CW45 CO47 CO61 CO57 CO65 CO45 CO48 CT47 CW47" 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9" tint="0.79998168889431442"/>
    <pageSetUpPr fitToPage="1"/>
  </sheetPr>
  <dimension ref="A1:IX123"/>
  <sheetViews>
    <sheetView showGridLines="0" workbookViewId="0">
      <pane xSplit="3" ySplit="5" topLeftCell="BS6" activePane="bottomRight" state="frozen"/>
      <selection pane="topRight" activeCell="D1" sqref="D1"/>
      <selection pane="bottomLeft" activeCell="A6" sqref="A6"/>
      <selection pane="bottomRight" activeCell="C2" sqref="C2"/>
    </sheetView>
  </sheetViews>
  <sheetFormatPr defaultColWidth="8.85546875" defaultRowHeight="12.75" outlineLevelCol="3"/>
  <cols>
    <col min="1" max="1" width="10.7109375" style="139" hidden="1" customWidth="1" outlineLevel="1"/>
    <col min="2" max="2" width="1.7109375" style="139" customWidth="1" collapsed="1"/>
    <col min="3" max="3" width="44.140625" style="139" customWidth="1"/>
    <col min="4" max="64" width="9.140625" style="446" hidden="1" customWidth="1" outlineLevel="3"/>
    <col min="65" max="67" width="6.7109375" style="446" hidden="1" customWidth="1" outlineLevel="3"/>
    <col min="68" max="68" width="9.140625" style="446" hidden="1" customWidth="1" outlineLevel="3"/>
    <col min="69" max="69" width="6.7109375" style="446" hidden="1" customWidth="1" outlineLevel="3" collapsed="1"/>
    <col min="70" max="71" width="6.7109375" style="446" hidden="1" customWidth="1" outlineLevel="3"/>
    <col min="72" max="72" width="7.28515625" style="446" hidden="1" customWidth="1" outlineLevel="3"/>
    <col min="73" max="73" width="9.140625" style="446" hidden="1" customWidth="1" outlineLevel="2"/>
    <col min="74" max="74" width="9.140625" style="446" hidden="1" customWidth="1" outlineLevel="3" collapsed="1"/>
    <col min="75" max="77" width="9.140625" style="446" hidden="1" customWidth="1" outlineLevel="3"/>
    <col min="78" max="78" width="9.140625" style="446" hidden="1" customWidth="1" outlineLevel="2"/>
    <col min="79" max="82" width="7.28515625" style="446" hidden="1" customWidth="1" outlineLevel="3"/>
    <col min="83" max="83" width="9.140625" style="446" hidden="1" customWidth="1" outlineLevel="2"/>
    <col min="84" max="87" width="7.28515625" style="446" hidden="1" customWidth="1" outlineLevel="3"/>
    <col min="88" max="88" width="9.140625" style="446" hidden="1" customWidth="1" outlineLevel="2"/>
    <col min="89" max="91" width="7.7109375" style="446" hidden="1" customWidth="1" outlineLevel="3"/>
    <col min="92" max="92" width="8.140625" style="446" hidden="1" customWidth="1" outlineLevel="3"/>
    <col min="93" max="93" width="9.140625" style="446" hidden="1" customWidth="1" outlineLevel="2"/>
    <col min="94" max="94" width="7.7109375" style="446" hidden="1" customWidth="1" outlineLevel="3"/>
    <col min="95" max="96" width="8.140625" style="446" hidden="1" customWidth="1" outlineLevel="3"/>
    <col min="97" max="97" width="7.7109375" style="446" hidden="1" customWidth="1" outlineLevel="3"/>
    <col min="98" max="98" width="9.28515625" style="446" hidden="1" customWidth="1" outlineLevel="2"/>
    <col min="99" max="102" width="7.7109375" style="446" hidden="1" customWidth="1" outlineLevel="3"/>
    <col min="103" max="103" width="9.42578125" style="446" customWidth="1" collapsed="1"/>
    <col min="104" max="106" width="7.85546875" style="446" hidden="1" customWidth="1" outlineLevel="2"/>
    <col min="107" max="107" width="8.7109375" style="446" hidden="1" customWidth="1" outlineLevel="2"/>
    <col min="108" max="108" width="9.42578125" style="446" customWidth="1" collapsed="1"/>
    <col min="109" max="110" width="10.5703125" style="446" customWidth="1" outlineLevel="2"/>
    <col min="111" max="112" width="10.42578125" style="446" customWidth="1" outlineLevel="2"/>
    <col min="113" max="113" width="9.28515625" style="446" bestFit="1" customWidth="1"/>
    <col min="114" max="115" width="9.85546875" style="446" customWidth="1" outlineLevel="1"/>
    <col min="116" max="116" width="9.42578125" style="446" bestFit="1" customWidth="1" outlineLevel="1"/>
    <col min="117" max="117" width="10" style="446" customWidth="1" outlineLevel="1"/>
    <col min="118" max="118" width="9.28515625" style="446" bestFit="1" customWidth="1"/>
    <col min="119" max="121" width="9.85546875" style="446" customWidth="1" outlineLevel="1"/>
    <col min="122" max="122" width="10" style="446" customWidth="1" outlineLevel="1"/>
    <col min="123" max="123" width="9.28515625" style="446" bestFit="1" customWidth="1"/>
    <col min="124" max="127" width="9.28515625" style="446" hidden="1" customWidth="1" outlineLevel="2"/>
    <col min="128" max="128" width="9.28515625" style="446" customWidth="1" collapsed="1"/>
    <col min="129" max="132" width="9.28515625" style="446" hidden="1" customWidth="1" outlineLevel="2"/>
    <col min="133" max="133" width="9.28515625" style="446" customWidth="1" collapsed="1"/>
    <col min="134" max="16384" width="8.85546875" style="446"/>
  </cols>
  <sheetData>
    <row r="1" spans="1:258" s="445" customFormat="1" ht="12.75" customHeight="1">
      <c r="A1" s="139"/>
      <c r="B1" s="139"/>
      <c r="C1" s="17"/>
      <c r="W1" s="93"/>
      <c r="CS1" s="445" t="s">
        <v>209</v>
      </c>
      <c r="DA1" s="446"/>
      <c r="DB1" s="446"/>
      <c r="DC1" s="446"/>
      <c r="DD1" s="446"/>
      <c r="DE1" s="446"/>
      <c r="DF1" s="446"/>
      <c r="DG1" s="446"/>
      <c r="DH1" s="446"/>
      <c r="DI1" s="446"/>
      <c r="DJ1" s="446"/>
      <c r="DK1" s="446"/>
      <c r="DL1" s="446"/>
      <c r="DM1" s="446"/>
      <c r="DN1" s="446"/>
      <c r="DO1" s="446"/>
      <c r="DP1" s="446"/>
      <c r="DQ1" s="446"/>
      <c r="DR1" s="446"/>
      <c r="DS1" s="446"/>
      <c r="DT1" s="446"/>
      <c r="DU1" s="446"/>
      <c r="DV1" s="446"/>
      <c r="DW1" s="446"/>
      <c r="DX1" s="446"/>
      <c r="DY1" s="446"/>
      <c r="DZ1" s="446"/>
      <c r="EA1" s="446"/>
      <c r="EB1" s="446"/>
      <c r="EC1" s="446"/>
      <c r="ED1" s="446"/>
      <c r="EE1" s="446"/>
      <c r="EF1" s="446"/>
      <c r="EG1" s="446"/>
      <c r="EH1" s="446"/>
      <c r="EI1" s="446"/>
      <c r="EJ1" s="446"/>
      <c r="EK1" s="446"/>
      <c r="EL1" s="446"/>
      <c r="EM1" s="446"/>
      <c r="EN1" s="446"/>
      <c r="EO1" s="446"/>
      <c r="EP1" s="446"/>
      <c r="EQ1" s="446"/>
      <c r="ER1" s="446"/>
      <c r="ES1" s="446"/>
      <c r="ET1" s="446"/>
      <c r="EU1" s="446"/>
      <c r="EV1" s="446"/>
      <c r="EW1" s="446"/>
      <c r="EX1" s="446"/>
      <c r="EY1" s="446"/>
      <c r="EZ1" s="446"/>
      <c r="FA1" s="446"/>
      <c r="FB1" s="446"/>
      <c r="FC1" s="446"/>
      <c r="FD1" s="446"/>
      <c r="FE1" s="446"/>
      <c r="FF1" s="446"/>
      <c r="FG1" s="446"/>
      <c r="FH1" s="446"/>
      <c r="FI1" s="446"/>
      <c r="FJ1" s="446"/>
      <c r="FK1" s="446"/>
      <c r="FL1" s="446"/>
      <c r="FM1" s="446"/>
      <c r="FN1" s="446"/>
      <c r="FO1" s="446"/>
      <c r="FP1" s="446"/>
      <c r="FQ1" s="446"/>
      <c r="FR1" s="446"/>
      <c r="FS1" s="446"/>
      <c r="FT1" s="446"/>
      <c r="FU1" s="446"/>
      <c r="FV1" s="446"/>
      <c r="FW1" s="446"/>
      <c r="FX1" s="446"/>
      <c r="FY1" s="446"/>
      <c r="FZ1" s="446"/>
      <c r="GA1" s="446"/>
      <c r="GB1" s="446"/>
      <c r="GC1" s="446"/>
      <c r="GD1" s="446"/>
      <c r="GE1" s="446"/>
      <c r="GF1" s="446"/>
      <c r="GG1" s="446"/>
      <c r="GH1" s="446"/>
      <c r="GI1" s="446"/>
      <c r="GJ1" s="446"/>
      <c r="GK1" s="446"/>
      <c r="GL1" s="446"/>
      <c r="GM1" s="446"/>
      <c r="GN1" s="446"/>
      <c r="GO1" s="446"/>
      <c r="GP1" s="446"/>
      <c r="GQ1" s="446"/>
      <c r="GR1" s="446"/>
      <c r="GS1" s="446"/>
      <c r="GT1" s="446"/>
      <c r="GU1" s="446"/>
      <c r="GV1" s="446"/>
      <c r="GW1" s="446"/>
      <c r="GX1" s="446"/>
      <c r="GY1" s="446"/>
      <c r="GZ1" s="446"/>
      <c r="HA1" s="446"/>
      <c r="HB1" s="446"/>
      <c r="HC1" s="446"/>
      <c r="HD1" s="446"/>
      <c r="HE1" s="446"/>
      <c r="HF1" s="446"/>
      <c r="HG1" s="446"/>
      <c r="HH1" s="446"/>
      <c r="HI1" s="446"/>
      <c r="HJ1" s="446"/>
      <c r="HK1" s="446"/>
      <c r="HL1" s="446"/>
      <c r="HM1" s="446"/>
      <c r="HN1" s="446"/>
      <c r="HO1" s="446"/>
      <c r="HP1" s="446"/>
      <c r="HQ1" s="446"/>
      <c r="HR1" s="446"/>
      <c r="HS1" s="446"/>
      <c r="HT1" s="446"/>
      <c r="HU1" s="446"/>
      <c r="HV1" s="446"/>
      <c r="HW1" s="446"/>
      <c r="HX1" s="446"/>
      <c r="HY1" s="446"/>
      <c r="HZ1" s="446"/>
      <c r="IA1" s="446"/>
      <c r="IB1" s="446"/>
      <c r="IC1" s="446"/>
      <c r="ID1" s="446"/>
      <c r="IE1" s="446"/>
      <c r="IF1" s="446"/>
      <c r="IG1" s="446"/>
      <c r="IH1" s="446"/>
      <c r="II1" s="446"/>
      <c r="IJ1" s="446"/>
      <c r="IK1" s="446"/>
      <c r="IL1" s="446"/>
      <c r="IM1" s="446"/>
      <c r="IN1" s="446"/>
      <c r="IO1" s="446"/>
      <c r="IP1" s="446"/>
      <c r="IQ1" s="446"/>
      <c r="IR1" s="446"/>
      <c r="IS1" s="446"/>
      <c r="IT1" s="446"/>
      <c r="IU1" s="446"/>
      <c r="IV1" s="446"/>
      <c r="IW1" s="446"/>
      <c r="IX1" s="446"/>
    </row>
    <row r="2" spans="1:258" s="93" customFormat="1" ht="12.75" customHeight="1">
      <c r="A2" s="139"/>
      <c r="B2" s="139"/>
      <c r="C2" s="18" t="s">
        <v>260</v>
      </c>
      <c r="CP2" s="177"/>
      <c r="DA2" s="446"/>
      <c r="DB2" s="446"/>
      <c r="DC2" s="446"/>
      <c r="DD2" s="446"/>
      <c r="DE2" s="446"/>
      <c r="DF2" s="446"/>
      <c r="DG2" s="446"/>
      <c r="DH2" s="446"/>
      <c r="DI2" s="446"/>
      <c r="DJ2" s="447"/>
      <c r="DK2" s="446"/>
      <c r="DL2" s="446"/>
      <c r="DM2" s="446"/>
      <c r="DN2" s="446"/>
      <c r="DO2" s="447"/>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6"/>
      <c r="IA2" s="446"/>
      <c r="IB2" s="446"/>
      <c r="IC2" s="446"/>
      <c r="ID2" s="446"/>
      <c r="IE2" s="446"/>
      <c r="IF2" s="446"/>
      <c r="IG2" s="446"/>
      <c r="IH2" s="446"/>
      <c r="II2" s="446"/>
      <c r="IJ2" s="446"/>
      <c r="IK2" s="446"/>
      <c r="IL2" s="446"/>
      <c r="IM2" s="446"/>
      <c r="IN2" s="446"/>
      <c r="IO2" s="446"/>
      <c r="IP2" s="446"/>
      <c r="IQ2" s="446"/>
      <c r="IR2" s="446"/>
      <c r="IS2" s="446"/>
      <c r="IT2" s="446"/>
      <c r="IU2" s="446"/>
      <c r="IV2" s="446"/>
      <c r="IW2" s="446"/>
      <c r="IX2" s="446"/>
    </row>
    <row r="3" spans="1:258" s="93" customFormat="1">
      <c r="A3" s="139"/>
      <c r="B3" s="139"/>
      <c r="C3" s="1132" t="s">
        <v>460</v>
      </c>
      <c r="DM3" s="179"/>
      <c r="ED3" s="446"/>
      <c r="EE3" s="446"/>
      <c r="EF3" s="446"/>
      <c r="EG3" s="446"/>
      <c r="EH3" s="446"/>
      <c r="EI3" s="446"/>
      <c r="EJ3" s="446"/>
      <c r="EK3" s="446"/>
      <c r="EL3" s="446"/>
      <c r="EM3" s="446"/>
      <c r="EN3" s="446"/>
      <c r="EO3" s="446"/>
      <c r="EP3" s="446"/>
      <c r="EQ3" s="446"/>
      <c r="ER3" s="446"/>
      <c r="ES3" s="446"/>
      <c r="ET3" s="446"/>
      <c r="EU3" s="446"/>
      <c r="EV3" s="446"/>
      <c r="EW3" s="446"/>
      <c r="EX3" s="446"/>
      <c r="EY3" s="446"/>
      <c r="EZ3" s="446"/>
      <c r="FA3" s="446"/>
      <c r="FB3" s="446"/>
      <c r="FC3" s="446"/>
      <c r="FD3" s="446"/>
      <c r="FE3" s="446"/>
      <c r="FF3" s="446"/>
      <c r="FG3" s="446"/>
      <c r="FH3" s="446"/>
      <c r="FI3" s="446"/>
      <c r="FJ3" s="446"/>
      <c r="FK3" s="446"/>
      <c r="FL3" s="446"/>
      <c r="FM3" s="446"/>
      <c r="FN3" s="446"/>
      <c r="FO3" s="446"/>
      <c r="FP3" s="446"/>
      <c r="FQ3" s="446"/>
      <c r="FR3" s="446"/>
      <c r="FS3" s="446"/>
      <c r="FT3" s="446"/>
      <c r="FU3" s="446"/>
      <c r="FV3" s="446"/>
      <c r="FW3" s="446"/>
      <c r="FX3" s="446"/>
      <c r="FY3" s="446"/>
      <c r="FZ3" s="446"/>
      <c r="GA3" s="446"/>
      <c r="GB3" s="446"/>
      <c r="GC3" s="446"/>
      <c r="GD3" s="446"/>
      <c r="GE3" s="446"/>
      <c r="GF3" s="446"/>
      <c r="GG3" s="446"/>
      <c r="GH3" s="446"/>
      <c r="GI3" s="446"/>
      <c r="GJ3" s="446"/>
      <c r="GK3" s="446"/>
      <c r="GL3" s="446"/>
      <c r="GM3" s="446"/>
      <c r="GN3" s="446"/>
      <c r="GO3" s="446"/>
      <c r="GP3" s="446"/>
      <c r="GQ3" s="446"/>
      <c r="GR3" s="446"/>
      <c r="GS3" s="446"/>
      <c r="GT3" s="446"/>
      <c r="GU3" s="446"/>
      <c r="GV3" s="446"/>
      <c r="GW3" s="446"/>
      <c r="GX3" s="446"/>
      <c r="GY3" s="446"/>
      <c r="GZ3" s="446"/>
      <c r="HA3" s="446"/>
      <c r="HB3" s="446"/>
      <c r="HC3" s="446"/>
      <c r="HD3" s="446"/>
      <c r="HE3" s="446"/>
      <c r="HF3" s="446"/>
      <c r="HG3" s="446"/>
      <c r="HH3" s="446"/>
      <c r="HI3" s="446"/>
      <c r="HJ3" s="446"/>
      <c r="HK3" s="446"/>
      <c r="HL3" s="446"/>
      <c r="HM3" s="446"/>
      <c r="HN3" s="446"/>
      <c r="HO3" s="446"/>
      <c r="HP3" s="446"/>
      <c r="HQ3" s="446"/>
      <c r="HR3" s="446"/>
      <c r="HS3" s="446"/>
      <c r="HT3" s="446"/>
      <c r="HU3" s="446"/>
      <c r="HV3" s="446"/>
      <c r="HW3" s="446"/>
      <c r="HX3" s="446"/>
      <c r="HY3" s="446"/>
      <c r="HZ3" s="446"/>
      <c r="IA3" s="446"/>
      <c r="IB3" s="446"/>
      <c r="IC3" s="446"/>
      <c r="ID3" s="446"/>
      <c r="IE3" s="446"/>
      <c r="IF3" s="446"/>
      <c r="IG3" s="446"/>
      <c r="IH3" s="446"/>
      <c r="II3" s="446"/>
      <c r="IJ3" s="446"/>
      <c r="IK3" s="446"/>
      <c r="IL3" s="446"/>
      <c r="IM3" s="446"/>
      <c r="IN3" s="446"/>
      <c r="IO3" s="446"/>
      <c r="IP3" s="446"/>
      <c r="IQ3" s="446"/>
      <c r="IR3" s="446"/>
      <c r="IS3" s="446"/>
      <c r="IT3" s="446"/>
      <c r="IU3" s="446"/>
      <c r="IV3" s="446"/>
      <c r="IW3" s="446"/>
      <c r="IX3" s="446"/>
    </row>
    <row r="4" spans="1:258" s="93" customFormat="1" ht="12" customHeight="1">
      <c r="A4" s="139"/>
      <c r="B4" s="139"/>
      <c r="C4" s="566"/>
      <c r="D4" s="449" t="str">
        <f>Income!D4</f>
        <v>1998A</v>
      </c>
      <c r="E4" s="449" t="str">
        <f>Income!E4</f>
        <v>1999A</v>
      </c>
      <c r="F4" s="449" t="str">
        <f>Income!F4</f>
        <v>2000A</v>
      </c>
      <c r="G4" s="449" t="str">
        <f>Income!G4</f>
        <v>2001A</v>
      </c>
      <c r="H4" s="449" t="str">
        <f>Income!H4</f>
        <v>2002A</v>
      </c>
      <c r="I4" s="105" t="str">
        <f>Income!I4</f>
        <v>1Q03A</v>
      </c>
      <c r="J4" s="105" t="str">
        <f>Income!J4</f>
        <v>2Q03A</v>
      </c>
      <c r="K4" s="105" t="str">
        <f>Income!K4</f>
        <v>3Q03A</v>
      </c>
      <c r="L4" s="105" t="str">
        <f>Income!L4</f>
        <v>4Q03A</v>
      </c>
      <c r="M4" s="449" t="str">
        <f>Income!M4</f>
        <v>2003A</v>
      </c>
      <c r="N4" s="105" t="str">
        <f>Income!N4</f>
        <v>1Q04A</v>
      </c>
      <c r="O4" s="105" t="str">
        <f>Income!O4</f>
        <v>2Q04A</v>
      </c>
      <c r="P4" s="105" t="str">
        <f>Income!P4</f>
        <v>3Q04A</v>
      </c>
      <c r="Q4" s="105" t="str">
        <f>Income!Q4</f>
        <v>4Q04A</v>
      </c>
      <c r="R4" s="449" t="str">
        <f>Income!R4</f>
        <v>2004A</v>
      </c>
      <c r="S4" s="105" t="str">
        <f>Income!S4</f>
        <v>1Q05A</v>
      </c>
      <c r="T4" s="105" t="str">
        <f>Income!T4</f>
        <v>2Q05A</v>
      </c>
      <c r="U4" s="105" t="str">
        <f>Income!U4</f>
        <v>3Q05A</v>
      </c>
      <c r="V4" s="105" t="str">
        <f>Income!V4</f>
        <v>4Q05A</v>
      </c>
      <c r="W4" s="449" t="str">
        <f>Income!W4</f>
        <v>2005A</v>
      </c>
      <c r="X4" s="105" t="str">
        <f>Income!X4</f>
        <v>1Q06A</v>
      </c>
      <c r="Y4" s="105" t="str">
        <f>Income!Y4</f>
        <v>2Q06A</v>
      </c>
      <c r="Z4" s="105" t="str">
        <f>Income!Z4</f>
        <v>3Q06A</v>
      </c>
      <c r="AA4" s="105" t="str">
        <f>Income!AA4</f>
        <v>4Q06A</v>
      </c>
      <c r="AB4" s="449" t="str">
        <f>Income!AB4</f>
        <v>2006A</v>
      </c>
      <c r="AC4" s="105" t="str">
        <f>Income!AC4</f>
        <v>1Q07A</v>
      </c>
      <c r="AD4" s="105" t="str">
        <f>Income!AD4</f>
        <v>2Q07A</v>
      </c>
      <c r="AE4" s="105" t="str">
        <f>Income!AE4</f>
        <v>3Q07A</v>
      </c>
      <c r="AF4" s="105" t="str">
        <f>Income!AF4</f>
        <v>4Q07A</v>
      </c>
      <c r="AG4" s="449" t="str">
        <f>Income!AG4</f>
        <v>2007A</v>
      </c>
      <c r="AH4" s="105" t="str">
        <f>Income!AH4</f>
        <v>1Q08A</v>
      </c>
      <c r="AI4" s="105" t="str">
        <f>Income!AI4</f>
        <v>2Q08A</v>
      </c>
      <c r="AJ4" s="105" t="str">
        <f>Income!AJ4</f>
        <v>3Q08A</v>
      </c>
      <c r="AK4" s="105" t="str">
        <f>Income!AK4</f>
        <v>4Q08A</v>
      </c>
      <c r="AL4" s="449" t="str">
        <f>Income!AL4</f>
        <v>2008A</v>
      </c>
      <c r="AM4" s="105" t="str">
        <f>Income!AM4</f>
        <v>1Q09A</v>
      </c>
      <c r="AN4" s="105" t="str">
        <f>Income!AN4</f>
        <v>2Q09A</v>
      </c>
      <c r="AO4" s="105" t="str">
        <f>Income!AO4</f>
        <v>3Q09A</v>
      </c>
      <c r="AP4" s="105" t="str">
        <f>Income!AP4</f>
        <v>4Q09A</v>
      </c>
      <c r="AQ4" s="449" t="str">
        <f>Income!AQ4</f>
        <v>2009A</v>
      </c>
      <c r="AR4" s="105" t="str">
        <f>Income!AR4</f>
        <v>1Q10A</v>
      </c>
      <c r="AS4" s="105" t="str">
        <f>Income!AS4</f>
        <v>2Q10A</v>
      </c>
      <c r="AT4" s="105" t="str">
        <f>Income!AT4</f>
        <v>3Q10A</v>
      </c>
      <c r="AU4" s="105" t="str">
        <f>Income!AU4</f>
        <v>4Q10A</v>
      </c>
      <c r="AV4" s="449" t="str">
        <f>Income!AV4</f>
        <v>2010A</v>
      </c>
      <c r="AW4" s="105" t="str">
        <f>Income!AW4</f>
        <v>1Q11A</v>
      </c>
      <c r="AX4" s="105" t="str">
        <f>Income!AX4</f>
        <v>2Q11A</v>
      </c>
      <c r="AY4" s="105" t="str">
        <f>Income!AY4</f>
        <v>3Q11A</v>
      </c>
      <c r="AZ4" s="105" t="str">
        <f>Income!AZ4</f>
        <v>4Q11A</v>
      </c>
      <c r="BA4" s="449" t="str">
        <f>Income!BA4</f>
        <v>2011A</v>
      </c>
      <c r="BB4" s="105" t="str">
        <f>Income!BB4</f>
        <v>1Q12A</v>
      </c>
      <c r="BC4" s="105" t="str">
        <f>Income!BC4</f>
        <v>2Q12A</v>
      </c>
      <c r="BD4" s="105" t="str">
        <f>Income!BD4</f>
        <v>3Q12A</v>
      </c>
      <c r="BE4" s="105" t="str">
        <f>Income!BE4</f>
        <v>4Q12A</v>
      </c>
      <c r="BF4" s="449" t="str">
        <f>Income!BF4</f>
        <v>2012A</v>
      </c>
      <c r="BG4" s="105" t="str">
        <f>Income!BG4</f>
        <v>1Q13A</v>
      </c>
      <c r="BH4" s="105" t="str">
        <f>Income!BH4</f>
        <v>2Q13A</v>
      </c>
      <c r="BI4" s="105" t="str">
        <f>Income!BI4</f>
        <v>3Q13A</v>
      </c>
      <c r="BJ4" s="105" t="str">
        <f>Income!BJ4</f>
        <v>4Q13A</v>
      </c>
      <c r="BK4" s="449" t="str">
        <f>Income!BK4</f>
        <v>2013A</v>
      </c>
      <c r="BL4" s="105" t="str">
        <f>Income!BL4</f>
        <v>1Q14A</v>
      </c>
      <c r="BM4" s="105" t="str">
        <f>Income!BM4</f>
        <v>2Q14A</v>
      </c>
      <c r="BN4" s="105" t="str">
        <f>Income!BN4</f>
        <v>3Q14A</v>
      </c>
      <c r="BO4" s="105" t="str">
        <f>Income!BO4</f>
        <v>4Q14A</v>
      </c>
      <c r="BP4" s="449" t="str">
        <f>Income!BP4</f>
        <v>2014A</v>
      </c>
      <c r="BQ4" s="105" t="str">
        <f>Income!BQ4</f>
        <v>1Q15A</v>
      </c>
      <c r="BR4" s="105" t="str">
        <f>Income!BR4</f>
        <v>2Q15A</v>
      </c>
      <c r="BS4" s="105" t="str">
        <f>Income!BS4</f>
        <v>3Q15A</v>
      </c>
      <c r="BT4" s="105" t="str">
        <f>Income!BT4</f>
        <v>4Q15A</v>
      </c>
      <c r="BU4" s="449" t="str">
        <f>Income!BU4</f>
        <v>2015A</v>
      </c>
      <c r="BV4" s="105" t="str">
        <f>Income!BV4</f>
        <v>1Q16A</v>
      </c>
      <c r="BW4" s="105" t="str">
        <f>Income!BW4</f>
        <v>2Q16A</v>
      </c>
      <c r="BX4" s="105" t="str">
        <f>Income!BX4</f>
        <v>3Q16A</v>
      </c>
      <c r="BY4" s="105" t="str">
        <f>Income!BY4</f>
        <v>4Q16A</v>
      </c>
      <c r="BZ4" s="449" t="str">
        <f>Income!BZ4</f>
        <v>2016A</v>
      </c>
      <c r="CA4" s="105" t="str">
        <f>Income!CA4</f>
        <v>1Q17A</v>
      </c>
      <c r="CB4" s="105" t="str">
        <f>Income!CB4</f>
        <v>2Q17A</v>
      </c>
      <c r="CC4" s="105" t="str">
        <f>Income!CC4</f>
        <v>3Q17A</v>
      </c>
      <c r="CD4" s="105" t="str">
        <f>Income!CD4</f>
        <v>4Q17A</v>
      </c>
      <c r="CE4" s="449" t="str">
        <f>Income!CE4</f>
        <v>2017A</v>
      </c>
      <c r="CF4" s="105" t="str">
        <f>Income!CF4</f>
        <v>1Q18A</v>
      </c>
      <c r="CG4" s="105" t="str">
        <f>Income!CG4</f>
        <v>2Q18A</v>
      </c>
      <c r="CH4" s="105" t="str">
        <f>Income!CH4</f>
        <v>3Q18A</v>
      </c>
      <c r="CI4" s="105" t="str">
        <f>Income!CI4</f>
        <v>4Q18A</v>
      </c>
      <c r="CJ4" s="450" t="str">
        <f>Income!CJ4</f>
        <v>2018A</v>
      </c>
      <c r="CK4" s="105" t="str">
        <f>Income!CK4</f>
        <v>1Q19A</v>
      </c>
      <c r="CL4" s="105" t="str">
        <f>Income!CL4</f>
        <v>2Q19A</v>
      </c>
      <c r="CM4" s="105" t="str">
        <f>Income!CM4</f>
        <v>3Q19A</v>
      </c>
      <c r="CN4" s="105" t="str">
        <f>Income!CN4</f>
        <v>4Q19A</v>
      </c>
      <c r="CO4" s="450" t="str">
        <f>Income!CO4</f>
        <v>2019A</v>
      </c>
      <c r="CP4" s="121" t="str">
        <f>Income!CP4</f>
        <v>1Q20A</v>
      </c>
      <c r="CQ4" s="121" t="str">
        <f>Income!CQ4</f>
        <v>2Q20A</v>
      </c>
      <c r="CR4" s="121" t="str">
        <f>Income!CR4</f>
        <v>3Q20A</v>
      </c>
      <c r="CS4" s="121" t="str">
        <f>Income!CS4</f>
        <v>4Q20A</v>
      </c>
      <c r="CT4" s="450" t="str">
        <f>Income!CT4</f>
        <v>2020A</v>
      </c>
      <c r="CU4" s="121" t="str">
        <f>Income!CU4</f>
        <v>1Q21A</v>
      </c>
      <c r="CV4" s="121" t="str">
        <f>Income!CV4</f>
        <v>2Q21A</v>
      </c>
      <c r="CW4" s="121" t="str">
        <f>Income!CW4</f>
        <v>3Q21A</v>
      </c>
      <c r="CX4" s="121" t="str">
        <f>Income!CX4</f>
        <v>4Q21A</v>
      </c>
      <c r="CY4" s="450" t="str">
        <f>Income!CY4</f>
        <v>2021A</v>
      </c>
      <c r="CZ4" s="121" t="str">
        <f>Income!CZ4</f>
        <v>1Q22A</v>
      </c>
      <c r="DA4" s="105" t="str">
        <f>Income!DA4</f>
        <v>2Q22A</v>
      </c>
      <c r="DB4" s="105" t="str">
        <f>Income!DB4</f>
        <v>3Q22A</v>
      </c>
      <c r="DC4" s="105" t="str">
        <f>Income!DC4</f>
        <v>4Q22A</v>
      </c>
      <c r="DD4" s="450" t="str">
        <f>Income!DD4</f>
        <v>2022A</v>
      </c>
      <c r="DE4" s="105" t="str">
        <f>Income!DE4</f>
        <v>1Q23A</v>
      </c>
      <c r="DF4" s="105" t="str">
        <f>Income!DF4</f>
        <v>2Q23A</v>
      </c>
      <c r="DG4" s="105" t="str">
        <f>Income!DG4</f>
        <v>3Q23A</v>
      </c>
      <c r="DH4" s="105" t="str">
        <f>Income!DH4</f>
        <v>4Q23A</v>
      </c>
      <c r="DI4" s="450" t="str">
        <f>Income!DI4</f>
        <v>2023A</v>
      </c>
      <c r="DJ4" s="105" t="str">
        <f>Income!DJ4</f>
        <v>1Q24A</v>
      </c>
      <c r="DK4" s="105" t="str">
        <f>Income!DK4</f>
        <v>2Q24A</v>
      </c>
      <c r="DL4" s="105" t="str">
        <f>Income!DL4</f>
        <v>3Q24A</v>
      </c>
      <c r="DM4" s="105" t="str">
        <f>Income!DM4</f>
        <v>4Q24E</v>
      </c>
      <c r="DN4" s="450" t="str">
        <f>Income!DN4</f>
        <v>2024E</v>
      </c>
      <c r="DO4" s="105" t="str">
        <f>Income!DO4</f>
        <v>1Q25E</v>
      </c>
      <c r="DP4" s="105" t="str">
        <f>Income!DP4</f>
        <v>2Q25E</v>
      </c>
      <c r="DQ4" s="105" t="str">
        <f>Income!DQ4</f>
        <v>3Q25E</v>
      </c>
      <c r="DR4" s="105" t="str">
        <f>Income!DR4</f>
        <v>4Q25E</v>
      </c>
      <c r="DS4" s="450" t="str">
        <f>Income!DS4</f>
        <v>2025E</v>
      </c>
      <c r="DT4" s="105" t="str">
        <f>Income!DT4</f>
        <v>1Q26E</v>
      </c>
      <c r="DU4" s="105" t="str">
        <f>Income!DU4</f>
        <v>2Q26E</v>
      </c>
      <c r="DV4" s="105" t="str">
        <f>Income!DV4</f>
        <v>3Q26E</v>
      </c>
      <c r="DW4" s="105" t="str">
        <f>Income!DW4</f>
        <v>4Q26E</v>
      </c>
      <c r="DX4" s="450" t="str">
        <f>Income!DX4</f>
        <v>2026E</v>
      </c>
      <c r="DY4" s="105" t="str">
        <f>Income!DY4</f>
        <v>1Q27E</v>
      </c>
      <c r="DZ4" s="105" t="str">
        <f>Income!DZ4</f>
        <v>2Q27E</v>
      </c>
      <c r="EA4" s="105" t="str">
        <f>Income!EA4</f>
        <v>3Q27E</v>
      </c>
      <c r="EB4" s="105" t="str">
        <f>Income!EB4</f>
        <v>4Q27E</v>
      </c>
      <c r="EC4" s="450" t="str">
        <f>Income!EC4</f>
        <v>2027E</v>
      </c>
      <c r="ED4" s="446"/>
      <c r="EE4" s="446"/>
      <c r="EF4" s="446"/>
      <c r="EG4" s="446"/>
      <c r="EH4" s="446"/>
      <c r="EI4" s="446"/>
      <c r="EJ4" s="446"/>
      <c r="EK4" s="446"/>
      <c r="EL4" s="446"/>
      <c r="EM4" s="446"/>
      <c r="EN4" s="446"/>
      <c r="EO4" s="446"/>
      <c r="EP4" s="446"/>
      <c r="EQ4" s="446"/>
      <c r="ER4" s="446"/>
      <c r="ES4" s="446"/>
      <c r="ET4" s="446"/>
      <c r="EU4" s="446"/>
      <c r="EV4" s="446"/>
      <c r="EW4" s="446"/>
      <c r="EX4" s="446"/>
      <c r="EY4" s="446"/>
      <c r="EZ4" s="446"/>
      <c r="FA4" s="446"/>
      <c r="FB4" s="446"/>
      <c r="FC4" s="446"/>
      <c r="FD4" s="446"/>
      <c r="FE4" s="446"/>
      <c r="FF4" s="446"/>
      <c r="FG4" s="446"/>
      <c r="FH4" s="446"/>
      <c r="FI4" s="446"/>
      <c r="FJ4" s="446"/>
      <c r="FK4" s="446"/>
      <c r="FL4" s="446"/>
      <c r="FM4" s="446"/>
      <c r="FN4" s="446"/>
      <c r="FO4" s="446"/>
      <c r="FP4" s="446"/>
      <c r="FQ4" s="446"/>
      <c r="FR4" s="446"/>
      <c r="FS4" s="446"/>
      <c r="FT4" s="446"/>
      <c r="FU4" s="446"/>
      <c r="FV4" s="446"/>
      <c r="FW4" s="446"/>
      <c r="FX4" s="446"/>
      <c r="FY4" s="446"/>
      <c r="FZ4" s="446"/>
      <c r="GA4" s="446"/>
      <c r="GB4" s="446"/>
      <c r="GC4" s="446"/>
      <c r="GD4" s="446"/>
      <c r="GE4" s="446"/>
      <c r="GF4" s="446"/>
      <c r="GG4" s="446"/>
      <c r="GH4" s="446"/>
      <c r="GI4" s="446"/>
      <c r="GJ4" s="446"/>
      <c r="GK4" s="446"/>
      <c r="GL4" s="446"/>
      <c r="GM4" s="446"/>
      <c r="GN4" s="446"/>
      <c r="GO4" s="446"/>
      <c r="GP4" s="446"/>
      <c r="GQ4" s="446"/>
      <c r="GR4" s="446"/>
      <c r="GS4" s="446"/>
      <c r="GT4" s="446"/>
      <c r="GU4" s="446"/>
      <c r="GV4" s="446"/>
      <c r="GW4" s="446"/>
      <c r="GX4" s="446"/>
      <c r="GY4" s="446"/>
      <c r="GZ4" s="446"/>
      <c r="HA4" s="446"/>
      <c r="HB4" s="446"/>
      <c r="HC4" s="446"/>
      <c r="HD4" s="446"/>
      <c r="HE4" s="446"/>
      <c r="HF4" s="446"/>
      <c r="HG4" s="446"/>
      <c r="HH4" s="446"/>
      <c r="HI4" s="446"/>
      <c r="HJ4" s="446"/>
      <c r="HK4" s="446"/>
      <c r="HL4" s="446"/>
      <c r="HM4" s="446"/>
      <c r="HN4" s="446"/>
      <c r="HO4" s="446"/>
      <c r="HP4" s="446"/>
      <c r="HQ4" s="446"/>
      <c r="HR4" s="446"/>
      <c r="HS4" s="446"/>
      <c r="HT4" s="446"/>
      <c r="HU4" s="446"/>
      <c r="HV4" s="446"/>
      <c r="HW4" s="446"/>
      <c r="HX4" s="446"/>
      <c r="HY4" s="446"/>
      <c r="HZ4" s="446"/>
      <c r="IA4" s="446"/>
      <c r="IB4" s="446"/>
      <c r="IC4" s="446"/>
      <c r="ID4" s="446"/>
      <c r="IE4" s="446"/>
      <c r="IF4" s="446"/>
      <c r="IG4" s="446"/>
      <c r="IH4" s="446"/>
      <c r="II4" s="446"/>
      <c r="IJ4" s="446"/>
      <c r="IK4" s="446"/>
      <c r="IL4" s="446"/>
      <c r="IM4" s="446"/>
      <c r="IN4" s="446"/>
      <c r="IO4" s="446"/>
      <c r="IP4" s="446"/>
      <c r="IQ4" s="446"/>
      <c r="IR4" s="446"/>
      <c r="IS4" s="446"/>
      <c r="IT4" s="446"/>
      <c r="IU4" s="446"/>
      <c r="IV4" s="446"/>
      <c r="IW4" s="446"/>
      <c r="IX4" s="446"/>
    </row>
    <row r="5" spans="1:258" s="93" customFormat="1" ht="12" customHeight="1">
      <c r="A5" s="139"/>
      <c r="B5" s="139"/>
      <c r="C5" s="268" t="str">
        <f>Income!C5</f>
        <v>$ in millions, except per share figures</v>
      </c>
      <c r="D5" s="806">
        <v>1998</v>
      </c>
      <c r="E5" s="806">
        <f>+D5+1</f>
        <v>1999</v>
      </c>
      <c r="F5" s="806">
        <f t="shared" ref="F5:H5" si="0">+E5+1</f>
        <v>2000</v>
      </c>
      <c r="G5" s="806">
        <f t="shared" si="0"/>
        <v>2001</v>
      </c>
      <c r="H5" s="806">
        <f t="shared" si="0"/>
        <v>2002</v>
      </c>
      <c r="I5" s="807">
        <v>37711</v>
      </c>
      <c r="J5" s="808">
        <f t="shared" ref="J5:L5" si="1">EOMONTH(I5,3)</f>
        <v>37802</v>
      </c>
      <c r="K5" s="808">
        <f t="shared" si="1"/>
        <v>37894</v>
      </c>
      <c r="L5" s="808">
        <f t="shared" si="1"/>
        <v>37986</v>
      </c>
      <c r="M5" s="806">
        <f>+H5+1</f>
        <v>2003</v>
      </c>
      <c r="N5" s="808">
        <f t="shared" ref="N5" si="2">EOMONTH(I5,12)</f>
        <v>38077</v>
      </c>
      <c r="O5" s="808">
        <f t="shared" ref="O5:Q5" si="3">EOMONTH(N5,3)</f>
        <v>38168</v>
      </c>
      <c r="P5" s="808">
        <f t="shared" si="3"/>
        <v>38260</v>
      </c>
      <c r="Q5" s="808">
        <f t="shared" si="3"/>
        <v>38352</v>
      </c>
      <c r="R5" s="806">
        <f t="shared" ref="R5" si="4">+M5+1</f>
        <v>2004</v>
      </c>
      <c r="S5" s="808">
        <f t="shared" ref="S5" si="5">EOMONTH(N5,12)</f>
        <v>38442</v>
      </c>
      <c r="T5" s="808">
        <f t="shared" ref="T5:V5" si="6">EOMONTH(S5,3)</f>
        <v>38533</v>
      </c>
      <c r="U5" s="808">
        <f t="shared" si="6"/>
        <v>38625</v>
      </c>
      <c r="V5" s="808">
        <f t="shared" si="6"/>
        <v>38717</v>
      </c>
      <c r="W5" s="806">
        <f t="shared" ref="W5" si="7">+R5+1</f>
        <v>2005</v>
      </c>
      <c r="X5" s="808">
        <f t="shared" ref="X5" si="8">EOMONTH(S5,12)</f>
        <v>38807</v>
      </c>
      <c r="Y5" s="808">
        <f t="shared" ref="Y5:AA5" si="9">EOMONTH(X5,3)</f>
        <v>38898</v>
      </c>
      <c r="Z5" s="808">
        <f t="shared" si="9"/>
        <v>38990</v>
      </c>
      <c r="AA5" s="808">
        <f t="shared" si="9"/>
        <v>39082</v>
      </c>
      <c r="AB5" s="806">
        <f t="shared" ref="AB5" si="10">+W5+1</f>
        <v>2006</v>
      </c>
      <c r="AC5" s="808">
        <f t="shared" ref="AC5" si="11">EOMONTH(X5,12)</f>
        <v>39172</v>
      </c>
      <c r="AD5" s="808">
        <f t="shared" ref="AD5:AF5" si="12">EOMONTH(AC5,3)</f>
        <v>39263</v>
      </c>
      <c r="AE5" s="808">
        <f t="shared" si="12"/>
        <v>39355</v>
      </c>
      <c r="AF5" s="808">
        <f t="shared" si="12"/>
        <v>39447</v>
      </c>
      <c r="AG5" s="806">
        <f t="shared" ref="AG5" si="13">+AB5+1</f>
        <v>2007</v>
      </c>
      <c r="AH5" s="808">
        <f t="shared" ref="AH5" si="14">EOMONTH(AC5,12)</f>
        <v>39538</v>
      </c>
      <c r="AI5" s="808">
        <f t="shared" ref="AI5:AK5" si="15">EOMONTH(AH5,3)</f>
        <v>39629</v>
      </c>
      <c r="AJ5" s="808">
        <f t="shared" si="15"/>
        <v>39721</v>
      </c>
      <c r="AK5" s="808">
        <f t="shared" si="15"/>
        <v>39813</v>
      </c>
      <c r="AL5" s="806">
        <f t="shared" ref="AL5" si="16">+AG5+1</f>
        <v>2008</v>
      </c>
      <c r="AM5" s="808">
        <f t="shared" ref="AM5" si="17">EOMONTH(AH5,12)</f>
        <v>39903</v>
      </c>
      <c r="AN5" s="808">
        <f t="shared" ref="AN5:AP5" si="18">EOMONTH(AM5,3)</f>
        <v>39994</v>
      </c>
      <c r="AO5" s="808">
        <f t="shared" si="18"/>
        <v>40086</v>
      </c>
      <c r="AP5" s="808">
        <f t="shared" si="18"/>
        <v>40178</v>
      </c>
      <c r="AQ5" s="806">
        <f t="shared" ref="AQ5" si="19">+AL5+1</f>
        <v>2009</v>
      </c>
      <c r="AR5" s="808">
        <f t="shared" ref="AR5" si="20">EOMONTH(AM5,12)</f>
        <v>40268</v>
      </c>
      <c r="AS5" s="808">
        <f t="shared" ref="AS5:AU5" si="21">EOMONTH(AR5,3)</f>
        <v>40359</v>
      </c>
      <c r="AT5" s="808">
        <f t="shared" si="21"/>
        <v>40451</v>
      </c>
      <c r="AU5" s="808">
        <f t="shared" si="21"/>
        <v>40543</v>
      </c>
      <c r="AV5" s="806">
        <f t="shared" ref="AV5" si="22">+AQ5+1</f>
        <v>2010</v>
      </c>
      <c r="AW5" s="808">
        <f t="shared" ref="AW5" si="23">EOMONTH(AR5,12)</f>
        <v>40633</v>
      </c>
      <c r="AX5" s="808">
        <f t="shared" ref="AX5:AZ5" si="24">EOMONTH(AW5,3)</f>
        <v>40724</v>
      </c>
      <c r="AY5" s="808">
        <f t="shared" si="24"/>
        <v>40816</v>
      </c>
      <c r="AZ5" s="808">
        <f t="shared" si="24"/>
        <v>40908</v>
      </c>
      <c r="BA5" s="806">
        <f t="shared" ref="BA5" si="25">+AV5+1</f>
        <v>2011</v>
      </c>
      <c r="BB5" s="808">
        <f t="shared" ref="BB5" si="26">EOMONTH(AW5,12)</f>
        <v>40999</v>
      </c>
      <c r="BC5" s="808">
        <f t="shared" ref="BC5:BE5" si="27">EOMONTH(BB5,3)</f>
        <v>41090</v>
      </c>
      <c r="BD5" s="808">
        <f t="shared" si="27"/>
        <v>41182</v>
      </c>
      <c r="BE5" s="808">
        <f t="shared" si="27"/>
        <v>41274</v>
      </c>
      <c r="BF5" s="806">
        <f t="shared" ref="BF5" si="28">+BA5+1</f>
        <v>2012</v>
      </c>
      <c r="BG5" s="808">
        <f t="shared" ref="BG5" si="29">EOMONTH(BB5,12)</f>
        <v>41364</v>
      </c>
      <c r="BH5" s="808">
        <f t="shared" ref="BH5:BJ5" si="30">EOMONTH(BG5,3)</f>
        <v>41455</v>
      </c>
      <c r="BI5" s="808">
        <f t="shared" si="30"/>
        <v>41547</v>
      </c>
      <c r="BJ5" s="808">
        <f t="shared" si="30"/>
        <v>41639</v>
      </c>
      <c r="BK5" s="806">
        <f t="shared" ref="BK5" si="31">+BF5+1</f>
        <v>2013</v>
      </c>
      <c r="BL5" s="808">
        <f t="shared" ref="BL5" si="32">EOMONTH(BG5,12)</f>
        <v>41729</v>
      </c>
      <c r="BM5" s="808">
        <f t="shared" ref="BM5:BO5" si="33">EOMONTH(BL5,3)</f>
        <v>41820</v>
      </c>
      <c r="BN5" s="808">
        <f t="shared" si="33"/>
        <v>41912</v>
      </c>
      <c r="BO5" s="808">
        <f t="shared" si="33"/>
        <v>42004</v>
      </c>
      <c r="BP5" s="806">
        <f t="shared" ref="BP5" si="34">+BK5+1</f>
        <v>2014</v>
      </c>
      <c r="BQ5" s="808">
        <f t="shared" ref="BQ5" si="35">EOMONTH(BL5,12)</f>
        <v>42094</v>
      </c>
      <c r="BR5" s="808">
        <f t="shared" ref="BR5:BT5" si="36">EOMONTH(BQ5,3)</f>
        <v>42185</v>
      </c>
      <c r="BS5" s="808">
        <f t="shared" si="36"/>
        <v>42277</v>
      </c>
      <c r="BT5" s="808">
        <f t="shared" si="36"/>
        <v>42369</v>
      </c>
      <c r="BU5" s="806">
        <f t="shared" ref="BU5" si="37">+BP5+1</f>
        <v>2015</v>
      </c>
      <c r="BV5" s="808">
        <f t="shared" ref="BV5" si="38">EOMONTH(BQ5,12)</f>
        <v>42460</v>
      </c>
      <c r="BW5" s="808">
        <f t="shared" ref="BW5:BY5" si="39">EOMONTH(BV5,3)</f>
        <v>42551</v>
      </c>
      <c r="BX5" s="808">
        <f t="shared" si="39"/>
        <v>42643</v>
      </c>
      <c r="BY5" s="808">
        <f t="shared" si="39"/>
        <v>42735</v>
      </c>
      <c r="BZ5" s="806">
        <f t="shared" ref="BZ5" si="40">+BU5+1</f>
        <v>2016</v>
      </c>
      <c r="CA5" s="808">
        <f t="shared" ref="CA5" si="41">EOMONTH(BV5,12)</f>
        <v>42825</v>
      </c>
      <c r="CB5" s="808">
        <f t="shared" ref="CB5:CD5" si="42">EOMONTH(CA5,3)</f>
        <v>42916</v>
      </c>
      <c r="CC5" s="808">
        <f t="shared" si="42"/>
        <v>43008</v>
      </c>
      <c r="CD5" s="808">
        <f t="shared" si="42"/>
        <v>43100</v>
      </c>
      <c r="CE5" s="806">
        <f t="shared" ref="CE5" si="43">+BZ5+1</f>
        <v>2017</v>
      </c>
      <c r="CF5" s="808">
        <f t="shared" ref="CF5" si="44">EOMONTH(CA5,12)</f>
        <v>43190</v>
      </c>
      <c r="CG5" s="808">
        <f t="shared" ref="CG5:CI5" si="45">EOMONTH(CF5,3)</f>
        <v>43281</v>
      </c>
      <c r="CH5" s="808">
        <f t="shared" si="45"/>
        <v>43373</v>
      </c>
      <c r="CI5" s="808">
        <f t="shared" si="45"/>
        <v>43465</v>
      </c>
      <c r="CJ5" s="806">
        <f t="shared" ref="CJ5" si="46">+CE5+1</f>
        <v>2018</v>
      </c>
      <c r="CK5" s="808">
        <f t="shared" ref="CK5" si="47">EOMONTH(CF5,12)</f>
        <v>43555</v>
      </c>
      <c r="CL5" s="808">
        <f t="shared" ref="CL5:CN5" si="48">EOMONTH(CK5,3)</f>
        <v>43646</v>
      </c>
      <c r="CM5" s="808">
        <f t="shared" si="48"/>
        <v>43738</v>
      </c>
      <c r="CN5" s="808">
        <f t="shared" si="48"/>
        <v>43830</v>
      </c>
      <c r="CO5" s="806">
        <f t="shared" ref="CO5" si="49">+CJ5+1</f>
        <v>2019</v>
      </c>
      <c r="CP5" s="808">
        <f t="shared" ref="CP5" si="50">EOMONTH(CK5,12)</f>
        <v>43921</v>
      </c>
      <c r="CQ5" s="808">
        <f t="shared" ref="CQ5:CS5" si="51">EOMONTH(CP5,3)</f>
        <v>44012</v>
      </c>
      <c r="CR5" s="808">
        <f t="shared" si="51"/>
        <v>44104</v>
      </c>
      <c r="CS5" s="808">
        <f t="shared" si="51"/>
        <v>44196</v>
      </c>
      <c r="CT5" s="806">
        <f t="shared" ref="CT5" si="52">+CO5+1</f>
        <v>2020</v>
      </c>
      <c r="CU5" s="808">
        <f t="shared" ref="CU5" si="53">EOMONTH(CP5,12)</f>
        <v>44286</v>
      </c>
      <c r="CV5" s="808">
        <f t="shared" ref="CV5:CX5" si="54">EOMONTH(CU5,3)</f>
        <v>44377</v>
      </c>
      <c r="CW5" s="808">
        <f t="shared" si="54"/>
        <v>44469</v>
      </c>
      <c r="CX5" s="808">
        <f t="shared" si="54"/>
        <v>44561</v>
      </c>
      <c r="CY5" s="806">
        <f t="shared" ref="CY5" si="55">+CT5+1</f>
        <v>2021</v>
      </c>
      <c r="CZ5" s="808">
        <f t="shared" ref="CZ5" si="56">EOMONTH(CU5,12)</f>
        <v>44651</v>
      </c>
      <c r="DA5" s="808">
        <f t="shared" ref="DA5:DC5" si="57">EOMONTH(CZ5,3)</f>
        <v>44742</v>
      </c>
      <c r="DB5" s="808">
        <f t="shared" si="57"/>
        <v>44834</v>
      </c>
      <c r="DC5" s="808">
        <f t="shared" si="57"/>
        <v>44926</v>
      </c>
      <c r="DD5" s="806">
        <f t="shared" ref="DD5" si="58">+CY5+1</f>
        <v>2022</v>
      </c>
      <c r="DE5" s="808">
        <f t="shared" ref="DE5" si="59">EOMONTH(CZ5,12)</f>
        <v>45016</v>
      </c>
      <c r="DF5" s="808">
        <f t="shared" ref="DF5:DH5" si="60">EOMONTH(DE5,3)</f>
        <v>45107</v>
      </c>
      <c r="DG5" s="808">
        <f t="shared" si="60"/>
        <v>45199</v>
      </c>
      <c r="DH5" s="808">
        <f t="shared" si="60"/>
        <v>45291</v>
      </c>
      <c r="DI5" s="806">
        <f t="shared" ref="DI5" si="61">+DD5+1</f>
        <v>2023</v>
      </c>
      <c r="DJ5" s="808">
        <f t="shared" ref="DJ5" si="62">EOMONTH(DE5,12)</f>
        <v>45382</v>
      </c>
      <c r="DK5" s="808">
        <f t="shared" ref="DK5:DM5" si="63">EOMONTH(DJ5,3)</f>
        <v>45473</v>
      </c>
      <c r="DL5" s="808">
        <f t="shared" si="63"/>
        <v>45565</v>
      </c>
      <c r="DM5" s="808">
        <f t="shared" si="63"/>
        <v>45657</v>
      </c>
      <c r="DN5" s="806">
        <f t="shared" ref="DN5" si="64">+DI5+1</f>
        <v>2024</v>
      </c>
      <c r="DO5" s="808">
        <f t="shared" ref="DO5" si="65">EOMONTH(DJ5,12)</f>
        <v>45747</v>
      </c>
      <c r="DP5" s="808">
        <f t="shared" ref="DP5:DR5" si="66">EOMONTH(DO5,3)</f>
        <v>45838</v>
      </c>
      <c r="DQ5" s="808">
        <f t="shared" si="66"/>
        <v>45930</v>
      </c>
      <c r="DR5" s="808">
        <f t="shared" si="66"/>
        <v>46022</v>
      </c>
      <c r="DS5" s="806">
        <f t="shared" ref="DS5" si="67">+DN5+1</f>
        <v>2025</v>
      </c>
      <c r="DT5" s="808">
        <f t="shared" ref="DT5" si="68">EOMONTH(DO5,12)</f>
        <v>46112</v>
      </c>
      <c r="DU5" s="808">
        <f t="shared" ref="DU5:DW5" si="69">EOMONTH(DT5,3)</f>
        <v>46203</v>
      </c>
      <c r="DV5" s="808">
        <f t="shared" si="69"/>
        <v>46295</v>
      </c>
      <c r="DW5" s="808">
        <f t="shared" si="69"/>
        <v>46387</v>
      </c>
      <c r="DX5" s="806">
        <f t="shared" ref="DX5" si="70">+DS5+1</f>
        <v>2026</v>
      </c>
      <c r="DY5" s="808">
        <f t="shared" ref="DY5" si="71">EOMONTH(DT5,12)</f>
        <v>46477</v>
      </c>
      <c r="DZ5" s="808">
        <f t="shared" ref="DZ5:EB5" si="72">EOMONTH(DY5,3)</f>
        <v>46568</v>
      </c>
      <c r="EA5" s="808">
        <f t="shared" si="72"/>
        <v>46660</v>
      </c>
      <c r="EB5" s="808">
        <f t="shared" si="72"/>
        <v>46752</v>
      </c>
      <c r="EC5" s="806">
        <f t="shared" ref="EC5" si="73">+DX5+1</f>
        <v>2027</v>
      </c>
      <c r="ED5" s="446"/>
      <c r="EE5" s="446"/>
      <c r="EF5" s="446"/>
      <c r="EG5" s="446"/>
      <c r="EH5" s="446"/>
      <c r="EI5" s="446"/>
      <c r="EJ5" s="446"/>
      <c r="EK5" s="446"/>
      <c r="EL5" s="446"/>
      <c r="EM5" s="446"/>
      <c r="EN5" s="446"/>
      <c r="EO5" s="446"/>
      <c r="EP5" s="446"/>
      <c r="EQ5" s="446"/>
      <c r="ER5" s="446"/>
      <c r="ES5" s="446"/>
      <c r="ET5" s="446"/>
      <c r="EU5" s="446"/>
      <c r="EV5" s="446"/>
      <c r="EW5" s="446"/>
      <c r="EX5" s="446"/>
      <c r="EY5" s="446"/>
      <c r="EZ5" s="446"/>
      <c r="FA5" s="446"/>
      <c r="FB5" s="446"/>
      <c r="FC5" s="446"/>
      <c r="FD5" s="446"/>
      <c r="FE5" s="446"/>
      <c r="FF5" s="446"/>
      <c r="FG5" s="446"/>
      <c r="FH5" s="446"/>
      <c r="FI5" s="446"/>
      <c r="FJ5" s="446"/>
      <c r="FK5" s="446"/>
      <c r="FL5" s="446"/>
      <c r="FM5" s="446"/>
      <c r="FN5" s="446"/>
      <c r="FO5" s="446"/>
      <c r="FP5" s="446"/>
      <c r="FQ5" s="446"/>
      <c r="FR5" s="446"/>
      <c r="FS5" s="446"/>
      <c r="FT5" s="446"/>
      <c r="FU5" s="446"/>
      <c r="FV5" s="446"/>
      <c r="FW5" s="446"/>
      <c r="FX5" s="446"/>
      <c r="FY5" s="446"/>
      <c r="FZ5" s="446"/>
      <c r="GA5" s="446"/>
      <c r="GB5" s="446"/>
      <c r="GC5" s="446"/>
      <c r="GD5" s="446"/>
      <c r="GE5" s="446"/>
      <c r="GF5" s="446"/>
      <c r="GG5" s="446"/>
      <c r="GH5" s="446"/>
      <c r="GI5" s="446"/>
      <c r="GJ5" s="446"/>
      <c r="GK5" s="446"/>
      <c r="GL5" s="446"/>
      <c r="GM5" s="446"/>
      <c r="GN5" s="446"/>
      <c r="GO5" s="446"/>
      <c r="GP5" s="446"/>
      <c r="GQ5" s="446"/>
      <c r="GR5" s="446"/>
      <c r="GS5" s="446"/>
      <c r="GT5" s="446"/>
      <c r="GU5" s="446"/>
      <c r="GV5" s="446"/>
      <c r="GW5" s="446"/>
      <c r="GX5" s="446"/>
      <c r="GY5" s="446"/>
      <c r="GZ5" s="446"/>
      <c r="HA5" s="446"/>
      <c r="HB5" s="446"/>
      <c r="HC5" s="446"/>
      <c r="HD5" s="446"/>
      <c r="HE5" s="446"/>
      <c r="HF5" s="446"/>
      <c r="HG5" s="446"/>
      <c r="HH5" s="446"/>
      <c r="HI5" s="446"/>
      <c r="HJ5" s="446"/>
      <c r="HK5" s="446"/>
      <c r="HL5" s="446"/>
      <c r="HM5" s="446"/>
      <c r="HN5" s="446"/>
      <c r="HO5" s="446"/>
      <c r="HP5" s="446"/>
      <c r="HQ5" s="446"/>
      <c r="HR5" s="446"/>
      <c r="HS5" s="446"/>
      <c r="HT5" s="446"/>
      <c r="HU5" s="446"/>
      <c r="HV5" s="446"/>
      <c r="HW5" s="446"/>
      <c r="HX5" s="446"/>
      <c r="HY5" s="446"/>
      <c r="HZ5" s="446"/>
      <c r="IA5" s="446"/>
      <c r="IB5" s="446"/>
      <c r="IC5" s="446"/>
      <c r="ID5" s="446"/>
      <c r="IE5" s="446"/>
      <c r="IF5" s="446"/>
      <c r="IG5" s="446"/>
      <c r="IH5" s="446"/>
      <c r="II5" s="446"/>
      <c r="IJ5" s="446"/>
      <c r="IK5" s="446"/>
      <c r="IL5" s="446"/>
      <c r="IM5" s="446"/>
      <c r="IN5" s="446"/>
      <c r="IO5" s="446"/>
      <c r="IP5" s="446"/>
      <c r="IQ5" s="446"/>
      <c r="IR5" s="446"/>
      <c r="IS5" s="446"/>
      <c r="IT5" s="446"/>
      <c r="IU5" s="446"/>
      <c r="IV5" s="446"/>
      <c r="IW5" s="446"/>
      <c r="IX5" s="446"/>
    </row>
    <row r="6" spans="1:258" s="93" customFormat="1" ht="12" customHeight="1">
      <c r="A6" s="139"/>
      <c r="B6" s="139"/>
      <c r="C6" s="1177" t="s">
        <v>5</v>
      </c>
      <c r="D6" s="435"/>
      <c r="E6" s="435"/>
      <c r="F6" s="435"/>
      <c r="G6" s="435"/>
      <c r="H6" s="435"/>
      <c r="I6" s="434"/>
      <c r="J6" s="434"/>
      <c r="K6" s="434"/>
      <c r="L6" s="434"/>
      <c r="M6" s="435"/>
      <c r="N6" s="434"/>
      <c r="O6" s="434"/>
      <c r="P6" s="434"/>
      <c r="Q6" s="434"/>
      <c r="R6" s="435"/>
      <c r="S6" s="434"/>
      <c r="T6" s="434"/>
      <c r="U6" s="434"/>
      <c r="V6" s="434"/>
      <c r="W6" s="435"/>
      <c r="X6" s="434"/>
      <c r="Y6" s="434"/>
      <c r="Z6" s="434"/>
      <c r="AA6" s="434"/>
      <c r="AB6" s="435"/>
      <c r="AC6" s="434"/>
      <c r="AD6" s="434"/>
      <c r="AE6" s="434"/>
      <c r="AF6" s="434"/>
      <c r="AG6" s="435"/>
      <c r="AH6" s="434"/>
      <c r="AI6" s="1180"/>
      <c r="AJ6" s="434"/>
      <c r="AK6" s="434"/>
      <c r="AL6" s="435"/>
      <c r="AM6" s="434"/>
      <c r="AN6" s="434"/>
      <c r="AO6" s="434"/>
      <c r="AP6" s="434"/>
      <c r="AQ6" s="435"/>
      <c r="AR6" s="1181"/>
      <c r="AS6" s="1181"/>
      <c r="AT6" s="1181"/>
      <c r="AU6" s="1181"/>
      <c r="AV6" s="435"/>
      <c r="AW6" s="434"/>
      <c r="AX6" s="434"/>
      <c r="AY6" s="434"/>
      <c r="AZ6" s="434"/>
      <c r="BA6" s="435"/>
      <c r="BB6" s="1181"/>
      <c r="BC6" s="1181"/>
      <c r="BD6" s="1181"/>
      <c r="BE6" s="1181"/>
      <c r="BF6" s="435"/>
      <c r="BG6" s="434"/>
      <c r="BH6" s="434"/>
      <c r="BI6" s="434"/>
      <c r="BJ6" s="434"/>
      <c r="BK6" s="435"/>
      <c r="BL6" s="434"/>
      <c r="BM6" s="434"/>
      <c r="BN6" s="434"/>
      <c r="BO6" s="434"/>
      <c r="BP6" s="435"/>
      <c r="BQ6" s="434"/>
      <c r="BR6" s="434"/>
      <c r="BS6" s="434"/>
      <c r="BT6" s="434"/>
      <c r="BU6" s="435"/>
      <c r="BV6" s="434"/>
      <c r="BW6" s="434"/>
      <c r="BX6" s="434"/>
      <c r="BY6" s="434"/>
      <c r="BZ6" s="435"/>
      <c r="CA6" s="434"/>
      <c r="CB6" s="434"/>
      <c r="CC6" s="434"/>
      <c r="CD6" s="434"/>
      <c r="CE6" s="435"/>
      <c r="CF6" s="434"/>
      <c r="CG6" s="434"/>
      <c r="CH6" s="434"/>
      <c r="CI6" s="434"/>
      <c r="CJ6" s="1182"/>
      <c r="CK6" s="434"/>
      <c r="CL6" s="434"/>
      <c r="CM6" s="434"/>
      <c r="CN6" s="1183"/>
      <c r="CO6" s="1182"/>
      <c r="CP6" s="1184"/>
      <c r="CQ6" s="1184"/>
      <c r="CR6" s="1184"/>
      <c r="CS6" s="1184"/>
      <c r="CT6" s="1182"/>
      <c r="CU6" s="1184"/>
      <c r="CV6" s="1184"/>
      <c r="CW6" s="1184"/>
      <c r="CX6" s="1184"/>
      <c r="CY6" s="1182"/>
      <c r="CZ6" s="1184"/>
      <c r="DA6" s="434"/>
      <c r="DB6" s="434"/>
      <c r="DC6" s="434"/>
      <c r="DD6" s="1182"/>
      <c r="DE6" s="434"/>
      <c r="DF6" s="434"/>
      <c r="DG6" s="434"/>
      <c r="DH6" s="434"/>
      <c r="DI6" s="1182"/>
      <c r="DJ6" s="434"/>
      <c r="DK6" s="434"/>
      <c r="DL6" s="434"/>
      <c r="DM6" s="434"/>
      <c r="DN6" s="1182"/>
      <c r="DO6" s="434"/>
      <c r="DP6" s="434"/>
      <c r="DQ6" s="434"/>
      <c r="DR6" s="434"/>
      <c r="DS6" s="1182"/>
      <c r="DT6" s="1184"/>
      <c r="DU6" s="1184"/>
      <c r="DV6" s="1184"/>
      <c r="DW6" s="1184"/>
      <c r="DX6" s="1182"/>
      <c r="DY6" s="1184"/>
      <c r="DZ6" s="1184"/>
      <c r="EA6" s="1184"/>
      <c r="EB6" s="1184"/>
      <c r="EC6" s="1182"/>
      <c r="ED6" s="446"/>
      <c r="EE6" s="446"/>
      <c r="EF6" s="446"/>
      <c r="EG6" s="446"/>
      <c r="EH6" s="446"/>
      <c r="EI6" s="446"/>
      <c r="EJ6" s="446"/>
      <c r="EK6" s="446"/>
      <c r="EL6" s="446"/>
      <c r="EM6" s="446"/>
      <c r="EN6" s="446"/>
      <c r="EO6" s="446"/>
      <c r="EP6" s="446"/>
      <c r="EQ6" s="446"/>
      <c r="ER6" s="446"/>
      <c r="ES6" s="446"/>
      <c r="ET6" s="446"/>
      <c r="EU6" s="446"/>
      <c r="EV6" s="446"/>
      <c r="EW6" s="446"/>
      <c r="EX6" s="446"/>
      <c r="EY6" s="446"/>
      <c r="EZ6" s="446"/>
      <c r="FA6" s="446"/>
      <c r="FB6" s="446"/>
      <c r="FC6" s="446"/>
      <c r="FD6" s="446"/>
      <c r="FE6" s="446"/>
      <c r="FF6" s="446"/>
      <c r="FG6" s="446"/>
      <c r="FH6" s="446"/>
      <c r="FI6" s="446"/>
      <c r="FJ6" s="446"/>
      <c r="FK6" s="446"/>
      <c r="FL6" s="446"/>
      <c r="FM6" s="446"/>
      <c r="FN6" s="446"/>
      <c r="FO6" s="446"/>
      <c r="FP6" s="446"/>
      <c r="FQ6" s="446"/>
      <c r="FR6" s="446"/>
      <c r="FS6" s="446"/>
      <c r="FT6" s="446"/>
      <c r="FU6" s="446"/>
      <c r="FV6" s="446"/>
      <c r="FW6" s="446"/>
      <c r="FX6" s="446"/>
      <c r="FY6" s="446"/>
      <c r="FZ6" s="446"/>
      <c r="GA6" s="446"/>
      <c r="GB6" s="446"/>
      <c r="GC6" s="446"/>
      <c r="GD6" s="446"/>
      <c r="GE6" s="446"/>
      <c r="GF6" s="446"/>
      <c r="GG6" s="446"/>
      <c r="GH6" s="446"/>
      <c r="GI6" s="446"/>
      <c r="GJ6" s="446"/>
      <c r="GK6" s="446"/>
      <c r="GL6" s="446"/>
      <c r="GM6" s="446"/>
      <c r="GN6" s="446"/>
      <c r="GO6" s="446"/>
      <c r="GP6" s="446"/>
      <c r="GQ6" s="446"/>
      <c r="GR6" s="446"/>
      <c r="GS6" s="446"/>
      <c r="GT6" s="446"/>
      <c r="GU6" s="446"/>
      <c r="GV6" s="446"/>
      <c r="GW6" s="446"/>
      <c r="GX6" s="446"/>
      <c r="GY6" s="446"/>
      <c r="GZ6" s="446"/>
      <c r="HA6" s="446"/>
      <c r="HB6" s="446"/>
      <c r="HC6" s="446"/>
      <c r="HD6" s="446"/>
      <c r="HE6" s="446"/>
      <c r="HF6" s="446"/>
      <c r="HG6" s="446"/>
      <c r="HH6" s="446"/>
      <c r="HI6" s="446"/>
      <c r="HJ6" s="446"/>
      <c r="HK6" s="446"/>
      <c r="HL6" s="446"/>
      <c r="HM6" s="446"/>
      <c r="HN6" s="446"/>
      <c r="HO6" s="446"/>
      <c r="HP6" s="446"/>
      <c r="HQ6" s="446"/>
      <c r="HR6" s="446"/>
      <c r="HS6" s="446"/>
      <c r="HT6" s="446"/>
      <c r="HU6" s="446"/>
      <c r="HV6" s="446"/>
      <c r="HW6" s="446"/>
      <c r="HX6" s="446"/>
      <c r="HY6" s="446"/>
      <c r="HZ6" s="446"/>
      <c r="IA6" s="446"/>
      <c r="IB6" s="446"/>
      <c r="IC6" s="446"/>
      <c r="ID6" s="446"/>
      <c r="IE6" s="446"/>
      <c r="IF6" s="446"/>
      <c r="IG6" s="446"/>
      <c r="IH6" s="446"/>
      <c r="II6" s="446"/>
      <c r="IJ6" s="446"/>
      <c r="IK6" s="446"/>
      <c r="IL6" s="446"/>
      <c r="IM6" s="446"/>
      <c r="IN6" s="446"/>
      <c r="IO6" s="446"/>
      <c r="IP6" s="446"/>
      <c r="IQ6" s="446"/>
      <c r="IR6" s="446"/>
      <c r="IS6" s="446"/>
      <c r="IT6" s="446"/>
      <c r="IU6" s="446"/>
      <c r="IV6" s="446"/>
      <c r="IW6" s="446"/>
      <c r="IX6" s="446"/>
    </row>
    <row r="7" spans="1:258" s="93" customFormat="1" ht="12" customHeight="1">
      <c r="A7" s="139"/>
      <c r="B7" s="139"/>
      <c r="C7" s="123" t="s">
        <v>277</v>
      </c>
      <c r="D7" s="433"/>
      <c r="E7" s="433"/>
      <c r="F7" s="433"/>
      <c r="G7" s="433"/>
      <c r="H7" s="433"/>
      <c r="M7" s="433"/>
      <c r="R7" s="433"/>
      <c r="W7" s="433"/>
      <c r="AB7" s="433"/>
      <c r="AG7" s="433"/>
      <c r="AI7" s="767"/>
      <c r="AL7" s="433"/>
      <c r="AQ7" s="433"/>
      <c r="AR7" s="134"/>
      <c r="AS7" s="134"/>
      <c r="AT7" s="134"/>
      <c r="AU7" s="134"/>
      <c r="AV7" s="433"/>
      <c r="BA7" s="433"/>
      <c r="BB7" s="134"/>
      <c r="BC7" s="134"/>
      <c r="BD7" s="134"/>
      <c r="BE7" s="134"/>
      <c r="BF7" s="433"/>
      <c r="BK7" s="433"/>
      <c r="BP7" s="433"/>
      <c r="BQ7" s="179"/>
      <c r="BR7" s="179">
        <f>SUM(BR8:BR9)</f>
        <v>198.82900000000001</v>
      </c>
      <c r="BS7" s="179">
        <f>SUM(BS8:BS9)</f>
        <v>186.93599999999998</v>
      </c>
      <c r="BT7" s="179">
        <f>SUM(BT8:BT9)</f>
        <v>190.173</v>
      </c>
      <c r="BU7" s="300">
        <f t="shared" ref="BU7:BU14" si="74">BT7</f>
        <v>190.173</v>
      </c>
      <c r="BV7" s="179">
        <f>SUM(BV8:BV9)</f>
        <v>189.464</v>
      </c>
      <c r="BW7" s="179">
        <f>SUM(BW8:BW9)</f>
        <v>179.64600000000002</v>
      </c>
      <c r="BX7" s="179">
        <f>SUM(BX8:BX9)</f>
        <v>400.28700000000003</v>
      </c>
      <c r="BY7" s="179">
        <f>SUM(BY8:BY9)</f>
        <v>392.41400000000004</v>
      </c>
      <c r="BZ7" s="300">
        <f t="shared" ref="BZ7:BZ14" si="75">BY7</f>
        <v>392.41400000000004</v>
      </c>
      <c r="CA7" s="179">
        <f>SUM(CA8:CA9)</f>
        <v>395.69000000000005</v>
      </c>
      <c r="CB7" s="179">
        <f>SUM(CB8:CB9)</f>
        <v>932.41699999999992</v>
      </c>
      <c r="CC7" s="179">
        <f>SUM(CC8:CC9)</f>
        <v>926.55899999999997</v>
      </c>
      <c r="CD7" s="179">
        <f>SUM(CD8:CD9)</f>
        <v>938.03899999999999</v>
      </c>
      <c r="CE7" s="300">
        <f t="shared" ref="CE7:CE14" si="76">CD7</f>
        <v>938.03899999999999</v>
      </c>
      <c r="CF7" s="179">
        <f>SUM(CF8:CF9)</f>
        <v>1580.0330000000001</v>
      </c>
      <c r="CG7" s="179">
        <f>SUM(CG8:CG9)</f>
        <v>1574.1679999999999</v>
      </c>
      <c r="CH7" s="179">
        <f>SUM(CH8:CH9)</f>
        <v>1578.2250000000001</v>
      </c>
      <c r="CI7" s="179">
        <f>SUM(CI8:CI9)</f>
        <v>1969.67</v>
      </c>
      <c r="CJ7" s="300">
        <f t="shared" ref="CJ7:CJ14" si="77">CI7</f>
        <v>1969.67</v>
      </c>
      <c r="CK7" s="179">
        <f>SUM(CK8:CK9)</f>
        <v>1997.0140000000001</v>
      </c>
      <c r="CL7" s="179">
        <f>SUM(CL8:CL9)</f>
        <v>2013.3309999999999</v>
      </c>
      <c r="CM7" s="179">
        <f>SUM(CM8:CM9)</f>
        <v>2667.1819999999998</v>
      </c>
      <c r="CN7" s="179">
        <f>SUM(CN8:CN9)</f>
        <v>2455.1940000000004</v>
      </c>
      <c r="CO7" s="300">
        <f t="shared" ref="CO7:CO14" si="78">CN7</f>
        <v>2455.1940000000004</v>
      </c>
      <c r="CP7" s="179">
        <f>SUM(CP8:CP9)</f>
        <v>2360.5720000000001</v>
      </c>
      <c r="CQ7" s="179">
        <f>SUM(CQ8:CQ9)</f>
        <v>4000.9549999999999</v>
      </c>
      <c r="CR7" s="179">
        <f>SUM(CR8:CR9)</f>
        <v>6121.1610000000001</v>
      </c>
      <c r="CS7" s="179">
        <f>SUM(CS8:CS9)</f>
        <v>6387.9670000000006</v>
      </c>
      <c r="CT7" s="300">
        <f t="shared" ref="CT7:CT14" si="79">CS7</f>
        <v>6387.9670000000006</v>
      </c>
      <c r="CU7" s="179">
        <f>SUM(CU8:CU9)</f>
        <v>7872.4480000000003</v>
      </c>
      <c r="CV7" s="179">
        <f>SUM(CV8:CV9)</f>
        <v>7755.3869999999997</v>
      </c>
      <c r="CW7" s="179">
        <f>SUM(CW8:CW9)</f>
        <v>7518.6940000000013</v>
      </c>
      <c r="CX7" s="179">
        <f>SUM(CX8:CX9)</f>
        <v>7768.0929999999998</v>
      </c>
      <c r="CY7" s="300">
        <f t="shared" ref="CY7:CY14" si="80">CX7</f>
        <v>7768.0929999999998</v>
      </c>
      <c r="CZ7" s="179">
        <f>SUM(CZ8:CZ9)+SUM('Cash Flow'!CZ29:CZ30)</f>
        <v>7712.3750000000018</v>
      </c>
      <c r="DA7" s="179">
        <f>SUM(DA8:DA9)+SUM('Cash Flow'!DA29:DA30)</f>
        <v>8145.5660000000007</v>
      </c>
      <c r="DB7" s="179">
        <f>SUM(DB8:DB9)+SUM('Cash Flow'!DB29:DB30)</f>
        <v>4990.6820000000007</v>
      </c>
      <c r="DC7" s="179">
        <f>SUM(DC8:DC9)+SUM('Cash Flow'!DC29:DC30)</f>
        <v>5226.2730000000029</v>
      </c>
      <c r="DD7" s="300">
        <f t="shared" ref="DD7:DD14" si="81">DC7</f>
        <v>5226.2730000000029</v>
      </c>
      <c r="DE7" s="179">
        <f>SUM(DE8:DE9)+SUM('Cash Flow'!DE29:DE30)</f>
        <v>5162.3280000000013</v>
      </c>
      <c r="DF7" s="179">
        <f>SUM(DF8:DF9)+SUM('Cash Flow'!DF29:DF30)</f>
        <v>4746.3280000000013</v>
      </c>
      <c r="DG7" s="179">
        <f>SUM(DG8:DG9)+SUM('Cash Flow'!DG29:DG30)</f>
        <v>4473.0000000000018</v>
      </c>
      <c r="DH7" s="179">
        <f>SUM(DH8:DH9)+SUM('Cash Flow'!DH29:DH30)</f>
        <v>4937.0000000000018</v>
      </c>
      <c r="DI7" s="300">
        <f t="shared" ref="DI7:DI19" si="82">DH7</f>
        <v>4937.0000000000018</v>
      </c>
      <c r="DJ7" s="179">
        <f>SUM(DJ8:DJ9)+SUM('Cash Flow'!DJ29:DJ30)</f>
        <v>5187.0000000000018</v>
      </c>
      <c r="DK7" s="179">
        <f>SUM(DK8:DK9)+SUM('Cash Flow'!DK29:DK30)</f>
        <v>4850.0000000000018</v>
      </c>
      <c r="DL7" s="179">
        <f>SUM(DL8:DL9)+SUM('Cash Flow'!DL29:DL30)</f>
        <v>4646.0000000000018</v>
      </c>
      <c r="DM7" s="179">
        <f t="shared" ref="DM7" si="83">SUM(DM8:DM9)</f>
        <v>5521.9697404962999</v>
      </c>
      <c r="DN7" s="300">
        <f t="shared" ref="DN7:DN14" si="84">DM7</f>
        <v>5521.9697404962999</v>
      </c>
      <c r="DO7" s="179">
        <f>SUM(DO8:DO9)</f>
        <v>6118.5082885049269</v>
      </c>
      <c r="DP7" s="179">
        <f t="shared" ref="DP7" si="85">SUM(DP8:DP9)</f>
        <v>6436.9614271335849</v>
      </c>
      <c r="DQ7" s="179">
        <f t="shared" ref="DQ7" si="86">SUM(DQ8:DQ9)</f>
        <v>5721.2476364515514</v>
      </c>
      <c r="DR7" s="179">
        <f t="shared" ref="DR7" si="87">SUM(DR8:DR9)</f>
        <v>6502.6578224252471</v>
      </c>
      <c r="DS7" s="300">
        <f t="shared" ref="DS7:DS23" si="88">DR7</f>
        <v>6502.6578224252471</v>
      </c>
      <c r="DT7" s="179">
        <f>SUM(DT8:DT9)</f>
        <v>7195.3893823967937</v>
      </c>
      <c r="DU7" s="179">
        <f t="shared" ref="DU7:DW7" si="89">SUM(DU8:DU9)</f>
        <v>7607.6643677545271</v>
      </c>
      <c r="DV7" s="179">
        <f t="shared" si="89"/>
        <v>7865.026561764128</v>
      </c>
      <c r="DW7" s="179">
        <f t="shared" si="89"/>
        <v>8808.0066215019178</v>
      </c>
      <c r="DX7" s="300">
        <f t="shared" ref="DX7:DX16" si="90">DW7</f>
        <v>8808.0066215019178</v>
      </c>
      <c r="DY7" s="179">
        <f>SUM(DY8:DY9)</f>
        <v>9653.2985236258464</v>
      </c>
      <c r="DZ7" s="179">
        <f t="shared" ref="DZ7:EB7" si="91">SUM(DZ8:DZ9)</f>
        <v>10164.840578241776</v>
      </c>
      <c r="EA7" s="179">
        <f t="shared" si="91"/>
        <v>10495.510324537674</v>
      </c>
      <c r="EB7" s="179">
        <f t="shared" si="91"/>
        <v>11646.321433345285</v>
      </c>
      <c r="EC7" s="300">
        <f t="shared" ref="EC7:EC16" si="92">EB7</f>
        <v>11646.321433345285</v>
      </c>
      <c r="ED7" s="446"/>
      <c r="EE7" s="446"/>
      <c r="EF7" s="446"/>
      <c r="EG7" s="446"/>
      <c r="EH7" s="446"/>
      <c r="EI7" s="446"/>
      <c r="EJ7" s="446"/>
      <c r="EK7" s="446"/>
      <c r="EL7" s="446"/>
      <c r="EM7" s="446"/>
      <c r="EN7" s="446"/>
      <c r="EO7" s="446"/>
      <c r="EP7" s="446"/>
      <c r="EQ7" s="446"/>
      <c r="ER7" s="446"/>
      <c r="ES7" s="446"/>
      <c r="ET7" s="446"/>
      <c r="EU7" s="446"/>
      <c r="EV7" s="446"/>
      <c r="EW7" s="446"/>
      <c r="EX7" s="446"/>
      <c r="EY7" s="446"/>
      <c r="EZ7" s="446"/>
      <c r="FA7" s="446"/>
      <c r="FB7" s="446"/>
      <c r="FC7" s="446"/>
      <c r="FD7" s="446"/>
      <c r="FE7" s="446"/>
      <c r="FF7" s="446"/>
      <c r="FG7" s="446"/>
      <c r="FH7" s="446"/>
      <c r="FI7" s="446"/>
      <c r="FJ7" s="446"/>
      <c r="FK7" s="446"/>
      <c r="FL7" s="446"/>
      <c r="FM7" s="446"/>
      <c r="FN7" s="446"/>
      <c r="FO7" s="446"/>
      <c r="FP7" s="446"/>
      <c r="FQ7" s="446"/>
      <c r="FR7" s="446"/>
      <c r="FS7" s="446"/>
      <c r="FT7" s="446"/>
      <c r="FU7" s="446"/>
      <c r="FV7" s="446"/>
      <c r="FW7" s="446"/>
      <c r="FX7" s="446"/>
      <c r="FY7" s="446"/>
      <c r="FZ7" s="446"/>
      <c r="GA7" s="446"/>
      <c r="GB7" s="446"/>
      <c r="GC7" s="446"/>
      <c r="GD7" s="446"/>
      <c r="GE7" s="446"/>
      <c r="GF7" s="446"/>
      <c r="GG7" s="446"/>
      <c r="GH7" s="446"/>
      <c r="GI7" s="446"/>
      <c r="GJ7" s="446"/>
      <c r="GK7" s="446"/>
      <c r="GL7" s="446"/>
      <c r="GM7" s="446"/>
      <c r="GN7" s="446"/>
      <c r="GO7" s="446"/>
      <c r="GP7" s="446"/>
      <c r="GQ7" s="446"/>
      <c r="GR7" s="446"/>
      <c r="GS7" s="446"/>
      <c r="GT7" s="446"/>
      <c r="GU7" s="446"/>
      <c r="GV7" s="446"/>
      <c r="GW7" s="446"/>
      <c r="GX7" s="446"/>
      <c r="GY7" s="446"/>
      <c r="GZ7" s="446"/>
      <c r="HA7" s="446"/>
      <c r="HB7" s="446"/>
      <c r="HC7" s="446"/>
      <c r="HD7" s="446"/>
      <c r="HE7" s="446"/>
      <c r="HF7" s="446"/>
      <c r="HG7" s="446"/>
      <c r="HH7" s="446"/>
      <c r="HI7" s="446"/>
      <c r="HJ7" s="446"/>
      <c r="HK7" s="446"/>
      <c r="HL7" s="446"/>
      <c r="HM7" s="446"/>
      <c r="HN7" s="446"/>
      <c r="HO7" s="446"/>
      <c r="HP7" s="446"/>
      <c r="HQ7" s="446"/>
      <c r="HR7" s="446"/>
      <c r="HS7" s="446"/>
      <c r="HT7" s="446"/>
      <c r="HU7" s="446"/>
      <c r="HV7" s="446"/>
      <c r="HW7" s="446"/>
      <c r="HX7" s="446"/>
      <c r="HY7" s="446"/>
      <c r="HZ7" s="446"/>
      <c r="IA7" s="446"/>
      <c r="IB7" s="446"/>
      <c r="IC7" s="446"/>
      <c r="ID7" s="446"/>
      <c r="IE7" s="446"/>
      <c r="IF7" s="446"/>
      <c r="IG7" s="446"/>
      <c r="IH7" s="446"/>
      <c r="II7" s="446"/>
      <c r="IJ7" s="446"/>
      <c r="IK7" s="446"/>
      <c r="IL7" s="446"/>
      <c r="IM7" s="446"/>
      <c r="IN7" s="446"/>
      <c r="IO7" s="446"/>
      <c r="IP7" s="446"/>
      <c r="IQ7" s="446"/>
      <c r="IR7" s="446"/>
      <c r="IS7" s="446"/>
      <c r="IT7" s="446"/>
      <c r="IU7" s="446"/>
      <c r="IV7" s="446"/>
      <c r="IW7" s="446"/>
      <c r="IX7" s="446"/>
    </row>
    <row r="8" spans="1:258" s="179" customFormat="1" ht="12" customHeight="1">
      <c r="A8" s="139"/>
      <c r="B8" s="139"/>
      <c r="C8" s="451" t="s">
        <v>22</v>
      </c>
      <c r="D8" s="452"/>
      <c r="E8" s="452"/>
      <c r="F8" s="452"/>
      <c r="G8" s="452"/>
      <c r="H8" s="452"/>
      <c r="M8" s="452"/>
      <c r="R8" s="452"/>
      <c r="W8" s="452"/>
      <c r="AB8" s="452"/>
      <c r="AG8" s="452"/>
      <c r="AL8" s="452"/>
      <c r="AQ8" s="452"/>
      <c r="AV8" s="452"/>
      <c r="BA8" s="452"/>
      <c r="BF8" s="369"/>
      <c r="BG8" s="93"/>
      <c r="BH8" s="93"/>
      <c r="BI8" s="93"/>
      <c r="BK8" s="452"/>
      <c r="BP8" s="452"/>
      <c r="BQ8" s="111"/>
      <c r="BR8" s="111">
        <f>'Cash Flow'!BR52</f>
        <v>146.66800000000001</v>
      </c>
      <c r="BS8" s="111">
        <f>'Cash Flow'!BS52</f>
        <v>115.315</v>
      </c>
      <c r="BT8" s="111">
        <f>'Cash Flow'!BT52</f>
        <v>110.07000000000001</v>
      </c>
      <c r="BU8" s="300">
        <f t="shared" si="74"/>
        <v>110.07000000000001</v>
      </c>
      <c r="BV8" s="111">
        <f>'Cash Flow'!BV52</f>
        <v>83.864000000000019</v>
      </c>
      <c r="BW8" s="111">
        <f>'Cash Flow'!BW52</f>
        <v>68.140000000000015</v>
      </c>
      <c r="BX8" s="111">
        <f>'Cash Flow'!BX52</f>
        <v>187.36</v>
      </c>
      <c r="BY8" s="111">
        <f>'Cash Flow'!BY52</f>
        <v>84.013000000000034</v>
      </c>
      <c r="BZ8" s="300">
        <f t="shared" si="75"/>
        <v>84.013000000000034</v>
      </c>
      <c r="CA8" s="111">
        <f>'Cash Flow'!CA52</f>
        <v>101.26800000000003</v>
      </c>
      <c r="CB8" s="111">
        <f>'Cash Flow'!CB52</f>
        <v>199.39699999999993</v>
      </c>
      <c r="CC8" s="111">
        <f>'Cash Flow'!CC52</f>
        <v>119.84899999999996</v>
      </c>
      <c r="CD8" s="111">
        <f>'Cash Flow'!CD52</f>
        <v>141.67700000000005</v>
      </c>
      <c r="CE8" s="300">
        <f t="shared" si="76"/>
        <v>141.67700000000005</v>
      </c>
      <c r="CF8" s="111">
        <f>'Cash Flow'!CF52</f>
        <v>196.57800000000012</v>
      </c>
      <c r="CG8" s="111">
        <f>'Cash Flow'!CG52</f>
        <v>219.80100000000002</v>
      </c>
      <c r="CH8" s="111">
        <f>'Cash Flow'!CH52</f>
        <v>243.42099999999996</v>
      </c>
      <c r="CI8" s="111">
        <f>'Cash Flow'!CI52</f>
        <v>410.68299999999999</v>
      </c>
      <c r="CJ8" s="300">
        <f t="shared" si="77"/>
        <v>410.68299999999999</v>
      </c>
      <c r="CK8" s="111">
        <f>'Cash Flow'!CK52</f>
        <v>410.44600000000003</v>
      </c>
      <c r="CL8" s="111">
        <f>'Cash Flow'!CL52</f>
        <v>668.99</v>
      </c>
      <c r="CM8" s="111">
        <f>'Cash Flow'!CM52</f>
        <v>1124.529</v>
      </c>
      <c r="CN8" s="111">
        <f>'Cash Flow'!CN52</f>
        <v>649.91600000000017</v>
      </c>
      <c r="CO8" s="300">
        <f t="shared" si="78"/>
        <v>649.91600000000017</v>
      </c>
      <c r="CP8" s="111">
        <f>'Cash Flow'!CP52</f>
        <v>969.36300000000028</v>
      </c>
      <c r="CQ8" s="111">
        <f>'Cash Flow'!CQ52</f>
        <v>1882.3620000000001</v>
      </c>
      <c r="CR8" s="111">
        <f>'Cash Flow'!CR52</f>
        <v>3089.884</v>
      </c>
      <c r="CS8" s="111">
        <f>'Cash Flow'!CS52</f>
        <v>2703.5970000000002</v>
      </c>
      <c r="CT8" s="300">
        <f t="shared" si="79"/>
        <v>2703.5970000000002</v>
      </c>
      <c r="CU8" s="111">
        <f>'Cash Flow'!CU52</f>
        <v>2785.5709999999999</v>
      </c>
      <c r="CV8" s="111">
        <f>'Cash Flow'!CV52</f>
        <v>2364.67</v>
      </c>
      <c r="CW8" s="111">
        <f>'Cash Flow'!CW52</f>
        <v>2189.6130000000007</v>
      </c>
      <c r="CX8" s="111">
        <f>'Cash Flow'!CX52</f>
        <v>2502.9920000000002</v>
      </c>
      <c r="CY8" s="300">
        <f t="shared" si="80"/>
        <v>2502.9920000000002</v>
      </c>
      <c r="CZ8" s="111">
        <f>'Cash Flow'!CZ52</f>
        <v>2451.5400000000004</v>
      </c>
      <c r="DA8" s="111">
        <f>'Cash Flow'!DA52</f>
        <v>3350.7810000000004</v>
      </c>
      <c r="DB8" s="111">
        <f>'Cash Flow'!DB52</f>
        <v>1378.2510000000009</v>
      </c>
      <c r="DC8" s="111">
        <f>'Cash Flow'!DC52</f>
        <v>1649.3280000000018</v>
      </c>
      <c r="DD8" s="300">
        <f t="shared" si="81"/>
        <v>1649.3280000000018</v>
      </c>
      <c r="DE8" s="111">
        <f>'Cash Flow'!DE52</f>
        <v>1738.3280000000018</v>
      </c>
      <c r="DF8" s="111">
        <f>'Cash Flow'!DF52</f>
        <v>1611.3280000000018</v>
      </c>
      <c r="DG8" s="111">
        <f>'Cash Flow'!DG52-0.328</f>
        <v>1287.0000000000018</v>
      </c>
      <c r="DH8" s="111">
        <f>'Cash Flow'!DH52</f>
        <v>1413.0000000000018</v>
      </c>
      <c r="DI8" s="300">
        <f t="shared" si="82"/>
        <v>1413.0000000000018</v>
      </c>
      <c r="DJ8" s="111">
        <f>'Cash Flow'!DJ52</f>
        <v>1623.0000000000018</v>
      </c>
      <c r="DK8" s="111">
        <f>'Cash Flow'!DK52</f>
        <v>1541.0000000000018</v>
      </c>
      <c r="DL8" s="111">
        <f>'Cash Flow'!DL52</f>
        <v>1507.0000000000018</v>
      </c>
      <c r="DM8" s="111">
        <f>'Cash Flow'!DM52</f>
        <v>2133.9697404962999</v>
      </c>
      <c r="DN8" s="300">
        <f t="shared" si="84"/>
        <v>2133.9697404962999</v>
      </c>
      <c r="DO8" s="111">
        <f>'Cash Flow'!DO52</f>
        <v>2730.5082885049264</v>
      </c>
      <c r="DP8" s="111">
        <f>'Cash Flow'!DP52</f>
        <v>3048.9614271335854</v>
      </c>
      <c r="DQ8" s="111">
        <f>'Cash Flow'!DQ52</f>
        <v>2333.247636451551</v>
      </c>
      <c r="DR8" s="111">
        <f>'Cash Flow'!DR52</f>
        <v>3114.6578224252471</v>
      </c>
      <c r="DS8" s="300">
        <f t="shared" si="88"/>
        <v>3114.6578224252471</v>
      </c>
      <c r="DT8" s="111">
        <f>'Cash Flow'!DT52</f>
        <v>3807.3893823967933</v>
      </c>
      <c r="DU8" s="111">
        <f>'Cash Flow'!DU52</f>
        <v>4219.6643677545271</v>
      </c>
      <c r="DV8" s="111">
        <f>'Cash Flow'!DV52</f>
        <v>4477.026561764128</v>
      </c>
      <c r="DW8" s="111">
        <f>'Cash Flow'!DW52</f>
        <v>5420.0066215019169</v>
      </c>
      <c r="DX8" s="300">
        <f t="shared" si="90"/>
        <v>5420.0066215019169</v>
      </c>
      <c r="DY8" s="111">
        <f>'Cash Flow'!DY52</f>
        <v>6265.2985236258455</v>
      </c>
      <c r="DZ8" s="111">
        <f>'Cash Flow'!DZ52</f>
        <v>6776.8405782417767</v>
      </c>
      <c r="EA8" s="111">
        <f>'Cash Flow'!EA52</f>
        <v>7107.5103245376749</v>
      </c>
      <c r="EB8" s="111">
        <f>'Cash Flow'!EB52</f>
        <v>8258.3214333452852</v>
      </c>
      <c r="EC8" s="300">
        <f t="shared" si="92"/>
        <v>8258.3214333452852</v>
      </c>
      <c r="ED8" s="446"/>
      <c r="EE8" s="446"/>
      <c r="EF8" s="446"/>
      <c r="EG8" s="446"/>
      <c r="EH8" s="446"/>
      <c r="EI8" s="446"/>
      <c r="EJ8" s="446"/>
      <c r="EK8" s="446"/>
      <c r="EL8" s="446"/>
      <c r="EM8" s="446"/>
      <c r="EN8" s="446"/>
      <c r="EO8" s="446"/>
      <c r="EP8" s="446"/>
      <c r="EQ8" s="446"/>
      <c r="ER8" s="446"/>
      <c r="ES8" s="446"/>
      <c r="ET8" s="446"/>
      <c r="EU8" s="446"/>
      <c r="EV8" s="446"/>
      <c r="EW8" s="446"/>
      <c r="EX8" s="446"/>
      <c r="EY8" s="446"/>
      <c r="EZ8" s="446"/>
      <c r="FA8" s="446"/>
      <c r="FB8" s="446"/>
      <c r="FC8" s="446"/>
      <c r="FD8" s="446"/>
      <c r="FE8" s="446"/>
      <c r="FF8" s="446"/>
      <c r="FG8" s="446"/>
      <c r="FH8" s="446"/>
      <c r="FI8" s="446"/>
      <c r="FJ8" s="446"/>
      <c r="FK8" s="446"/>
      <c r="FL8" s="446"/>
      <c r="FM8" s="446"/>
      <c r="FN8" s="446"/>
      <c r="FO8" s="446"/>
      <c r="FP8" s="446"/>
      <c r="FQ8" s="446"/>
      <c r="FR8" s="446"/>
      <c r="FS8" s="446"/>
      <c r="FT8" s="446"/>
      <c r="FU8" s="446"/>
      <c r="FV8" s="446"/>
      <c r="FW8" s="446"/>
      <c r="FX8" s="446"/>
      <c r="FY8" s="446"/>
      <c r="FZ8" s="446"/>
      <c r="GA8" s="446"/>
      <c r="GB8" s="446"/>
      <c r="GC8" s="446"/>
      <c r="GD8" s="446"/>
      <c r="GE8" s="446"/>
      <c r="GF8" s="446"/>
      <c r="GG8" s="446"/>
      <c r="GH8" s="446"/>
      <c r="GI8" s="446"/>
      <c r="GJ8" s="446"/>
      <c r="GK8" s="446"/>
      <c r="GL8" s="446"/>
      <c r="GM8" s="446"/>
      <c r="GN8" s="446"/>
      <c r="GO8" s="446"/>
      <c r="GP8" s="446"/>
      <c r="GQ8" s="446"/>
      <c r="GR8" s="446"/>
      <c r="GS8" s="446"/>
      <c r="GT8" s="446"/>
      <c r="GU8" s="446"/>
      <c r="GV8" s="446"/>
      <c r="GW8" s="446"/>
      <c r="GX8" s="446"/>
      <c r="GY8" s="446"/>
      <c r="GZ8" s="446"/>
      <c r="HA8" s="446"/>
      <c r="HB8" s="446"/>
      <c r="HC8" s="446"/>
      <c r="HD8" s="446"/>
      <c r="HE8" s="446"/>
      <c r="HF8" s="446"/>
      <c r="HG8" s="446"/>
      <c r="HH8" s="446"/>
      <c r="HI8" s="446"/>
      <c r="HJ8" s="446"/>
      <c r="HK8" s="446"/>
      <c r="HL8" s="446"/>
      <c r="HM8" s="446"/>
      <c r="HN8" s="446"/>
      <c r="HO8" s="446"/>
      <c r="HP8" s="446"/>
      <c r="HQ8" s="446"/>
      <c r="HR8" s="446"/>
      <c r="HS8" s="446"/>
      <c r="HT8" s="446"/>
      <c r="HU8" s="446"/>
      <c r="HV8" s="446"/>
      <c r="HW8" s="446"/>
      <c r="HX8" s="446"/>
      <c r="HY8" s="446"/>
      <c r="HZ8" s="446"/>
      <c r="IA8" s="446"/>
      <c r="IB8" s="446"/>
      <c r="IC8" s="446"/>
      <c r="ID8" s="446"/>
      <c r="IE8" s="446"/>
      <c r="IF8" s="446"/>
      <c r="IG8" s="446"/>
      <c r="IH8" s="446"/>
      <c r="II8" s="446"/>
      <c r="IJ8" s="446"/>
      <c r="IK8" s="446"/>
      <c r="IL8" s="446"/>
      <c r="IM8" s="446"/>
      <c r="IN8" s="446"/>
      <c r="IO8" s="446"/>
      <c r="IP8" s="446"/>
      <c r="IQ8" s="446"/>
      <c r="IR8" s="446"/>
      <c r="IS8" s="446"/>
      <c r="IT8" s="446"/>
      <c r="IU8" s="446"/>
      <c r="IV8" s="446"/>
      <c r="IW8" s="446"/>
      <c r="IX8" s="446"/>
    </row>
    <row r="9" spans="1:258" s="179" customFormat="1" ht="12" customHeight="1">
      <c r="A9" s="139"/>
      <c r="B9" s="139"/>
      <c r="C9" s="451" t="s">
        <v>263</v>
      </c>
      <c r="D9" s="369"/>
      <c r="E9" s="369"/>
      <c r="F9" s="369"/>
      <c r="G9" s="369"/>
      <c r="H9" s="369"/>
      <c r="I9" s="370"/>
      <c r="J9" s="370"/>
      <c r="K9" s="370"/>
      <c r="L9" s="370"/>
      <c r="M9" s="452"/>
      <c r="N9" s="370"/>
      <c r="O9" s="370"/>
      <c r="P9" s="370"/>
      <c r="Q9" s="370"/>
      <c r="R9" s="452"/>
      <c r="S9" s="370"/>
      <c r="T9" s="370"/>
      <c r="U9" s="370"/>
      <c r="V9" s="370"/>
      <c r="W9" s="452"/>
      <c r="X9" s="370"/>
      <c r="Y9" s="370"/>
      <c r="Z9" s="370"/>
      <c r="AA9" s="370"/>
      <c r="AB9" s="452"/>
      <c r="AC9" s="370"/>
      <c r="AD9" s="370"/>
      <c r="AE9" s="370"/>
      <c r="AF9" s="370"/>
      <c r="AG9" s="452"/>
      <c r="AH9" s="370"/>
      <c r="AI9" s="370"/>
      <c r="AJ9" s="370"/>
      <c r="AK9" s="370"/>
      <c r="AL9" s="452"/>
      <c r="AM9" s="370"/>
      <c r="AN9" s="370"/>
      <c r="AO9" s="370"/>
      <c r="AP9" s="370"/>
      <c r="AQ9" s="452"/>
      <c r="AR9" s="370"/>
      <c r="AS9" s="370"/>
      <c r="AT9" s="370"/>
      <c r="AU9" s="370"/>
      <c r="AV9" s="452"/>
      <c r="AW9" s="370"/>
      <c r="AX9" s="370"/>
      <c r="AY9" s="370"/>
      <c r="AZ9" s="370"/>
      <c r="BA9" s="452"/>
      <c r="BB9" s="370"/>
      <c r="BC9" s="370"/>
      <c r="BD9" s="370"/>
      <c r="BE9" s="370"/>
      <c r="BF9" s="369"/>
      <c r="BG9" s="93"/>
      <c r="BH9" s="93"/>
      <c r="BI9" s="93"/>
      <c r="BJ9" s="370"/>
      <c r="BK9" s="453"/>
      <c r="BL9" s="842"/>
      <c r="BM9" s="842"/>
      <c r="BN9" s="842"/>
      <c r="BO9" s="842"/>
      <c r="BP9" s="454"/>
      <c r="BQ9" s="282"/>
      <c r="BR9" s="282">
        <v>52.161000000000001</v>
      </c>
      <c r="BS9" s="282">
        <v>71.620999999999995</v>
      </c>
      <c r="BT9" s="282">
        <v>80.102999999999994</v>
      </c>
      <c r="BU9" s="365">
        <f t="shared" si="74"/>
        <v>80.102999999999994</v>
      </c>
      <c r="BV9" s="282">
        <v>105.6</v>
      </c>
      <c r="BW9" s="282">
        <v>111.506</v>
      </c>
      <c r="BX9" s="282">
        <v>212.92699999999999</v>
      </c>
      <c r="BY9" s="282">
        <v>308.40100000000001</v>
      </c>
      <c r="BZ9" s="365">
        <f t="shared" si="75"/>
        <v>308.40100000000001</v>
      </c>
      <c r="CA9" s="282">
        <v>294.42200000000003</v>
      </c>
      <c r="CB9" s="282">
        <v>733.02</v>
      </c>
      <c r="CC9" s="282">
        <v>806.71</v>
      </c>
      <c r="CD9" s="282">
        <v>796.36199999999997</v>
      </c>
      <c r="CE9" s="365">
        <f t="shared" si="76"/>
        <v>796.36199999999997</v>
      </c>
      <c r="CF9" s="282">
        <v>1383.4549999999999</v>
      </c>
      <c r="CG9" s="282">
        <v>1354.367</v>
      </c>
      <c r="CH9" s="282">
        <v>1334.8040000000001</v>
      </c>
      <c r="CI9" s="282">
        <v>1558.9870000000001</v>
      </c>
      <c r="CJ9" s="365">
        <f t="shared" si="77"/>
        <v>1558.9870000000001</v>
      </c>
      <c r="CK9" s="282">
        <v>1586.568</v>
      </c>
      <c r="CL9" s="282">
        <v>1344.3409999999999</v>
      </c>
      <c r="CM9" s="282">
        <v>1542.653</v>
      </c>
      <c r="CN9" s="282">
        <v>1805.278</v>
      </c>
      <c r="CO9" s="365">
        <f t="shared" si="78"/>
        <v>1805.278</v>
      </c>
      <c r="CP9" s="282">
        <v>1391.2090000000001</v>
      </c>
      <c r="CQ9" s="282">
        <v>2118.5929999999998</v>
      </c>
      <c r="CR9" s="282">
        <v>3031.277</v>
      </c>
      <c r="CS9" s="282">
        <v>3684.37</v>
      </c>
      <c r="CT9" s="365">
        <f t="shared" si="79"/>
        <v>3684.37</v>
      </c>
      <c r="CU9" s="282">
        <v>5086.8770000000004</v>
      </c>
      <c r="CV9" s="282">
        <v>5390.7169999999996</v>
      </c>
      <c r="CW9" s="282">
        <v>5329.0810000000001</v>
      </c>
      <c r="CX9" s="282">
        <v>5265.1009999999997</v>
      </c>
      <c r="CY9" s="365">
        <f t="shared" si="80"/>
        <v>5265.1009999999997</v>
      </c>
      <c r="CZ9" s="282">
        <v>4795.1450000000004</v>
      </c>
      <c r="DA9" s="282">
        <v>3604.01</v>
      </c>
      <c r="DB9" s="282">
        <v>3563.181</v>
      </c>
      <c r="DC9" s="282">
        <v>3403.6219999999998</v>
      </c>
      <c r="DD9" s="352">
        <f t="shared" si="81"/>
        <v>3403.6219999999998</v>
      </c>
      <c r="DE9" s="465">
        <v>3125</v>
      </c>
      <c r="DF9" s="465">
        <v>3169</v>
      </c>
      <c r="DG9" s="465">
        <v>3631</v>
      </c>
      <c r="DH9" s="465">
        <v>3595</v>
      </c>
      <c r="DI9" s="352">
        <f t="shared" si="82"/>
        <v>3595</v>
      </c>
      <c r="DJ9" s="465">
        <v>3554</v>
      </c>
      <c r="DK9" s="465">
        <v>3480</v>
      </c>
      <c r="DL9" s="465">
        <v>3388</v>
      </c>
      <c r="DM9" s="499">
        <f>DL9-SUM('Cash Flow'!DM29:DM30)</f>
        <v>3388</v>
      </c>
      <c r="DN9" s="352">
        <f t="shared" si="84"/>
        <v>3388</v>
      </c>
      <c r="DO9" s="499">
        <f>DN9-SUM('Cash Flow'!DO29:DO30)</f>
        <v>3388</v>
      </c>
      <c r="DP9" s="499">
        <f>DO9-SUM('Cash Flow'!DP29:DP30)</f>
        <v>3388</v>
      </c>
      <c r="DQ9" s="499">
        <f>DP9-SUM('Cash Flow'!DQ29:DQ30)</f>
        <v>3388</v>
      </c>
      <c r="DR9" s="499">
        <f>DQ9-SUM('Cash Flow'!DR29:DR30)</f>
        <v>3388</v>
      </c>
      <c r="DS9" s="352">
        <f t="shared" si="88"/>
        <v>3388</v>
      </c>
      <c r="DT9" s="499">
        <f>DS9-SUM('Cash Flow'!DT29:DT30)</f>
        <v>3388</v>
      </c>
      <c r="DU9" s="499">
        <f>DT9-SUM('Cash Flow'!DU29:DU30)</f>
        <v>3388</v>
      </c>
      <c r="DV9" s="499">
        <f>DU9-SUM('Cash Flow'!DV29:DV30)</f>
        <v>3388</v>
      </c>
      <c r="DW9" s="499">
        <f>DV9-SUM('Cash Flow'!DW29:DW30)</f>
        <v>3388</v>
      </c>
      <c r="DX9" s="352">
        <f t="shared" si="90"/>
        <v>3388</v>
      </c>
      <c r="DY9" s="499">
        <f>DX9-SUM('Cash Flow'!DY29:DY30)</f>
        <v>3388</v>
      </c>
      <c r="DZ9" s="499">
        <f>DY9-SUM('Cash Flow'!DZ29:DZ30)</f>
        <v>3388</v>
      </c>
      <c r="EA9" s="499">
        <f>DZ9-SUM('Cash Flow'!EA29:EA30)</f>
        <v>3388</v>
      </c>
      <c r="EB9" s="499">
        <f>EA9-SUM('Cash Flow'!EB29:EB30)</f>
        <v>3388</v>
      </c>
      <c r="EC9" s="352">
        <f t="shared" si="92"/>
        <v>3388</v>
      </c>
      <c r="ED9" s="446"/>
      <c r="EE9" s="446"/>
      <c r="EF9" s="446"/>
      <c r="EG9" s="446"/>
      <c r="EH9" s="446"/>
      <c r="EI9" s="446"/>
      <c r="EJ9" s="446"/>
      <c r="EK9" s="446"/>
      <c r="EL9" s="446"/>
      <c r="EM9" s="446"/>
      <c r="EN9" s="446"/>
      <c r="EO9" s="446"/>
      <c r="EP9" s="446"/>
      <c r="EQ9" s="446"/>
      <c r="ER9" s="446"/>
      <c r="ES9" s="446"/>
      <c r="ET9" s="446"/>
      <c r="EU9" s="446"/>
      <c r="EV9" s="446"/>
      <c r="EW9" s="446"/>
      <c r="EX9" s="446"/>
      <c r="EY9" s="446"/>
      <c r="EZ9" s="446"/>
      <c r="FA9" s="446"/>
      <c r="FB9" s="446"/>
      <c r="FC9" s="446"/>
      <c r="FD9" s="446"/>
      <c r="FE9" s="446"/>
      <c r="FF9" s="446"/>
      <c r="FG9" s="446"/>
      <c r="FH9" s="446"/>
      <c r="FI9" s="446"/>
      <c r="FJ9" s="446"/>
      <c r="FK9" s="446"/>
      <c r="FL9" s="446"/>
      <c r="FM9" s="446"/>
      <c r="FN9" s="446"/>
      <c r="FO9" s="446"/>
      <c r="FP9" s="446"/>
      <c r="FQ9" s="446"/>
      <c r="FR9" s="446"/>
      <c r="FS9" s="446"/>
      <c r="FT9" s="446"/>
      <c r="FU9" s="446"/>
      <c r="FV9" s="446"/>
      <c r="FW9" s="446"/>
      <c r="FX9" s="446"/>
      <c r="FY9" s="446"/>
      <c r="FZ9" s="446"/>
      <c r="GA9" s="446"/>
      <c r="GB9" s="446"/>
      <c r="GC9" s="446"/>
      <c r="GD9" s="446"/>
      <c r="GE9" s="446"/>
      <c r="GF9" s="446"/>
      <c r="GG9" s="446"/>
      <c r="GH9" s="446"/>
      <c r="GI9" s="446"/>
      <c r="GJ9" s="446"/>
      <c r="GK9" s="446"/>
      <c r="GL9" s="446"/>
      <c r="GM9" s="446"/>
      <c r="GN9" s="446"/>
      <c r="GO9" s="446"/>
      <c r="GP9" s="446"/>
      <c r="GQ9" s="446"/>
      <c r="GR9" s="446"/>
      <c r="GS9" s="446"/>
      <c r="GT9" s="446"/>
      <c r="GU9" s="446"/>
      <c r="GV9" s="446"/>
      <c r="GW9" s="446"/>
      <c r="GX9" s="446"/>
      <c r="GY9" s="446"/>
      <c r="GZ9" s="446"/>
      <c r="HA9" s="446"/>
      <c r="HB9" s="446"/>
      <c r="HC9" s="446"/>
      <c r="HD9" s="446"/>
      <c r="HE9" s="446"/>
      <c r="HF9" s="446"/>
      <c r="HG9" s="446"/>
      <c r="HH9" s="446"/>
      <c r="HI9" s="446"/>
      <c r="HJ9" s="446"/>
      <c r="HK9" s="446"/>
      <c r="HL9" s="446"/>
      <c r="HM9" s="446"/>
      <c r="HN9" s="446"/>
      <c r="HO9" s="446"/>
      <c r="HP9" s="446"/>
      <c r="HQ9" s="446"/>
      <c r="HR9" s="446"/>
      <c r="HS9" s="446"/>
      <c r="HT9" s="446"/>
      <c r="HU9" s="446"/>
      <c r="HV9" s="446"/>
      <c r="HW9" s="446"/>
      <c r="HX9" s="446"/>
      <c r="HY9" s="446"/>
      <c r="HZ9" s="446"/>
      <c r="IA9" s="446"/>
      <c r="IB9" s="446"/>
      <c r="IC9" s="446"/>
      <c r="ID9" s="446"/>
      <c r="IE9" s="446"/>
      <c r="IF9" s="446"/>
      <c r="IG9" s="446"/>
      <c r="IH9" s="446"/>
      <c r="II9" s="446"/>
      <c r="IJ9" s="446"/>
      <c r="IK9" s="446"/>
      <c r="IL9" s="446"/>
      <c r="IM9" s="446"/>
      <c r="IN9" s="446"/>
      <c r="IO9" s="446"/>
      <c r="IP9" s="446"/>
      <c r="IQ9" s="446"/>
      <c r="IR9" s="446"/>
      <c r="IS9" s="446"/>
      <c r="IT9" s="446"/>
      <c r="IU9" s="446"/>
      <c r="IV9" s="446"/>
      <c r="IW9" s="446"/>
      <c r="IX9" s="446"/>
    </row>
    <row r="10" spans="1:258" s="179" customFormat="1" ht="12" customHeight="1">
      <c r="A10" s="139"/>
      <c r="B10" s="139"/>
      <c r="C10" s="309" t="s">
        <v>49</v>
      </c>
      <c r="D10" s="369"/>
      <c r="E10" s="369"/>
      <c r="F10" s="369"/>
      <c r="G10" s="369"/>
      <c r="H10" s="369"/>
      <c r="I10" s="370"/>
      <c r="J10" s="370"/>
      <c r="K10" s="370"/>
      <c r="L10" s="370"/>
      <c r="M10" s="452"/>
      <c r="N10" s="370"/>
      <c r="O10" s="370"/>
      <c r="P10" s="370"/>
      <c r="Q10" s="370"/>
      <c r="R10" s="452"/>
      <c r="S10" s="370"/>
      <c r="T10" s="370"/>
      <c r="U10" s="370"/>
      <c r="V10" s="370"/>
      <c r="W10" s="452"/>
      <c r="X10" s="370"/>
      <c r="Y10" s="370"/>
      <c r="Z10" s="370"/>
      <c r="AA10" s="370"/>
      <c r="AB10" s="452"/>
      <c r="AC10" s="370"/>
      <c r="AD10" s="370"/>
      <c r="AE10" s="370"/>
      <c r="AF10" s="370"/>
      <c r="AG10" s="452"/>
      <c r="AH10" s="370"/>
      <c r="AI10" s="370"/>
      <c r="AJ10" s="370"/>
      <c r="AK10" s="370"/>
      <c r="AL10" s="452"/>
      <c r="AM10" s="370"/>
      <c r="AN10" s="370"/>
      <c r="AO10" s="370"/>
      <c r="AP10" s="370"/>
      <c r="AQ10" s="452"/>
      <c r="AR10" s="370"/>
      <c r="AS10" s="370"/>
      <c r="AT10" s="370"/>
      <c r="AU10" s="370"/>
      <c r="AV10" s="452"/>
      <c r="AW10" s="370"/>
      <c r="AX10" s="370"/>
      <c r="AY10" s="370"/>
      <c r="AZ10" s="370"/>
      <c r="BA10" s="452"/>
      <c r="BB10" s="370"/>
      <c r="BC10" s="370"/>
      <c r="BD10" s="370"/>
      <c r="BE10" s="370"/>
      <c r="BF10" s="369"/>
      <c r="BG10" s="93"/>
      <c r="BH10" s="93"/>
      <c r="BI10" s="93"/>
      <c r="BJ10" s="370"/>
      <c r="BK10" s="369"/>
      <c r="BL10" s="370"/>
      <c r="BM10" s="370"/>
      <c r="BN10" s="370"/>
      <c r="BO10" s="370"/>
      <c r="BP10" s="452"/>
      <c r="BQ10" s="282"/>
      <c r="BR10" s="282">
        <v>3.2930000000000001</v>
      </c>
      <c r="BS10" s="282">
        <v>3.8359999999999999</v>
      </c>
      <c r="BT10" s="282">
        <v>6.0890000000000004</v>
      </c>
      <c r="BU10" s="300">
        <f t="shared" si="74"/>
        <v>6.0890000000000004</v>
      </c>
      <c r="BV10" s="282">
        <v>6.548</v>
      </c>
      <c r="BW10" s="282">
        <v>9.0920000000000005</v>
      </c>
      <c r="BX10" s="282">
        <v>7.6840000000000002</v>
      </c>
      <c r="BY10" s="282">
        <v>9.5990000000000002</v>
      </c>
      <c r="BZ10" s="300">
        <f t="shared" si="75"/>
        <v>9.5990000000000002</v>
      </c>
      <c r="CA10" s="282">
        <v>9.1609999999999996</v>
      </c>
      <c r="CB10" s="282">
        <v>12.599</v>
      </c>
      <c r="CC10" s="282">
        <v>17.789000000000001</v>
      </c>
      <c r="CD10" s="282">
        <v>21.939</v>
      </c>
      <c r="CE10" s="300">
        <f t="shared" si="76"/>
        <v>21.939</v>
      </c>
      <c r="CF10" s="282">
        <v>28.364999999999998</v>
      </c>
      <c r="CG10" s="282">
        <v>32.51</v>
      </c>
      <c r="CH10" s="282">
        <v>35.798999999999999</v>
      </c>
      <c r="CI10" s="282">
        <v>41.347000000000001</v>
      </c>
      <c r="CJ10" s="300">
        <f t="shared" si="77"/>
        <v>41.347000000000001</v>
      </c>
      <c r="CK10" s="282">
        <v>40.412999999999997</v>
      </c>
      <c r="CL10" s="282">
        <v>45.84</v>
      </c>
      <c r="CM10" s="282">
        <v>46.691000000000003</v>
      </c>
      <c r="CN10" s="282">
        <v>90.528999999999996</v>
      </c>
      <c r="CO10" s="300">
        <f t="shared" si="78"/>
        <v>90.528999999999996</v>
      </c>
      <c r="CP10" s="282">
        <v>88.138999999999996</v>
      </c>
      <c r="CQ10" s="282">
        <v>106.40900000000001</v>
      </c>
      <c r="CR10" s="282">
        <v>109.7</v>
      </c>
      <c r="CS10" s="282">
        <v>120.752</v>
      </c>
      <c r="CT10" s="300">
        <f t="shared" si="79"/>
        <v>120.752</v>
      </c>
      <c r="CU10" s="282">
        <v>163.46100000000001</v>
      </c>
      <c r="CV10" s="282">
        <v>153.4</v>
      </c>
      <c r="CW10" s="282">
        <v>151.773</v>
      </c>
      <c r="CX10" s="282">
        <v>192.209</v>
      </c>
      <c r="CY10" s="300">
        <f t="shared" si="80"/>
        <v>192.209</v>
      </c>
      <c r="CZ10" s="282">
        <v>225.25200000000001</v>
      </c>
      <c r="DA10" s="282">
        <v>238.72300000000001</v>
      </c>
      <c r="DB10" s="282">
        <v>241.18299999999999</v>
      </c>
      <c r="DC10" s="282">
        <v>273.05500000000001</v>
      </c>
      <c r="DD10" s="300">
        <f t="shared" si="81"/>
        <v>273.05500000000001</v>
      </c>
      <c r="DE10" s="282">
        <v>276</v>
      </c>
      <c r="DF10" s="282">
        <v>262</v>
      </c>
      <c r="DG10" s="282">
        <v>248</v>
      </c>
      <c r="DH10" s="282">
        <v>282</v>
      </c>
      <c r="DI10" s="300">
        <f t="shared" si="82"/>
        <v>282</v>
      </c>
      <c r="DJ10" s="282">
        <v>265</v>
      </c>
      <c r="DK10" s="282">
        <v>275</v>
      </c>
      <c r="DL10" s="282">
        <v>281</v>
      </c>
      <c r="DM10" s="125">
        <f>DM52*Income!DM11/(DM5-DL5)</f>
        <v>352.642068743631</v>
      </c>
      <c r="DN10" s="300">
        <f t="shared" si="84"/>
        <v>352.642068743631</v>
      </c>
      <c r="DO10" s="125">
        <f>DO52*Income!DO11/(DO5-DM5)</f>
        <v>311.85112322760415</v>
      </c>
      <c r="DP10" s="125">
        <f>DP52*Income!DP11/(DP5-DO5)</f>
        <v>330.72901734257869</v>
      </c>
      <c r="DQ10" s="125">
        <f>DQ52*Income!DQ11/(DQ5-DP5)</f>
        <v>343.2920411385723</v>
      </c>
      <c r="DR10" s="125">
        <f>DR52*Income!DR11/(DR5-DQ5)</f>
        <v>432.77465656752389</v>
      </c>
      <c r="DS10" s="300">
        <f t="shared" si="88"/>
        <v>432.77465656752389</v>
      </c>
      <c r="DT10" s="125">
        <f>DT52*Income!DT11/(DT5-DR5)</f>
        <v>373.22736758100967</v>
      </c>
      <c r="DU10" s="125">
        <f>DU52*Income!DU11/(DU5-DT5)</f>
        <v>395.75553150493272</v>
      </c>
      <c r="DV10" s="125">
        <f>DV52*Income!DV11/(DV5-DU5)</f>
        <v>410.55192926127768</v>
      </c>
      <c r="DW10" s="125">
        <f>DW52*Income!DW11/(DW5-DV5)</f>
        <v>518.54537491425572</v>
      </c>
      <c r="DX10" s="300">
        <f t="shared" si="90"/>
        <v>518.54537491425572</v>
      </c>
      <c r="DY10" s="125">
        <f>DY52*Income!DY11/(DY5-DW5)</f>
        <v>440.04906385383634</v>
      </c>
      <c r="DZ10" s="125">
        <f>DZ52*Income!DZ11/(DZ5-DY5)</f>
        <v>466.54127769675199</v>
      </c>
      <c r="EA10" s="125">
        <f>EA52*Income!EA11/(EA5-DZ5)</f>
        <v>483.77024846833666</v>
      </c>
      <c r="EB10" s="125">
        <f>EB52*Income!EB11/(EB5-EA5)</f>
        <v>611.94223591847742</v>
      </c>
      <c r="EC10" s="300">
        <f t="shared" si="92"/>
        <v>611.94223591847742</v>
      </c>
      <c r="ED10" s="446"/>
      <c r="EE10" s="446"/>
      <c r="EF10" s="446"/>
      <c r="EG10" s="446"/>
      <c r="EH10" s="446"/>
      <c r="EI10" s="446"/>
      <c r="EJ10" s="446"/>
      <c r="EK10" s="446"/>
      <c r="EL10" s="446"/>
      <c r="EM10" s="446"/>
      <c r="EN10" s="446"/>
      <c r="EO10" s="446"/>
      <c r="EP10" s="446"/>
      <c r="EQ10" s="446"/>
      <c r="ER10" s="446"/>
      <c r="ES10" s="446"/>
      <c r="ET10" s="446"/>
      <c r="EU10" s="446"/>
      <c r="EV10" s="446"/>
      <c r="EW10" s="446"/>
      <c r="EX10" s="446"/>
      <c r="EY10" s="446"/>
      <c r="EZ10" s="446"/>
      <c r="FA10" s="446"/>
      <c r="FB10" s="446"/>
      <c r="FC10" s="446"/>
      <c r="FD10" s="446"/>
      <c r="FE10" s="446"/>
      <c r="FF10" s="446"/>
      <c r="FG10" s="446"/>
      <c r="FH10" s="446"/>
      <c r="FI10" s="446"/>
      <c r="FJ10" s="446"/>
      <c r="FK10" s="446"/>
      <c r="FL10" s="446"/>
      <c r="FM10" s="446"/>
      <c r="FN10" s="446"/>
      <c r="FO10" s="446"/>
      <c r="FP10" s="446"/>
      <c r="FQ10" s="446"/>
      <c r="FR10" s="446"/>
      <c r="FS10" s="446"/>
      <c r="FT10" s="446"/>
      <c r="FU10" s="446"/>
      <c r="FV10" s="446"/>
      <c r="FW10" s="446"/>
      <c r="FX10" s="446"/>
      <c r="FY10" s="446"/>
      <c r="FZ10" s="446"/>
      <c r="GA10" s="446"/>
      <c r="GB10" s="446"/>
      <c r="GC10" s="446"/>
      <c r="GD10" s="446"/>
      <c r="GE10" s="446"/>
      <c r="GF10" s="446"/>
      <c r="GG10" s="446"/>
      <c r="GH10" s="446"/>
      <c r="GI10" s="446"/>
      <c r="GJ10" s="446"/>
      <c r="GK10" s="446"/>
      <c r="GL10" s="446"/>
      <c r="GM10" s="446"/>
      <c r="GN10" s="446"/>
      <c r="GO10" s="446"/>
      <c r="GP10" s="446"/>
      <c r="GQ10" s="446"/>
      <c r="GR10" s="446"/>
      <c r="GS10" s="446"/>
      <c r="GT10" s="446"/>
      <c r="GU10" s="446"/>
      <c r="GV10" s="446"/>
      <c r="GW10" s="446"/>
      <c r="GX10" s="446"/>
      <c r="GY10" s="446"/>
      <c r="GZ10" s="446"/>
      <c r="HA10" s="446"/>
      <c r="HB10" s="446"/>
      <c r="HC10" s="446"/>
      <c r="HD10" s="446"/>
      <c r="HE10" s="446"/>
      <c r="HF10" s="446"/>
      <c r="HG10" s="446"/>
      <c r="HH10" s="446"/>
      <c r="HI10" s="446"/>
      <c r="HJ10" s="446"/>
      <c r="HK10" s="446"/>
      <c r="HL10" s="446"/>
      <c r="HM10" s="446"/>
      <c r="HN10" s="446"/>
      <c r="HO10" s="446"/>
      <c r="HP10" s="446"/>
      <c r="HQ10" s="446"/>
      <c r="HR10" s="446"/>
      <c r="HS10" s="446"/>
      <c r="HT10" s="446"/>
      <c r="HU10" s="446"/>
      <c r="HV10" s="446"/>
      <c r="HW10" s="446"/>
      <c r="HX10" s="446"/>
      <c r="HY10" s="446"/>
      <c r="HZ10" s="446"/>
      <c r="IA10" s="446"/>
      <c r="IB10" s="446"/>
      <c r="IC10" s="446"/>
      <c r="ID10" s="446"/>
      <c r="IE10" s="446"/>
      <c r="IF10" s="446"/>
      <c r="IG10" s="446"/>
      <c r="IH10" s="446"/>
      <c r="II10" s="446"/>
      <c r="IJ10" s="446"/>
      <c r="IK10" s="446"/>
      <c r="IL10" s="446"/>
      <c r="IM10" s="446"/>
      <c r="IN10" s="446"/>
      <c r="IO10" s="446"/>
      <c r="IP10" s="446"/>
      <c r="IQ10" s="446"/>
      <c r="IR10" s="446"/>
      <c r="IS10" s="446"/>
      <c r="IT10" s="446"/>
      <c r="IU10" s="446"/>
      <c r="IV10" s="446"/>
      <c r="IW10" s="446"/>
      <c r="IX10" s="446"/>
    </row>
    <row r="11" spans="1:258" s="179" customFormat="1" ht="12" customHeight="1">
      <c r="A11" s="139"/>
      <c r="B11" s="139"/>
      <c r="C11" s="309" t="s">
        <v>270</v>
      </c>
      <c r="D11" s="369"/>
      <c r="E11" s="369"/>
      <c r="F11" s="369"/>
      <c r="G11" s="369"/>
      <c r="H11" s="369"/>
      <c r="I11" s="370"/>
      <c r="J11" s="370"/>
      <c r="K11" s="370"/>
      <c r="L11" s="370"/>
      <c r="M11" s="452"/>
      <c r="N11" s="370"/>
      <c r="O11" s="370"/>
      <c r="P11" s="370"/>
      <c r="Q11" s="370"/>
      <c r="R11" s="452"/>
      <c r="S11" s="370"/>
      <c r="T11" s="370"/>
      <c r="U11" s="370"/>
      <c r="V11" s="370"/>
      <c r="W11" s="452"/>
      <c r="X11" s="370"/>
      <c r="Y11" s="370"/>
      <c r="Z11" s="370"/>
      <c r="AA11" s="370"/>
      <c r="AB11" s="452"/>
      <c r="AC11" s="370"/>
      <c r="AD11" s="370"/>
      <c r="AE11" s="370"/>
      <c r="AF11" s="370"/>
      <c r="AG11" s="452"/>
      <c r="AH11" s="370"/>
      <c r="AI11" s="370"/>
      <c r="AJ11" s="370"/>
      <c r="AK11" s="370"/>
      <c r="AL11" s="452"/>
      <c r="AM11" s="370"/>
      <c r="AN11" s="370"/>
      <c r="AO11" s="370"/>
      <c r="AP11" s="370"/>
      <c r="AQ11" s="452"/>
      <c r="AR11" s="370"/>
      <c r="AS11" s="370"/>
      <c r="AT11" s="370"/>
      <c r="AU11" s="370"/>
      <c r="AV11" s="452"/>
      <c r="AW11" s="370"/>
      <c r="AX11" s="370"/>
      <c r="AY11" s="370"/>
      <c r="AZ11" s="370"/>
      <c r="BA11" s="452"/>
      <c r="BB11" s="370"/>
      <c r="BC11" s="370"/>
      <c r="BD11" s="370"/>
      <c r="BE11" s="370"/>
      <c r="BF11" s="369"/>
      <c r="BG11" s="93"/>
      <c r="BH11" s="93"/>
      <c r="BI11" s="93"/>
      <c r="BJ11" s="370"/>
      <c r="BK11" s="369"/>
      <c r="BL11" s="370"/>
      <c r="BM11" s="370"/>
      <c r="BN11" s="370"/>
      <c r="BO11" s="370"/>
      <c r="BP11" s="452"/>
      <c r="BQ11" s="282"/>
      <c r="BR11" s="282">
        <v>0</v>
      </c>
      <c r="BS11" s="282">
        <v>0</v>
      </c>
      <c r="BT11" s="282">
        <v>0</v>
      </c>
      <c r="BU11" s="300">
        <f t="shared" si="74"/>
        <v>0</v>
      </c>
      <c r="BV11" s="282">
        <v>0</v>
      </c>
      <c r="BW11" s="282">
        <v>0</v>
      </c>
      <c r="BX11" s="282">
        <v>9.0990000000000002</v>
      </c>
      <c r="BY11" s="282">
        <v>11.896000000000001</v>
      </c>
      <c r="BZ11" s="300">
        <f t="shared" si="75"/>
        <v>11.896000000000001</v>
      </c>
      <c r="CA11" s="282">
        <v>17.337</v>
      </c>
      <c r="CB11" s="282">
        <v>32.838999999999999</v>
      </c>
      <c r="CC11" s="282">
        <v>50.276000000000003</v>
      </c>
      <c r="CD11" s="282">
        <v>47.100999999999999</v>
      </c>
      <c r="CE11" s="300">
        <f t="shared" si="76"/>
        <v>47.100999999999999</v>
      </c>
      <c r="CF11" s="282">
        <v>63.527999999999999</v>
      </c>
      <c r="CG11" s="282">
        <v>79.980999999999995</v>
      </c>
      <c r="CH11" s="282">
        <v>99.518000000000001</v>
      </c>
      <c r="CI11" s="282">
        <v>91.873000000000005</v>
      </c>
      <c r="CJ11" s="300">
        <f t="shared" si="77"/>
        <v>91.873000000000005</v>
      </c>
      <c r="CK11" s="282">
        <v>106.834</v>
      </c>
      <c r="CL11" s="282">
        <v>115.556</v>
      </c>
      <c r="CM11" s="282">
        <v>165.77500000000001</v>
      </c>
      <c r="CN11" s="282">
        <v>150.172</v>
      </c>
      <c r="CO11" s="300">
        <f t="shared" si="78"/>
        <v>150.172</v>
      </c>
      <c r="CP11" s="282">
        <v>191.863</v>
      </c>
      <c r="CQ11" s="282">
        <v>166.495</v>
      </c>
      <c r="CR11" s="282">
        <v>247.977</v>
      </c>
      <c r="CS11" s="282">
        <v>244.72300000000001</v>
      </c>
      <c r="CT11" s="300">
        <f t="shared" si="79"/>
        <v>244.72300000000001</v>
      </c>
      <c r="CU11" s="282">
        <v>312.77100000000002</v>
      </c>
      <c r="CV11" s="282">
        <v>415.35399999999998</v>
      </c>
      <c r="CW11" s="282">
        <v>524.02</v>
      </c>
      <c r="CX11" s="282">
        <v>470.72199999999998</v>
      </c>
      <c r="CY11" s="300">
        <f t="shared" si="80"/>
        <v>470.72199999999998</v>
      </c>
      <c r="CZ11" s="282">
        <v>486.50700000000001</v>
      </c>
      <c r="DA11" s="282">
        <v>537.79</v>
      </c>
      <c r="DB11" s="282">
        <v>666.053</v>
      </c>
      <c r="DC11" s="282">
        <v>580.11400000000003</v>
      </c>
      <c r="DD11" s="300">
        <f t="shared" si="81"/>
        <v>580.11400000000003</v>
      </c>
      <c r="DE11" s="282">
        <v>629</v>
      </c>
      <c r="DF11" s="282">
        <v>719</v>
      </c>
      <c r="DG11" s="282">
        <v>833</v>
      </c>
      <c r="DH11" s="282">
        <v>816</v>
      </c>
      <c r="DI11" s="331">
        <f t="shared" si="82"/>
        <v>816</v>
      </c>
      <c r="DJ11" s="282">
        <v>815</v>
      </c>
      <c r="DK11" s="282">
        <v>918</v>
      </c>
      <c r="DL11" s="282">
        <v>1154</v>
      </c>
      <c r="DM11" s="455">
        <f t="shared" ref="DM11" si="93">DM51*DM54</f>
        <v>1159.204508172548</v>
      </c>
      <c r="DN11" s="331">
        <f t="shared" si="84"/>
        <v>1159.204508172548</v>
      </c>
      <c r="DO11" s="455">
        <f>DO51*DO54</f>
        <v>1000.8938045159794</v>
      </c>
      <c r="DP11" s="455">
        <f t="shared" ref="DP11:DR11" si="94">DP51*DP54</f>
        <v>1100.773043436865</v>
      </c>
      <c r="DQ11" s="455">
        <f t="shared" si="94"/>
        <v>1378.5001473209097</v>
      </c>
      <c r="DR11" s="455">
        <f t="shared" si="94"/>
        <v>1389.4368468671601</v>
      </c>
      <c r="DS11" s="300">
        <f t="shared" si="88"/>
        <v>1389.4368468671601</v>
      </c>
      <c r="DT11" s="455">
        <f>DT51*DT54</f>
        <v>1169.8903088010118</v>
      </c>
      <c r="DU11" s="455">
        <f t="shared" ref="DU11:DW11" si="95">DU51*DU54</f>
        <v>1287.1908344804751</v>
      </c>
      <c r="DV11" s="455">
        <f t="shared" si="95"/>
        <v>1617.1087267597759</v>
      </c>
      <c r="DW11" s="455">
        <f t="shared" si="95"/>
        <v>1625.0513300726011</v>
      </c>
      <c r="DX11" s="300">
        <f t="shared" si="90"/>
        <v>1625.0513300726011</v>
      </c>
      <c r="DY11" s="455">
        <f>DY51*DY54</f>
        <v>1346.3408697175587</v>
      </c>
      <c r="DZ11" s="455">
        <f t="shared" ref="DZ11:EB11" si="96">DZ51*DZ54</f>
        <v>1482.0413726178467</v>
      </c>
      <c r="EA11" s="455">
        <f t="shared" si="96"/>
        <v>1868.4167674354758</v>
      </c>
      <c r="EB11" s="455">
        <f t="shared" si="96"/>
        <v>1870.8289356467976</v>
      </c>
      <c r="EC11" s="300">
        <f t="shared" si="92"/>
        <v>1870.8289356467976</v>
      </c>
      <c r="ED11" s="446"/>
      <c r="EE11" s="446"/>
      <c r="EF11" s="446"/>
      <c r="EG11" s="446"/>
      <c r="EH11" s="446"/>
      <c r="EI11" s="446"/>
      <c r="EJ11" s="446"/>
      <c r="EK11" s="446"/>
      <c r="EL11" s="446"/>
      <c r="EM11" s="446"/>
      <c r="EN11" s="446"/>
      <c r="EO11" s="446"/>
      <c r="EP11" s="446"/>
      <c r="EQ11" s="446"/>
      <c r="ER11" s="446"/>
      <c r="ES11" s="446"/>
      <c r="ET11" s="446"/>
      <c r="EU11" s="446"/>
      <c r="EV11" s="446"/>
      <c r="EW11" s="446"/>
      <c r="EX11" s="446"/>
      <c r="EY11" s="446"/>
      <c r="EZ11" s="446"/>
      <c r="FA11" s="446"/>
      <c r="FB11" s="446"/>
      <c r="FC11" s="446"/>
      <c r="FD11" s="446"/>
      <c r="FE11" s="446"/>
      <c r="FF11" s="446"/>
      <c r="FG11" s="446"/>
      <c r="FH11" s="446"/>
      <c r="FI11" s="446"/>
      <c r="FJ11" s="446"/>
      <c r="FK11" s="446"/>
      <c r="FL11" s="446"/>
      <c r="FM11" s="446"/>
      <c r="FN11" s="446"/>
      <c r="FO11" s="446"/>
      <c r="FP11" s="446"/>
      <c r="FQ11" s="446"/>
      <c r="FR11" s="446"/>
      <c r="FS11" s="446"/>
      <c r="FT11" s="446"/>
      <c r="FU11" s="446"/>
      <c r="FV11" s="446"/>
      <c r="FW11" s="446"/>
      <c r="FX11" s="446"/>
      <c r="FY11" s="446"/>
      <c r="FZ11" s="446"/>
      <c r="GA11" s="446"/>
      <c r="GB11" s="446"/>
      <c r="GC11" s="446"/>
      <c r="GD11" s="446"/>
      <c r="GE11" s="446"/>
      <c r="GF11" s="446"/>
      <c r="GG11" s="446"/>
      <c r="GH11" s="446"/>
      <c r="GI11" s="446"/>
      <c r="GJ11" s="446"/>
      <c r="GK11" s="446"/>
      <c r="GL11" s="446"/>
      <c r="GM11" s="446"/>
      <c r="GN11" s="446"/>
      <c r="GO11" s="446"/>
      <c r="GP11" s="446"/>
      <c r="GQ11" s="446"/>
      <c r="GR11" s="446"/>
      <c r="GS11" s="446"/>
      <c r="GT11" s="446"/>
      <c r="GU11" s="446"/>
      <c r="GV11" s="446"/>
      <c r="GW11" s="446"/>
      <c r="GX11" s="446"/>
      <c r="GY11" s="446"/>
      <c r="GZ11" s="446"/>
      <c r="HA11" s="446"/>
      <c r="HB11" s="446"/>
      <c r="HC11" s="446"/>
      <c r="HD11" s="446"/>
      <c r="HE11" s="446"/>
      <c r="HF11" s="446"/>
      <c r="HG11" s="446"/>
      <c r="HH11" s="446"/>
      <c r="HI11" s="446"/>
      <c r="HJ11" s="446"/>
      <c r="HK11" s="446"/>
      <c r="HL11" s="446"/>
      <c r="HM11" s="446"/>
      <c r="HN11" s="446"/>
      <c r="HO11" s="446"/>
      <c r="HP11" s="446"/>
      <c r="HQ11" s="446"/>
      <c r="HR11" s="446"/>
      <c r="HS11" s="446"/>
      <c r="HT11" s="446"/>
      <c r="HU11" s="446"/>
      <c r="HV11" s="446"/>
      <c r="HW11" s="446"/>
      <c r="HX11" s="446"/>
      <c r="HY11" s="446"/>
      <c r="HZ11" s="446"/>
      <c r="IA11" s="446"/>
      <c r="IB11" s="446"/>
      <c r="IC11" s="446"/>
      <c r="ID11" s="446"/>
      <c r="IE11" s="446"/>
      <c r="IF11" s="446"/>
      <c r="IG11" s="446"/>
      <c r="IH11" s="446"/>
      <c r="II11" s="446"/>
      <c r="IJ11" s="446"/>
      <c r="IK11" s="446"/>
      <c r="IL11" s="446"/>
      <c r="IM11" s="446"/>
      <c r="IN11" s="446"/>
      <c r="IO11" s="446"/>
      <c r="IP11" s="446"/>
      <c r="IQ11" s="446"/>
      <c r="IR11" s="446"/>
      <c r="IS11" s="446"/>
      <c r="IT11" s="446"/>
      <c r="IU11" s="446"/>
      <c r="IV11" s="446"/>
      <c r="IW11" s="446"/>
      <c r="IX11" s="446"/>
    </row>
    <row r="12" spans="1:258" s="179" customFormat="1" ht="12" customHeight="1">
      <c r="A12" s="139"/>
      <c r="B12" s="139"/>
      <c r="C12" s="309" t="s">
        <v>264</v>
      </c>
      <c r="D12" s="369"/>
      <c r="E12" s="369"/>
      <c r="F12" s="369"/>
      <c r="G12" s="369"/>
      <c r="H12" s="369"/>
      <c r="I12" s="370"/>
      <c r="J12" s="370"/>
      <c r="K12" s="370"/>
      <c r="L12" s="370"/>
      <c r="M12" s="452"/>
      <c r="N12" s="370"/>
      <c r="O12" s="370"/>
      <c r="P12" s="370"/>
      <c r="Q12" s="370"/>
      <c r="R12" s="452"/>
      <c r="S12" s="370"/>
      <c r="T12" s="370"/>
      <c r="U12" s="370"/>
      <c r="V12" s="370"/>
      <c r="W12" s="452"/>
      <c r="X12" s="370"/>
      <c r="Y12" s="370"/>
      <c r="Z12" s="370"/>
      <c r="AA12" s="370"/>
      <c r="AB12" s="452"/>
      <c r="AC12" s="370"/>
      <c r="AD12" s="370"/>
      <c r="AE12" s="370"/>
      <c r="AF12" s="370"/>
      <c r="AG12" s="452"/>
      <c r="AH12" s="370"/>
      <c r="AI12" s="370"/>
      <c r="AJ12" s="370"/>
      <c r="AK12" s="370"/>
      <c r="AL12" s="452"/>
      <c r="AM12" s="370"/>
      <c r="AN12" s="370"/>
      <c r="AO12" s="370"/>
      <c r="AP12" s="370"/>
      <c r="AQ12" s="452"/>
      <c r="AR12" s="370"/>
      <c r="AS12" s="370"/>
      <c r="AT12" s="370"/>
      <c r="AU12" s="370"/>
      <c r="AV12" s="452"/>
      <c r="AW12" s="370"/>
      <c r="AX12" s="370"/>
      <c r="AY12" s="370"/>
      <c r="AZ12" s="370"/>
      <c r="BA12" s="452"/>
      <c r="BB12" s="370"/>
      <c r="BC12" s="370"/>
      <c r="BD12" s="370"/>
      <c r="BE12" s="370"/>
      <c r="BF12" s="369"/>
      <c r="BG12" s="93"/>
      <c r="BH12" s="93"/>
      <c r="BI12" s="93"/>
      <c r="BJ12" s="370"/>
      <c r="BK12" s="369"/>
      <c r="BL12" s="370"/>
      <c r="BM12" s="370"/>
      <c r="BN12" s="370"/>
      <c r="BO12" s="370"/>
      <c r="BP12" s="452"/>
      <c r="BQ12" s="282"/>
      <c r="BR12" s="282">
        <v>0</v>
      </c>
      <c r="BS12" s="282">
        <v>0</v>
      </c>
      <c r="BT12" s="282">
        <v>0</v>
      </c>
      <c r="BU12" s="300">
        <f t="shared" si="74"/>
        <v>0</v>
      </c>
      <c r="BV12" s="282">
        <v>0</v>
      </c>
      <c r="BW12" s="282">
        <v>0</v>
      </c>
      <c r="BX12" s="282">
        <v>0</v>
      </c>
      <c r="BY12" s="282">
        <v>0</v>
      </c>
      <c r="BZ12" s="300">
        <f t="shared" si="75"/>
        <v>0</v>
      </c>
      <c r="CA12" s="282">
        <v>0</v>
      </c>
      <c r="CB12" s="282">
        <v>0</v>
      </c>
      <c r="CC12" s="282">
        <v>0</v>
      </c>
      <c r="CD12" s="282">
        <v>0</v>
      </c>
      <c r="CE12" s="300">
        <f t="shared" si="76"/>
        <v>0</v>
      </c>
      <c r="CF12" s="282">
        <v>0</v>
      </c>
      <c r="CG12" s="282">
        <v>0</v>
      </c>
      <c r="CH12" s="282">
        <v>0</v>
      </c>
      <c r="CI12" s="282">
        <v>0</v>
      </c>
      <c r="CJ12" s="300">
        <f t="shared" si="77"/>
        <v>0</v>
      </c>
      <c r="CK12" s="282">
        <v>0</v>
      </c>
      <c r="CL12" s="282">
        <v>0</v>
      </c>
      <c r="CM12" s="282">
        <v>0</v>
      </c>
      <c r="CN12" s="282">
        <v>0</v>
      </c>
      <c r="CO12" s="300">
        <f t="shared" si="78"/>
        <v>0</v>
      </c>
      <c r="CP12" s="282">
        <v>28.402000000000001</v>
      </c>
      <c r="CQ12" s="282">
        <v>49.173000000000002</v>
      </c>
      <c r="CR12" s="282">
        <v>71.302999999999997</v>
      </c>
      <c r="CS12" s="282">
        <v>56.067</v>
      </c>
      <c r="CT12" s="300">
        <f t="shared" si="79"/>
        <v>56.067</v>
      </c>
      <c r="CU12" s="282">
        <v>56.572000000000003</v>
      </c>
      <c r="CV12" s="282">
        <v>56.942999999999998</v>
      </c>
      <c r="CW12" s="282">
        <v>57.372</v>
      </c>
      <c r="CX12" s="282">
        <v>5.0229999999999997</v>
      </c>
      <c r="CY12" s="300">
        <f t="shared" si="80"/>
        <v>5.0229999999999997</v>
      </c>
      <c r="CZ12" s="282">
        <v>3.3690000000000002</v>
      </c>
      <c r="DA12" s="282">
        <v>13.212999999999999</v>
      </c>
      <c r="DB12" s="282">
        <v>11.996</v>
      </c>
      <c r="DC12" s="282">
        <v>4.6950000000000003</v>
      </c>
      <c r="DD12" s="300">
        <f t="shared" si="81"/>
        <v>4.6950000000000003</v>
      </c>
      <c r="DE12" s="282">
        <v>159</v>
      </c>
      <c r="DF12" s="282">
        <v>148</v>
      </c>
      <c r="DG12" s="282">
        <v>162</v>
      </c>
      <c r="DH12" s="282">
        <v>0</v>
      </c>
      <c r="DI12" s="331">
        <f t="shared" si="82"/>
        <v>0</v>
      </c>
      <c r="DJ12" s="282">
        <v>0</v>
      </c>
      <c r="DK12" s="282">
        <v>0</v>
      </c>
      <c r="DL12" s="282">
        <v>0</v>
      </c>
      <c r="DM12" s="456">
        <f>DL12</f>
        <v>0</v>
      </c>
      <c r="DN12" s="331">
        <f t="shared" si="84"/>
        <v>0</v>
      </c>
      <c r="DO12" s="456">
        <f>DM12</f>
        <v>0</v>
      </c>
      <c r="DP12" s="456">
        <f>DO12</f>
        <v>0</v>
      </c>
      <c r="DQ12" s="456">
        <f>DP12</f>
        <v>0</v>
      </c>
      <c r="DR12" s="456">
        <f>DQ12</f>
        <v>0</v>
      </c>
      <c r="DS12" s="300">
        <f t="shared" si="88"/>
        <v>0</v>
      </c>
      <c r="DT12" s="456">
        <f>DR12</f>
        <v>0</v>
      </c>
      <c r="DU12" s="456">
        <f>DT12</f>
        <v>0</v>
      </c>
      <c r="DV12" s="456">
        <f>DU12</f>
        <v>0</v>
      </c>
      <c r="DW12" s="456">
        <f>DV12</f>
        <v>0</v>
      </c>
      <c r="DX12" s="300">
        <f t="shared" si="90"/>
        <v>0</v>
      </c>
      <c r="DY12" s="456">
        <f>DW12</f>
        <v>0</v>
      </c>
      <c r="DZ12" s="456">
        <f>DY12</f>
        <v>0</v>
      </c>
      <c r="EA12" s="456">
        <f>DZ12</f>
        <v>0</v>
      </c>
      <c r="EB12" s="456">
        <f>EA12</f>
        <v>0</v>
      </c>
      <c r="EC12" s="300">
        <f t="shared" si="92"/>
        <v>0</v>
      </c>
      <c r="ED12" s="446"/>
      <c r="EE12" s="446"/>
      <c r="EF12" s="446"/>
      <c r="EG12" s="446"/>
      <c r="EH12" s="446"/>
      <c r="EI12" s="446"/>
      <c r="EJ12" s="446"/>
      <c r="EK12" s="446"/>
      <c r="EL12" s="446"/>
      <c r="EM12" s="446"/>
      <c r="EN12" s="446"/>
      <c r="EO12" s="446"/>
      <c r="EP12" s="446"/>
      <c r="EQ12" s="446"/>
      <c r="ER12" s="446"/>
      <c r="ES12" s="446"/>
      <c r="ET12" s="446"/>
      <c r="EU12" s="446"/>
      <c r="EV12" s="446"/>
      <c r="EW12" s="446"/>
      <c r="EX12" s="446"/>
      <c r="EY12" s="446"/>
      <c r="EZ12" s="446"/>
      <c r="FA12" s="446"/>
      <c r="FB12" s="446"/>
      <c r="FC12" s="446"/>
      <c r="FD12" s="446"/>
      <c r="FE12" s="446"/>
      <c r="FF12" s="446"/>
      <c r="FG12" s="446"/>
      <c r="FH12" s="446"/>
      <c r="FI12" s="446"/>
      <c r="FJ12" s="446"/>
      <c r="FK12" s="446"/>
      <c r="FL12" s="446"/>
      <c r="FM12" s="446"/>
      <c r="FN12" s="446"/>
      <c r="FO12" s="446"/>
      <c r="FP12" s="446"/>
      <c r="FQ12" s="446"/>
      <c r="FR12" s="446"/>
      <c r="FS12" s="446"/>
      <c r="FT12" s="446"/>
      <c r="FU12" s="446"/>
      <c r="FV12" s="446"/>
      <c r="FW12" s="446"/>
      <c r="FX12" s="446"/>
      <c r="FY12" s="446"/>
      <c r="FZ12" s="446"/>
      <c r="GA12" s="446"/>
      <c r="GB12" s="446"/>
      <c r="GC12" s="446"/>
      <c r="GD12" s="446"/>
      <c r="GE12" s="446"/>
      <c r="GF12" s="446"/>
      <c r="GG12" s="446"/>
      <c r="GH12" s="446"/>
      <c r="GI12" s="446"/>
      <c r="GJ12" s="446"/>
      <c r="GK12" s="446"/>
      <c r="GL12" s="446"/>
      <c r="GM12" s="446"/>
      <c r="GN12" s="446"/>
      <c r="GO12" s="446"/>
      <c r="GP12" s="446"/>
      <c r="GQ12" s="446"/>
      <c r="GR12" s="446"/>
      <c r="GS12" s="446"/>
      <c r="GT12" s="446"/>
      <c r="GU12" s="446"/>
      <c r="GV12" s="446"/>
      <c r="GW12" s="446"/>
      <c r="GX12" s="446"/>
      <c r="GY12" s="446"/>
      <c r="GZ12" s="446"/>
      <c r="HA12" s="446"/>
      <c r="HB12" s="446"/>
      <c r="HC12" s="446"/>
      <c r="HD12" s="446"/>
      <c r="HE12" s="446"/>
      <c r="HF12" s="446"/>
      <c r="HG12" s="446"/>
      <c r="HH12" s="446"/>
      <c r="HI12" s="446"/>
      <c r="HJ12" s="446"/>
      <c r="HK12" s="446"/>
      <c r="HL12" s="446"/>
      <c r="HM12" s="446"/>
      <c r="HN12" s="446"/>
      <c r="HO12" s="446"/>
      <c r="HP12" s="446"/>
      <c r="HQ12" s="446"/>
      <c r="HR12" s="446"/>
      <c r="HS12" s="446"/>
      <c r="HT12" s="446"/>
      <c r="HU12" s="446"/>
      <c r="HV12" s="446"/>
      <c r="HW12" s="446"/>
      <c r="HX12" s="446"/>
      <c r="HY12" s="446"/>
      <c r="HZ12" s="446"/>
      <c r="IA12" s="446"/>
      <c r="IB12" s="446"/>
      <c r="IC12" s="446"/>
      <c r="ID12" s="446"/>
      <c r="IE12" s="446"/>
      <c r="IF12" s="446"/>
      <c r="IG12" s="446"/>
      <c r="IH12" s="446"/>
      <c r="II12" s="446"/>
      <c r="IJ12" s="446"/>
      <c r="IK12" s="446"/>
      <c r="IL12" s="446"/>
      <c r="IM12" s="446"/>
      <c r="IN12" s="446"/>
      <c r="IO12" s="446"/>
      <c r="IP12" s="446"/>
      <c r="IQ12" s="446"/>
      <c r="IR12" s="446"/>
      <c r="IS12" s="446"/>
      <c r="IT12" s="446"/>
      <c r="IU12" s="446"/>
      <c r="IV12" s="446"/>
      <c r="IW12" s="446"/>
      <c r="IX12" s="446"/>
    </row>
    <row r="13" spans="1:258" s="179" customFormat="1" ht="12" customHeight="1">
      <c r="A13" s="139"/>
      <c r="B13" s="139"/>
      <c r="C13" s="309" t="s">
        <v>53</v>
      </c>
      <c r="D13" s="457"/>
      <c r="E13" s="457"/>
      <c r="F13" s="457"/>
      <c r="G13" s="457"/>
      <c r="H13" s="457"/>
      <c r="I13" s="458"/>
      <c r="J13" s="458"/>
      <c r="K13" s="458"/>
      <c r="L13" s="458"/>
      <c r="M13" s="459"/>
      <c r="N13" s="458"/>
      <c r="O13" s="458"/>
      <c r="P13" s="458"/>
      <c r="Q13" s="458"/>
      <c r="R13" s="459"/>
      <c r="S13" s="458"/>
      <c r="T13" s="458"/>
      <c r="U13" s="458"/>
      <c r="V13" s="458"/>
      <c r="W13" s="459"/>
      <c r="X13" s="458"/>
      <c r="Y13" s="458"/>
      <c r="Z13" s="458"/>
      <c r="AA13" s="458"/>
      <c r="AB13" s="459"/>
      <c r="AC13" s="458"/>
      <c r="AD13" s="458"/>
      <c r="AE13" s="458"/>
      <c r="AF13" s="458"/>
      <c r="AG13" s="459"/>
      <c r="AH13" s="458"/>
      <c r="AI13" s="458"/>
      <c r="AJ13" s="458"/>
      <c r="AK13" s="458"/>
      <c r="AL13" s="459"/>
      <c r="AM13" s="458"/>
      <c r="AN13" s="458"/>
      <c r="AO13" s="458"/>
      <c r="AP13" s="458"/>
      <c r="AQ13" s="459"/>
      <c r="AR13" s="458"/>
      <c r="AS13" s="458"/>
      <c r="AT13" s="458"/>
      <c r="AU13" s="458"/>
      <c r="AV13" s="459"/>
      <c r="AW13" s="458"/>
      <c r="AX13" s="458"/>
      <c r="AY13" s="458"/>
      <c r="AZ13" s="458"/>
      <c r="BA13" s="459"/>
      <c r="BB13" s="458"/>
      <c r="BC13" s="458"/>
      <c r="BD13" s="458"/>
      <c r="BE13" s="458"/>
      <c r="BF13" s="457"/>
      <c r="BG13" s="93"/>
      <c r="BH13" s="93"/>
      <c r="BI13" s="93"/>
      <c r="BJ13" s="458"/>
      <c r="BK13" s="457"/>
      <c r="BL13" s="458"/>
      <c r="BM13" s="458"/>
      <c r="BN13" s="458"/>
      <c r="BO13" s="458"/>
      <c r="BP13" s="459"/>
      <c r="BQ13" s="390"/>
      <c r="BR13" s="282">
        <v>2.9540000000000002</v>
      </c>
      <c r="BS13" s="282">
        <v>4.7039999999999997</v>
      </c>
      <c r="BT13" s="282">
        <v>6.2030000000000003</v>
      </c>
      <c r="BU13" s="300">
        <f t="shared" si="74"/>
        <v>6.2030000000000003</v>
      </c>
      <c r="BV13" s="282">
        <v>7.149</v>
      </c>
      <c r="BW13" s="282">
        <v>7.1349999999999998</v>
      </c>
      <c r="BX13" s="282">
        <v>10.305</v>
      </c>
      <c r="BY13" s="282">
        <v>8.9890000000000008</v>
      </c>
      <c r="BZ13" s="300">
        <f t="shared" si="75"/>
        <v>8.9890000000000008</v>
      </c>
      <c r="CA13" s="282">
        <v>12.113</v>
      </c>
      <c r="CB13" s="282">
        <v>16.382000000000001</v>
      </c>
      <c r="CC13" s="282">
        <v>20.302</v>
      </c>
      <c r="CD13" s="282">
        <v>18.597999999999999</v>
      </c>
      <c r="CE13" s="300">
        <f t="shared" si="76"/>
        <v>18.597999999999999</v>
      </c>
      <c r="CF13" s="282">
        <v>17.550999999999998</v>
      </c>
      <c r="CG13" s="282">
        <v>20.041</v>
      </c>
      <c r="CH13" s="282">
        <v>23.443999999999999</v>
      </c>
      <c r="CI13" s="282">
        <v>26.192</v>
      </c>
      <c r="CJ13" s="300">
        <f t="shared" si="77"/>
        <v>26.192</v>
      </c>
      <c r="CK13" s="282">
        <v>29.701000000000001</v>
      </c>
      <c r="CL13" s="282">
        <v>36.438000000000002</v>
      </c>
      <c r="CM13" s="282">
        <v>31.184000000000001</v>
      </c>
      <c r="CN13" s="282">
        <v>46.332999999999998</v>
      </c>
      <c r="CO13" s="300">
        <f t="shared" si="78"/>
        <v>46.332999999999998</v>
      </c>
      <c r="CP13" s="282">
        <v>58.911999999999999</v>
      </c>
      <c r="CQ13" s="282">
        <v>66.162000000000006</v>
      </c>
      <c r="CR13" s="282">
        <v>63.076000000000001</v>
      </c>
      <c r="CS13" s="282">
        <v>68.247</v>
      </c>
      <c r="CT13" s="300">
        <f t="shared" si="79"/>
        <v>68.247</v>
      </c>
      <c r="CU13" s="282">
        <v>77.853999999999999</v>
      </c>
      <c r="CV13" s="282">
        <v>79.081999999999994</v>
      </c>
      <c r="CW13" s="282">
        <v>80.891999999999996</v>
      </c>
      <c r="CX13" s="282">
        <v>103.273</v>
      </c>
      <c r="CY13" s="300">
        <f t="shared" si="80"/>
        <v>103.273</v>
      </c>
      <c r="CZ13" s="282">
        <v>113.063</v>
      </c>
      <c r="DA13" s="282">
        <v>113.247</v>
      </c>
      <c r="DB13" s="282">
        <v>152.322</v>
      </c>
      <c r="DC13" s="282">
        <v>139.65899999999999</v>
      </c>
      <c r="DD13" s="300">
        <f t="shared" si="81"/>
        <v>139.65899999999999</v>
      </c>
      <c r="DE13" s="282">
        <v>0</v>
      </c>
      <c r="DF13" s="282">
        <v>0</v>
      </c>
      <c r="DG13" s="282">
        <v>0</v>
      </c>
      <c r="DH13" s="282">
        <v>169</v>
      </c>
      <c r="DI13" s="300">
        <f t="shared" si="82"/>
        <v>169</v>
      </c>
      <c r="DJ13" s="282">
        <v>183</v>
      </c>
      <c r="DK13" s="282">
        <v>188</v>
      </c>
      <c r="DL13" s="282">
        <v>211</v>
      </c>
      <c r="DM13" s="125">
        <f>DM55*Income!DM11</f>
        <v>194.65842194648431</v>
      </c>
      <c r="DN13" s="300">
        <f t="shared" si="84"/>
        <v>194.65842194648431</v>
      </c>
      <c r="DO13" s="125">
        <f>DO55*Income!DO11</f>
        <v>206.60346378581079</v>
      </c>
      <c r="DP13" s="125">
        <f>DP55*Income!DP11</f>
        <v>205.48662851968885</v>
      </c>
      <c r="DQ13" s="125">
        <f>DQ55*Income!DQ11</f>
        <v>230.54130053483274</v>
      </c>
      <c r="DR13" s="125">
        <f>DR55*Income!DR11</f>
        <v>205.71222008842966</v>
      </c>
      <c r="DS13" s="300">
        <f t="shared" si="88"/>
        <v>205.71222008842966</v>
      </c>
      <c r="DT13" s="125">
        <f>DT55*Income!DT11</f>
        <v>247.26563792306095</v>
      </c>
      <c r="DU13" s="125">
        <f>DU55*Income!DU11</f>
        <v>245.88852390514609</v>
      </c>
      <c r="DV13" s="125">
        <f>DV55*Income!DV11</f>
        <v>275.71037008333604</v>
      </c>
      <c r="DW13" s="125">
        <f>DW55*Income!DW11</f>
        <v>246.48190154257617</v>
      </c>
      <c r="DX13" s="300">
        <f t="shared" si="90"/>
        <v>246.48190154257617</v>
      </c>
      <c r="DY13" s="125">
        <f>DY55*Income!DY11</f>
        <v>291.535460533042</v>
      </c>
      <c r="DZ13" s="125">
        <f>DZ55*Income!DZ11</f>
        <v>289.86871182177111</v>
      </c>
      <c r="EA13" s="125">
        <f>EA55*Income!EA11</f>
        <v>324.88088530118296</v>
      </c>
      <c r="EB13" s="125">
        <f>EB55*Income!EB11</f>
        <v>290.8765428065829</v>
      </c>
      <c r="EC13" s="300">
        <f t="shared" si="92"/>
        <v>290.8765428065829</v>
      </c>
      <c r="ED13" s="446"/>
      <c r="EE13" s="446"/>
      <c r="EF13" s="446"/>
      <c r="EG13" s="446"/>
      <c r="EH13" s="446"/>
      <c r="EI13" s="446"/>
      <c r="EJ13" s="446"/>
      <c r="EK13" s="446"/>
      <c r="EL13" s="446"/>
      <c r="EM13" s="446"/>
      <c r="EN13" s="446"/>
      <c r="EO13" s="446"/>
      <c r="EP13" s="446"/>
      <c r="EQ13" s="446"/>
      <c r="ER13" s="446"/>
      <c r="ES13" s="446"/>
      <c r="ET13" s="446"/>
      <c r="EU13" s="446"/>
      <c r="EV13" s="446"/>
      <c r="EW13" s="446"/>
      <c r="EX13" s="446"/>
      <c r="EY13" s="446"/>
      <c r="EZ13" s="446"/>
      <c r="FA13" s="446"/>
      <c r="FB13" s="446"/>
      <c r="FC13" s="446"/>
      <c r="FD13" s="446"/>
      <c r="FE13" s="446"/>
      <c r="FF13" s="446"/>
      <c r="FG13" s="446"/>
      <c r="FH13" s="446"/>
      <c r="FI13" s="446"/>
      <c r="FJ13" s="446"/>
      <c r="FK13" s="446"/>
      <c r="FL13" s="446"/>
      <c r="FM13" s="446"/>
      <c r="FN13" s="446"/>
      <c r="FO13" s="446"/>
      <c r="FP13" s="446"/>
      <c r="FQ13" s="446"/>
      <c r="FR13" s="446"/>
      <c r="FS13" s="446"/>
      <c r="FT13" s="446"/>
      <c r="FU13" s="446"/>
      <c r="FV13" s="446"/>
      <c r="FW13" s="446"/>
      <c r="FX13" s="446"/>
      <c r="FY13" s="446"/>
      <c r="FZ13" s="446"/>
      <c r="GA13" s="446"/>
      <c r="GB13" s="446"/>
      <c r="GC13" s="446"/>
      <c r="GD13" s="446"/>
      <c r="GE13" s="446"/>
      <c r="GF13" s="446"/>
      <c r="GG13" s="446"/>
      <c r="GH13" s="446"/>
      <c r="GI13" s="446"/>
      <c r="GJ13" s="446"/>
      <c r="GK13" s="446"/>
      <c r="GL13" s="446"/>
      <c r="GM13" s="446"/>
      <c r="GN13" s="446"/>
      <c r="GO13" s="446"/>
      <c r="GP13" s="446"/>
      <c r="GQ13" s="446"/>
      <c r="GR13" s="446"/>
      <c r="GS13" s="446"/>
      <c r="GT13" s="446"/>
      <c r="GU13" s="446"/>
      <c r="GV13" s="446"/>
      <c r="GW13" s="446"/>
      <c r="GX13" s="446"/>
      <c r="GY13" s="446"/>
      <c r="GZ13" s="446"/>
      <c r="HA13" s="446"/>
      <c r="HB13" s="446"/>
      <c r="HC13" s="446"/>
      <c r="HD13" s="446"/>
      <c r="HE13" s="446"/>
      <c r="HF13" s="446"/>
      <c r="HG13" s="446"/>
      <c r="HH13" s="446"/>
      <c r="HI13" s="446"/>
      <c r="HJ13" s="446"/>
      <c r="HK13" s="446"/>
      <c r="HL13" s="446"/>
      <c r="HM13" s="446"/>
      <c r="HN13" s="446"/>
      <c r="HO13" s="446"/>
      <c r="HP13" s="446"/>
      <c r="HQ13" s="446"/>
      <c r="HR13" s="446"/>
      <c r="HS13" s="446"/>
      <c r="HT13" s="446"/>
      <c r="HU13" s="446"/>
      <c r="HV13" s="446"/>
      <c r="HW13" s="446"/>
      <c r="HX13" s="446"/>
      <c r="HY13" s="446"/>
      <c r="HZ13" s="446"/>
      <c r="IA13" s="446"/>
      <c r="IB13" s="446"/>
      <c r="IC13" s="446"/>
      <c r="ID13" s="446"/>
      <c r="IE13" s="446"/>
      <c r="IF13" s="446"/>
      <c r="IG13" s="446"/>
      <c r="IH13" s="446"/>
      <c r="II13" s="446"/>
      <c r="IJ13" s="446"/>
      <c r="IK13" s="446"/>
      <c r="IL13" s="446"/>
      <c r="IM13" s="446"/>
      <c r="IN13" s="446"/>
      <c r="IO13" s="446"/>
      <c r="IP13" s="446"/>
      <c r="IQ13" s="446"/>
      <c r="IR13" s="446"/>
      <c r="IS13" s="446"/>
      <c r="IT13" s="446"/>
      <c r="IU13" s="446"/>
      <c r="IV13" s="446"/>
      <c r="IW13" s="446"/>
      <c r="IX13" s="446"/>
    </row>
    <row r="14" spans="1:258" s="272" customFormat="1" ht="12" customHeight="1">
      <c r="A14" s="139"/>
      <c r="B14" s="139"/>
      <c r="C14" s="460" t="s">
        <v>6</v>
      </c>
      <c r="D14" s="461"/>
      <c r="E14" s="461"/>
      <c r="F14" s="461"/>
      <c r="G14" s="461"/>
      <c r="H14" s="461"/>
      <c r="M14" s="461"/>
      <c r="R14" s="461"/>
      <c r="W14" s="461"/>
      <c r="AB14" s="461"/>
      <c r="AG14" s="461"/>
      <c r="AL14" s="461"/>
      <c r="AQ14" s="461"/>
      <c r="AV14" s="461"/>
      <c r="BA14" s="461"/>
      <c r="BF14" s="461"/>
      <c r="BG14" s="93"/>
      <c r="BH14" s="93"/>
      <c r="BI14" s="93"/>
      <c r="BK14" s="461"/>
      <c r="BP14" s="461"/>
      <c r="BQ14" s="179"/>
      <c r="BR14" s="329">
        <f>SUM(BR8:BR13)</f>
        <v>205.07600000000002</v>
      </c>
      <c r="BS14" s="329">
        <f>SUM(BS8:BS13)</f>
        <v>195.476</v>
      </c>
      <c r="BT14" s="329">
        <f>SUM(BT8:BT13)</f>
        <v>202.465</v>
      </c>
      <c r="BU14" s="843">
        <f t="shared" si="74"/>
        <v>202.465</v>
      </c>
      <c r="BV14" s="329">
        <f>SUM(BV8:BV13)</f>
        <v>203.161</v>
      </c>
      <c r="BW14" s="329">
        <f>SUM(BW8:BW13)</f>
        <v>195.87300000000002</v>
      </c>
      <c r="BX14" s="329">
        <f>SUM(BX8:BX13)</f>
        <v>427.37500000000006</v>
      </c>
      <c r="BY14" s="329">
        <f>SUM(BY8:BY13)</f>
        <v>422.89800000000002</v>
      </c>
      <c r="BZ14" s="843">
        <f t="shared" si="75"/>
        <v>422.89800000000002</v>
      </c>
      <c r="CA14" s="329">
        <f>SUM(CA8:CA13)</f>
        <v>434.30100000000004</v>
      </c>
      <c r="CB14" s="329">
        <f>SUM(CB8:CB13)</f>
        <v>994.23699999999997</v>
      </c>
      <c r="CC14" s="329">
        <f>SUM(CC8:CC13)</f>
        <v>1014.9259999999999</v>
      </c>
      <c r="CD14" s="329">
        <f>SUM(CD8:CD13)</f>
        <v>1025.6769999999999</v>
      </c>
      <c r="CE14" s="843">
        <f t="shared" si="76"/>
        <v>1025.6769999999999</v>
      </c>
      <c r="CF14" s="329">
        <f>SUM(CF8:CF13)</f>
        <v>1689.4770000000001</v>
      </c>
      <c r="CG14" s="329">
        <f>SUM(CG8:CG13)</f>
        <v>1706.6999999999998</v>
      </c>
      <c r="CH14" s="329">
        <f>SUM(CH8:CH13)</f>
        <v>1736.9860000000001</v>
      </c>
      <c r="CI14" s="329">
        <f>SUM(CI8:CI13)</f>
        <v>2129.0819999999999</v>
      </c>
      <c r="CJ14" s="843">
        <f t="shared" si="77"/>
        <v>2129.0819999999999</v>
      </c>
      <c r="CK14" s="329">
        <f>SUM(CK8:CK13)</f>
        <v>2173.962</v>
      </c>
      <c r="CL14" s="329">
        <f>SUM(CL8:CL13)</f>
        <v>2211.165</v>
      </c>
      <c r="CM14" s="329">
        <f>SUM(CM8:CM13)</f>
        <v>2910.8319999999999</v>
      </c>
      <c r="CN14" s="329">
        <f>SUM(CN8:CN13)</f>
        <v>2742.2280000000005</v>
      </c>
      <c r="CO14" s="843">
        <f t="shared" si="78"/>
        <v>2742.2280000000005</v>
      </c>
      <c r="CP14" s="329">
        <f>SUM(CP8:CP13)</f>
        <v>2727.8879999999999</v>
      </c>
      <c r="CQ14" s="329">
        <f>SUM(CQ8:CQ13)</f>
        <v>4389.1939999999995</v>
      </c>
      <c r="CR14" s="329">
        <f>SUM(CR8:CR13)</f>
        <v>6613.2169999999996</v>
      </c>
      <c r="CS14" s="329">
        <f>SUM(CS8:CS13)</f>
        <v>6877.7560000000012</v>
      </c>
      <c r="CT14" s="843">
        <f t="shared" si="79"/>
        <v>6877.7560000000012</v>
      </c>
      <c r="CU14" s="329">
        <f>SUM(CU8:CU13)</f>
        <v>8483.1059999999998</v>
      </c>
      <c r="CV14" s="329">
        <f>SUM(CV8:CV13)</f>
        <v>8460.1659999999993</v>
      </c>
      <c r="CW14" s="329">
        <f>SUM(CW8:CW13)</f>
        <v>8332.7510000000002</v>
      </c>
      <c r="CX14" s="329">
        <f>SUM(CX8:CX13)</f>
        <v>8539.3199999999979</v>
      </c>
      <c r="CY14" s="843">
        <f t="shared" si="80"/>
        <v>8539.3199999999979</v>
      </c>
      <c r="CZ14" s="329">
        <f>SUM(CZ8:CZ13)</f>
        <v>8074.8760000000011</v>
      </c>
      <c r="DA14" s="329">
        <f>SUM(DA8:DA13)</f>
        <v>7857.764000000001</v>
      </c>
      <c r="DB14" s="329">
        <f>SUM(DB8:DB13)</f>
        <v>6012.9860000000008</v>
      </c>
      <c r="DC14" s="329">
        <f>SUM(DC8:DC13)</f>
        <v>6050.4730000000018</v>
      </c>
      <c r="DD14" s="843">
        <f t="shared" si="81"/>
        <v>6050.4730000000018</v>
      </c>
      <c r="DE14" s="329">
        <f>SUM(DE8:DE13)</f>
        <v>5927.3280000000013</v>
      </c>
      <c r="DF14" s="329">
        <f>SUM(DF8:DF13)</f>
        <v>5909.3280000000013</v>
      </c>
      <c r="DG14" s="329">
        <f>SUM(DG8:DG13)</f>
        <v>6161.0000000000018</v>
      </c>
      <c r="DH14" s="329">
        <f>SUM(DH8:DH13)</f>
        <v>6275.0000000000018</v>
      </c>
      <c r="DI14" s="843">
        <f t="shared" si="82"/>
        <v>6275.0000000000018</v>
      </c>
      <c r="DJ14" s="329">
        <f>SUM(DJ8:DJ13)</f>
        <v>6440.0000000000018</v>
      </c>
      <c r="DK14" s="329">
        <f>SUM(DK8:DK13)</f>
        <v>6402.0000000000018</v>
      </c>
      <c r="DL14" s="329">
        <f>SUM(DL8:DL13)</f>
        <v>6541.0000000000018</v>
      </c>
      <c r="DM14" s="329">
        <f>SUM(DM8:DM13)</f>
        <v>7228.4747393589632</v>
      </c>
      <c r="DN14" s="843">
        <f t="shared" si="84"/>
        <v>7228.4747393589632</v>
      </c>
      <c r="DO14" s="329">
        <f>SUM(DO8:DO13)</f>
        <v>7637.8566800343215</v>
      </c>
      <c r="DP14" s="329">
        <f>SUM(DP8:DP13)</f>
        <v>8073.9501164327176</v>
      </c>
      <c r="DQ14" s="329">
        <f>SUM(DQ8:DQ13)</f>
        <v>7673.5811254458658</v>
      </c>
      <c r="DR14" s="329">
        <f>SUM(DR8:DR13)</f>
        <v>8530.5815459483601</v>
      </c>
      <c r="DS14" s="843">
        <f t="shared" si="88"/>
        <v>8530.5815459483601</v>
      </c>
      <c r="DT14" s="329">
        <f>SUM(DT8:DT13)</f>
        <v>8985.7726967018752</v>
      </c>
      <c r="DU14" s="329">
        <f>SUM(DU8:DU13)</f>
        <v>9536.4992576450823</v>
      </c>
      <c r="DV14" s="329">
        <f>SUM(DV8:DV13)</f>
        <v>10168.397587868518</v>
      </c>
      <c r="DW14" s="329">
        <f>SUM(DW8:DW13)</f>
        <v>11198.085228031352</v>
      </c>
      <c r="DX14" s="843">
        <f t="shared" si="90"/>
        <v>11198.085228031352</v>
      </c>
      <c r="DY14" s="329">
        <f>SUM(DY8:DY13)</f>
        <v>11731.223917730282</v>
      </c>
      <c r="DZ14" s="329">
        <f>SUM(DZ8:DZ13)</f>
        <v>12403.291940378145</v>
      </c>
      <c r="EA14" s="329">
        <f>SUM(EA8:EA13)</f>
        <v>13172.578225742669</v>
      </c>
      <c r="EB14" s="329">
        <f>SUM(EB8:EB13)</f>
        <v>14419.969147717144</v>
      </c>
      <c r="EC14" s="843">
        <f t="shared" si="92"/>
        <v>14419.969147717144</v>
      </c>
      <c r="ED14" s="446"/>
      <c r="EE14" s="446"/>
      <c r="EF14" s="446"/>
      <c r="EG14" s="446"/>
      <c r="EH14" s="446"/>
      <c r="EI14" s="446"/>
      <c r="EJ14" s="446"/>
      <c r="EK14" s="446"/>
      <c r="EL14" s="446"/>
      <c r="EM14" s="446"/>
      <c r="EN14" s="446"/>
      <c r="EO14" s="446"/>
      <c r="EP14" s="446"/>
      <c r="EQ14" s="446"/>
      <c r="ER14" s="446"/>
      <c r="ES14" s="446"/>
      <c r="ET14" s="446"/>
      <c r="EU14" s="446"/>
      <c r="EV14" s="446"/>
      <c r="EW14" s="446"/>
      <c r="EX14" s="446"/>
      <c r="EY14" s="446"/>
      <c r="EZ14" s="446"/>
      <c r="FA14" s="446"/>
      <c r="FB14" s="446"/>
      <c r="FC14" s="446"/>
      <c r="FD14" s="446"/>
      <c r="FE14" s="446"/>
      <c r="FF14" s="446"/>
      <c r="FG14" s="446"/>
      <c r="FH14" s="446"/>
      <c r="FI14" s="446"/>
      <c r="FJ14" s="446"/>
      <c r="FK14" s="446"/>
      <c r="FL14" s="446"/>
      <c r="FM14" s="446"/>
      <c r="FN14" s="446"/>
      <c r="FO14" s="446"/>
      <c r="FP14" s="446"/>
      <c r="FQ14" s="446"/>
      <c r="FR14" s="446"/>
      <c r="FS14" s="446"/>
      <c r="FT14" s="446"/>
      <c r="FU14" s="446"/>
      <c r="FV14" s="446"/>
      <c r="FW14" s="446"/>
      <c r="FX14" s="446"/>
      <c r="FY14" s="446"/>
      <c r="FZ14" s="446"/>
      <c r="GA14" s="446"/>
      <c r="GB14" s="446"/>
      <c r="GC14" s="446"/>
      <c r="GD14" s="446"/>
      <c r="GE14" s="446"/>
      <c r="GF14" s="446"/>
      <c r="GG14" s="446"/>
      <c r="GH14" s="446"/>
      <c r="GI14" s="446"/>
      <c r="GJ14" s="446"/>
      <c r="GK14" s="446"/>
      <c r="GL14" s="446"/>
      <c r="GM14" s="446"/>
      <c r="GN14" s="446"/>
      <c r="GO14" s="446"/>
      <c r="GP14" s="446"/>
      <c r="GQ14" s="446"/>
      <c r="GR14" s="446"/>
      <c r="GS14" s="446"/>
      <c r="GT14" s="446"/>
      <c r="GU14" s="446"/>
      <c r="GV14" s="446"/>
      <c r="GW14" s="446"/>
      <c r="GX14" s="446"/>
      <c r="GY14" s="446"/>
      <c r="GZ14" s="446"/>
      <c r="HA14" s="446"/>
      <c r="HB14" s="446"/>
      <c r="HC14" s="446"/>
      <c r="HD14" s="446"/>
      <c r="HE14" s="446"/>
      <c r="HF14" s="446"/>
      <c r="HG14" s="446"/>
      <c r="HH14" s="446"/>
      <c r="HI14" s="446"/>
      <c r="HJ14" s="446"/>
      <c r="HK14" s="446"/>
      <c r="HL14" s="446"/>
      <c r="HM14" s="446"/>
      <c r="HN14" s="446"/>
      <c r="HO14" s="446"/>
      <c r="HP14" s="446"/>
      <c r="HQ14" s="446"/>
      <c r="HR14" s="446"/>
      <c r="HS14" s="446"/>
      <c r="HT14" s="446"/>
      <c r="HU14" s="446"/>
      <c r="HV14" s="446"/>
      <c r="HW14" s="446"/>
      <c r="HX14" s="446"/>
      <c r="HY14" s="446"/>
      <c r="HZ14" s="446"/>
      <c r="IA14" s="446"/>
      <c r="IB14" s="446"/>
      <c r="IC14" s="446"/>
      <c r="ID14" s="446"/>
      <c r="IE14" s="446"/>
      <c r="IF14" s="446"/>
      <c r="IG14" s="446"/>
      <c r="IH14" s="446"/>
      <c r="II14" s="446"/>
      <c r="IJ14" s="446"/>
      <c r="IK14" s="446"/>
      <c r="IL14" s="446"/>
      <c r="IM14" s="446"/>
      <c r="IN14" s="446"/>
      <c r="IO14" s="446"/>
      <c r="IP14" s="446"/>
      <c r="IQ14" s="446"/>
      <c r="IR14" s="446"/>
      <c r="IS14" s="446"/>
      <c r="IT14" s="446"/>
      <c r="IU14" s="446"/>
      <c r="IV14" s="446"/>
      <c r="IW14" s="446"/>
      <c r="IX14" s="446"/>
    </row>
    <row r="15" spans="1:258" s="179" customFormat="1" ht="12" customHeight="1">
      <c r="A15" s="139"/>
      <c r="B15" s="139"/>
      <c r="C15" s="309" t="s">
        <v>54</v>
      </c>
      <c r="D15" s="452"/>
      <c r="E15" s="452"/>
      <c r="F15" s="452"/>
      <c r="G15" s="452"/>
      <c r="H15" s="452"/>
      <c r="M15" s="452"/>
      <c r="R15" s="452"/>
      <c r="W15" s="452"/>
      <c r="AB15" s="452"/>
      <c r="AG15" s="452"/>
      <c r="AL15" s="452"/>
      <c r="AQ15" s="452"/>
      <c r="AV15" s="452"/>
      <c r="BA15" s="452"/>
      <c r="BF15" s="452"/>
      <c r="BG15" s="93"/>
      <c r="BH15" s="93"/>
      <c r="BI15" s="93"/>
      <c r="BK15" s="452"/>
      <c r="BP15" s="452"/>
      <c r="BQ15" s="462"/>
      <c r="BR15" s="465">
        <v>25.6</v>
      </c>
      <c r="BS15" s="465">
        <v>29.105</v>
      </c>
      <c r="BT15" s="465">
        <v>33.048000000000002</v>
      </c>
      <c r="BU15" s="331">
        <f t="shared" ref="BU15:BU23" si="97">BT15</f>
        <v>33.048000000000002</v>
      </c>
      <c r="BV15" s="463">
        <v>34.558</v>
      </c>
      <c r="BW15" s="465">
        <v>39.145000000000003</v>
      </c>
      <c r="BX15" s="465">
        <v>24.798999999999999</v>
      </c>
      <c r="BY15" s="465">
        <v>45.719000000000001</v>
      </c>
      <c r="BZ15" s="331">
        <f t="shared" ref="BZ15:BZ23" si="98">BY15</f>
        <v>45.719000000000001</v>
      </c>
      <c r="CA15" s="463">
        <v>44.811</v>
      </c>
      <c r="CB15" s="465">
        <v>44.234999999999999</v>
      </c>
      <c r="CC15" s="465">
        <v>48.604999999999997</v>
      </c>
      <c r="CD15" s="465">
        <v>50.36</v>
      </c>
      <c r="CE15" s="331">
        <f t="shared" ref="CE15:CE23" si="99">CD15</f>
        <v>50.36</v>
      </c>
      <c r="CF15" s="463">
        <v>51.654000000000003</v>
      </c>
      <c r="CG15" s="465">
        <v>54.807000000000002</v>
      </c>
      <c r="CH15" s="465">
        <v>55.753999999999998</v>
      </c>
      <c r="CI15" s="465">
        <v>61.612000000000002</v>
      </c>
      <c r="CJ15" s="331">
        <f t="shared" ref="CJ15:CJ22" si="100">CI15</f>
        <v>61.612000000000002</v>
      </c>
      <c r="CK15" s="463">
        <v>70.832999999999998</v>
      </c>
      <c r="CL15" s="465">
        <v>84.159000000000006</v>
      </c>
      <c r="CM15" s="465">
        <v>92.141000000000005</v>
      </c>
      <c r="CN15" s="465">
        <v>111.398</v>
      </c>
      <c r="CO15" s="331">
        <f t="shared" ref="CO15:CO23" si="101">CN15</f>
        <v>111.398</v>
      </c>
      <c r="CP15" s="463">
        <v>116.83199999999999</v>
      </c>
      <c r="CQ15" s="465">
        <v>95.506</v>
      </c>
      <c r="CR15" s="465">
        <v>94.697999999999993</v>
      </c>
      <c r="CS15" s="465">
        <v>92.103999999999999</v>
      </c>
      <c r="CT15" s="331">
        <f t="shared" ref="CT15:CT23" si="102">CS15</f>
        <v>92.103999999999999</v>
      </c>
      <c r="CU15" s="465">
        <v>87.152000000000001</v>
      </c>
      <c r="CV15" s="465">
        <v>86.671000000000006</v>
      </c>
      <c r="CW15" s="465">
        <v>91.787000000000006</v>
      </c>
      <c r="CX15" s="465">
        <v>105.526</v>
      </c>
      <c r="CY15" s="331">
        <f t="shared" ref="CY15:CY23" si="103">CX15</f>
        <v>105.526</v>
      </c>
      <c r="CZ15" s="465">
        <v>109.57</v>
      </c>
      <c r="DA15" s="465">
        <v>114.20699999999999</v>
      </c>
      <c r="DB15" s="465">
        <v>128.46100000000001</v>
      </c>
      <c r="DC15" s="465">
        <v>130.821</v>
      </c>
      <c r="DD15" s="333">
        <f t="shared" ref="DD15:DD23" si="104">DC15</f>
        <v>130.821</v>
      </c>
      <c r="DE15" s="465">
        <v>137</v>
      </c>
      <c r="DF15" s="465">
        <v>69</v>
      </c>
      <c r="DG15" s="465">
        <v>52</v>
      </c>
      <c r="DH15" s="465">
        <v>49</v>
      </c>
      <c r="DI15" s="333">
        <f t="shared" si="82"/>
        <v>49</v>
      </c>
      <c r="DJ15" s="465">
        <v>52</v>
      </c>
      <c r="DK15" s="465">
        <v>51</v>
      </c>
      <c r="DL15" s="465">
        <v>47</v>
      </c>
      <c r="DM15" s="464">
        <f>DL15-'Cash Flow'!DM28-'Cash Flow'!DM8</f>
        <v>50</v>
      </c>
      <c r="DN15" s="333">
        <f t="shared" ref="DN15:DN23" si="105">DM15</f>
        <v>50</v>
      </c>
      <c r="DO15" s="464">
        <f>DN15-'Cash Flow'!DO28-'Cash Flow'!DO8</f>
        <v>53.5</v>
      </c>
      <c r="DP15" s="464">
        <f>DO15-'Cash Flow'!DP28-'Cash Flow'!DP8</f>
        <v>57</v>
      </c>
      <c r="DQ15" s="464">
        <f>DP15-'Cash Flow'!DQ28-'Cash Flow'!DQ8</f>
        <v>60.5</v>
      </c>
      <c r="DR15" s="464">
        <f>DQ15-'Cash Flow'!DR28-'Cash Flow'!DR8</f>
        <v>64</v>
      </c>
      <c r="DS15" s="333">
        <f t="shared" si="88"/>
        <v>64</v>
      </c>
      <c r="DT15" s="464">
        <f>DS15-'Cash Flow'!DT28-'Cash Flow'!DT8</f>
        <v>69</v>
      </c>
      <c r="DU15" s="464">
        <f>DT15-'Cash Flow'!DU28-'Cash Flow'!DU8</f>
        <v>74</v>
      </c>
      <c r="DV15" s="464">
        <f>DU15-'Cash Flow'!DV28-'Cash Flow'!DV8</f>
        <v>79</v>
      </c>
      <c r="DW15" s="464">
        <f>DV15-'Cash Flow'!DW28-'Cash Flow'!DW8</f>
        <v>84</v>
      </c>
      <c r="DX15" s="333">
        <f t="shared" si="90"/>
        <v>84</v>
      </c>
      <c r="DY15" s="464">
        <f>DX15-'Cash Flow'!DY28-'Cash Flow'!DY8</f>
        <v>90.8</v>
      </c>
      <c r="DZ15" s="464">
        <f>DY15-'Cash Flow'!DZ28-'Cash Flow'!DZ8</f>
        <v>97.6</v>
      </c>
      <c r="EA15" s="464">
        <f>DZ15-'Cash Flow'!EA28-'Cash Flow'!EA8</f>
        <v>104.39999999999999</v>
      </c>
      <c r="EB15" s="464">
        <f>EA15-'Cash Flow'!EB28-'Cash Flow'!EB8</f>
        <v>111.19999999999999</v>
      </c>
      <c r="EC15" s="333">
        <f t="shared" si="92"/>
        <v>111.19999999999999</v>
      </c>
      <c r="ED15" s="446"/>
      <c r="EE15" s="446"/>
      <c r="EF15" s="446"/>
      <c r="EG15" s="446"/>
      <c r="EH15" s="446"/>
      <c r="EI15" s="446"/>
      <c r="EJ15" s="446"/>
      <c r="EK15" s="446"/>
      <c r="EL15" s="446"/>
      <c r="EM15" s="446"/>
      <c r="EN15" s="446"/>
      <c r="EO15" s="446"/>
      <c r="EP15" s="446"/>
      <c r="EQ15" s="446"/>
      <c r="ER15" s="446"/>
      <c r="ES15" s="446"/>
      <c r="ET15" s="446"/>
      <c r="EU15" s="446"/>
      <c r="EV15" s="446"/>
      <c r="EW15" s="446"/>
      <c r="EX15" s="446"/>
      <c r="EY15" s="446"/>
      <c r="EZ15" s="446"/>
      <c r="FA15" s="446"/>
      <c r="FB15" s="446"/>
      <c r="FC15" s="446"/>
      <c r="FD15" s="446"/>
      <c r="FE15" s="446"/>
      <c r="FF15" s="446"/>
      <c r="FG15" s="446"/>
      <c r="FH15" s="446"/>
      <c r="FI15" s="446"/>
      <c r="FJ15" s="446"/>
      <c r="FK15" s="446"/>
      <c r="FL15" s="446"/>
      <c r="FM15" s="446"/>
      <c r="FN15" s="446"/>
      <c r="FO15" s="446"/>
      <c r="FP15" s="446"/>
      <c r="FQ15" s="446"/>
      <c r="FR15" s="446"/>
      <c r="FS15" s="446"/>
      <c r="FT15" s="446"/>
      <c r="FU15" s="446"/>
      <c r="FV15" s="446"/>
      <c r="FW15" s="446"/>
      <c r="FX15" s="446"/>
      <c r="FY15" s="446"/>
      <c r="FZ15" s="446"/>
      <c r="GA15" s="446"/>
      <c r="GB15" s="446"/>
      <c r="GC15" s="446"/>
      <c r="GD15" s="446"/>
      <c r="GE15" s="446"/>
      <c r="GF15" s="446"/>
      <c r="GG15" s="446"/>
      <c r="GH15" s="446"/>
      <c r="GI15" s="446"/>
      <c r="GJ15" s="446"/>
      <c r="GK15" s="446"/>
      <c r="GL15" s="446"/>
      <c r="GM15" s="446"/>
      <c r="GN15" s="446"/>
      <c r="GO15" s="446"/>
      <c r="GP15" s="446"/>
      <c r="GQ15" s="446"/>
      <c r="GR15" s="446"/>
      <c r="GS15" s="446"/>
      <c r="GT15" s="446"/>
      <c r="GU15" s="446"/>
      <c r="GV15" s="446"/>
      <c r="GW15" s="446"/>
      <c r="GX15" s="446"/>
      <c r="GY15" s="446"/>
      <c r="GZ15" s="446"/>
      <c r="HA15" s="446"/>
      <c r="HB15" s="446"/>
      <c r="HC15" s="446"/>
      <c r="HD15" s="446"/>
      <c r="HE15" s="446"/>
      <c r="HF15" s="446"/>
      <c r="HG15" s="446"/>
      <c r="HH15" s="446"/>
      <c r="HI15" s="446"/>
      <c r="HJ15" s="446"/>
      <c r="HK15" s="446"/>
      <c r="HL15" s="446"/>
      <c r="HM15" s="446"/>
      <c r="HN15" s="446"/>
      <c r="HO15" s="446"/>
      <c r="HP15" s="446"/>
      <c r="HQ15" s="446"/>
      <c r="HR15" s="446"/>
      <c r="HS15" s="446"/>
      <c r="HT15" s="446"/>
      <c r="HU15" s="446"/>
      <c r="HV15" s="446"/>
      <c r="HW15" s="446"/>
      <c r="HX15" s="446"/>
      <c r="HY15" s="446"/>
      <c r="HZ15" s="446"/>
      <c r="IA15" s="446"/>
      <c r="IB15" s="446"/>
      <c r="IC15" s="446"/>
      <c r="ID15" s="446"/>
      <c r="IE15" s="446"/>
      <c r="IF15" s="446"/>
      <c r="IG15" s="446"/>
      <c r="IH15" s="446"/>
      <c r="II15" s="446"/>
      <c r="IJ15" s="446"/>
      <c r="IK15" s="446"/>
      <c r="IL15" s="446"/>
      <c r="IM15" s="446"/>
      <c r="IN15" s="446"/>
      <c r="IO15" s="446"/>
      <c r="IP15" s="446"/>
      <c r="IQ15" s="446"/>
      <c r="IR15" s="446"/>
      <c r="IS15" s="446"/>
      <c r="IT15" s="446"/>
      <c r="IU15" s="446"/>
      <c r="IV15" s="446"/>
      <c r="IW15" s="446"/>
      <c r="IX15" s="446"/>
    </row>
    <row r="16" spans="1:258" s="179" customFormat="1" ht="12" customHeight="1">
      <c r="A16" s="139"/>
      <c r="B16" s="139"/>
      <c r="C16" s="309" t="s">
        <v>266</v>
      </c>
      <c r="D16" s="369"/>
      <c r="E16" s="369"/>
      <c r="F16" s="369"/>
      <c r="G16" s="369"/>
      <c r="H16" s="369"/>
      <c r="I16" s="370"/>
      <c r="J16" s="370"/>
      <c r="K16" s="370"/>
      <c r="L16" s="370"/>
      <c r="M16" s="452"/>
      <c r="N16" s="370"/>
      <c r="O16" s="370"/>
      <c r="P16" s="370"/>
      <c r="Q16" s="370"/>
      <c r="R16" s="452"/>
      <c r="S16" s="370"/>
      <c r="T16" s="370"/>
      <c r="U16" s="370"/>
      <c r="V16" s="370"/>
      <c r="W16" s="452"/>
      <c r="X16" s="370"/>
      <c r="Y16" s="370"/>
      <c r="Z16" s="370"/>
      <c r="AA16" s="370"/>
      <c r="AB16" s="452"/>
      <c r="AC16" s="370"/>
      <c r="AD16" s="370"/>
      <c r="AE16" s="370"/>
      <c r="AF16" s="370"/>
      <c r="AG16" s="452"/>
      <c r="AH16" s="370"/>
      <c r="AI16" s="370"/>
      <c r="AJ16" s="370"/>
      <c r="AK16" s="370"/>
      <c r="AL16" s="452"/>
      <c r="AM16" s="370"/>
      <c r="AN16" s="370"/>
      <c r="AO16" s="370"/>
      <c r="AP16" s="370"/>
      <c r="AQ16" s="452"/>
      <c r="AR16" s="370"/>
      <c r="AS16" s="370"/>
      <c r="AT16" s="370"/>
      <c r="AU16" s="370"/>
      <c r="AV16" s="452"/>
      <c r="AW16" s="370"/>
      <c r="AX16" s="370"/>
      <c r="AY16" s="370"/>
      <c r="AZ16" s="370"/>
      <c r="BA16" s="452"/>
      <c r="BB16" s="370"/>
      <c r="BC16" s="370"/>
      <c r="BD16" s="370"/>
      <c r="BE16" s="370"/>
      <c r="BF16" s="452"/>
      <c r="BG16" s="93"/>
      <c r="BH16" s="93"/>
      <c r="BI16" s="93"/>
      <c r="BJ16" s="370"/>
      <c r="BK16" s="369"/>
      <c r="BL16" s="370"/>
      <c r="BM16" s="370"/>
      <c r="BN16" s="370"/>
      <c r="BO16" s="370"/>
      <c r="BP16" s="452"/>
      <c r="BQ16" s="282"/>
      <c r="BR16" s="282">
        <v>0</v>
      </c>
      <c r="BS16" s="282">
        <v>0</v>
      </c>
      <c r="BT16" s="282">
        <v>0</v>
      </c>
      <c r="BU16" s="300">
        <f t="shared" si="97"/>
        <v>0</v>
      </c>
      <c r="BV16" s="282">
        <v>0</v>
      </c>
      <c r="BW16" s="282">
        <v>0</v>
      </c>
      <c r="BX16" s="282">
        <v>0</v>
      </c>
      <c r="BY16" s="282">
        <v>0</v>
      </c>
      <c r="BZ16" s="300">
        <f t="shared" si="98"/>
        <v>0</v>
      </c>
      <c r="CA16" s="282">
        <v>0</v>
      </c>
      <c r="CB16" s="282">
        <v>0</v>
      </c>
      <c r="CC16" s="282">
        <v>0</v>
      </c>
      <c r="CD16" s="282">
        <v>0</v>
      </c>
      <c r="CE16" s="300">
        <f t="shared" si="99"/>
        <v>0</v>
      </c>
      <c r="CF16" s="282">
        <v>0</v>
      </c>
      <c r="CG16" s="282">
        <v>0</v>
      </c>
      <c r="CH16" s="282">
        <v>0</v>
      </c>
      <c r="CI16" s="282">
        <v>0</v>
      </c>
      <c r="CJ16" s="300">
        <f t="shared" si="100"/>
        <v>0</v>
      </c>
      <c r="CK16" s="282">
        <v>90.128</v>
      </c>
      <c r="CL16" s="282">
        <v>98.284999999999997</v>
      </c>
      <c r="CM16" s="282">
        <v>96.787999999999997</v>
      </c>
      <c r="CN16" s="282">
        <v>134.774</v>
      </c>
      <c r="CO16" s="300">
        <f t="shared" si="101"/>
        <v>134.774</v>
      </c>
      <c r="CP16" s="282">
        <v>133.786</v>
      </c>
      <c r="CQ16" s="282">
        <v>126.21299999999999</v>
      </c>
      <c r="CR16" s="282">
        <v>122.71</v>
      </c>
      <c r="CS16" s="282">
        <v>119.373</v>
      </c>
      <c r="CT16" s="300">
        <f t="shared" si="102"/>
        <v>119.373</v>
      </c>
      <c r="CU16" s="282">
        <v>128.02600000000001</v>
      </c>
      <c r="CV16" s="282">
        <v>124.342</v>
      </c>
      <c r="CW16" s="282">
        <v>123.414</v>
      </c>
      <c r="CX16" s="282">
        <v>138.49600000000001</v>
      </c>
      <c r="CY16" s="300">
        <f t="shared" si="103"/>
        <v>138.49600000000001</v>
      </c>
      <c r="CZ16" s="282">
        <v>220.20500000000001</v>
      </c>
      <c r="DA16" s="282">
        <v>224.55500000000001</v>
      </c>
      <c r="DB16" s="282">
        <v>349.74</v>
      </c>
      <c r="DC16" s="282">
        <v>355.14499999999998</v>
      </c>
      <c r="DD16" s="300">
        <f t="shared" si="104"/>
        <v>355.14499999999998</v>
      </c>
      <c r="DE16" s="282">
        <v>345</v>
      </c>
      <c r="DF16" s="282">
        <v>101</v>
      </c>
      <c r="DG16" s="282">
        <v>72</v>
      </c>
      <c r="DH16" s="282">
        <v>98</v>
      </c>
      <c r="DI16" s="300">
        <f t="shared" si="82"/>
        <v>98</v>
      </c>
      <c r="DJ16" s="282">
        <v>96</v>
      </c>
      <c r="DK16" s="282">
        <v>93</v>
      </c>
      <c r="DL16" s="282">
        <v>96</v>
      </c>
      <c r="DM16" s="125">
        <f>DL16-'Cash Flow'!DM36</f>
        <v>96</v>
      </c>
      <c r="DN16" s="300">
        <f t="shared" si="105"/>
        <v>96</v>
      </c>
      <c r="DO16" s="125">
        <f>DN16-'Cash Flow'!DO36</f>
        <v>96</v>
      </c>
      <c r="DP16" s="125">
        <f>DO16-'Cash Flow'!DP36</f>
        <v>96</v>
      </c>
      <c r="DQ16" s="125">
        <f>DP16-'Cash Flow'!DQ36</f>
        <v>96</v>
      </c>
      <c r="DR16" s="125">
        <f>DQ16-'Cash Flow'!DR36</f>
        <v>96</v>
      </c>
      <c r="DS16" s="300">
        <f t="shared" si="88"/>
        <v>96</v>
      </c>
      <c r="DT16" s="125">
        <f>DS16-'Cash Flow'!DT36</f>
        <v>96</v>
      </c>
      <c r="DU16" s="125">
        <f>DT16-'Cash Flow'!DU36</f>
        <v>96</v>
      </c>
      <c r="DV16" s="125">
        <f>DU16-'Cash Flow'!DV36</f>
        <v>96</v>
      </c>
      <c r="DW16" s="125">
        <f>DV16-'Cash Flow'!DW36</f>
        <v>96</v>
      </c>
      <c r="DX16" s="300">
        <f t="shared" si="90"/>
        <v>96</v>
      </c>
      <c r="DY16" s="125">
        <f>DX16-'Cash Flow'!DY36</f>
        <v>96</v>
      </c>
      <c r="DZ16" s="125">
        <f>DY16-'Cash Flow'!DZ36</f>
        <v>96</v>
      </c>
      <c r="EA16" s="125">
        <f>DZ16-'Cash Flow'!EA36</f>
        <v>96</v>
      </c>
      <c r="EB16" s="125">
        <f>EA16-'Cash Flow'!EB36</f>
        <v>96</v>
      </c>
      <c r="EC16" s="300">
        <f t="shared" si="92"/>
        <v>96</v>
      </c>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row>
    <row r="17" spans="1:258" s="179" customFormat="1" ht="12" customHeight="1">
      <c r="A17" s="139"/>
      <c r="B17" s="139"/>
      <c r="C17" s="309" t="s">
        <v>265</v>
      </c>
      <c r="D17" s="369"/>
      <c r="E17" s="369"/>
      <c r="F17" s="369"/>
      <c r="G17" s="369"/>
      <c r="H17" s="369"/>
      <c r="I17" s="370"/>
      <c r="J17" s="370"/>
      <c r="K17" s="370"/>
      <c r="L17" s="370"/>
      <c r="M17" s="452"/>
      <c r="N17" s="370"/>
      <c r="O17" s="370"/>
      <c r="P17" s="370"/>
      <c r="Q17" s="370"/>
      <c r="R17" s="452"/>
      <c r="S17" s="370"/>
      <c r="T17" s="370"/>
      <c r="U17" s="370"/>
      <c r="V17" s="370"/>
      <c r="W17" s="452"/>
      <c r="X17" s="370"/>
      <c r="Y17" s="370"/>
      <c r="Z17" s="370"/>
      <c r="AA17" s="370"/>
      <c r="AB17" s="452"/>
      <c r="AC17" s="370"/>
      <c r="AD17" s="370"/>
      <c r="AE17" s="370"/>
      <c r="AF17" s="370"/>
      <c r="AG17" s="452"/>
      <c r="AH17" s="370"/>
      <c r="AI17" s="370"/>
      <c r="AJ17" s="370"/>
      <c r="AK17" s="370"/>
      <c r="AL17" s="452"/>
      <c r="AM17" s="370"/>
      <c r="AN17" s="370"/>
      <c r="AO17" s="370"/>
      <c r="AP17" s="370"/>
      <c r="AQ17" s="452"/>
      <c r="AR17" s="370"/>
      <c r="AS17" s="370"/>
      <c r="AT17" s="370"/>
      <c r="AU17" s="370"/>
      <c r="AV17" s="452"/>
      <c r="AW17" s="370"/>
      <c r="AX17" s="370"/>
      <c r="AY17" s="370"/>
      <c r="AZ17" s="370"/>
      <c r="BA17" s="452"/>
      <c r="BB17" s="370"/>
      <c r="BC17" s="370"/>
      <c r="BD17" s="370"/>
      <c r="BE17" s="370"/>
      <c r="BF17" s="452"/>
      <c r="BG17" s="93"/>
      <c r="BH17" s="93"/>
      <c r="BI17" s="93"/>
      <c r="BJ17" s="370"/>
      <c r="BK17" s="369"/>
      <c r="BL17" s="370"/>
      <c r="BM17" s="370"/>
      <c r="BN17" s="370"/>
      <c r="BO17" s="370"/>
      <c r="BP17" s="452"/>
      <c r="BQ17" s="282"/>
      <c r="BR17" s="282">
        <v>3.831</v>
      </c>
      <c r="BS17" s="282">
        <v>4.1399999999999997</v>
      </c>
      <c r="BT17" s="282">
        <v>5.8259999999999996</v>
      </c>
      <c r="BU17" s="300">
        <f>BT17</f>
        <v>5.8259999999999996</v>
      </c>
      <c r="BV17" s="282">
        <v>5.1820000000000004</v>
      </c>
      <c r="BW17" s="282">
        <v>6.7889999999999997</v>
      </c>
      <c r="BX17" s="282">
        <v>6.867</v>
      </c>
      <c r="BY17" s="282">
        <v>6.4370000000000003</v>
      </c>
      <c r="BZ17" s="300">
        <f>BY17</f>
        <v>6.4370000000000003</v>
      </c>
      <c r="CA17" s="282">
        <v>6.7220000000000004</v>
      </c>
      <c r="CB17" s="282">
        <v>18.443999999999999</v>
      </c>
      <c r="CC17" s="282">
        <v>17.559999999999999</v>
      </c>
      <c r="CD17" s="282">
        <v>17.21</v>
      </c>
      <c r="CE17" s="300">
        <f>CD17</f>
        <v>17.21</v>
      </c>
      <c r="CF17" s="282">
        <v>21.088000000000001</v>
      </c>
      <c r="CG17" s="282">
        <v>24.655999999999999</v>
      </c>
      <c r="CH17" s="282">
        <v>26.06</v>
      </c>
      <c r="CI17" s="282">
        <v>26.071999999999999</v>
      </c>
      <c r="CJ17" s="300">
        <f>CI17</f>
        <v>26.071999999999999</v>
      </c>
      <c r="CK17" s="282">
        <v>24.155999999999999</v>
      </c>
      <c r="CL17" s="282">
        <v>25.314</v>
      </c>
      <c r="CM17" s="282">
        <v>24.759</v>
      </c>
      <c r="CN17" s="282">
        <v>167.28200000000001</v>
      </c>
      <c r="CO17" s="300">
        <f>CN17</f>
        <v>167.28200000000001</v>
      </c>
      <c r="CP17" s="282">
        <v>159.00399999999999</v>
      </c>
      <c r="CQ17" s="282">
        <v>151.25399999999999</v>
      </c>
      <c r="CR17" s="282">
        <v>143.92500000000001</v>
      </c>
      <c r="CS17" s="282">
        <v>135.67599999999999</v>
      </c>
      <c r="CT17" s="300">
        <f>CS17</f>
        <v>135.67599999999999</v>
      </c>
      <c r="CU17" s="282">
        <v>129.69200000000001</v>
      </c>
      <c r="CV17" s="282">
        <v>124.203</v>
      </c>
      <c r="CW17" s="282">
        <v>141.929</v>
      </c>
      <c r="CX17" s="282">
        <v>196.38800000000001</v>
      </c>
      <c r="CY17" s="300">
        <f>CX17</f>
        <v>196.38800000000001</v>
      </c>
      <c r="CZ17" s="282">
        <v>131.608</v>
      </c>
      <c r="DA17" s="282">
        <v>133.12899999999999</v>
      </c>
      <c r="DB17" s="282">
        <v>410.81900000000002</v>
      </c>
      <c r="DC17" s="282">
        <v>390.14800000000002</v>
      </c>
      <c r="DD17" s="300">
        <f>DC17</f>
        <v>390.14800000000002</v>
      </c>
      <c r="DE17" s="282">
        <v>372</v>
      </c>
      <c r="DF17" s="282">
        <v>26</v>
      </c>
      <c r="DG17" s="282">
        <v>33</v>
      </c>
      <c r="DH17" s="282">
        <v>29</v>
      </c>
      <c r="DI17" s="300">
        <f t="shared" si="82"/>
        <v>29</v>
      </c>
      <c r="DJ17" s="282">
        <v>25</v>
      </c>
      <c r="DK17" s="282">
        <v>26</v>
      </c>
      <c r="DL17" s="282">
        <v>24</v>
      </c>
      <c r="DM17" s="125">
        <f>DL17-'Cash Flow'!DM9-'Cash Flow'!DM34</f>
        <v>21.29641080629883</v>
      </c>
      <c r="DN17" s="300">
        <f>DM17</f>
        <v>21.29641080629883</v>
      </c>
      <c r="DO17" s="125">
        <f>DN17-'Cash Flow'!DO9-'Cash Flow'!DO34</f>
        <v>20.126969094195314</v>
      </c>
      <c r="DP17" s="125">
        <f>DO17-'Cash Flow'!DP9-'Cash Flow'!DP34</f>
        <v>18.872954903438036</v>
      </c>
      <c r="DQ17" s="125">
        <f>DP17-'Cash Flow'!DQ9-'Cash Flow'!DQ34</f>
        <v>17.557002079073509</v>
      </c>
      <c r="DR17" s="125">
        <f>DQ17-'Cash Flow'!DR9-'Cash Flow'!DR34</f>
        <v>15.898032562231334</v>
      </c>
      <c r="DS17" s="300">
        <f>DR17</f>
        <v>15.898032562231334</v>
      </c>
      <c r="DT17" s="125">
        <f>DS17-'Cash Flow'!DT9-'Cash Flow'!DT34</f>
        <v>14.498429933802548</v>
      </c>
      <c r="DU17" s="125">
        <f>DT17-'Cash Flow'!DU9-'Cash Flow'!DU34</f>
        <v>12.997856876846345</v>
      </c>
      <c r="DV17" s="125">
        <f>DU17-'Cash Flow'!DV9-'Cash Flow'!DV34</f>
        <v>11.424074481344782</v>
      </c>
      <c r="DW17" s="125">
        <f>DV17-'Cash Flow'!DW9-'Cash Flow'!DW34</f>
        <v>9.4363172108401354</v>
      </c>
      <c r="DX17" s="300">
        <f>DW17</f>
        <v>9.4363172108401354</v>
      </c>
      <c r="DY17" s="125">
        <f>DX17-'Cash Flow'!DY9-'Cash Flow'!DY34</f>
        <v>7.7861332213882495</v>
      </c>
      <c r="DZ17" s="125">
        <f>DY17-'Cash Flow'!DZ9-'Cash Flow'!DZ34</f>
        <v>6.0171642101213978</v>
      </c>
      <c r="EA17" s="125">
        <f>DZ17-'Cash Flow'!EA9-'Cash Flow'!EA34</f>
        <v>4.1627115909927737</v>
      </c>
      <c r="EB17" s="125">
        <f>EA17-'Cash Flow'!EB9-'Cash Flow'!EB34</f>
        <v>1.8169330199719438</v>
      </c>
      <c r="EC17" s="300">
        <f>EB17</f>
        <v>1.8169330199719438</v>
      </c>
      <c r="ED17" s="446"/>
      <c r="EE17" s="446"/>
      <c r="EF17" s="446"/>
      <c r="EG17" s="446"/>
      <c r="EH17" s="446"/>
      <c r="EI17" s="446"/>
      <c r="EJ17" s="446"/>
      <c r="EK17" s="446"/>
      <c r="EL17" s="446"/>
      <c r="EM17" s="446"/>
      <c r="EN17" s="446"/>
      <c r="EO17" s="446"/>
      <c r="EP17" s="446"/>
      <c r="EQ17" s="446"/>
      <c r="ER17" s="446"/>
      <c r="ES17" s="446"/>
      <c r="ET17" s="446"/>
      <c r="EU17" s="446"/>
      <c r="EV17" s="446"/>
      <c r="EW17" s="446"/>
      <c r="EX17" s="446"/>
      <c r="EY17" s="446"/>
      <c r="EZ17" s="446"/>
      <c r="FA17" s="446"/>
      <c r="FB17" s="446"/>
      <c r="FC17" s="446"/>
      <c r="FD17" s="446"/>
      <c r="FE17" s="446"/>
      <c r="FF17" s="446"/>
      <c r="FG17" s="446"/>
      <c r="FH17" s="446"/>
      <c r="FI17" s="446"/>
      <c r="FJ17" s="446"/>
      <c r="FK17" s="446"/>
      <c r="FL17" s="446"/>
      <c r="FM17" s="446"/>
      <c r="FN17" s="446"/>
      <c r="FO17" s="446"/>
      <c r="FP17" s="446"/>
      <c r="FQ17" s="446"/>
      <c r="FR17" s="446"/>
      <c r="FS17" s="446"/>
      <c r="FT17" s="446"/>
      <c r="FU17" s="446"/>
      <c r="FV17" s="446"/>
      <c r="FW17" s="446"/>
      <c r="FX17" s="446"/>
      <c r="FY17" s="446"/>
      <c r="FZ17" s="446"/>
      <c r="GA17" s="446"/>
      <c r="GB17" s="446"/>
      <c r="GC17" s="446"/>
      <c r="GD17" s="446"/>
      <c r="GE17" s="446"/>
      <c r="GF17" s="446"/>
      <c r="GG17" s="446"/>
      <c r="GH17" s="446"/>
      <c r="GI17" s="446"/>
      <c r="GJ17" s="446"/>
      <c r="GK17" s="446"/>
      <c r="GL17" s="446"/>
      <c r="GM17" s="446"/>
      <c r="GN17" s="446"/>
      <c r="GO17" s="446"/>
      <c r="GP17" s="446"/>
      <c r="GQ17" s="446"/>
      <c r="GR17" s="446"/>
      <c r="GS17" s="446"/>
      <c r="GT17" s="446"/>
      <c r="GU17" s="446"/>
      <c r="GV17" s="446"/>
      <c r="GW17" s="446"/>
      <c r="GX17" s="446"/>
      <c r="GY17" s="446"/>
      <c r="GZ17" s="446"/>
      <c r="HA17" s="446"/>
      <c r="HB17" s="446"/>
      <c r="HC17" s="446"/>
      <c r="HD17" s="446"/>
      <c r="HE17" s="446"/>
      <c r="HF17" s="446"/>
      <c r="HG17" s="446"/>
      <c r="HH17" s="446"/>
      <c r="HI17" s="446"/>
      <c r="HJ17" s="446"/>
      <c r="HK17" s="446"/>
      <c r="HL17" s="446"/>
      <c r="HM17" s="446"/>
      <c r="HN17" s="446"/>
      <c r="HO17" s="446"/>
      <c r="HP17" s="446"/>
      <c r="HQ17" s="446"/>
      <c r="HR17" s="446"/>
      <c r="HS17" s="446"/>
      <c r="HT17" s="446"/>
      <c r="HU17" s="446"/>
      <c r="HV17" s="446"/>
      <c r="HW17" s="446"/>
      <c r="HX17" s="446"/>
      <c r="HY17" s="446"/>
      <c r="HZ17" s="446"/>
      <c r="IA17" s="446"/>
      <c r="IB17" s="446"/>
      <c r="IC17" s="446"/>
      <c r="ID17" s="446"/>
      <c r="IE17" s="446"/>
      <c r="IF17" s="446"/>
      <c r="IG17" s="446"/>
      <c r="IH17" s="446"/>
      <c r="II17" s="446"/>
      <c r="IJ17" s="446"/>
      <c r="IK17" s="446"/>
      <c r="IL17" s="446"/>
      <c r="IM17" s="446"/>
      <c r="IN17" s="446"/>
      <c r="IO17" s="446"/>
      <c r="IP17" s="446"/>
      <c r="IQ17" s="446"/>
      <c r="IR17" s="446"/>
      <c r="IS17" s="446"/>
      <c r="IT17" s="446"/>
      <c r="IU17" s="446"/>
      <c r="IV17" s="446"/>
      <c r="IW17" s="446"/>
      <c r="IX17" s="446"/>
    </row>
    <row r="18" spans="1:258" s="179" customFormat="1" ht="12" customHeight="1">
      <c r="A18" s="139"/>
      <c r="B18" s="139"/>
      <c r="C18" s="309" t="s">
        <v>267</v>
      </c>
      <c r="D18" s="369"/>
      <c r="E18" s="369"/>
      <c r="F18" s="369"/>
      <c r="G18" s="369"/>
      <c r="H18" s="369"/>
      <c r="I18" s="370"/>
      <c r="J18" s="370"/>
      <c r="K18" s="370"/>
      <c r="L18" s="370"/>
      <c r="M18" s="452"/>
      <c r="N18" s="370"/>
      <c r="O18" s="370"/>
      <c r="P18" s="370"/>
      <c r="Q18" s="370"/>
      <c r="R18" s="452"/>
      <c r="S18" s="370"/>
      <c r="T18" s="370"/>
      <c r="U18" s="370"/>
      <c r="V18" s="370"/>
      <c r="W18" s="452"/>
      <c r="X18" s="370"/>
      <c r="Y18" s="370"/>
      <c r="Z18" s="370"/>
      <c r="AA18" s="370"/>
      <c r="AB18" s="452"/>
      <c r="AC18" s="370"/>
      <c r="AD18" s="370"/>
      <c r="AE18" s="370"/>
      <c r="AF18" s="370"/>
      <c r="AG18" s="452"/>
      <c r="AH18" s="370"/>
      <c r="AI18" s="370"/>
      <c r="AJ18" s="370"/>
      <c r="AK18" s="370"/>
      <c r="AL18" s="452"/>
      <c r="AM18" s="370"/>
      <c r="AN18" s="370"/>
      <c r="AO18" s="370"/>
      <c r="AP18" s="370"/>
      <c r="AQ18" s="452"/>
      <c r="AR18" s="370"/>
      <c r="AS18" s="370"/>
      <c r="AT18" s="370"/>
      <c r="AU18" s="370"/>
      <c r="AV18" s="452"/>
      <c r="AW18" s="370"/>
      <c r="AX18" s="370"/>
      <c r="AY18" s="370"/>
      <c r="AZ18" s="370"/>
      <c r="BA18" s="452"/>
      <c r="BB18" s="370"/>
      <c r="BC18" s="370"/>
      <c r="BD18" s="370"/>
      <c r="BE18" s="370"/>
      <c r="BF18" s="452"/>
      <c r="BG18" s="93"/>
      <c r="BH18" s="93"/>
      <c r="BI18" s="93"/>
      <c r="BJ18" s="370"/>
      <c r="BK18" s="369"/>
      <c r="BL18" s="370"/>
      <c r="BM18" s="370"/>
      <c r="BN18" s="370"/>
      <c r="BO18" s="370"/>
      <c r="BP18" s="452"/>
      <c r="BQ18" s="282"/>
      <c r="BR18" s="465">
        <v>0</v>
      </c>
      <c r="BS18" s="465">
        <v>0</v>
      </c>
      <c r="BT18" s="465">
        <v>0</v>
      </c>
      <c r="BU18" s="331">
        <f t="shared" si="97"/>
        <v>0</v>
      </c>
      <c r="BV18" s="465">
        <v>0</v>
      </c>
      <c r="BW18" s="465">
        <v>0</v>
      </c>
      <c r="BX18" s="465">
        <v>0</v>
      </c>
      <c r="BY18" s="465">
        <v>0</v>
      </c>
      <c r="BZ18" s="331">
        <f t="shared" si="98"/>
        <v>0</v>
      </c>
      <c r="CA18" s="465">
        <v>0</v>
      </c>
      <c r="CB18" s="465">
        <v>0</v>
      </c>
      <c r="CC18" s="465">
        <v>0</v>
      </c>
      <c r="CD18" s="465">
        <v>0</v>
      </c>
      <c r="CE18" s="331">
        <f t="shared" si="99"/>
        <v>0</v>
      </c>
      <c r="CF18" s="465">
        <v>0</v>
      </c>
      <c r="CG18" s="465">
        <v>0</v>
      </c>
      <c r="CH18" s="465">
        <v>0</v>
      </c>
      <c r="CI18" s="465">
        <v>0</v>
      </c>
      <c r="CJ18" s="331">
        <f t="shared" si="100"/>
        <v>0</v>
      </c>
      <c r="CK18" s="465">
        <v>0</v>
      </c>
      <c r="CL18" s="465">
        <v>0</v>
      </c>
      <c r="CM18" s="465">
        <v>16.04</v>
      </c>
      <c r="CN18" s="465">
        <v>19.431999999999999</v>
      </c>
      <c r="CO18" s="331">
        <f t="shared" si="101"/>
        <v>19.431999999999999</v>
      </c>
      <c r="CP18" s="465">
        <v>21.541</v>
      </c>
      <c r="CQ18" s="465">
        <v>24.407</v>
      </c>
      <c r="CR18" s="465">
        <v>5.1159999999999997</v>
      </c>
      <c r="CS18" s="465">
        <v>52.677</v>
      </c>
      <c r="CT18" s="331">
        <f t="shared" si="102"/>
        <v>52.677</v>
      </c>
      <c r="CU18" s="465">
        <v>54.097000000000001</v>
      </c>
      <c r="CV18" s="465">
        <v>52.11</v>
      </c>
      <c r="CW18" s="465">
        <v>52.073</v>
      </c>
      <c r="CX18" s="465">
        <v>48.369</v>
      </c>
      <c r="CY18" s="331">
        <f t="shared" si="103"/>
        <v>48.369</v>
      </c>
      <c r="CZ18" s="465">
        <v>47.064</v>
      </c>
      <c r="DA18" s="465">
        <v>44.762999999999998</v>
      </c>
      <c r="DB18" s="465">
        <v>43.25</v>
      </c>
      <c r="DC18" s="465">
        <v>40.822000000000003</v>
      </c>
      <c r="DD18" s="331">
        <f t="shared" si="104"/>
        <v>40.822000000000003</v>
      </c>
      <c r="DE18" s="465">
        <v>41</v>
      </c>
      <c r="DF18" s="465">
        <v>39</v>
      </c>
      <c r="DG18" s="465">
        <v>39</v>
      </c>
      <c r="DH18" s="465">
        <v>44</v>
      </c>
      <c r="DI18" s="331">
        <f t="shared" si="82"/>
        <v>44</v>
      </c>
      <c r="DJ18" s="465">
        <v>43</v>
      </c>
      <c r="DK18" s="465">
        <v>44</v>
      </c>
      <c r="DL18" s="465">
        <v>39</v>
      </c>
      <c r="DM18" s="456">
        <f>DL18</f>
        <v>39</v>
      </c>
      <c r="DN18" s="331">
        <f t="shared" si="105"/>
        <v>39</v>
      </c>
      <c r="DO18" s="456">
        <f>DM18</f>
        <v>39</v>
      </c>
      <c r="DP18" s="456">
        <f>DO18</f>
        <v>39</v>
      </c>
      <c r="DQ18" s="456">
        <f>DP18</f>
        <v>39</v>
      </c>
      <c r="DR18" s="456">
        <f>DQ18</f>
        <v>39</v>
      </c>
      <c r="DS18" s="331">
        <f t="shared" si="88"/>
        <v>39</v>
      </c>
      <c r="DT18" s="456">
        <f>DR18</f>
        <v>39</v>
      </c>
      <c r="DU18" s="456">
        <f>DT18</f>
        <v>39</v>
      </c>
      <c r="DV18" s="456">
        <f>DU18</f>
        <v>39</v>
      </c>
      <c r="DW18" s="456">
        <f>DV18</f>
        <v>39</v>
      </c>
      <c r="DX18" s="331">
        <f t="shared" ref="DX18:DX19" si="106">DW18</f>
        <v>39</v>
      </c>
      <c r="DY18" s="456">
        <f>DW18</f>
        <v>39</v>
      </c>
      <c r="DZ18" s="456">
        <f>DY18</f>
        <v>39</v>
      </c>
      <c r="EA18" s="456">
        <f>DZ18</f>
        <v>39</v>
      </c>
      <c r="EB18" s="456">
        <f>EA18</f>
        <v>39</v>
      </c>
      <c r="EC18" s="331">
        <f t="shared" ref="EC18:EC19" si="107">EB18</f>
        <v>39</v>
      </c>
      <c r="ED18" s="446"/>
      <c r="EE18" s="446"/>
      <c r="EF18" s="446"/>
      <c r="EG18" s="446"/>
      <c r="EH18" s="446"/>
      <c r="EI18" s="446"/>
      <c r="EJ18" s="446"/>
      <c r="EK18" s="446"/>
      <c r="EL18" s="446"/>
      <c r="EM18" s="446"/>
      <c r="EN18" s="446"/>
      <c r="EO18" s="446"/>
      <c r="EP18" s="446"/>
      <c r="EQ18" s="446"/>
      <c r="ER18" s="446"/>
      <c r="ES18" s="446"/>
      <c r="ET18" s="446"/>
      <c r="EU18" s="446"/>
      <c r="EV18" s="446"/>
      <c r="EW18" s="446"/>
      <c r="EX18" s="446"/>
      <c r="EY18" s="446"/>
      <c r="EZ18" s="446"/>
      <c r="FA18" s="446"/>
      <c r="FB18" s="446"/>
      <c r="FC18" s="446"/>
      <c r="FD18" s="446"/>
      <c r="FE18" s="446"/>
      <c r="FF18" s="446"/>
      <c r="FG18" s="446"/>
      <c r="FH18" s="446"/>
      <c r="FI18" s="446"/>
      <c r="FJ18" s="446"/>
      <c r="FK18" s="446"/>
      <c r="FL18" s="446"/>
      <c r="FM18" s="446"/>
      <c r="FN18" s="446"/>
      <c r="FO18" s="446"/>
      <c r="FP18" s="446"/>
      <c r="FQ18" s="446"/>
      <c r="FR18" s="446"/>
      <c r="FS18" s="446"/>
      <c r="FT18" s="446"/>
      <c r="FU18" s="446"/>
      <c r="FV18" s="446"/>
      <c r="FW18" s="446"/>
      <c r="FX18" s="446"/>
      <c r="FY18" s="446"/>
      <c r="FZ18" s="446"/>
      <c r="GA18" s="446"/>
      <c r="GB18" s="446"/>
      <c r="GC18" s="446"/>
      <c r="GD18" s="446"/>
      <c r="GE18" s="446"/>
      <c r="GF18" s="446"/>
      <c r="GG18" s="446"/>
      <c r="GH18" s="446"/>
      <c r="GI18" s="446"/>
      <c r="GJ18" s="446"/>
      <c r="GK18" s="446"/>
      <c r="GL18" s="446"/>
      <c r="GM18" s="446"/>
      <c r="GN18" s="446"/>
      <c r="GO18" s="446"/>
      <c r="GP18" s="446"/>
      <c r="GQ18" s="446"/>
      <c r="GR18" s="446"/>
      <c r="GS18" s="446"/>
      <c r="GT18" s="446"/>
      <c r="GU18" s="446"/>
      <c r="GV18" s="446"/>
      <c r="GW18" s="446"/>
      <c r="GX18" s="446"/>
      <c r="GY18" s="446"/>
      <c r="GZ18" s="446"/>
      <c r="HA18" s="446"/>
      <c r="HB18" s="446"/>
      <c r="HC18" s="446"/>
      <c r="HD18" s="446"/>
      <c r="HE18" s="446"/>
      <c r="HF18" s="446"/>
      <c r="HG18" s="446"/>
      <c r="HH18" s="446"/>
      <c r="HI18" s="446"/>
      <c r="HJ18" s="446"/>
      <c r="HK18" s="446"/>
      <c r="HL18" s="446"/>
      <c r="HM18" s="446"/>
      <c r="HN18" s="446"/>
      <c r="HO18" s="446"/>
      <c r="HP18" s="446"/>
      <c r="HQ18" s="446"/>
      <c r="HR18" s="446"/>
      <c r="HS18" s="446"/>
      <c r="HT18" s="446"/>
      <c r="HU18" s="446"/>
      <c r="HV18" s="446"/>
      <c r="HW18" s="446"/>
      <c r="HX18" s="446"/>
      <c r="HY18" s="446"/>
      <c r="HZ18" s="446"/>
      <c r="IA18" s="446"/>
      <c r="IB18" s="446"/>
      <c r="IC18" s="446"/>
      <c r="ID18" s="446"/>
      <c r="IE18" s="446"/>
      <c r="IF18" s="446"/>
      <c r="IG18" s="446"/>
      <c r="IH18" s="446"/>
      <c r="II18" s="446"/>
      <c r="IJ18" s="446"/>
      <c r="IK18" s="446"/>
      <c r="IL18" s="446"/>
      <c r="IM18" s="446"/>
      <c r="IN18" s="446"/>
      <c r="IO18" s="446"/>
      <c r="IP18" s="446"/>
      <c r="IQ18" s="446"/>
      <c r="IR18" s="446"/>
      <c r="IS18" s="446"/>
      <c r="IT18" s="446"/>
      <c r="IU18" s="446"/>
      <c r="IV18" s="446"/>
      <c r="IW18" s="446"/>
      <c r="IX18" s="446"/>
    </row>
    <row r="19" spans="1:258" s="179" customFormat="1" ht="12" customHeight="1">
      <c r="A19" s="139"/>
      <c r="B19" s="139"/>
      <c r="C19" s="309" t="s">
        <v>268</v>
      </c>
      <c r="D19" s="369"/>
      <c r="E19" s="369"/>
      <c r="F19" s="369"/>
      <c r="G19" s="369"/>
      <c r="H19" s="369"/>
      <c r="I19" s="370"/>
      <c r="J19" s="370"/>
      <c r="K19" s="370"/>
      <c r="L19" s="370"/>
      <c r="M19" s="452"/>
      <c r="N19" s="370"/>
      <c r="O19" s="370"/>
      <c r="P19" s="370"/>
      <c r="Q19" s="370"/>
      <c r="R19" s="452"/>
      <c r="S19" s="370"/>
      <c r="T19" s="370"/>
      <c r="U19" s="370"/>
      <c r="V19" s="370"/>
      <c r="W19" s="452"/>
      <c r="X19" s="370"/>
      <c r="Y19" s="370"/>
      <c r="Z19" s="370"/>
      <c r="AA19" s="370"/>
      <c r="AB19" s="452"/>
      <c r="AC19" s="370"/>
      <c r="AD19" s="370"/>
      <c r="AE19" s="370"/>
      <c r="AF19" s="370"/>
      <c r="AG19" s="452"/>
      <c r="AH19" s="370"/>
      <c r="AI19" s="370"/>
      <c r="AJ19" s="370"/>
      <c r="AK19" s="370"/>
      <c r="AL19" s="452"/>
      <c r="AM19" s="370"/>
      <c r="AN19" s="370"/>
      <c r="AO19" s="370"/>
      <c r="AP19" s="370"/>
      <c r="AQ19" s="452"/>
      <c r="AR19" s="370"/>
      <c r="AS19" s="370"/>
      <c r="AT19" s="370"/>
      <c r="AU19" s="370"/>
      <c r="AV19" s="452"/>
      <c r="AW19" s="370"/>
      <c r="AX19" s="370"/>
      <c r="AY19" s="370"/>
      <c r="AZ19" s="370"/>
      <c r="BA19" s="452"/>
      <c r="BB19" s="370"/>
      <c r="BC19" s="370"/>
      <c r="BD19" s="370"/>
      <c r="BE19" s="370"/>
      <c r="BF19" s="452"/>
      <c r="BG19" s="93"/>
      <c r="BH19" s="93"/>
      <c r="BI19" s="93"/>
      <c r="BJ19" s="370"/>
      <c r="BK19" s="369"/>
      <c r="BL19" s="370"/>
      <c r="BM19" s="370"/>
      <c r="BN19" s="370"/>
      <c r="BO19" s="370"/>
      <c r="BP19" s="452"/>
      <c r="BQ19" s="282"/>
      <c r="BR19" s="282">
        <v>0</v>
      </c>
      <c r="BS19" s="282">
        <v>0</v>
      </c>
      <c r="BT19" s="282">
        <v>0</v>
      </c>
      <c r="BU19" s="300">
        <f t="shared" si="97"/>
        <v>0</v>
      </c>
      <c r="BV19" s="282">
        <v>0</v>
      </c>
      <c r="BW19" s="282">
        <v>0</v>
      </c>
      <c r="BX19" s="282">
        <v>0</v>
      </c>
      <c r="BY19" s="282">
        <v>0</v>
      </c>
      <c r="BZ19" s="300">
        <f t="shared" si="98"/>
        <v>0</v>
      </c>
      <c r="CA19" s="282">
        <v>0</v>
      </c>
      <c r="CB19" s="282">
        <v>0</v>
      </c>
      <c r="CC19" s="282">
        <v>0</v>
      </c>
      <c r="CD19" s="282">
        <v>0</v>
      </c>
      <c r="CE19" s="300">
        <f t="shared" si="99"/>
        <v>0</v>
      </c>
      <c r="CF19" s="282">
        <v>0</v>
      </c>
      <c r="CG19" s="282">
        <v>0</v>
      </c>
      <c r="CH19" s="282">
        <v>0</v>
      </c>
      <c r="CI19" s="282">
        <v>0</v>
      </c>
      <c r="CJ19" s="300">
        <f t="shared" si="100"/>
        <v>0</v>
      </c>
      <c r="CK19" s="282">
        <v>0</v>
      </c>
      <c r="CL19" s="282">
        <v>0</v>
      </c>
      <c r="CM19" s="282">
        <v>0</v>
      </c>
      <c r="CN19" s="282">
        <v>2.5</v>
      </c>
      <c r="CO19" s="300">
        <f t="shared" si="101"/>
        <v>2.5</v>
      </c>
      <c r="CP19" s="282">
        <v>0</v>
      </c>
      <c r="CQ19" s="282">
        <v>0</v>
      </c>
      <c r="CR19" s="282">
        <v>170.5</v>
      </c>
      <c r="CS19" s="282">
        <v>173.45400000000001</v>
      </c>
      <c r="CT19" s="300">
        <f t="shared" si="102"/>
        <v>173.45400000000001</v>
      </c>
      <c r="CU19" s="282">
        <v>1630.95</v>
      </c>
      <c r="CV19" s="282">
        <v>2796.3209999999999</v>
      </c>
      <c r="CW19" s="282">
        <v>4445.1319999999996</v>
      </c>
      <c r="CX19" s="282">
        <v>3955.5450000000001</v>
      </c>
      <c r="CY19" s="300">
        <f t="shared" si="103"/>
        <v>3955.5450000000001</v>
      </c>
      <c r="CZ19" s="282">
        <v>2894.6010000000001</v>
      </c>
      <c r="DA19" s="282">
        <v>1993.867</v>
      </c>
      <c r="DB19" s="282">
        <v>2421.7469999999998</v>
      </c>
      <c r="DC19" s="282">
        <v>1953.46</v>
      </c>
      <c r="DD19" s="300">
        <f t="shared" si="104"/>
        <v>1953.46</v>
      </c>
      <c r="DE19" s="282">
        <v>2277</v>
      </c>
      <c r="DF19" s="282">
        <v>2294</v>
      </c>
      <c r="DG19" s="282">
        <v>2852</v>
      </c>
      <c r="DH19" s="282">
        <v>3597</v>
      </c>
      <c r="DI19" s="300">
        <f t="shared" si="82"/>
        <v>3597</v>
      </c>
      <c r="DJ19" s="282">
        <v>3294</v>
      </c>
      <c r="DK19" s="282">
        <v>3590</v>
      </c>
      <c r="DL19" s="282">
        <f>3684+782</f>
        <v>4466</v>
      </c>
      <c r="DM19" s="125">
        <f>DL19-'Cash Flow'!DM15-'Cash Flow'!DM35</f>
        <v>4466</v>
      </c>
      <c r="DN19" s="300">
        <f t="shared" si="105"/>
        <v>4466</v>
      </c>
      <c r="DO19" s="125">
        <f>DN19-'Cash Flow'!DO15-'Cash Flow'!DO35</f>
        <v>4466</v>
      </c>
      <c r="DP19" s="125">
        <f>DO19-'Cash Flow'!DP15-'Cash Flow'!DP35</f>
        <v>4466</v>
      </c>
      <c r="DQ19" s="125">
        <f>DP19-'Cash Flow'!DQ15-'Cash Flow'!DQ35</f>
        <v>4466</v>
      </c>
      <c r="DR19" s="125">
        <f>DQ19-'Cash Flow'!DR15-'Cash Flow'!DR35</f>
        <v>4466</v>
      </c>
      <c r="DS19" s="300">
        <f t="shared" si="88"/>
        <v>4466</v>
      </c>
      <c r="DT19" s="125">
        <f>DS19-'Cash Flow'!DT15-'Cash Flow'!DT35</f>
        <v>4466</v>
      </c>
      <c r="DU19" s="125">
        <f>DT19-'Cash Flow'!DU15-'Cash Flow'!DU35</f>
        <v>4466</v>
      </c>
      <c r="DV19" s="125">
        <f>DU19-'Cash Flow'!DV15-'Cash Flow'!DV35</f>
        <v>4466</v>
      </c>
      <c r="DW19" s="125">
        <f>DV19-'Cash Flow'!DW15-'Cash Flow'!DW35</f>
        <v>4466</v>
      </c>
      <c r="DX19" s="300">
        <f t="shared" si="106"/>
        <v>4466</v>
      </c>
      <c r="DY19" s="125">
        <f>DX19-'Cash Flow'!DY15-'Cash Flow'!DY35</f>
        <v>4466</v>
      </c>
      <c r="DZ19" s="125">
        <f>DY19-'Cash Flow'!DZ15-'Cash Flow'!DZ35</f>
        <v>4466</v>
      </c>
      <c r="EA19" s="125">
        <f>DZ19-'Cash Flow'!EA15-'Cash Flow'!EA35</f>
        <v>4466</v>
      </c>
      <c r="EB19" s="125">
        <f>EA19-'Cash Flow'!EB15-'Cash Flow'!EB35</f>
        <v>4466</v>
      </c>
      <c r="EC19" s="300">
        <f t="shared" si="107"/>
        <v>4466</v>
      </c>
      <c r="ED19" s="446"/>
      <c r="EE19" s="446"/>
      <c r="EF19" s="446"/>
      <c r="EG19" s="446"/>
      <c r="EH19" s="446"/>
      <c r="EI19" s="446"/>
      <c r="EJ19" s="446"/>
      <c r="EK19" s="446"/>
      <c r="EL19" s="446"/>
      <c r="EM19" s="446"/>
      <c r="EN19" s="446"/>
      <c r="EO19" s="446"/>
      <c r="EP19" s="446"/>
      <c r="EQ19" s="446"/>
      <c r="ER19" s="446"/>
      <c r="ES19" s="446"/>
      <c r="ET19" s="446"/>
      <c r="EU19" s="446"/>
      <c r="EV19" s="446"/>
      <c r="EW19" s="446"/>
      <c r="EX19" s="446"/>
      <c r="EY19" s="446"/>
      <c r="EZ19" s="446"/>
      <c r="FA19" s="446"/>
      <c r="FB19" s="446"/>
      <c r="FC19" s="446"/>
      <c r="FD19" s="446"/>
      <c r="FE19" s="446"/>
      <c r="FF19" s="446"/>
      <c r="FG19" s="446"/>
      <c r="FH19" s="446"/>
      <c r="FI19" s="446"/>
      <c r="FJ19" s="446"/>
      <c r="FK19" s="446"/>
      <c r="FL19" s="446"/>
      <c r="FM19" s="446"/>
      <c r="FN19" s="446"/>
      <c r="FO19" s="446"/>
      <c r="FP19" s="446"/>
      <c r="FQ19" s="446"/>
      <c r="FR19" s="446"/>
      <c r="FS19" s="446"/>
      <c r="FT19" s="446"/>
      <c r="FU19" s="446"/>
      <c r="FV19" s="446"/>
      <c r="FW19" s="446"/>
      <c r="FX19" s="446"/>
      <c r="FY19" s="446"/>
      <c r="FZ19" s="446"/>
      <c r="GA19" s="446"/>
      <c r="GB19" s="446"/>
      <c r="GC19" s="446"/>
      <c r="GD19" s="446"/>
      <c r="GE19" s="446"/>
      <c r="GF19" s="446"/>
      <c r="GG19" s="446"/>
      <c r="GH19" s="446"/>
      <c r="GI19" s="446"/>
      <c r="GJ19" s="446"/>
      <c r="GK19" s="446"/>
      <c r="GL19" s="446"/>
      <c r="GM19" s="446"/>
      <c r="GN19" s="446"/>
      <c r="GO19" s="446"/>
      <c r="GP19" s="446"/>
      <c r="GQ19" s="446"/>
      <c r="GR19" s="446"/>
      <c r="GS19" s="446"/>
      <c r="GT19" s="446"/>
      <c r="GU19" s="446"/>
      <c r="GV19" s="446"/>
      <c r="GW19" s="446"/>
      <c r="GX19" s="446"/>
      <c r="GY19" s="446"/>
      <c r="GZ19" s="446"/>
      <c r="HA19" s="446"/>
      <c r="HB19" s="446"/>
      <c r="HC19" s="446"/>
      <c r="HD19" s="446"/>
      <c r="HE19" s="446"/>
      <c r="HF19" s="446"/>
      <c r="HG19" s="446"/>
      <c r="HH19" s="446"/>
      <c r="HI19" s="446"/>
      <c r="HJ19" s="446"/>
      <c r="HK19" s="446"/>
      <c r="HL19" s="446"/>
      <c r="HM19" s="446"/>
      <c r="HN19" s="446"/>
      <c r="HO19" s="446"/>
      <c r="HP19" s="446"/>
      <c r="HQ19" s="446"/>
      <c r="HR19" s="446"/>
      <c r="HS19" s="446"/>
      <c r="HT19" s="446"/>
      <c r="HU19" s="446"/>
      <c r="HV19" s="446"/>
      <c r="HW19" s="446"/>
      <c r="HX19" s="446"/>
      <c r="HY19" s="446"/>
      <c r="HZ19" s="446"/>
      <c r="IA19" s="446"/>
      <c r="IB19" s="446"/>
      <c r="IC19" s="446"/>
      <c r="ID19" s="446"/>
      <c r="IE19" s="446"/>
      <c r="IF19" s="446"/>
      <c r="IG19" s="446"/>
      <c r="IH19" s="446"/>
      <c r="II19" s="446"/>
      <c r="IJ19" s="446"/>
      <c r="IK19" s="446"/>
      <c r="IL19" s="446"/>
      <c r="IM19" s="446"/>
      <c r="IN19" s="446"/>
      <c r="IO19" s="446"/>
      <c r="IP19" s="446"/>
      <c r="IQ19" s="446"/>
      <c r="IR19" s="446"/>
      <c r="IS19" s="446"/>
      <c r="IT19" s="446"/>
      <c r="IU19" s="446"/>
      <c r="IV19" s="446"/>
      <c r="IW19" s="446"/>
      <c r="IX19" s="446"/>
    </row>
    <row r="20" spans="1:258" s="179" customFormat="1" ht="12" customHeight="1">
      <c r="A20" s="139"/>
      <c r="B20" s="139"/>
      <c r="C20" s="309" t="s">
        <v>353</v>
      </c>
      <c r="D20" s="369"/>
      <c r="E20" s="369"/>
      <c r="F20" s="369"/>
      <c r="G20" s="369"/>
      <c r="H20" s="369"/>
      <c r="I20" s="370"/>
      <c r="J20" s="370"/>
      <c r="K20" s="370"/>
      <c r="L20" s="370"/>
      <c r="M20" s="452"/>
      <c r="N20" s="370"/>
      <c r="O20" s="370"/>
      <c r="P20" s="370"/>
      <c r="Q20" s="370"/>
      <c r="R20" s="452"/>
      <c r="S20" s="370"/>
      <c r="T20" s="370"/>
      <c r="U20" s="370"/>
      <c r="V20" s="370"/>
      <c r="W20" s="452"/>
      <c r="X20" s="370"/>
      <c r="Y20" s="370"/>
      <c r="Z20" s="370"/>
      <c r="AA20" s="370"/>
      <c r="AB20" s="452"/>
      <c r="AC20" s="370"/>
      <c r="AD20" s="370"/>
      <c r="AE20" s="370"/>
      <c r="AF20" s="370"/>
      <c r="AG20" s="452"/>
      <c r="AH20" s="370"/>
      <c r="AI20" s="370"/>
      <c r="AJ20" s="370"/>
      <c r="AK20" s="370"/>
      <c r="AL20" s="452"/>
      <c r="AM20" s="370"/>
      <c r="AN20" s="370"/>
      <c r="AO20" s="370"/>
      <c r="AP20" s="370"/>
      <c r="AQ20" s="452"/>
      <c r="AR20" s="370"/>
      <c r="AS20" s="370"/>
      <c r="AT20" s="370"/>
      <c r="AU20" s="370"/>
      <c r="AV20" s="452"/>
      <c r="AW20" s="370"/>
      <c r="AX20" s="370"/>
      <c r="AY20" s="370"/>
      <c r="AZ20" s="370"/>
      <c r="BA20" s="452"/>
      <c r="BB20" s="370"/>
      <c r="BC20" s="370"/>
      <c r="BD20" s="370"/>
      <c r="BE20" s="370"/>
      <c r="BF20" s="452"/>
      <c r="BG20" s="93"/>
      <c r="BH20" s="93"/>
      <c r="BI20" s="93"/>
      <c r="BJ20" s="370"/>
      <c r="BK20" s="369"/>
      <c r="BL20" s="370"/>
      <c r="BM20" s="370"/>
      <c r="BN20" s="370"/>
      <c r="BO20" s="370"/>
      <c r="BP20" s="452"/>
      <c r="BQ20" s="282"/>
      <c r="BR20" s="282">
        <v>0</v>
      </c>
      <c r="BS20" s="282">
        <v>0</v>
      </c>
      <c r="BT20" s="282">
        <v>0</v>
      </c>
      <c r="BU20" s="300">
        <f t="shared" ref="BU20" si="108">+BT20</f>
        <v>0</v>
      </c>
      <c r="BV20" s="282">
        <v>0</v>
      </c>
      <c r="BW20" s="282">
        <v>0</v>
      </c>
      <c r="BX20" s="282">
        <v>0</v>
      </c>
      <c r="BY20" s="282">
        <v>0</v>
      </c>
      <c r="BZ20" s="300">
        <f t="shared" ref="BZ20" si="109">+BY20</f>
        <v>0</v>
      </c>
      <c r="CA20" s="282">
        <v>0</v>
      </c>
      <c r="CB20" s="282">
        <v>0</v>
      </c>
      <c r="CC20" s="282">
        <v>0</v>
      </c>
      <c r="CD20" s="282">
        <v>0</v>
      </c>
      <c r="CE20" s="300">
        <f t="shared" ref="CE20" si="110">+CD20</f>
        <v>0</v>
      </c>
      <c r="CF20" s="282">
        <v>0</v>
      </c>
      <c r="CG20" s="282">
        <v>0</v>
      </c>
      <c r="CH20" s="282">
        <v>0</v>
      </c>
      <c r="CI20" s="282">
        <v>0</v>
      </c>
      <c r="CJ20" s="300">
        <f t="shared" ref="CJ20" si="111">+CI20</f>
        <v>0</v>
      </c>
      <c r="CK20" s="282">
        <v>0</v>
      </c>
      <c r="CL20" s="282">
        <v>0</v>
      </c>
      <c r="CM20" s="282">
        <v>0</v>
      </c>
      <c r="CN20" s="282">
        <v>0</v>
      </c>
      <c r="CO20" s="300">
        <f t="shared" ref="CO20" si="112">+CN20</f>
        <v>0</v>
      </c>
      <c r="CP20" s="282">
        <v>0</v>
      </c>
      <c r="CQ20" s="282">
        <v>0</v>
      </c>
      <c r="CR20" s="282">
        <v>0</v>
      </c>
      <c r="CS20" s="282">
        <v>0</v>
      </c>
      <c r="CT20" s="300">
        <f t="shared" ref="CT20" si="113">+CS20</f>
        <v>0</v>
      </c>
      <c r="CU20" s="282">
        <v>0</v>
      </c>
      <c r="CV20" s="282">
        <v>0</v>
      </c>
      <c r="CW20" s="282">
        <v>0</v>
      </c>
      <c r="CX20" s="282">
        <v>0</v>
      </c>
      <c r="CY20" s="300">
        <f t="shared" ref="CY20" si="114">+CX20</f>
        <v>0</v>
      </c>
      <c r="CZ20" s="282">
        <v>0</v>
      </c>
      <c r="DA20" s="282">
        <v>0</v>
      </c>
      <c r="DB20" s="282">
        <v>0</v>
      </c>
      <c r="DC20" s="282">
        <v>0</v>
      </c>
      <c r="DD20" s="300">
        <f>+DC20</f>
        <v>0</v>
      </c>
      <c r="DE20" s="282">
        <v>0</v>
      </c>
      <c r="DF20" s="282">
        <v>838</v>
      </c>
      <c r="DG20" s="282">
        <v>828</v>
      </c>
      <c r="DH20" s="282">
        <v>780</v>
      </c>
      <c r="DI20" s="300">
        <f>+DH20</f>
        <v>780</v>
      </c>
      <c r="DJ20" s="282">
        <v>735</v>
      </c>
      <c r="DK20" s="282">
        <v>691</v>
      </c>
      <c r="DL20" s="282">
        <v>664</v>
      </c>
      <c r="DM20" s="326">
        <f t="shared" ref="DM20" si="115">+DL20</f>
        <v>664</v>
      </c>
      <c r="DN20" s="300">
        <f>+DM20</f>
        <v>664</v>
      </c>
      <c r="DO20" s="326">
        <f>+DM20</f>
        <v>664</v>
      </c>
      <c r="DP20" s="326">
        <f>+DO20</f>
        <v>664</v>
      </c>
      <c r="DQ20" s="326">
        <f t="shared" ref="DQ20:DR20" si="116">+DP20</f>
        <v>664</v>
      </c>
      <c r="DR20" s="326">
        <f t="shared" si="116"/>
        <v>664</v>
      </c>
      <c r="DS20" s="300">
        <f>+DR20</f>
        <v>664</v>
      </c>
      <c r="DT20" s="326">
        <f>+DR20</f>
        <v>664</v>
      </c>
      <c r="DU20" s="326">
        <f>+DT20</f>
        <v>664</v>
      </c>
      <c r="DV20" s="326">
        <f t="shared" ref="DV20" si="117">+DU20</f>
        <v>664</v>
      </c>
      <c r="DW20" s="326">
        <f t="shared" ref="DW20" si="118">+DV20</f>
        <v>664</v>
      </c>
      <c r="DX20" s="300">
        <f>+DW20</f>
        <v>664</v>
      </c>
      <c r="DY20" s="326">
        <f>+DW20</f>
        <v>664</v>
      </c>
      <c r="DZ20" s="326">
        <f>+DY20</f>
        <v>664</v>
      </c>
      <c r="EA20" s="326">
        <f t="shared" ref="EA20" si="119">+DZ20</f>
        <v>664</v>
      </c>
      <c r="EB20" s="326">
        <f t="shared" ref="EB20" si="120">+EA20</f>
        <v>664</v>
      </c>
      <c r="EC20" s="300">
        <f>+EB20</f>
        <v>664</v>
      </c>
      <c r="ED20" s="446"/>
      <c r="EE20" s="446"/>
      <c r="EF20" s="446"/>
      <c r="EG20" s="446"/>
      <c r="EH20" s="446"/>
      <c r="EI20" s="446"/>
      <c r="EJ20" s="446"/>
      <c r="EK20" s="446"/>
      <c r="EL20" s="446"/>
      <c r="EM20" s="446"/>
      <c r="EN20" s="446"/>
      <c r="EO20" s="446"/>
      <c r="EP20" s="446"/>
      <c r="EQ20" s="446"/>
      <c r="ER20" s="446"/>
      <c r="ES20" s="446"/>
      <c r="ET20" s="446"/>
      <c r="EU20" s="446"/>
      <c r="EV20" s="446"/>
      <c r="EW20" s="446"/>
      <c r="EX20" s="446"/>
      <c r="EY20" s="446"/>
      <c r="EZ20" s="446"/>
      <c r="FA20" s="446"/>
      <c r="FB20" s="446"/>
      <c r="FC20" s="446"/>
      <c r="FD20" s="446"/>
      <c r="FE20" s="446"/>
      <c r="FF20" s="446"/>
      <c r="FG20" s="446"/>
      <c r="FH20" s="446"/>
      <c r="FI20" s="446"/>
      <c r="FJ20" s="446"/>
      <c r="FK20" s="446"/>
      <c r="FL20" s="446"/>
      <c r="FM20" s="446"/>
      <c r="FN20" s="446"/>
      <c r="FO20" s="446"/>
      <c r="FP20" s="446"/>
      <c r="FQ20" s="446"/>
      <c r="FR20" s="446"/>
      <c r="FS20" s="446"/>
      <c r="FT20" s="446"/>
      <c r="FU20" s="446"/>
      <c r="FV20" s="446"/>
      <c r="FW20" s="446"/>
      <c r="FX20" s="446"/>
      <c r="FY20" s="446"/>
      <c r="FZ20" s="446"/>
      <c r="GA20" s="446"/>
      <c r="GB20" s="446"/>
      <c r="GC20" s="446"/>
      <c r="GD20" s="446"/>
      <c r="GE20" s="446"/>
      <c r="GF20" s="446"/>
      <c r="GG20" s="446"/>
      <c r="GH20" s="446"/>
      <c r="GI20" s="446"/>
      <c r="GJ20" s="446"/>
      <c r="GK20" s="446"/>
      <c r="GL20" s="446"/>
      <c r="GM20" s="446"/>
      <c r="GN20" s="446"/>
      <c r="GO20" s="446"/>
      <c r="GP20" s="446"/>
      <c r="GQ20" s="446"/>
      <c r="GR20" s="446"/>
      <c r="GS20" s="446"/>
      <c r="GT20" s="446"/>
      <c r="GU20" s="446"/>
      <c r="GV20" s="446"/>
      <c r="GW20" s="446"/>
      <c r="GX20" s="446"/>
      <c r="GY20" s="446"/>
      <c r="GZ20" s="446"/>
      <c r="HA20" s="446"/>
      <c r="HB20" s="446"/>
      <c r="HC20" s="446"/>
      <c r="HD20" s="446"/>
      <c r="HE20" s="446"/>
      <c r="HF20" s="446"/>
      <c r="HG20" s="446"/>
      <c r="HH20" s="446"/>
      <c r="HI20" s="446"/>
      <c r="HJ20" s="446"/>
      <c r="HK20" s="446"/>
      <c r="HL20" s="446"/>
      <c r="HM20" s="446"/>
      <c r="HN20" s="446"/>
      <c r="HO20" s="446"/>
      <c r="HP20" s="446"/>
      <c r="HQ20" s="446"/>
      <c r="HR20" s="446"/>
      <c r="HS20" s="446"/>
      <c r="HT20" s="446"/>
      <c r="HU20" s="446"/>
      <c r="HV20" s="446"/>
      <c r="HW20" s="446"/>
      <c r="HX20" s="446"/>
      <c r="HY20" s="446"/>
      <c r="HZ20" s="446"/>
      <c r="IA20" s="446"/>
      <c r="IB20" s="446"/>
      <c r="IC20" s="446"/>
      <c r="ID20" s="446"/>
      <c r="IE20" s="446"/>
      <c r="IF20" s="446"/>
      <c r="IG20" s="446"/>
      <c r="IH20" s="446"/>
      <c r="II20" s="446"/>
      <c r="IJ20" s="446"/>
      <c r="IK20" s="446"/>
      <c r="IL20" s="446"/>
      <c r="IM20" s="446"/>
      <c r="IN20" s="446"/>
      <c r="IO20" s="446"/>
      <c r="IP20" s="446"/>
      <c r="IQ20" s="446"/>
      <c r="IR20" s="446"/>
      <c r="IS20" s="446"/>
      <c r="IT20" s="446"/>
      <c r="IU20" s="446"/>
      <c r="IV20" s="446"/>
      <c r="IW20" s="446"/>
      <c r="IX20" s="446"/>
    </row>
    <row r="21" spans="1:258" s="179" customFormat="1" ht="12" customHeight="1">
      <c r="A21" s="139"/>
      <c r="B21" s="139"/>
      <c r="C21" s="309" t="s">
        <v>269</v>
      </c>
      <c r="D21" s="369"/>
      <c r="E21" s="369"/>
      <c r="F21" s="369"/>
      <c r="G21" s="369"/>
      <c r="H21" s="369"/>
      <c r="I21" s="370"/>
      <c r="J21" s="370"/>
      <c r="K21" s="370"/>
      <c r="L21" s="370"/>
      <c r="M21" s="452"/>
      <c r="N21" s="370"/>
      <c r="O21" s="370"/>
      <c r="P21" s="370"/>
      <c r="Q21" s="370"/>
      <c r="R21" s="452"/>
      <c r="S21" s="370"/>
      <c r="T21" s="370"/>
      <c r="U21" s="370"/>
      <c r="V21" s="370"/>
      <c r="W21" s="452"/>
      <c r="X21" s="370"/>
      <c r="Y21" s="370"/>
      <c r="Z21" s="370"/>
      <c r="AA21" s="370"/>
      <c r="AB21" s="452"/>
      <c r="AC21" s="370"/>
      <c r="AD21" s="370"/>
      <c r="AE21" s="370"/>
      <c r="AF21" s="370"/>
      <c r="AG21" s="452"/>
      <c r="AH21" s="370"/>
      <c r="AI21" s="370"/>
      <c r="AJ21" s="370"/>
      <c r="AK21" s="370"/>
      <c r="AL21" s="452"/>
      <c r="AM21" s="370"/>
      <c r="AN21" s="370"/>
      <c r="AO21" s="370"/>
      <c r="AP21" s="370"/>
      <c r="AQ21" s="452"/>
      <c r="AR21" s="370"/>
      <c r="AS21" s="370"/>
      <c r="AT21" s="370"/>
      <c r="AU21" s="370"/>
      <c r="AV21" s="452"/>
      <c r="AW21" s="370"/>
      <c r="AX21" s="370"/>
      <c r="AY21" s="370"/>
      <c r="AZ21" s="370"/>
      <c r="BA21" s="452"/>
      <c r="BB21" s="370"/>
      <c r="BC21" s="370"/>
      <c r="BD21" s="370"/>
      <c r="BE21" s="370"/>
      <c r="BF21" s="452"/>
      <c r="BG21" s="93"/>
      <c r="BH21" s="93"/>
      <c r="BI21" s="93"/>
      <c r="BJ21" s="370"/>
      <c r="BK21" s="369"/>
      <c r="BL21" s="370"/>
      <c r="BM21" s="370"/>
      <c r="BN21" s="370"/>
      <c r="BO21" s="370"/>
      <c r="BP21" s="452"/>
      <c r="BQ21" s="282"/>
      <c r="BR21" s="282">
        <v>2.3730000000000002</v>
      </c>
      <c r="BS21" s="282">
        <v>2.3730000000000002</v>
      </c>
      <c r="BT21" s="282">
        <v>2.3730000000000002</v>
      </c>
      <c r="BU21" s="300">
        <f t="shared" si="97"/>
        <v>2.3730000000000002</v>
      </c>
      <c r="BV21" s="282">
        <v>2.3730000000000002</v>
      </c>
      <c r="BW21" s="282">
        <v>9.3019999999999996</v>
      </c>
      <c r="BX21" s="282">
        <v>9.3019999999999996</v>
      </c>
      <c r="BY21" s="282">
        <v>15.504</v>
      </c>
      <c r="BZ21" s="300">
        <f t="shared" si="98"/>
        <v>15.504</v>
      </c>
      <c r="CA21" s="282">
        <v>15.504</v>
      </c>
      <c r="CB21" s="282">
        <v>20.317</v>
      </c>
      <c r="CC21" s="282">
        <v>20.317</v>
      </c>
      <c r="CD21" s="282">
        <v>20.317</v>
      </c>
      <c r="CE21" s="300">
        <f t="shared" si="99"/>
        <v>20.317</v>
      </c>
      <c r="CF21" s="282">
        <v>20.317</v>
      </c>
      <c r="CG21" s="282">
        <v>22.893999999999998</v>
      </c>
      <c r="CH21" s="282">
        <v>22.893999999999998</v>
      </c>
      <c r="CI21" s="282">
        <v>38.018999999999998</v>
      </c>
      <c r="CJ21" s="300">
        <f t="shared" si="100"/>
        <v>38.018999999999998</v>
      </c>
      <c r="CK21" s="282">
        <v>43.671999999999997</v>
      </c>
      <c r="CL21" s="282">
        <v>48.375</v>
      </c>
      <c r="CM21" s="282">
        <v>48.375</v>
      </c>
      <c r="CN21" s="282">
        <v>311.86500000000001</v>
      </c>
      <c r="CO21" s="300">
        <f t="shared" si="101"/>
        <v>311.86500000000001</v>
      </c>
      <c r="CP21" s="282">
        <v>311.86500000000001</v>
      </c>
      <c r="CQ21" s="282">
        <v>311.86500000000001</v>
      </c>
      <c r="CR21" s="282">
        <v>311.86500000000001</v>
      </c>
      <c r="CS21" s="282">
        <v>311.86500000000001</v>
      </c>
      <c r="CT21" s="300">
        <f t="shared" si="102"/>
        <v>311.86500000000001</v>
      </c>
      <c r="CU21" s="282">
        <v>311.86500000000001</v>
      </c>
      <c r="CV21" s="282">
        <v>311.86500000000001</v>
      </c>
      <c r="CW21" s="282">
        <v>349.43200000000002</v>
      </c>
      <c r="CX21" s="282">
        <v>356.52800000000002</v>
      </c>
      <c r="CY21" s="300">
        <f t="shared" si="103"/>
        <v>356.52800000000002</v>
      </c>
      <c r="CZ21" s="282">
        <v>356.52800000000002</v>
      </c>
      <c r="DA21" s="282">
        <v>379.34500000000003</v>
      </c>
      <c r="DB21" s="282">
        <v>1836.2819999999999</v>
      </c>
      <c r="DC21" s="282">
        <v>1836.2819999999999</v>
      </c>
      <c r="DD21" s="300">
        <f t="shared" si="104"/>
        <v>1836.2819999999999</v>
      </c>
      <c r="DE21" s="282">
        <v>1865</v>
      </c>
      <c r="DF21" s="282">
        <v>427</v>
      </c>
      <c r="DG21" s="282">
        <v>427</v>
      </c>
      <c r="DH21" s="282">
        <v>427</v>
      </c>
      <c r="DI21" s="300">
        <f t="shared" ref="DI21:DI22" si="121">DH21</f>
        <v>427</v>
      </c>
      <c r="DJ21" s="282">
        <v>427</v>
      </c>
      <c r="DK21" s="282">
        <v>449</v>
      </c>
      <c r="DL21" s="282">
        <v>452</v>
      </c>
      <c r="DM21" s="125">
        <f t="shared" ref="DM21" si="122">DL21</f>
        <v>452</v>
      </c>
      <c r="DN21" s="300">
        <f t="shared" si="105"/>
        <v>452</v>
      </c>
      <c r="DO21" s="125">
        <f>DN21</f>
        <v>452</v>
      </c>
      <c r="DP21" s="125">
        <f t="shared" ref="DP21:DR21" si="123">DO21</f>
        <v>452</v>
      </c>
      <c r="DQ21" s="125">
        <f t="shared" si="123"/>
        <v>452</v>
      </c>
      <c r="DR21" s="125">
        <f t="shared" si="123"/>
        <v>452</v>
      </c>
      <c r="DS21" s="300">
        <f t="shared" si="88"/>
        <v>452</v>
      </c>
      <c r="DT21" s="125">
        <f>DS21</f>
        <v>452</v>
      </c>
      <c r="DU21" s="125">
        <f t="shared" ref="DU21:DU22" si="124">DT21</f>
        <v>452</v>
      </c>
      <c r="DV21" s="125">
        <f t="shared" ref="DV21:DV22" si="125">DU21</f>
        <v>452</v>
      </c>
      <c r="DW21" s="125">
        <f t="shared" ref="DW21:DW22" si="126">DV21</f>
        <v>452</v>
      </c>
      <c r="DX21" s="300">
        <f t="shared" ref="DX21:DX23" si="127">DW21</f>
        <v>452</v>
      </c>
      <c r="DY21" s="125">
        <f>DX21</f>
        <v>452</v>
      </c>
      <c r="DZ21" s="125">
        <f t="shared" ref="DZ21:DZ22" si="128">DY21</f>
        <v>452</v>
      </c>
      <c r="EA21" s="125">
        <f t="shared" ref="EA21:EA22" si="129">DZ21</f>
        <v>452</v>
      </c>
      <c r="EB21" s="125">
        <f t="shared" ref="EB21:EB22" si="130">EA21</f>
        <v>452</v>
      </c>
      <c r="EC21" s="300">
        <f t="shared" ref="EC21:EC23" si="131">EB21</f>
        <v>452</v>
      </c>
    </row>
    <row r="22" spans="1:258" s="179" customFormat="1" ht="12" customHeight="1">
      <c r="A22" s="139"/>
      <c r="B22" s="139"/>
      <c r="C22" s="309" t="s">
        <v>205</v>
      </c>
      <c r="D22" s="369"/>
      <c r="E22" s="369"/>
      <c r="F22" s="369"/>
      <c r="G22" s="369"/>
      <c r="H22" s="369"/>
      <c r="I22" s="370"/>
      <c r="J22" s="370"/>
      <c r="K22" s="370"/>
      <c r="L22" s="370"/>
      <c r="M22" s="452"/>
      <c r="N22" s="370"/>
      <c r="O22" s="370"/>
      <c r="P22" s="370"/>
      <c r="Q22" s="370"/>
      <c r="R22" s="452"/>
      <c r="S22" s="370"/>
      <c r="T22" s="370"/>
      <c r="U22" s="370"/>
      <c r="V22" s="370"/>
      <c r="W22" s="452"/>
      <c r="X22" s="370"/>
      <c r="Y22" s="370"/>
      <c r="Z22" s="370"/>
      <c r="AA22" s="370"/>
      <c r="AB22" s="452"/>
      <c r="AC22" s="370"/>
      <c r="AD22" s="370"/>
      <c r="AE22" s="370"/>
      <c r="AF22" s="370"/>
      <c r="AG22" s="452"/>
      <c r="AH22" s="370"/>
      <c r="AI22" s="370"/>
      <c r="AJ22" s="370"/>
      <c r="AK22" s="370"/>
      <c r="AL22" s="452"/>
      <c r="AM22" s="370"/>
      <c r="AN22" s="370"/>
      <c r="AO22" s="370"/>
      <c r="AP22" s="370"/>
      <c r="AQ22" s="452"/>
      <c r="AR22" s="370"/>
      <c r="AS22" s="370"/>
      <c r="AT22" s="370"/>
      <c r="AU22" s="370"/>
      <c r="AV22" s="452"/>
      <c r="AW22" s="370"/>
      <c r="AX22" s="370"/>
      <c r="AY22" s="370"/>
      <c r="AZ22" s="370"/>
      <c r="BA22" s="452"/>
      <c r="BB22" s="370"/>
      <c r="BC22" s="370"/>
      <c r="BD22" s="370"/>
      <c r="BE22" s="370"/>
      <c r="BF22" s="452"/>
      <c r="BG22" s="93"/>
      <c r="BH22" s="93"/>
      <c r="BI22" s="93"/>
      <c r="BJ22" s="370"/>
      <c r="BK22" s="369"/>
      <c r="BL22" s="370"/>
      <c r="BM22" s="370"/>
      <c r="BN22" s="370"/>
      <c r="BO22" s="370"/>
      <c r="BP22" s="452"/>
      <c r="BQ22" s="282"/>
      <c r="BR22" s="282">
        <f>236.88-SUM(BR14:BR21)</f>
        <v>0</v>
      </c>
      <c r="BS22" s="282">
        <f>235.639-SUM(BS14:BS21)</f>
        <v>4.5450000000000443</v>
      </c>
      <c r="BT22" s="282">
        <f>243.712-SUM(BT14:BT21)</f>
        <v>0</v>
      </c>
      <c r="BU22" s="300">
        <f t="shared" si="97"/>
        <v>0</v>
      </c>
      <c r="BV22" s="282">
        <f>245.274-SUM(BV14:BV21)</f>
        <v>0</v>
      </c>
      <c r="BW22" s="282">
        <f>251.109-SUM(BW14:BW21)</f>
        <v>0</v>
      </c>
      <c r="BX22" s="282">
        <f>486.343-SUM(BX14:BX21)</f>
        <v>17.999999999999943</v>
      </c>
      <c r="BY22" s="282">
        <f>490.558-SUM(BY14:BY21)</f>
        <v>0</v>
      </c>
      <c r="BZ22" s="300">
        <f t="shared" si="98"/>
        <v>0</v>
      </c>
      <c r="CA22" s="282">
        <f>501.338-SUM(CA14:CA21)</f>
        <v>0</v>
      </c>
      <c r="CB22" s="282">
        <f>1077.233-SUM(CB14:CB21)</f>
        <v>0</v>
      </c>
      <c r="CC22" s="282">
        <f>1101.408-SUM(CC14:CC21)</f>
        <v>0</v>
      </c>
      <c r="CD22" s="282">
        <f>1113.564-SUM(CD14:CD21)</f>
        <v>0</v>
      </c>
      <c r="CE22" s="300">
        <f t="shared" si="99"/>
        <v>0</v>
      </c>
      <c r="CF22" s="282">
        <f>1782.536-SUM(CF14:CF21)</f>
        <v>0</v>
      </c>
      <c r="CG22" s="282">
        <f>1809.057-SUM(CG14:CG21)</f>
        <v>0</v>
      </c>
      <c r="CH22" s="282">
        <f>1841.694-SUM(CH14:CH21)</f>
        <v>0</v>
      </c>
      <c r="CI22" s="282">
        <f>2254.785-SUM(CI14:CI21)</f>
        <v>0</v>
      </c>
      <c r="CJ22" s="300">
        <f t="shared" si="100"/>
        <v>0</v>
      </c>
      <c r="CK22" s="282">
        <f>2402.751-SUM(CK14:CK21)</f>
        <v>0</v>
      </c>
      <c r="CL22" s="282">
        <f>2467.298-SUM(CL14:CL21)</f>
        <v>0</v>
      </c>
      <c r="CM22" s="282">
        <f>3188.935-SUM(CM14:CM21)</f>
        <v>0</v>
      </c>
      <c r="CN22" s="282">
        <f>3489.479-SUM(CN14:CN21)</f>
        <v>0</v>
      </c>
      <c r="CO22" s="300">
        <f t="shared" si="101"/>
        <v>0</v>
      </c>
      <c r="CP22" s="282">
        <f>3470.916-SUM(CP14:CP21)</f>
        <v>0</v>
      </c>
      <c r="CQ22" s="282">
        <f>5098.439-SUM(CQ14:CQ21)</f>
        <v>0</v>
      </c>
      <c r="CR22" s="282">
        <f>7462.031-SUM(CR14:CR21)</f>
        <v>0</v>
      </c>
      <c r="CS22" s="282">
        <f>7762.905-SUM(CS14:CS21)</f>
        <v>0</v>
      </c>
      <c r="CT22" s="300">
        <f t="shared" si="102"/>
        <v>0</v>
      </c>
      <c r="CU22" s="282">
        <f>10824.888-SUM(CU14:CU21)</f>
        <v>0</v>
      </c>
      <c r="CV22" s="282">
        <f>11955.678-SUM(CV14:CV21)</f>
        <v>0</v>
      </c>
      <c r="CW22" s="282">
        <f>13536.518-SUM(CW14:CW21)</f>
        <v>0</v>
      </c>
      <c r="CX22" s="282">
        <f>CW22</f>
        <v>0</v>
      </c>
      <c r="CY22" s="300">
        <f t="shared" si="103"/>
        <v>0</v>
      </c>
      <c r="CZ22" s="282">
        <f>CY22</f>
        <v>0</v>
      </c>
      <c r="DA22" s="282">
        <f>CZ22</f>
        <v>0</v>
      </c>
      <c r="DB22" s="282">
        <f>DA22</f>
        <v>0</v>
      </c>
      <c r="DC22" s="282">
        <f>DB22</f>
        <v>0</v>
      </c>
      <c r="DD22" s="300">
        <f t="shared" si="104"/>
        <v>0</v>
      </c>
      <c r="DE22" s="179">
        <f>DD22</f>
        <v>0</v>
      </c>
      <c r="DF22" s="179">
        <f>DE22</f>
        <v>0</v>
      </c>
      <c r="DG22" s="179">
        <f>DF22</f>
        <v>0</v>
      </c>
      <c r="DH22" s="179">
        <f>DG22</f>
        <v>0</v>
      </c>
      <c r="DI22" s="300">
        <f t="shared" si="121"/>
        <v>0</v>
      </c>
      <c r="DJ22" s="179">
        <f>DI22</f>
        <v>0</v>
      </c>
      <c r="DK22" s="179">
        <f>DJ22</f>
        <v>0</v>
      </c>
      <c r="DL22" s="179">
        <f>DK22</f>
        <v>0</v>
      </c>
      <c r="DM22" s="125">
        <f t="shared" ref="DM22" si="132">DL22</f>
        <v>0</v>
      </c>
      <c r="DN22" s="300">
        <f t="shared" si="105"/>
        <v>0</v>
      </c>
      <c r="DO22" s="125">
        <f>DN22</f>
        <v>0</v>
      </c>
      <c r="DP22" s="125">
        <f t="shared" ref="DP22:DR22" si="133">DO22</f>
        <v>0</v>
      </c>
      <c r="DQ22" s="125">
        <f t="shared" si="133"/>
        <v>0</v>
      </c>
      <c r="DR22" s="125">
        <f t="shared" si="133"/>
        <v>0</v>
      </c>
      <c r="DS22" s="300">
        <f t="shared" si="88"/>
        <v>0</v>
      </c>
      <c r="DT22" s="125">
        <f>DS22</f>
        <v>0</v>
      </c>
      <c r="DU22" s="125">
        <f t="shared" si="124"/>
        <v>0</v>
      </c>
      <c r="DV22" s="125">
        <f t="shared" si="125"/>
        <v>0</v>
      </c>
      <c r="DW22" s="125">
        <f t="shared" si="126"/>
        <v>0</v>
      </c>
      <c r="DX22" s="300">
        <f t="shared" si="127"/>
        <v>0</v>
      </c>
      <c r="DY22" s="125">
        <f>DX22</f>
        <v>0</v>
      </c>
      <c r="DZ22" s="125">
        <f t="shared" si="128"/>
        <v>0</v>
      </c>
      <c r="EA22" s="125">
        <f t="shared" si="129"/>
        <v>0</v>
      </c>
      <c r="EB22" s="125">
        <f t="shared" si="130"/>
        <v>0</v>
      </c>
      <c r="EC22" s="300">
        <f t="shared" si="131"/>
        <v>0</v>
      </c>
    </row>
    <row r="23" spans="1:258" s="468" customFormat="1" ht="12" customHeight="1">
      <c r="A23" s="139"/>
      <c r="B23" s="139"/>
      <c r="C23" s="466" t="s">
        <v>5</v>
      </c>
      <c r="D23" s="467"/>
      <c r="E23" s="467"/>
      <c r="F23" s="467"/>
      <c r="G23" s="467"/>
      <c r="H23" s="467"/>
      <c r="M23" s="467"/>
      <c r="R23" s="467"/>
      <c r="W23" s="467"/>
      <c r="AB23" s="467"/>
      <c r="AG23" s="467"/>
      <c r="AL23" s="467"/>
      <c r="AQ23" s="467"/>
      <c r="AV23" s="467"/>
      <c r="BA23" s="467"/>
      <c r="BF23" s="467"/>
      <c r="BK23" s="467"/>
      <c r="BP23" s="467"/>
      <c r="BQ23" s="469"/>
      <c r="BR23" s="306">
        <f>SUM(BR14:BR22)</f>
        <v>236.88</v>
      </c>
      <c r="BS23" s="306">
        <f>SUM(BS14:BS22)</f>
        <v>235.63900000000001</v>
      </c>
      <c r="BT23" s="306">
        <f>SUM(BT14:BT22)</f>
        <v>243.71199999999999</v>
      </c>
      <c r="BU23" s="307">
        <f t="shared" si="97"/>
        <v>243.71199999999999</v>
      </c>
      <c r="BV23" s="306">
        <f>SUM(BV14:BV22)</f>
        <v>245.27399999999997</v>
      </c>
      <c r="BW23" s="306">
        <f>SUM(BW14:BW22)</f>
        <v>251.10900000000001</v>
      </c>
      <c r="BX23" s="306">
        <f>SUM(BX14:BX22)</f>
        <v>486.34300000000002</v>
      </c>
      <c r="BY23" s="306">
        <f>SUM(BY14:BY22)</f>
        <v>490.55800000000005</v>
      </c>
      <c r="BZ23" s="307">
        <f t="shared" si="98"/>
        <v>490.55800000000005</v>
      </c>
      <c r="CA23" s="306">
        <f>SUM(CA14:CA22)</f>
        <v>501.33800000000002</v>
      </c>
      <c r="CB23" s="306">
        <f>SUM(CB14:CB22)</f>
        <v>1077.2329999999999</v>
      </c>
      <c r="CC23" s="306">
        <f>SUM(CC14:CC22)</f>
        <v>1101.4079999999999</v>
      </c>
      <c r="CD23" s="306">
        <f>SUM(CD14:CD22)</f>
        <v>1113.5639999999999</v>
      </c>
      <c r="CE23" s="307">
        <f t="shared" si="99"/>
        <v>1113.5639999999999</v>
      </c>
      <c r="CF23" s="306">
        <f>SUM(CF14:CF22)</f>
        <v>1782.5360000000001</v>
      </c>
      <c r="CG23" s="306">
        <f>SUM(CG14:CG22)</f>
        <v>1809.0569999999998</v>
      </c>
      <c r="CH23" s="306">
        <f>SUM(CH14:CH22)</f>
        <v>1841.694</v>
      </c>
      <c r="CI23" s="306">
        <f>SUM(CI14:CI22)</f>
        <v>2254.7849999999999</v>
      </c>
      <c r="CJ23" s="307">
        <f>CI23</f>
        <v>2254.7849999999999</v>
      </c>
      <c r="CK23" s="306">
        <f>SUM(CK14:CK22)</f>
        <v>2402.7510000000002</v>
      </c>
      <c r="CL23" s="306">
        <f>SUM(CL14:CL22)</f>
        <v>2467.2979999999998</v>
      </c>
      <c r="CM23" s="306">
        <f>SUM(CM14:CM22)</f>
        <v>3188.9349999999999</v>
      </c>
      <c r="CN23" s="306">
        <f>SUM(CN14:CN22)</f>
        <v>3489.4790000000003</v>
      </c>
      <c r="CO23" s="307">
        <f t="shared" si="101"/>
        <v>3489.4790000000003</v>
      </c>
      <c r="CP23" s="306">
        <f>SUM(CP14:CP22)</f>
        <v>3470.9160000000002</v>
      </c>
      <c r="CQ23" s="306">
        <f>SUM(CQ14:CQ22)</f>
        <v>5098.4389999999994</v>
      </c>
      <c r="CR23" s="306">
        <f>SUM(CR14:CR22)</f>
        <v>7462.0309999999999</v>
      </c>
      <c r="CS23" s="306">
        <f>SUM(CS14:CS22)</f>
        <v>7762.9050000000007</v>
      </c>
      <c r="CT23" s="307">
        <f t="shared" si="102"/>
        <v>7762.9050000000007</v>
      </c>
      <c r="CU23" s="306">
        <f>SUM(CU14:CU22)</f>
        <v>10824.887999999999</v>
      </c>
      <c r="CV23" s="306">
        <f>SUM(CV14:CV22)</f>
        <v>11955.678</v>
      </c>
      <c r="CW23" s="306">
        <f>SUM(CW14:CW22)</f>
        <v>13536.518000000002</v>
      </c>
      <c r="CX23" s="306">
        <f>SUM(CX14:CX22)</f>
        <v>13340.171999999999</v>
      </c>
      <c r="CY23" s="307">
        <f t="shared" si="103"/>
        <v>13340.171999999999</v>
      </c>
      <c r="CZ23" s="306">
        <f>SUM(CZ14:CZ22)</f>
        <v>11834.452000000003</v>
      </c>
      <c r="DA23" s="306">
        <f>SUM(DA14:DA22)</f>
        <v>10747.630000000003</v>
      </c>
      <c r="DB23" s="306">
        <f>SUM(DB14:DB22)</f>
        <v>11203.285</v>
      </c>
      <c r="DC23" s="306">
        <f>SUM(DC14:DC22)</f>
        <v>10757.151000000002</v>
      </c>
      <c r="DD23" s="307">
        <f t="shared" si="104"/>
        <v>10757.151000000002</v>
      </c>
      <c r="DE23" s="306">
        <f>SUM(DE14:DE22)</f>
        <v>10964.328000000001</v>
      </c>
      <c r="DF23" s="306">
        <f>SUM(DF14:DF22)</f>
        <v>9703.3280000000013</v>
      </c>
      <c r="DG23" s="306">
        <f>SUM(DG14:DG22)</f>
        <v>10464.000000000002</v>
      </c>
      <c r="DH23" s="306">
        <f>SUM(DH14:DH22)</f>
        <v>11299.000000000002</v>
      </c>
      <c r="DI23" s="307">
        <f>DH23</f>
        <v>11299.000000000002</v>
      </c>
      <c r="DJ23" s="306">
        <f>SUM(DJ14:DJ22)</f>
        <v>11112.000000000002</v>
      </c>
      <c r="DK23" s="306">
        <f>SUM(DK14:DK22)</f>
        <v>11346.000000000002</v>
      </c>
      <c r="DL23" s="306">
        <f>SUM(DL14:DL22)</f>
        <v>12329.000000000002</v>
      </c>
      <c r="DM23" s="306">
        <f>SUM(DM14:DM22)</f>
        <v>13016.771150165263</v>
      </c>
      <c r="DN23" s="307">
        <f t="shared" si="105"/>
        <v>13016.771150165263</v>
      </c>
      <c r="DO23" s="306">
        <f>SUM(DO14:DO22)</f>
        <v>13428.483649128517</v>
      </c>
      <c r="DP23" s="306">
        <f>SUM(DP14:DP22)</f>
        <v>13866.823071336155</v>
      </c>
      <c r="DQ23" s="306">
        <f>SUM(DQ14:DQ22)</f>
        <v>13468.638127524941</v>
      </c>
      <c r="DR23" s="306">
        <f>SUM(DR14:DR22)</f>
        <v>14327.479578510591</v>
      </c>
      <c r="DS23" s="307">
        <f t="shared" si="88"/>
        <v>14327.479578510591</v>
      </c>
      <c r="DT23" s="306">
        <f>SUM(DT14:DT22)</f>
        <v>14786.271126635678</v>
      </c>
      <c r="DU23" s="306">
        <f>SUM(DU14:DU22)</f>
        <v>15340.497114521928</v>
      </c>
      <c r="DV23" s="306">
        <f>SUM(DV14:DV22)</f>
        <v>15975.821662349863</v>
      </c>
      <c r="DW23" s="306">
        <f>SUM(DW14:DW22)</f>
        <v>17008.521545242191</v>
      </c>
      <c r="DX23" s="307">
        <f t="shared" si="127"/>
        <v>17008.521545242191</v>
      </c>
      <c r="DY23" s="306">
        <f>SUM(DY14:DY22)</f>
        <v>17546.81005095167</v>
      </c>
      <c r="DZ23" s="306">
        <f>SUM(DZ14:DZ22)</f>
        <v>18223.909104588267</v>
      </c>
      <c r="EA23" s="306">
        <f>SUM(EA14:EA22)</f>
        <v>18998.140937333661</v>
      </c>
      <c r="EB23" s="306">
        <f>SUM(EB14:EB22)</f>
        <v>20249.986080737115</v>
      </c>
      <c r="EC23" s="307">
        <f t="shared" si="131"/>
        <v>20249.986080737115</v>
      </c>
    </row>
    <row r="24" spans="1:258" s="93" customFormat="1" ht="12" customHeight="1">
      <c r="A24" s="139"/>
      <c r="B24" s="139"/>
      <c r="C24" s="1177" t="s">
        <v>7</v>
      </c>
      <c r="D24" s="435"/>
      <c r="E24" s="435"/>
      <c r="F24" s="435"/>
      <c r="G24" s="435"/>
      <c r="H24" s="435"/>
      <c r="I24" s="434"/>
      <c r="J24" s="434"/>
      <c r="K24" s="434"/>
      <c r="L24" s="434"/>
      <c r="M24" s="435"/>
      <c r="N24" s="434"/>
      <c r="O24" s="434"/>
      <c r="P24" s="434"/>
      <c r="Q24" s="434"/>
      <c r="R24" s="435"/>
      <c r="S24" s="434"/>
      <c r="T24" s="434"/>
      <c r="U24" s="434"/>
      <c r="V24" s="434"/>
      <c r="W24" s="435"/>
      <c r="X24" s="434"/>
      <c r="Y24" s="434"/>
      <c r="Z24" s="434"/>
      <c r="AA24" s="434"/>
      <c r="AB24" s="435"/>
      <c r="AC24" s="434"/>
      <c r="AD24" s="434"/>
      <c r="AE24" s="434"/>
      <c r="AF24" s="434"/>
      <c r="AG24" s="435"/>
      <c r="AH24" s="434"/>
      <c r="AI24" s="434"/>
      <c r="AJ24" s="434"/>
      <c r="AK24" s="434"/>
      <c r="AL24" s="435"/>
      <c r="AM24" s="434"/>
      <c r="AN24" s="434"/>
      <c r="AO24" s="434"/>
      <c r="AP24" s="434"/>
      <c r="AQ24" s="435"/>
      <c r="AR24" s="434"/>
      <c r="AS24" s="434"/>
      <c r="AT24" s="434"/>
      <c r="AU24" s="434"/>
      <c r="AV24" s="435"/>
      <c r="AW24" s="434"/>
      <c r="AX24" s="434"/>
      <c r="AY24" s="434"/>
      <c r="AZ24" s="434"/>
      <c r="BA24" s="435"/>
      <c r="BB24" s="434"/>
      <c r="BC24" s="434"/>
      <c r="BD24" s="434"/>
      <c r="BE24" s="434"/>
      <c r="BF24" s="435"/>
      <c r="BG24" s="434"/>
      <c r="BH24" s="434"/>
      <c r="BI24" s="434"/>
      <c r="BJ24" s="434"/>
      <c r="BK24" s="435"/>
      <c r="BL24" s="434"/>
      <c r="BM24" s="434"/>
      <c r="BN24" s="434"/>
      <c r="BO24" s="434"/>
      <c r="BP24" s="435"/>
      <c r="BQ24" s="1178"/>
      <c r="BR24" s="1178"/>
      <c r="BS24" s="1178"/>
      <c r="BT24" s="1178"/>
      <c r="BU24" s="1179"/>
      <c r="BV24" s="1178"/>
      <c r="BW24" s="1178"/>
      <c r="BX24" s="1178"/>
      <c r="BY24" s="1178"/>
      <c r="BZ24" s="1179"/>
      <c r="CA24" s="1178"/>
      <c r="CB24" s="1178"/>
      <c r="CC24" s="1178"/>
      <c r="CD24" s="1178"/>
      <c r="CE24" s="1179"/>
      <c r="CF24" s="1178"/>
      <c r="CG24" s="1178"/>
      <c r="CH24" s="1178"/>
      <c r="CI24" s="1178"/>
      <c r="CJ24" s="1179"/>
      <c r="CK24" s="1178"/>
      <c r="CL24" s="1178"/>
      <c r="CM24" s="1178"/>
      <c r="CN24" s="1178"/>
      <c r="CO24" s="1179"/>
      <c r="CP24" s="1178"/>
      <c r="CQ24" s="1178"/>
      <c r="CR24" s="1178"/>
      <c r="CS24" s="1178"/>
      <c r="CT24" s="1179"/>
      <c r="CU24" s="1178"/>
      <c r="CV24" s="1178"/>
      <c r="CW24" s="1178"/>
      <c r="CX24" s="1178"/>
      <c r="CY24" s="1179"/>
      <c r="CZ24" s="1178"/>
      <c r="DA24" s="1178"/>
      <c r="DB24" s="1178"/>
      <c r="DC24" s="1178"/>
      <c r="DD24" s="1179"/>
      <c r="DE24" s="1178"/>
      <c r="DF24" s="1178"/>
      <c r="DG24" s="1178"/>
      <c r="DH24" s="1178"/>
      <c r="DI24" s="1179"/>
      <c r="DJ24" s="1178"/>
      <c r="DK24" s="1178"/>
      <c r="DL24" s="1178"/>
      <c r="DM24" s="1178"/>
      <c r="DN24" s="1179"/>
      <c r="DO24" s="1178"/>
      <c r="DP24" s="1178"/>
      <c r="DQ24" s="1178"/>
      <c r="DR24" s="1178"/>
      <c r="DS24" s="1179"/>
      <c r="DT24" s="1178"/>
      <c r="DU24" s="1178"/>
      <c r="DV24" s="1178"/>
      <c r="DW24" s="1178"/>
      <c r="DX24" s="1179"/>
      <c r="DY24" s="1178"/>
      <c r="DZ24" s="1178"/>
      <c r="EA24" s="1178"/>
      <c r="EB24" s="1178"/>
      <c r="EC24" s="1179"/>
    </row>
    <row r="25" spans="1:258" s="179" customFormat="1" ht="12" customHeight="1">
      <c r="A25" s="139"/>
      <c r="B25" s="139"/>
      <c r="C25" s="309" t="s">
        <v>271</v>
      </c>
      <c r="D25" s="844"/>
      <c r="E25" s="844"/>
      <c r="F25" s="844"/>
      <c r="G25" s="844"/>
      <c r="H25" s="844"/>
      <c r="I25" s="845"/>
      <c r="J25" s="845"/>
      <c r="K25" s="845"/>
      <c r="L25" s="845"/>
      <c r="M25" s="844"/>
      <c r="N25" s="845"/>
      <c r="O25" s="845"/>
      <c r="P25" s="845"/>
      <c r="Q25" s="845"/>
      <c r="R25" s="844"/>
      <c r="S25" s="845"/>
      <c r="T25" s="845"/>
      <c r="U25" s="845"/>
      <c r="V25" s="845"/>
      <c r="W25" s="452"/>
      <c r="X25" s="845"/>
      <c r="Y25" s="845"/>
      <c r="Z25" s="845"/>
      <c r="AA25" s="845"/>
      <c r="AB25" s="844"/>
      <c r="AC25" s="845"/>
      <c r="AD25" s="845"/>
      <c r="AE25" s="845"/>
      <c r="AF25" s="845"/>
      <c r="AG25" s="844"/>
      <c r="AH25" s="845"/>
      <c r="AI25" s="845"/>
      <c r="AJ25" s="845"/>
      <c r="AK25" s="845"/>
      <c r="AL25" s="844"/>
      <c r="AM25" s="845"/>
      <c r="AN25" s="845"/>
      <c r="AO25" s="845"/>
      <c r="AP25" s="845"/>
      <c r="AQ25" s="844"/>
      <c r="AR25" s="845"/>
      <c r="AS25" s="845"/>
      <c r="AT25" s="845"/>
      <c r="AU25" s="845"/>
      <c r="AV25" s="844"/>
      <c r="AW25" s="845"/>
      <c r="AX25" s="845"/>
      <c r="AY25" s="845"/>
      <c r="AZ25" s="845"/>
      <c r="BA25" s="844"/>
      <c r="BB25" s="845"/>
      <c r="BC25" s="845"/>
      <c r="BD25" s="845"/>
      <c r="BE25" s="845"/>
      <c r="BF25" s="844"/>
      <c r="BG25" s="93"/>
      <c r="BH25" s="93"/>
      <c r="BI25" s="93"/>
      <c r="BJ25" s="845"/>
      <c r="BK25" s="471"/>
      <c r="BL25" s="846"/>
      <c r="BM25" s="846"/>
      <c r="BN25" s="846"/>
      <c r="BO25" s="846"/>
      <c r="BP25" s="471"/>
      <c r="BQ25" s="282"/>
      <c r="BR25" s="465">
        <v>17.8</v>
      </c>
      <c r="BS25" s="465">
        <v>12.513999999999999</v>
      </c>
      <c r="BT25" s="465">
        <v>23.689</v>
      </c>
      <c r="BU25" s="352">
        <f t="shared" ref="BU25:BU30" si="134">BT25</f>
        <v>23.689</v>
      </c>
      <c r="BV25" s="465">
        <v>27.07</v>
      </c>
      <c r="BW25" s="465">
        <v>32.258000000000003</v>
      </c>
      <c r="BX25" s="465">
        <v>42.334000000000003</v>
      </c>
      <c r="BY25" s="465">
        <v>45.057000000000002</v>
      </c>
      <c r="BZ25" s="352">
        <f t="shared" ref="BZ25:BZ30" si="135">BY25</f>
        <v>45.057000000000002</v>
      </c>
      <c r="CA25" s="465">
        <v>52.31</v>
      </c>
      <c r="CB25" s="465">
        <v>57.118000000000002</v>
      </c>
      <c r="CC25" s="465">
        <v>65.245999999999995</v>
      </c>
      <c r="CD25" s="465">
        <v>62.576000000000001</v>
      </c>
      <c r="CE25" s="352">
        <f t="shared" ref="CE25:CE30" si="136">CD25</f>
        <v>62.576000000000001</v>
      </c>
      <c r="CF25" s="465">
        <v>79.052999999999997</v>
      </c>
      <c r="CG25" s="465">
        <v>95.728999999999999</v>
      </c>
      <c r="CH25" s="465">
        <v>107.839</v>
      </c>
      <c r="CI25" s="465">
        <v>96.956000000000003</v>
      </c>
      <c r="CJ25" s="352">
        <f t="shared" ref="CJ25:CJ30" si="137">CI25</f>
        <v>96.956000000000003</v>
      </c>
      <c r="CK25" s="465">
        <v>125.02500000000001</v>
      </c>
      <c r="CL25" s="465">
        <v>142</v>
      </c>
      <c r="CM25" s="465">
        <v>139.33000000000001</v>
      </c>
      <c r="CN25" s="465">
        <v>181.19300000000001</v>
      </c>
      <c r="CO25" s="352">
        <f t="shared" ref="CO25:CO30" si="138">CN25</f>
        <v>181.19300000000001</v>
      </c>
      <c r="CP25" s="465">
        <v>214.43100000000001</v>
      </c>
      <c r="CQ25" s="465">
        <v>240.99600000000001</v>
      </c>
      <c r="CR25" s="465">
        <v>261.56099999999998</v>
      </c>
      <c r="CS25" s="465">
        <v>300.79500000000002</v>
      </c>
      <c r="CT25" s="352">
        <f t="shared" ref="CT25:CT30" si="139">CS25</f>
        <v>300.79500000000002</v>
      </c>
      <c r="CU25" s="465">
        <v>338.87599999999998</v>
      </c>
      <c r="CV25" s="465">
        <v>289.53699999999998</v>
      </c>
      <c r="CW25" s="465">
        <v>350.58800000000002</v>
      </c>
      <c r="CX25" s="465">
        <v>456.68799999999999</v>
      </c>
      <c r="CY25" s="352">
        <f t="shared" ref="CY25:CY30" si="140">CX25</f>
        <v>456.68799999999999</v>
      </c>
      <c r="CZ25" s="465">
        <v>406.64699999999999</v>
      </c>
      <c r="DA25" s="465">
        <v>419.40800000000002</v>
      </c>
      <c r="DB25" s="465">
        <v>596.11400000000003</v>
      </c>
      <c r="DC25" s="465">
        <v>532.56899999999996</v>
      </c>
      <c r="DD25" s="352">
        <f t="shared" ref="DD25:DD30" si="141">DC25</f>
        <v>532.56899999999996</v>
      </c>
      <c r="DE25" s="465">
        <v>535</v>
      </c>
      <c r="DF25" s="465">
        <v>554</v>
      </c>
      <c r="DG25" s="465">
        <v>533</v>
      </c>
      <c r="DH25" s="465">
        <v>579</v>
      </c>
      <c r="DI25" s="352">
        <f t="shared" ref="DI25:DI34" si="142">DH25</f>
        <v>579</v>
      </c>
      <c r="DJ25" s="465">
        <v>589</v>
      </c>
      <c r="DK25" s="465">
        <v>559</v>
      </c>
      <c r="DL25" s="465">
        <v>613</v>
      </c>
      <c r="DM25" s="499">
        <f>(DM60*-Income!DM20)/90</f>
        <v>693.85101052001028</v>
      </c>
      <c r="DN25" s="352">
        <f t="shared" ref="DN25:DN30" si="143">DM25</f>
        <v>693.85101052001028</v>
      </c>
      <c r="DO25" s="499">
        <f>(DO60*-Income!DO20)/90</f>
        <v>725.34981587964432</v>
      </c>
      <c r="DP25" s="499">
        <f>(DP60*-Income!DP20)/90</f>
        <v>741.65618596139552</v>
      </c>
      <c r="DQ25" s="499">
        <f>(DQ60*-Income!DQ20)/90</f>
        <v>775.55403020222207</v>
      </c>
      <c r="DR25" s="499">
        <f>(DR60*-Income!DR20)/90</f>
        <v>849.88753448182797</v>
      </c>
      <c r="DS25" s="352">
        <f t="shared" ref="DS25:DS30" si="144">DR25</f>
        <v>849.88753448182797</v>
      </c>
      <c r="DT25" s="499">
        <f>(DT60*-Income!DT20)/90</f>
        <v>857.19687781649759</v>
      </c>
      <c r="DU25" s="499">
        <f>(DU60*-Income!DU20)/90</f>
        <v>892.53147399027921</v>
      </c>
      <c r="DV25" s="499">
        <f>(DV60*-Income!DV20)/90</f>
        <v>932.72030931755478</v>
      </c>
      <c r="DW25" s="499">
        <f>(DW60*-Income!DW20)/90</f>
        <v>1000.5972237134185</v>
      </c>
      <c r="DX25" s="352">
        <f t="shared" ref="DX25:DX30" si="145">DW25</f>
        <v>1000.5972237134185</v>
      </c>
      <c r="DY25" s="499">
        <f>(DY60*-Income!DY20)/90</f>
        <v>996.33599727938338</v>
      </c>
      <c r="DZ25" s="499">
        <f>(DZ60*-Income!DZ20)/90</f>
        <v>1037.0970468252319</v>
      </c>
      <c r="EA25" s="499">
        <f>(EA60*-Income!EA20)/90</f>
        <v>1083.6262183980812</v>
      </c>
      <c r="EB25" s="499">
        <f>(EB60*-Income!EB20)/90</f>
        <v>1158.2120049781261</v>
      </c>
      <c r="EC25" s="352">
        <f t="shared" ref="EC25:EC30" si="146">EB25</f>
        <v>1158.2120049781261</v>
      </c>
    </row>
    <row r="26" spans="1:258" s="179" customFormat="1" ht="12" customHeight="1">
      <c r="A26" s="139"/>
      <c r="B26" s="139"/>
      <c r="C26" s="309" t="s">
        <v>158</v>
      </c>
      <c r="D26" s="369"/>
      <c r="E26" s="369"/>
      <c r="F26" s="369"/>
      <c r="G26" s="369"/>
      <c r="H26" s="369"/>
      <c r="I26" s="370"/>
      <c r="J26" s="370"/>
      <c r="K26" s="370"/>
      <c r="L26" s="370"/>
      <c r="M26" s="452"/>
      <c r="N26" s="370"/>
      <c r="O26" s="370"/>
      <c r="P26" s="370"/>
      <c r="Q26" s="370"/>
      <c r="R26" s="452"/>
      <c r="S26" s="370"/>
      <c r="T26" s="370"/>
      <c r="U26" s="370"/>
      <c r="V26" s="370"/>
      <c r="W26" s="452"/>
      <c r="X26" s="370"/>
      <c r="Y26" s="370"/>
      <c r="Z26" s="370"/>
      <c r="AA26" s="370"/>
      <c r="AB26" s="452"/>
      <c r="AC26" s="370"/>
      <c r="AD26" s="370"/>
      <c r="AE26" s="370"/>
      <c r="AF26" s="370"/>
      <c r="AG26" s="452"/>
      <c r="AH26" s="370"/>
      <c r="AI26" s="370"/>
      <c r="AJ26" s="370"/>
      <c r="AK26" s="370"/>
      <c r="AL26" s="452"/>
      <c r="AM26" s="370"/>
      <c r="AN26" s="370"/>
      <c r="AO26" s="370"/>
      <c r="AP26" s="370"/>
      <c r="AQ26" s="452"/>
      <c r="AR26" s="370"/>
      <c r="AS26" s="370"/>
      <c r="AT26" s="370"/>
      <c r="AU26" s="370"/>
      <c r="AV26" s="452"/>
      <c r="AW26" s="370"/>
      <c r="AX26" s="370"/>
      <c r="AY26" s="370"/>
      <c r="AZ26" s="370"/>
      <c r="BA26" s="452"/>
      <c r="BB26" s="370"/>
      <c r="BC26" s="370"/>
      <c r="BD26" s="370"/>
      <c r="BE26" s="370"/>
      <c r="BF26" s="369"/>
      <c r="BG26" s="93"/>
      <c r="BH26" s="93"/>
      <c r="BI26" s="93"/>
      <c r="BJ26" s="370"/>
      <c r="BK26" s="369"/>
      <c r="BL26" s="370"/>
      <c r="BM26" s="370"/>
      <c r="BN26" s="370"/>
      <c r="BO26" s="370"/>
      <c r="BP26" s="452"/>
      <c r="BQ26" s="282"/>
      <c r="BR26" s="282">
        <v>0</v>
      </c>
      <c r="BS26" s="282">
        <v>0</v>
      </c>
      <c r="BT26" s="282">
        <v>0</v>
      </c>
      <c r="BU26" s="300">
        <f t="shared" si="134"/>
        <v>0</v>
      </c>
      <c r="BV26" s="282">
        <v>0</v>
      </c>
      <c r="BW26" s="282">
        <v>0</v>
      </c>
      <c r="BX26" s="282">
        <v>0</v>
      </c>
      <c r="BY26" s="282">
        <v>0</v>
      </c>
      <c r="BZ26" s="300">
        <f t="shared" si="135"/>
        <v>0</v>
      </c>
      <c r="CA26" s="282">
        <v>0</v>
      </c>
      <c r="CB26" s="282">
        <v>0</v>
      </c>
      <c r="CC26" s="282">
        <v>0</v>
      </c>
      <c r="CD26" s="282">
        <v>0</v>
      </c>
      <c r="CE26" s="300">
        <f t="shared" si="136"/>
        <v>0</v>
      </c>
      <c r="CF26" s="282">
        <v>0</v>
      </c>
      <c r="CG26" s="282">
        <v>0</v>
      </c>
      <c r="CH26" s="282">
        <v>0</v>
      </c>
      <c r="CI26" s="282">
        <v>0</v>
      </c>
      <c r="CJ26" s="300">
        <f t="shared" si="137"/>
        <v>0</v>
      </c>
      <c r="CK26" s="282">
        <v>0</v>
      </c>
      <c r="CL26" s="282">
        <v>0</v>
      </c>
      <c r="CM26" s="282">
        <v>66.617000000000004</v>
      </c>
      <c r="CN26" s="282">
        <v>69.432000000000002</v>
      </c>
      <c r="CO26" s="300">
        <f t="shared" si="138"/>
        <v>69.432000000000002</v>
      </c>
      <c r="CP26" s="282">
        <v>1.4610000000000001</v>
      </c>
      <c r="CQ26" s="282">
        <v>1.0620000000000001</v>
      </c>
      <c r="CR26" s="282">
        <v>0.79900000000000004</v>
      </c>
      <c r="CS26" s="282">
        <v>19.677</v>
      </c>
      <c r="CT26" s="300">
        <f t="shared" si="139"/>
        <v>19.677</v>
      </c>
      <c r="CU26" s="282">
        <v>25.934999999999999</v>
      </c>
      <c r="CV26" s="282">
        <v>22.544</v>
      </c>
      <c r="CW26" s="282">
        <v>26.498000000000001</v>
      </c>
      <c r="CX26" s="282">
        <v>13.505000000000001</v>
      </c>
      <c r="CY26" s="300">
        <f t="shared" si="140"/>
        <v>13.505000000000001</v>
      </c>
      <c r="CZ26" s="282">
        <v>8.2940000000000005</v>
      </c>
      <c r="DA26" s="282">
        <v>4.125</v>
      </c>
      <c r="DB26" s="282">
        <v>4.4580000000000002</v>
      </c>
      <c r="DC26" s="282">
        <v>9.39</v>
      </c>
      <c r="DD26" s="300">
        <f t="shared" si="141"/>
        <v>9.39</v>
      </c>
      <c r="DE26" s="282">
        <v>0</v>
      </c>
      <c r="DF26" s="282">
        <v>0</v>
      </c>
      <c r="DG26" s="282">
        <v>0</v>
      </c>
      <c r="DH26" s="282">
        <v>0</v>
      </c>
      <c r="DI26" s="300">
        <f t="shared" si="142"/>
        <v>0</v>
      </c>
      <c r="DJ26" s="282">
        <v>0</v>
      </c>
      <c r="DK26" s="282">
        <v>0</v>
      </c>
      <c r="DL26" s="282">
        <v>0</v>
      </c>
      <c r="DM26" s="125">
        <f>DL26+'Cash Flow'!DM13</f>
        <v>0</v>
      </c>
      <c r="DN26" s="300">
        <f t="shared" si="143"/>
        <v>0</v>
      </c>
      <c r="DO26" s="125">
        <f>DN26+'Cash Flow'!DO13</f>
        <v>0</v>
      </c>
      <c r="DP26" s="125">
        <f>DO26+'Cash Flow'!DP13</f>
        <v>0</v>
      </c>
      <c r="DQ26" s="125">
        <f>DP26+'Cash Flow'!DQ13</f>
        <v>0</v>
      </c>
      <c r="DR26" s="125">
        <f>DQ26+'Cash Flow'!DR13</f>
        <v>0</v>
      </c>
      <c r="DS26" s="300">
        <f t="shared" si="144"/>
        <v>0</v>
      </c>
      <c r="DT26" s="125">
        <f>DS26+'Cash Flow'!DT13</f>
        <v>0</v>
      </c>
      <c r="DU26" s="125">
        <f>DT26+'Cash Flow'!DU13</f>
        <v>0</v>
      </c>
      <c r="DV26" s="125">
        <f>DU26+'Cash Flow'!DV13</f>
        <v>0</v>
      </c>
      <c r="DW26" s="125">
        <f>DV26+'Cash Flow'!DW13</f>
        <v>0</v>
      </c>
      <c r="DX26" s="300">
        <f t="shared" si="145"/>
        <v>0</v>
      </c>
      <c r="DY26" s="125">
        <f>DX26+'Cash Flow'!DY13</f>
        <v>0</v>
      </c>
      <c r="DZ26" s="125">
        <f>DY26+'Cash Flow'!DZ13</f>
        <v>0</v>
      </c>
      <c r="EA26" s="125">
        <f>DZ26+'Cash Flow'!EA13</f>
        <v>0</v>
      </c>
      <c r="EB26" s="125">
        <f>EA26+'Cash Flow'!EB13</f>
        <v>0</v>
      </c>
      <c r="EC26" s="300">
        <f t="shared" si="146"/>
        <v>0</v>
      </c>
    </row>
    <row r="27" spans="1:258" s="179" customFormat="1" ht="12" customHeight="1">
      <c r="A27" s="139"/>
      <c r="B27" s="139"/>
      <c r="C27" s="309" t="s">
        <v>275</v>
      </c>
      <c r="D27" s="369"/>
      <c r="E27" s="369"/>
      <c r="F27" s="369"/>
      <c r="G27" s="369"/>
      <c r="H27" s="369"/>
      <c r="I27" s="370"/>
      <c r="J27" s="370"/>
      <c r="K27" s="370"/>
      <c r="L27" s="370"/>
      <c r="M27" s="452"/>
      <c r="N27" s="370"/>
      <c r="O27" s="370"/>
      <c r="P27" s="370"/>
      <c r="Q27" s="370"/>
      <c r="R27" s="452"/>
      <c r="S27" s="370"/>
      <c r="T27" s="370"/>
      <c r="U27" s="370"/>
      <c r="V27" s="370"/>
      <c r="W27" s="452"/>
      <c r="X27" s="370"/>
      <c r="Y27" s="370"/>
      <c r="Z27" s="370"/>
      <c r="AA27" s="370"/>
      <c r="AB27" s="452"/>
      <c r="AC27" s="370"/>
      <c r="AD27" s="370"/>
      <c r="AE27" s="370"/>
      <c r="AF27" s="370"/>
      <c r="AG27" s="452"/>
      <c r="AH27" s="370"/>
      <c r="AI27" s="370"/>
      <c r="AJ27" s="370"/>
      <c r="AK27" s="370"/>
      <c r="AL27" s="452"/>
      <c r="AM27" s="370"/>
      <c r="AN27" s="370"/>
      <c r="AO27" s="370"/>
      <c r="AP27" s="370"/>
      <c r="AQ27" s="452"/>
      <c r="AR27" s="370"/>
      <c r="AS27" s="370"/>
      <c r="AT27" s="370"/>
      <c r="AU27" s="370"/>
      <c r="AV27" s="452"/>
      <c r="AW27" s="370"/>
      <c r="AX27" s="370"/>
      <c r="AY27" s="370"/>
      <c r="AZ27" s="370"/>
      <c r="BA27" s="452"/>
      <c r="BB27" s="370"/>
      <c r="BC27" s="370"/>
      <c r="BD27" s="370"/>
      <c r="BE27" s="370"/>
      <c r="BF27" s="369"/>
      <c r="BG27" s="93"/>
      <c r="BH27" s="93"/>
      <c r="BI27" s="93"/>
      <c r="BJ27" s="370"/>
      <c r="BK27" s="369"/>
      <c r="BL27" s="370"/>
      <c r="BM27" s="370"/>
      <c r="BN27" s="370"/>
      <c r="BO27" s="370"/>
      <c r="BP27" s="452"/>
      <c r="BQ27" s="282"/>
      <c r="BR27" s="282">
        <v>9.6010000000000009</v>
      </c>
      <c r="BS27" s="282">
        <v>6.7750000000000004</v>
      </c>
      <c r="BT27" s="282">
        <v>12.726000000000001</v>
      </c>
      <c r="BU27" s="300">
        <f t="shared" si="134"/>
        <v>12.726000000000001</v>
      </c>
      <c r="BV27" s="282">
        <v>14.522</v>
      </c>
      <c r="BW27" s="282">
        <v>16.463999999999999</v>
      </c>
      <c r="BX27" s="282">
        <v>18.292999999999999</v>
      </c>
      <c r="BY27" s="282">
        <v>20.164000000000001</v>
      </c>
      <c r="BZ27" s="300">
        <f t="shared" si="135"/>
        <v>20.164000000000001</v>
      </c>
      <c r="CA27" s="282">
        <v>23.193999999999999</v>
      </c>
      <c r="CB27" s="282">
        <v>25.771000000000001</v>
      </c>
      <c r="CC27" s="282">
        <v>28.73</v>
      </c>
      <c r="CD27" s="282">
        <v>30.693999999999999</v>
      </c>
      <c r="CE27" s="300">
        <f t="shared" si="136"/>
        <v>30.693999999999999</v>
      </c>
      <c r="CF27" s="282">
        <v>32.993000000000002</v>
      </c>
      <c r="CG27" s="282">
        <v>35.029000000000003</v>
      </c>
      <c r="CH27" s="282">
        <v>36.987000000000002</v>
      </c>
      <c r="CI27" s="282">
        <v>39.18</v>
      </c>
      <c r="CJ27" s="300">
        <f t="shared" si="137"/>
        <v>39.18</v>
      </c>
      <c r="CK27" s="282">
        <v>42.746000000000002</v>
      </c>
      <c r="CL27" s="282">
        <v>45.707000000000001</v>
      </c>
      <c r="CM27" s="282">
        <v>48.368000000000002</v>
      </c>
      <c r="CN27" s="282">
        <v>56.691000000000003</v>
      </c>
      <c r="CO27" s="300">
        <f t="shared" si="138"/>
        <v>56.691000000000003</v>
      </c>
      <c r="CP27" s="282">
        <v>62.884</v>
      </c>
      <c r="CQ27" s="282">
        <v>67.454999999999998</v>
      </c>
      <c r="CR27" s="282">
        <v>96.777000000000001</v>
      </c>
      <c r="CS27" s="282">
        <v>107.809</v>
      </c>
      <c r="CT27" s="300">
        <f t="shared" si="139"/>
        <v>107.809</v>
      </c>
      <c r="CU27" s="282">
        <v>114.72499999999999</v>
      </c>
      <c r="CV27" s="282">
        <v>183.16</v>
      </c>
      <c r="CW27" s="282">
        <v>203.85300000000001</v>
      </c>
      <c r="CX27" s="282">
        <v>216.792</v>
      </c>
      <c r="CY27" s="300">
        <f t="shared" si="140"/>
        <v>216.792</v>
      </c>
      <c r="CZ27" s="282">
        <v>247.64699999999999</v>
      </c>
      <c r="DA27" s="282">
        <v>254.00700000000001</v>
      </c>
      <c r="DB27" s="282">
        <v>287.625</v>
      </c>
      <c r="DC27" s="282">
        <v>295.88799999999998</v>
      </c>
      <c r="DD27" s="300">
        <f t="shared" si="141"/>
        <v>295.88799999999998</v>
      </c>
      <c r="DE27" s="282">
        <v>324</v>
      </c>
      <c r="DF27" s="282">
        <v>310</v>
      </c>
      <c r="DG27" s="282">
        <v>304</v>
      </c>
      <c r="DH27" s="282">
        <v>302</v>
      </c>
      <c r="DI27" s="300">
        <f t="shared" si="142"/>
        <v>302</v>
      </c>
      <c r="DJ27" s="282">
        <v>296</v>
      </c>
      <c r="DK27" s="282">
        <v>298</v>
      </c>
      <c r="DL27" s="282">
        <v>290</v>
      </c>
      <c r="DM27" s="125">
        <f>DM61*DM51</f>
        <v>351.46659518115223</v>
      </c>
      <c r="DN27" s="300">
        <f t="shared" si="143"/>
        <v>351.46659518115223</v>
      </c>
      <c r="DO27" s="125">
        <f>DO61*DO51</f>
        <v>372.00940008881309</v>
      </c>
      <c r="DP27" s="125">
        <f>DP61*DP51</f>
        <v>365.47308444564169</v>
      </c>
      <c r="DQ27" s="125">
        <f>DQ61*DQ51</f>
        <v>353.03082244746798</v>
      </c>
      <c r="DR27" s="125">
        <f>DR61*DR51</f>
        <v>431.3320743789655</v>
      </c>
      <c r="DS27" s="300">
        <f t="shared" si="144"/>
        <v>431.3320743789655</v>
      </c>
      <c r="DT27" s="125">
        <f>DT61*DT51</f>
        <v>445.22555401925928</v>
      </c>
      <c r="DU27" s="125">
        <f>DU61*DU51</f>
        <v>437.33082735740686</v>
      </c>
      <c r="DV27" s="125">
        <f>DV61*DV51</f>
        <v>422.19879250273237</v>
      </c>
      <c r="DW27" s="125">
        <f>DW61*DW51</f>
        <v>516.81689033120824</v>
      </c>
      <c r="DX27" s="300">
        <f t="shared" si="145"/>
        <v>516.81689033120824</v>
      </c>
      <c r="DY27" s="125">
        <f>DY61*DY51</f>
        <v>524.93762587615083</v>
      </c>
      <c r="DZ27" s="125">
        <f>DZ61*DZ51</f>
        <v>515.55282675552246</v>
      </c>
      <c r="EA27" s="125">
        <f>EA61*EA51</f>
        <v>497.49422714828944</v>
      </c>
      <c r="EB27" s="125">
        <f>EB61*EB51</f>
        <v>609.90242846541582</v>
      </c>
      <c r="EC27" s="300">
        <f t="shared" si="146"/>
        <v>609.90242846541582</v>
      </c>
    </row>
    <row r="28" spans="1:258" s="179" customFormat="1" ht="12" customHeight="1">
      <c r="A28" s="139"/>
      <c r="B28" s="139"/>
      <c r="C28" s="309" t="s">
        <v>291</v>
      </c>
      <c r="D28" s="369"/>
      <c r="E28" s="369"/>
      <c r="F28" s="369"/>
      <c r="G28" s="369"/>
      <c r="H28" s="369"/>
      <c r="I28" s="370"/>
      <c r="J28" s="370"/>
      <c r="K28" s="370"/>
      <c r="L28" s="370"/>
      <c r="M28" s="452"/>
      <c r="N28" s="370"/>
      <c r="O28" s="370"/>
      <c r="P28" s="370"/>
      <c r="Q28" s="370"/>
      <c r="R28" s="452"/>
      <c r="S28" s="370"/>
      <c r="T28" s="370"/>
      <c r="U28" s="370"/>
      <c r="V28" s="370"/>
      <c r="W28" s="452"/>
      <c r="X28" s="370"/>
      <c r="Y28" s="370"/>
      <c r="Z28" s="370"/>
      <c r="AA28" s="370"/>
      <c r="AB28" s="452"/>
      <c r="AC28" s="370"/>
      <c r="AD28" s="370"/>
      <c r="AE28" s="370"/>
      <c r="AF28" s="370"/>
      <c r="AG28" s="452"/>
      <c r="AH28" s="370"/>
      <c r="AI28" s="370"/>
      <c r="AJ28" s="370"/>
      <c r="AK28" s="370"/>
      <c r="AL28" s="452"/>
      <c r="AM28" s="370"/>
      <c r="AN28" s="370"/>
      <c r="AO28" s="370"/>
      <c r="AP28" s="370"/>
      <c r="AQ28" s="452"/>
      <c r="AR28" s="370"/>
      <c r="AS28" s="370"/>
      <c r="AT28" s="370"/>
      <c r="AU28" s="370"/>
      <c r="AV28" s="452"/>
      <c r="AW28" s="370"/>
      <c r="AX28" s="370"/>
      <c r="AY28" s="370"/>
      <c r="AZ28" s="370"/>
      <c r="BA28" s="452"/>
      <c r="BB28" s="370"/>
      <c r="BC28" s="370"/>
      <c r="BD28" s="370"/>
      <c r="BE28" s="370"/>
      <c r="BF28" s="369"/>
      <c r="BG28" s="93"/>
      <c r="BH28" s="93"/>
      <c r="BI28" s="93"/>
      <c r="BJ28" s="370"/>
      <c r="BK28" s="369"/>
      <c r="BL28" s="370"/>
      <c r="BM28" s="370"/>
      <c r="BN28" s="370"/>
      <c r="BO28" s="370"/>
      <c r="BP28" s="452"/>
      <c r="BQ28" s="282"/>
      <c r="BR28" s="465">
        <v>0.77400000000000002</v>
      </c>
      <c r="BS28" s="465">
        <v>0.48499999999999999</v>
      </c>
      <c r="BT28" s="465">
        <v>0.82199999999999995</v>
      </c>
      <c r="BU28" s="331">
        <f t="shared" si="134"/>
        <v>0.82199999999999995</v>
      </c>
      <c r="BV28" s="465">
        <v>0.93500000000000005</v>
      </c>
      <c r="BW28" s="465">
        <v>1.0549999999999999</v>
      </c>
      <c r="BX28" s="465">
        <v>1.2230000000000001</v>
      </c>
      <c r="BY28" s="465">
        <v>1.3109999999999999</v>
      </c>
      <c r="BZ28" s="331">
        <f t="shared" si="135"/>
        <v>1.3109999999999999</v>
      </c>
      <c r="CA28" s="465">
        <v>1.333</v>
      </c>
      <c r="CB28" s="465">
        <v>1.3540000000000001</v>
      </c>
      <c r="CC28" s="465">
        <v>1.4339999999999999</v>
      </c>
      <c r="CD28" s="465">
        <v>1.484</v>
      </c>
      <c r="CE28" s="331">
        <f t="shared" si="136"/>
        <v>1.484</v>
      </c>
      <c r="CF28" s="465">
        <v>1.53</v>
      </c>
      <c r="CG28" s="465">
        <v>1.6220000000000001</v>
      </c>
      <c r="CH28" s="465">
        <v>2.121</v>
      </c>
      <c r="CI28" s="465">
        <v>2.552</v>
      </c>
      <c r="CJ28" s="331">
        <f t="shared" si="137"/>
        <v>2.552</v>
      </c>
      <c r="CK28" s="465">
        <v>5.2430000000000003</v>
      </c>
      <c r="CL28" s="465">
        <v>5.6440000000000001</v>
      </c>
      <c r="CM28" s="465">
        <v>5.4260000000000002</v>
      </c>
      <c r="CN28" s="465">
        <v>9.0660000000000007</v>
      </c>
      <c r="CO28" s="331">
        <f t="shared" si="138"/>
        <v>9.0660000000000007</v>
      </c>
      <c r="CP28" s="465">
        <v>9.7810000000000006</v>
      </c>
      <c r="CQ28" s="465">
        <v>10.993</v>
      </c>
      <c r="CR28" s="465">
        <v>10.994</v>
      </c>
      <c r="CS28" s="465">
        <v>10.051</v>
      </c>
      <c r="CT28" s="331">
        <f t="shared" si="139"/>
        <v>10.051</v>
      </c>
      <c r="CU28" s="465">
        <v>15.567</v>
      </c>
      <c r="CV28" s="465">
        <v>15.842000000000001</v>
      </c>
      <c r="CW28" s="465">
        <v>15.618</v>
      </c>
      <c r="CX28" s="465">
        <v>15.747999999999999</v>
      </c>
      <c r="CY28" s="331">
        <f t="shared" si="140"/>
        <v>15.747999999999999</v>
      </c>
      <c r="CZ28" s="465">
        <v>19.344000000000001</v>
      </c>
      <c r="DA28" s="465">
        <v>25.667999999999999</v>
      </c>
      <c r="DB28" s="465">
        <v>17.024000000000001</v>
      </c>
      <c r="DC28" s="465">
        <v>18.161000000000001</v>
      </c>
      <c r="DD28" s="331">
        <f t="shared" si="141"/>
        <v>18.161000000000001</v>
      </c>
      <c r="DE28" s="465">
        <v>24</v>
      </c>
      <c r="DF28" s="465">
        <v>16</v>
      </c>
      <c r="DG28" s="465">
        <v>15</v>
      </c>
      <c r="DH28" s="465">
        <v>17</v>
      </c>
      <c r="DI28" s="331">
        <f t="shared" si="142"/>
        <v>17</v>
      </c>
      <c r="DJ28" s="465">
        <v>17</v>
      </c>
      <c r="DK28" s="465">
        <v>17</v>
      </c>
      <c r="DL28" s="465">
        <v>18</v>
      </c>
      <c r="DM28" s="456">
        <f>DL28</f>
        <v>18</v>
      </c>
      <c r="DN28" s="331">
        <f t="shared" si="143"/>
        <v>18</v>
      </c>
      <c r="DO28" s="456">
        <f>DM28</f>
        <v>18</v>
      </c>
      <c r="DP28" s="456">
        <f>DO28</f>
        <v>18</v>
      </c>
      <c r="DQ28" s="456">
        <f>DP28</f>
        <v>18</v>
      </c>
      <c r="DR28" s="456">
        <f>DQ28</f>
        <v>18</v>
      </c>
      <c r="DS28" s="331">
        <f t="shared" si="144"/>
        <v>18</v>
      </c>
      <c r="DT28" s="456">
        <f>DR28</f>
        <v>18</v>
      </c>
      <c r="DU28" s="456">
        <f>DT28</f>
        <v>18</v>
      </c>
      <c r="DV28" s="456">
        <f>DU28</f>
        <v>18</v>
      </c>
      <c r="DW28" s="456">
        <f>DV28</f>
        <v>18</v>
      </c>
      <c r="DX28" s="331">
        <f t="shared" si="145"/>
        <v>18</v>
      </c>
      <c r="DY28" s="456">
        <f>DW28</f>
        <v>18</v>
      </c>
      <c r="DZ28" s="456">
        <f>DY28</f>
        <v>18</v>
      </c>
      <c r="EA28" s="456">
        <f>DZ28</f>
        <v>18</v>
      </c>
      <c r="EB28" s="456">
        <f>EA28</f>
        <v>18</v>
      </c>
      <c r="EC28" s="331">
        <f t="shared" si="146"/>
        <v>18</v>
      </c>
    </row>
    <row r="29" spans="1:258" s="179" customFormat="1" ht="12" customHeight="1">
      <c r="A29" s="139"/>
      <c r="B29" s="139"/>
      <c r="C29" s="309" t="s">
        <v>75</v>
      </c>
      <c r="D29" s="457"/>
      <c r="E29" s="457"/>
      <c r="F29" s="457"/>
      <c r="G29" s="457"/>
      <c r="H29" s="457"/>
      <c r="I29" s="458"/>
      <c r="J29" s="458"/>
      <c r="K29" s="458"/>
      <c r="L29" s="458"/>
      <c r="M29" s="459"/>
      <c r="N29" s="458"/>
      <c r="O29" s="458"/>
      <c r="P29" s="458"/>
      <c r="Q29" s="458"/>
      <c r="R29" s="459"/>
      <c r="S29" s="458"/>
      <c r="T29" s="458"/>
      <c r="U29" s="458"/>
      <c r="V29" s="458"/>
      <c r="W29" s="459"/>
      <c r="X29" s="458"/>
      <c r="Y29" s="458"/>
      <c r="Z29" s="458"/>
      <c r="AA29" s="458"/>
      <c r="AB29" s="459"/>
      <c r="AC29" s="458"/>
      <c r="AD29" s="458"/>
      <c r="AE29" s="458"/>
      <c r="AF29" s="458"/>
      <c r="AG29" s="459"/>
      <c r="AH29" s="458"/>
      <c r="AI29" s="458"/>
      <c r="AJ29" s="458"/>
      <c r="AK29" s="458"/>
      <c r="AL29" s="459"/>
      <c r="AM29" s="458"/>
      <c r="AN29" s="458"/>
      <c r="AO29" s="458"/>
      <c r="AP29" s="458"/>
      <c r="AQ29" s="459"/>
      <c r="AR29" s="458"/>
      <c r="AS29" s="458"/>
      <c r="AT29" s="458"/>
      <c r="AU29" s="458"/>
      <c r="AV29" s="459"/>
      <c r="AW29" s="458"/>
      <c r="AX29" s="458"/>
      <c r="AY29" s="458"/>
      <c r="AZ29" s="458"/>
      <c r="BA29" s="459"/>
      <c r="BB29" s="458"/>
      <c r="BC29" s="458"/>
      <c r="BD29" s="458"/>
      <c r="BE29" s="458"/>
      <c r="BF29" s="457"/>
      <c r="BG29" s="93"/>
      <c r="BH29" s="93"/>
      <c r="BI29" s="93"/>
      <c r="BJ29" s="458"/>
      <c r="BK29" s="457"/>
      <c r="BL29" s="458"/>
      <c r="BM29" s="458"/>
      <c r="BN29" s="458"/>
      <c r="BO29" s="458"/>
      <c r="BP29" s="459"/>
      <c r="BQ29" s="390"/>
      <c r="BR29" s="282">
        <v>0</v>
      </c>
      <c r="BS29" s="282">
        <v>0</v>
      </c>
      <c r="BT29" s="282">
        <v>0</v>
      </c>
      <c r="BU29" s="300">
        <f t="shared" si="134"/>
        <v>0</v>
      </c>
      <c r="BV29" s="282">
        <v>0</v>
      </c>
      <c r="BW29" s="282">
        <v>0</v>
      </c>
      <c r="BX29" s="282">
        <v>0</v>
      </c>
      <c r="BY29" s="282">
        <v>0</v>
      </c>
      <c r="BZ29" s="300">
        <f t="shared" si="135"/>
        <v>0</v>
      </c>
      <c r="CA29" s="282">
        <v>0</v>
      </c>
      <c r="CB29" s="282">
        <v>0</v>
      </c>
      <c r="CC29" s="282">
        <v>0</v>
      </c>
      <c r="CD29" s="282">
        <v>0</v>
      </c>
      <c r="CE29" s="300">
        <f t="shared" si="136"/>
        <v>0</v>
      </c>
      <c r="CF29" s="282">
        <v>0</v>
      </c>
      <c r="CG29" s="282">
        <v>0</v>
      </c>
      <c r="CH29" s="282">
        <v>0</v>
      </c>
      <c r="CI29" s="282">
        <v>0</v>
      </c>
      <c r="CJ29" s="300">
        <f t="shared" si="137"/>
        <v>0</v>
      </c>
      <c r="CK29" s="282">
        <v>0</v>
      </c>
      <c r="CL29" s="282">
        <v>0</v>
      </c>
      <c r="CM29" s="282">
        <v>0</v>
      </c>
      <c r="CN29" s="282">
        <v>0</v>
      </c>
      <c r="CO29" s="300">
        <f t="shared" si="138"/>
        <v>0</v>
      </c>
      <c r="CP29" s="282">
        <v>0</v>
      </c>
      <c r="CQ29" s="282">
        <v>0</v>
      </c>
      <c r="CR29" s="282">
        <v>0</v>
      </c>
      <c r="CS29" s="282">
        <v>0</v>
      </c>
      <c r="CT29" s="300">
        <f t="shared" si="139"/>
        <v>0</v>
      </c>
      <c r="CU29" s="282">
        <v>0</v>
      </c>
      <c r="CV29" s="282">
        <v>0</v>
      </c>
      <c r="CW29" s="282">
        <v>0</v>
      </c>
      <c r="CX29" s="282">
        <v>0</v>
      </c>
      <c r="CY29" s="300">
        <f t="shared" si="140"/>
        <v>0</v>
      </c>
      <c r="CZ29" s="282">
        <v>0</v>
      </c>
      <c r="DA29" s="282">
        <v>0</v>
      </c>
      <c r="DB29" s="282">
        <v>0</v>
      </c>
      <c r="DC29" s="282">
        <v>0</v>
      </c>
      <c r="DD29" s="300">
        <f t="shared" si="141"/>
        <v>0</v>
      </c>
      <c r="DE29" s="282">
        <v>0</v>
      </c>
      <c r="DF29" s="282">
        <v>0</v>
      </c>
      <c r="DG29" s="282">
        <v>0</v>
      </c>
      <c r="DH29" s="282">
        <v>0</v>
      </c>
      <c r="DI29" s="300">
        <f t="shared" si="142"/>
        <v>0</v>
      </c>
      <c r="DJ29" s="282">
        <v>0</v>
      </c>
      <c r="DK29" s="282">
        <v>0</v>
      </c>
      <c r="DL29" s="282">
        <v>0</v>
      </c>
      <c r="DM29" s="847">
        <v>0</v>
      </c>
      <c r="DN29" s="300">
        <f t="shared" si="143"/>
        <v>0</v>
      </c>
      <c r="DO29" s="847">
        <v>0</v>
      </c>
      <c r="DP29" s="847">
        <v>0</v>
      </c>
      <c r="DQ29" s="847">
        <v>0</v>
      </c>
      <c r="DR29" s="847">
        <v>0</v>
      </c>
      <c r="DS29" s="300">
        <f t="shared" si="144"/>
        <v>0</v>
      </c>
      <c r="DT29" s="847">
        <v>0</v>
      </c>
      <c r="DU29" s="847">
        <v>0</v>
      </c>
      <c r="DV29" s="847">
        <v>0</v>
      </c>
      <c r="DW29" s="847">
        <v>0</v>
      </c>
      <c r="DX29" s="300">
        <f t="shared" si="145"/>
        <v>0</v>
      </c>
      <c r="DY29" s="847">
        <v>0</v>
      </c>
      <c r="DZ29" s="847">
        <v>0</v>
      </c>
      <c r="EA29" s="847">
        <v>0</v>
      </c>
      <c r="EB29" s="847">
        <v>0</v>
      </c>
      <c r="EC29" s="300">
        <f t="shared" si="146"/>
        <v>0</v>
      </c>
    </row>
    <row r="30" spans="1:258" s="272" customFormat="1" ht="12" customHeight="1">
      <c r="A30" s="139"/>
      <c r="B30" s="139"/>
      <c r="C30" s="466" t="s">
        <v>8</v>
      </c>
      <c r="D30" s="467"/>
      <c r="E30" s="467"/>
      <c r="F30" s="467"/>
      <c r="G30" s="467"/>
      <c r="H30" s="467"/>
      <c r="I30" s="468"/>
      <c r="J30" s="468"/>
      <c r="K30" s="468"/>
      <c r="L30" s="468"/>
      <c r="M30" s="467"/>
      <c r="N30" s="468"/>
      <c r="O30" s="468"/>
      <c r="P30" s="468"/>
      <c r="Q30" s="468"/>
      <c r="R30" s="467"/>
      <c r="S30" s="468"/>
      <c r="T30" s="468"/>
      <c r="U30" s="468"/>
      <c r="V30" s="468"/>
      <c r="W30" s="467"/>
      <c r="X30" s="468"/>
      <c r="Y30" s="468"/>
      <c r="Z30" s="468"/>
      <c r="AA30" s="468"/>
      <c r="AB30" s="467"/>
      <c r="AC30" s="468"/>
      <c r="AD30" s="468"/>
      <c r="AE30" s="468"/>
      <c r="AF30" s="468"/>
      <c r="AG30" s="467"/>
      <c r="AH30" s="468"/>
      <c r="AI30" s="468"/>
      <c r="AJ30" s="468"/>
      <c r="AK30" s="468"/>
      <c r="AL30" s="467"/>
      <c r="AM30" s="468"/>
      <c r="AN30" s="468"/>
      <c r="AO30" s="468"/>
      <c r="AP30" s="468"/>
      <c r="AQ30" s="467"/>
      <c r="AR30" s="468"/>
      <c r="AS30" s="468"/>
      <c r="AT30" s="468"/>
      <c r="AU30" s="468"/>
      <c r="AV30" s="467"/>
      <c r="AW30" s="468"/>
      <c r="AX30" s="468"/>
      <c r="AY30" s="468"/>
      <c r="AZ30" s="468"/>
      <c r="BA30" s="467"/>
      <c r="BB30" s="468"/>
      <c r="BC30" s="468"/>
      <c r="BD30" s="468"/>
      <c r="BE30" s="468"/>
      <c r="BF30" s="467"/>
      <c r="BG30" s="137"/>
      <c r="BH30" s="137"/>
      <c r="BI30" s="137"/>
      <c r="BJ30" s="468"/>
      <c r="BK30" s="467"/>
      <c r="BL30" s="468"/>
      <c r="BM30" s="468"/>
      <c r="BN30" s="468"/>
      <c r="BO30" s="468"/>
      <c r="BP30" s="467"/>
      <c r="BQ30" s="468"/>
      <c r="BR30" s="114">
        <f>SUM(BR25:BR29)</f>
        <v>28.175000000000004</v>
      </c>
      <c r="BS30" s="114">
        <f>SUM(BS25:BS29)</f>
        <v>19.774000000000001</v>
      </c>
      <c r="BT30" s="114">
        <f>SUM(BT25:BT29)</f>
        <v>37.237000000000002</v>
      </c>
      <c r="BU30" s="307">
        <f t="shared" si="134"/>
        <v>37.237000000000002</v>
      </c>
      <c r="BV30" s="114">
        <f>SUM(BV25:BV29)</f>
        <v>42.527000000000001</v>
      </c>
      <c r="BW30" s="114">
        <f>SUM(BW25:BW29)</f>
        <v>49.777000000000001</v>
      </c>
      <c r="BX30" s="114">
        <f>SUM(BX25:BX29)</f>
        <v>61.85</v>
      </c>
      <c r="BY30" s="114">
        <f>SUM(BY25:BY29)</f>
        <v>66.532000000000011</v>
      </c>
      <c r="BZ30" s="307">
        <f t="shared" si="135"/>
        <v>66.532000000000011</v>
      </c>
      <c r="CA30" s="114">
        <f>SUM(CA25:CA29)</f>
        <v>76.837000000000003</v>
      </c>
      <c r="CB30" s="114">
        <f>SUM(CB25:CB29)</f>
        <v>84.243000000000009</v>
      </c>
      <c r="CC30" s="114">
        <f>SUM(CC25:CC29)</f>
        <v>95.41</v>
      </c>
      <c r="CD30" s="114">
        <f>SUM(CD25:CD29)</f>
        <v>94.753999999999991</v>
      </c>
      <c r="CE30" s="307">
        <f t="shared" si="136"/>
        <v>94.753999999999991</v>
      </c>
      <c r="CF30" s="114">
        <f>SUM(CF25:CF29)</f>
        <v>113.57599999999999</v>
      </c>
      <c r="CG30" s="114">
        <f>SUM(CG25:CG29)</f>
        <v>132.38000000000002</v>
      </c>
      <c r="CH30" s="114">
        <f>SUM(CH25:CH29)</f>
        <v>146.947</v>
      </c>
      <c r="CI30" s="114">
        <f>SUM(CI25:CI29)</f>
        <v>138.68799999999999</v>
      </c>
      <c r="CJ30" s="307">
        <f t="shared" si="137"/>
        <v>138.68799999999999</v>
      </c>
      <c r="CK30" s="114">
        <f>SUM(CK25:CK29)</f>
        <v>173.01400000000001</v>
      </c>
      <c r="CL30" s="114">
        <f>SUM(CL25:CL29)</f>
        <v>193.351</v>
      </c>
      <c r="CM30" s="114">
        <f>SUM(CM25:CM29)</f>
        <v>259.74099999999999</v>
      </c>
      <c r="CN30" s="114">
        <f>SUM(CN25:CN29)</f>
        <v>316.38200000000001</v>
      </c>
      <c r="CO30" s="307">
        <f t="shared" si="138"/>
        <v>316.38200000000001</v>
      </c>
      <c r="CP30" s="114">
        <f>SUM(CP25:CP29)</f>
        <v>288.55700000000002</v>
      </c>
      <c r="CQ30" s="114">
        <f>SUM(CQ25:CQ29)</f>
        <v>320.50600000000003</v>
      </c>
      <c r="CR30" s="114">
        <f>SUM(CR25:CR29)</f>
        <v>370.13099999999997</v>
      </c>
      <c r="CS30" s="114">
        <f>SUM(CS25:CS29)</f>
        <v>438.33200000000005</v>
      </c>
      <c r="CT30" s="307">
        <f t="shared" si="139"/>
        <v>438.33200000000005</v>
      </c>
      <c r="CU30" s="114">
        <f>SUM(CU25:CU29)</f>
        <v>495.10299999999995</v>
      </c>
      <c r="CV30" s="306">
        <f>SUM(CV25:CV29)</f>
        <v>511.08299999999997</v>
      </c>
      <c r="CW30" s="306">
        <f>SUM(CW25:CW29)</f>
        <v>596.55700000000013</v>
      </c>
      <c r="CX30" s="306">
        <f>SUM(CX25:CX29)</f>
        <v>702.73300000000006</v>
      </c>
      <c r="CY30" s="307">
        <f t="shared" si="140"/>
        <v>702.73300000000006</v>
      </c>
      <c r="CZ30" s="114">
        <f>SUM(CZ25:CZ29)</f>
        <v>681.93200000000002</v>
      </c>
      <c r="DA30" s="114">
        <f>SUM(DA25:DA29)</f>
        <v>703.20799999999997</v>
      </c>
      <c r="DB30" s="114">
        <f>SUM(DB25:DB29)</f>
        <v>905.221</v>
      </c>
      <c r="DC30" s="114">
        <f>SUM(DC25:DC29)</f>
        <v>856.00800000000004</v>
      </c>
      <c r="DD30" s="307">
        <f t="shared" si="141"/>
        <v>856.00800000000004</v>
      </c>
      <c r="DE30" s="114">
        <f>SUM(DE25:DE29)</f>
        <v>883</v>
      </c>
      <c r="DF30" s="114">
        <f>SUM(DF25:DF29)</f>
        <v>880</v>
      </c>
      <c r="DG30" s="114">
        <f>SUM(DG25:DG29)</f>
        <v>852</v>
      </c>
      <c r="DH30" s="114">
        <f>SUM(DH25:DH29)</f>
        <v>898</v>
      </c>
      <c r="DI30" s="307">
        <f t="shared" si="142"/>
        <v>898</v>
      </c>
      <c r="DJ30" s="114">
        <f>SUM(DJ25:DJ29)</f>
        <v>902</v>
      </c>
      <c r="DK30" s="114">
        <f>SUM(DK25:DK29)</f>
        <v>874</v>
      </c>
      <c r="DL30" s="114">
        <f>SUM(DL25:DL29)</f>
        <v>921</v>
      </c>
      <c r="DM30" s="306">
        <f>SUM(DM25:DM29)</f>
        <v>1063.3176057011624</v>
      </c>
      <c r="DN30" s="307">
        <f t="shared" si="143"/>
        <v>1063.3176057011624</v>
      </c>
      <c r="DO30" s="306">
        <f>SUM(DO25:DO29)</f>
        <v>1115.3592159684574</v>
      </c>
      <c r="DP30" s="306">
        <f>SUM(DP25:DP29)</f>
        <v>1125.1292704070372</v>
      </c>
      <c r="DQ30" s="306">
        <f>SUM(DQ25:DQ29)</f>
        <v>1146.58485264969</v>
      </c>
      <c r="DR30" s="306">
        <f>SUM(DR25:DR29)</f>
        <v>1299.2196088607934</v>
      </c>
      <c r="DS30" s="307">
        <f t="shared" si="144"/>
        <v>1299.2196088607934</v>
      </c>
      <c r="DT30" s="306">
        <f>SUM(DT25:DT29)</f>
        <v>1320.4224318357569</v>
      </c>
      <c r="DU30" s="306">
        <f>SUM(DU25:DU29)</f>
        <v>1347.8623013476861</v>
      </c>
      <c r="DV30" s="306">
        <f>SUM(DV25:DV29)</f>
        <v>1372.9191018202871</v>
      </c>
      <c r="DW30" s="306">
        <f>SUM(DW25:DW29)</f>
        <v>1535.4141140446268</v>
      </c>
      <c r="DX30" s="307">
        <f t="shared" si="145"/>
        <v>1535.4141140446268</v>
      </c>
      <c r="DY30" s="306">
        <f>SUM(DY25:DY29)</f>
        <v>1539.2736231555341</v>
      </c>
      <c r="DZ30" s="306">
        <f>SUM(DZ25:DZ29)</f>
        <v>1570.6498735807545</v>
      </c>
      <c r="EA30" s="306">
        <f>SUM(EA25:EA29)</f>
        <v>1599.1204455463705</v>
      </c>
      <c r="EB30" s="306">
        <f>SUM(EB25:EB29)</f>
        <v>1786.1144334435419</v>
      </c>
      <c r="EC30" s="307">
        <f t="shared" si="146"/>
        <v>1786.1144334435419</v>
      </c>
    </row>
    <row r="31" spans="1:258" s="179" customFormat="1" ht="12" customHeight="1">
      <c r="A31" s="139"/>
      <c r="B31" s="139"/>
      <c r="C31" s="309" t="s">
        <v>276</v>
      </c>
      <c r="D31" s="452"/>
      <c r="E31" s="452"/>
      <c r="F31" s="452"/>
      <c r="G31" s="452"/>
      <c r="H31" s="452"/>
      <c r="M31" s="452"/>
      <c r="R31" s="452"/>
      <c r="W31" s="452"/>
      <c r="AB31" s="452"/>
      <c r="AG31" s="452"/>
      <c r="AL31" s="452"/>
      <c r="AQ31" s="452"/>
      <c r="AV31" s="452"/>
      <c r="BA31" s="452"/>
      <c r="BF31" s="452"/>
      <c r="BG31" s="93"/>
      <c r="BH31" s="93"/>
      <c r="BI31" s="93"/>
      <c r="BK31" s="452"/>
      <c r="BP31" s="452"/>
      <c r="BQ31" s="282"/>
      <c r="BR31" s="465">
        <v>0.55000000000000004</v>
      </c>
      <c r="BS31" s="465">
        <v>0.39400000000000002</v>
      </c>
      <c r="BT31" s="465">
        <v>0.66100000000000003</v>
      </c>
      <c r="BU31" s="352">
        <f>BT31</f>
        <v>0.66100000000000003</v>
      </c>
      <c r="BV31" s="465">
        <v>0.77700000000000002</v>
      </c>
      <c r="BW31" s="465">
        <v>0.83599999999999997</v>
      </c>
      <c r="BX31" s="465">
        <v>0.874</v>
      </c>
      <c r="BY31" s="465">
        <v>0.92200000000000004</v>
      </c>
      <c r="BZ31" s="352">
        <f>BY31</f>
        <v>0.92200000000000004</v>
      </c>
      <c r="CA31" s="465">
        <v>1.014</v>
      </c>
      <c r="CB31" s="465">
        <v>1.125</v>
      </c>
      <c r="CC31" s="465">
        <v>1.218</v>
      </c>
      <c r="CD31" s="465">
        <v>1.3520000000000001</v>
      </c>
      <c r="CE31" s="352">
        <f>CD31</f>
        <v>1.3520000000000001</v>
      </c>
      <c r="CF31" s="465">
        <v>1.48</v>
      </c>
      <c r="CG31" s="465">
        <v>1.6339999999999999</v>
      </c>
      <c r="CH31" s="465">
        <v>1.744</v>
      </c>
      <c r="CI31" s="465">
        <v>1.881</v>
      </c>
      <c r="CJ31" s="352">
        <f>CI31</f>
        <v>1.881</v>
      </c>
      <c r="CK31" s="465">
        <v>2.0110000000000001</v>
      </c>
      <c r="CL31" s="465">
        <v>2.0920000000000001</v>
      </c>
      <c r="CM31" s="465">
        <v>2.1150000000000002</v>
      </c>
      <c r="CN31" s="465">
        <v>5.9690000000000003</v>
      </c>
      <c r="CO31" s="352">
        <f>CN31</f>
        <v>5.9690000000000003</v>
      </c>
      <c r="CP31" s="465">
        <v>5.58</v>
      </c>
      <c r="CQ31" s="465">
        <v>6.8659999999999997</v>
      </c>
      <c r="CR31" s="465">
        <v>23.08</v>
      </c>
      <c r="CS31" s="465">
        <v>21.006</v>
      </c>
      <c r="CT31" s="352">
        <f>CS31</f>
        <v>21.006</v>
      </c>
      <c r="CU31" s="465">
        <v>22.417000000000002</v>
      </c>
      <c r="CV31" s="465">
        <v>135.321</v>
      </c>
      <c r="CW31" s="465">
        <v>174.483</v>
      </c>
      <c r="CX31" s="465">
        <v>162.93199999999999</v>
      </c>
      <c r="CY31" s="352">
        <f>CX31</f>
        <v>162.93199999999999</v>
      </c>
      <c r="CZ31" s="465">
        <v>186.636</v>
      </c>
      <c r="DA31" s="465">
        <v>159.405</v>
      </c>
      <c r="DB31" s="465">
        <v>299.625</v>
      </c>
      <c r="DC31" s="465">
        <v>267.51299999999998</v>
      </c>
      <c r="DD31" s="352">
        <f>DC31</f>
        <v>267.51299999999998</v>
      </c>
      <c r="DE31" s="465">
        <v>232</v>
      </c>
      <c r="DF31" s="465">
        <v>236</v>
      </c>
      <c r="DG31" s="465">
        <v>216</v>
      </c>
      <c r="DH31" s="465">
        <v>196</v>
      </c>
      <c r="DI31" s="352">
        <f t="shared" si="142"/>
        <v>196</v>
      </c>
      <c r="DJ31" s="465">
        <v>183</v>
      </c>
      <c r="DK31" s="465">
        <v>170</v>
      </c>
      <c r="DL31" s="465">
        <v>159</v>
      </c>
      <c r="DM31" s="499">
        <f>DM62*DM51</f>
        <v>183.84406517167966</v>
      </c>
      <c r="DN31" s="352">
        <f>DM31</f>
        <v>183.84406517167966</v>
      </c>
      <c r="DO31" s="499">
        <f>DO62*DO51</f>
        <v>229.99229802788108</v>
      </c>
      <c r="DP31" s="499">
        <f>DP62*DP51</f>
        <v>208.49135689852045</v>
      </c>
      <c r="DQ31" s="499">
        <f>DQ62*DQ51</f>
        <v>193.55827851430143</v>
      </c>
      <c r="DR31" s="499">
        <f>DR62*DR51</f>
        <v>225.61985429053581</v>
      </c>
      <c r="DS31" s="352">
        <f>DR31</f>
        <v>225.61985429053581</v>
      </c>
      <c r="DT31" s="499">
        <f>DT62*DT51</f>
        <v>275.25769049163665</v>
      </c>
      <c r="DU31" s="499">
        <f>DU62*DU51</f>
        <v>249.48402902939316</v>
      </c>
      <c r="DV31" s="499">
        <f>DV62*DV51</f>
        <v>231.48140692391189</v>
      </c>
      <c r="DW31" s="499">
        <f>DW62*DW51</f>
        <v>270.33498878863202</v>
      </c>
      <c r="DX31" s="352">
        <f>DW31</f>
        <v>270.33498878863202</v>
      </c>
      <c r="DY31" s="499">
        <f>DY62*DY51</f>
        <v>324.53914032207973</v>
      </c>
      <c r="DZ31" s="499">
        <f>DZ62*DZ51</f>
        <v>294.10731727664029</v>
      </c>
      <c r="EA31" s="499">
        <f>EA62*EA51</f>
        <v>272.76407626406217</v>
      </c>
      <c r="EB31" s="499">
        <f>EB62*EB51</f>
        <v>319.02588565883292</v>
      </c>
      <c r="EC31" s="352">
        <f>EB31</f>
        <v>319.02588565883292</v>
      </c>
    </row>
    <row r="32" spans="1:258" s="179" customFormat="1" ht="12" customHeight="1">
      <c r="A32" s="139"/>
      <c r="B32" s="139"/>
      <c r="C32" s="309" t="s">
        <v>292</v>
      </c>
      <c r="D32" s="452"/>
      <c r="E32" s="452"/>
      <c r="F32" s="452"/>
      <c r="G32" s="452"/>
      <c r="H32" s="452"/>
      <c r="M32" s="452"/>
      <c r="R32" s="452"/>
      <c r="W32" s="452"/>
      <c r="AB32" s="452"/>
      <c r="AG32" s="452"/>
      <c r="AL32" s="452"/>
      <c r="AQ32" s="452"/>
      <c r="AV32" s="452"/>
      <c r="BA32" s="452"/>
      <c r="BF32" s="369"/>
      <c r="BG32" s="93"/>
      <c r="BH32" s="93"/>
      <c r="BI32" s="93"/>
      <c r="BJ32" s="370"/>
      <c r="BK32" s="369"/>
      <c r="BL32" s="370"/>
      <c r="BM32" s="370"/>
      <c r="BN32" s="370"/>
      <c r="BO32" s="370"/>
      <c r="BP32" s="452"/>
      <c r="BQ32" s="282"/>
      <c r="BR32" s="465">
        <v>8.6039999999999992</v>
      </c>
      <c r="BS32" s="465">
        <v>7.2930000000000001</v>
      </c>
      <c r="BT32" s="465">
        <v>10.497</v>
      </c>
      <c r="BU32" s="352">
        <f>BT32</f>
        <v>10.497</v>
      </c>
      <c r="BV32" s="465">
        <v>10.993</v>
      </c>
      <c r="BW32" s="465">
        <v>11.744999999999999</v>
      </c>
      <c r="BX32" s="465">
        <v>12.097</v>
      </c>
      <c r="BY32" s="465">
        <v>12.628</v>
      </c>
      <c r="BZ32" s="352">
        <f>BY32</f>
        <v>12.628</v>
      </c>
      <c r="CA32" s="465">
        <v>12.622999999999999</v>
      </c>
      <c r="CB32" s="465">
        <v>12.728</v>
      </c>
      <c r="CC32" s="465">
        <v>15.317</v>
      </c>
      <c r="CD32" s="465">
        <v>14.97</v>
      </c>
      <c r="CE32" s="352">
        <f>CD32</f>
        <v>14.97</v>
      </c>
      <c r="CF32" s="465">
        <v>16.355</v>
      </c>
      <c r="CG32" s="465">
        <v>17.332999999999998</v>
      </c>
      <c r="CH32" s="465">
        <v>19.605</v>
      </c>
      <c r="CI32" s="465">
        <v>22.315999999999999</v>
      </c>
      <c r="CJ32" s="352">
        <f>CI32</f>
        <v>22.315999999999999</v>
      </c>
      <c r="CK32" s="465">
        <v>98.863</v>
      </c>
      <c r="CL32" s="465">
        <v>108.873</v>
      </c>
      <c r="CM32" s="465">
        <v>105.595</v>
      </c>
      <c r="CN32" s="465">
        <v>142.64099999999999</v>
      </c>
      <c r="CO32" s="352">
        <f>CN32</f>
        <v>142.64099999999999</v>
      </c>
      <c r="CP32" s="465">
        <v>131.709</v>
      </c>
      <c r="CQ32" s="465">
        <v>142.12799999999999</v>
      </c>
      <c r="CR32" s="465">
        <v>141.53899999999999</v>
      </c>
      <c r="CS32" s="465">
        <v>144.83600000000001</v>
      </c>
      <c r="CT32" s="352">
        <f>CS32</f>
        <v>144.83600000000001</v>
      </c>
      <c r="CU32" s="465">
        <v>153.91800000000001</v>
      </c>
      <c r="CV32" s="465">
        <v>151.16200000000001</v>
      </c>
      <c r="CW32" s="465">
        <v>174.19</v>
      </c>
      <c r="CX32" s="465">
        <v>246.77600000000001</v>
      </c>
      <c r="CY32" s="352">
        <f>CX32</f>
        <v>246.77600000000001</v>
      </c>
      <c r="CZ32" s="465">
        <v>264.53399999999999</v>
      </c>
      <c r="DA32" s="465">
        <v>254.417</v>
      </c>
      <c r="DB32" s="465">
        <v>369.13099999999997</v>
      </c>
      <c r="DC32" s="465">
        <v>465.13499999999999</v>
      </c>
      <c r="DD32" s="352">
        <f>DC32</f>
        <v>465.13499999999999</v>
      </c>
      <c r="DE32" s="465">
        <v>461</v>
      </c>
      <c r="DF32" s="465">
        <v>204</v>
      </c>
      <c r="DG32" s="465">
        <v>192</v>
      </c>
      <c r="DH32" s="465">
        <v>217</v>
      </c>
      <c r="DI32" s="352">
        <f t="shared" si="142"/>
        <v>217</v>
      </c>
      <c r="DJ32" s="465">
        <v>212</v>
      </c>
      <c r="DK32" s="465">
        <v>203</v>
      </c>
      <c r="DL32" s="465">
        <v>206</v>
      </c>
      <c r="DM32" s="456">
        <f>DL32</f>
        <v>206</v>
      </c>
      <c r="DN32" s="352">
        <f>DM32</f>
        <v>206</v>
      </c>
      <c r="DO32" s="456">
        <f>DM32</f>
        <v>206</v>
      </c>
      <c r="DP32" s="456">
        <f>DO32</f>
        <v>206</v>
      </c>
      <c r="DQ32" s="456">
        <f>DP32</f>
        <v>206</v>
      </c>
      <c r="DR32" s="456">
        <f>DQ32</f>
        <v>206</v>
      </c>
      <c r="DS32" s="352">
        <f>DR32</f>
        <v>206</v>
      </c>
      <c r="DT32" s="456">
        <f>DR32</f>
        <v>206</v>
      </c>
      <c r="DU32" s="456">
        <f>DT32</f>
        <v>206</v>
      </c>
      <c r="DV32" s="456">
        <f>DU32</f>
        <v>206</v>
      </c>
      <c r="DW32" s="456">
        <f>DV32</f>
        <v>206</v>
      </c>
      <c r="DX32" s="352">
        <f>DW32</f>
        <v>206</v>
      </c>
      <c r="DY32" s="456">
        <f>DW32</f>
        <v>206</v>
      </c>
      <c r="DZ32" s="456">
        <f>DY32</f>
        <v>206</v>
      </c>
      <c r="EA32" s="456">
        <f>DZ32</f>
        <v>206</v>
      </c>
      <c r="EB32" s="456">
        <f>EA32</f>
        <v>206</v>
      </c>
      <c r="EC32" s="352">
        <f>EB32</f>
        <v>206</v>
      </c>
    </row>
    <row r="33" spans="1:134" s="179" customFormat="1" ht="12" customHeight="1">
      <c r="A33" s="139"/>
      <c r="B33" s="139"/>
      <c r="C33" s="309" t="s">
        <v>272</v>
      </c>
      <c r="D33" s="452"/>
      <c r="E33" s="452"/>
      <c r="F33" s="452"/>
      <c r="G33" s="452"/>
      <c r="H33" s="452"/>
      <c r="M33" s="452"/>
      <c r="R33" s="452"/>
      <c r="W33" s="452"/>
      <c r="AB33" s="452"/>
      <c r="AG33" s="452"/>
      <c r="AL33" s="452"/>
      <c r="AQ33" s="452"/>
      <c r="AV33" s="452"/>
      <c r="BA33" s="452"/>
      <c r="BF33" s="369"/>
      <c r="BG33" s="93"/>
      <c r="BH33" s="93"/>
      <c r="BI33" s="93"/>
      <c r="BJ33" s="370"/>
      <c r="BK33" s="369"/>
      <c r="BL33" s="370"/>
      <c r="BM33" s="370"/>
      <c r="BN33" s="370"/>
      <c r="BO33" s="370"/>
      <c r="BP33" s="452"/>
      <c r="BQ33" s="282"/>
      <c r="BR33" s="282">
        <v>0</v>
      </c>
      <c r="BS33" s="282">
        <v>0</v>
      </c>
      <c r="BT33" s="282">
        <v>0</v>
      </c>
      <c r="BU33" s="300">
        <f>BT33</f>
        <v>0</v>
      </c>
      <c r="BV33" s="282">
        <v>0</v>
      </c>
      <c r="BW33" s="282">
        <v>0</v>
      </c>
      <c r="BX33" s="282">
        <v>0</v>
      </c>
      <c r="BY33" s="282">
        <v>0</v>
      </c>
      <c r="BZ33" s="300">
        <f>BY33</f>
        <v>0</v>
      </c>
      <c r="CA33" s="282">
        <v>0</v>
      </c>
      <c r="CB33" s="282">
        <v>0</v>
      </c>
      <c r="CC33" s="282">
        <v>0</v>
      </c>
      <c r="CD33" s="282">
        <v>0</v>
      </c>
      <c r="CE33" s="300">
        <f>CD33</f>
        <v>0</v>
      </c>
      <c r="CF33" s="282">
        <v>0</v>
      </c>
      <c r="CG33" s="282">
        <v>0</v>
      </c>
      <c r="CH33" s="282">
        <v>0</v>
      </c>
      <c r="CI33" s="282">
        <v>0</v>
      </c>
      <c r="CJ33" s="300">
        <f>CI33</f>
        <v>0</v>
      </c>
      <c r="CK33" s="282">
        <v>0</v>
      </c>
      <c r="CL33" s="282">
        <v>0</v>
      </c>
      <c r="CM33" s="282">
        <v>0</v>
      </c>
      <c r="CN33" s="282">
        <v>0</v>
      </c>
      <c r="CO33" s="300">
        <f>CN33</f>
        <v>0</v>
      </c>
      <c r="CP33" s="282">
        <v>0</v>
      </c>
      <c r="CQ33" s="282">
        <v>0</v>
      </c>
      <c r="CR33" s="282">
        <v>750.452</v>
      </c>
      <c r="CS33" s="282">
        <v>758.00800000000004</v>
      </c>
      <c r="CT33" s="300">
        <f>CS33</f>
        <v>758.00800000000004</v>
      </c>
      <c r="CU33" s="282">
        <v>909.20500000000004</v>
      </c>
      <c r="CV33" s="282">
        <v>909.79100000000005</v>
      </c>
      <c r="CW33" s="282">
        <v>910.37599999999998</v>
      </c>
      <c r="CX33" s="282">
        <v>910.96299999999997</v>
      </c>
      <c r="CY33" s="300">
        <f>CX33</f>
        <v>910.96299999999997</v>
      </c>
      <c r="CZ33" s="282">
        <v>911.54899999999998</v>
      </c>
      <c r="DA33" s="282">
        <v>912.13699999999994</v>
      </c>
      <c r="DB33" s="282">
        <v>912.72400000000005</v>
      </c>
      <c r="DC33" s="282">
        <v>913.31200000000001</v>
      </c>
      <c r="DD33" s="300">
        <f>DC33</f>
        <v>913.31200000000001</v>
      </c>
      <c r="DE33" s="282">
        <v>914</v>
      </c>
      <c r="DF33" s="282">
        <v>914</v>
      </c>
      <c r="DG33" s="282">
        <v>915</v>
      </c>
      <c r="DH33" s="282">
        <v>916</v>
      </c>
      <c r="DI33" s="300">
        <f t="shared" si="142"/>
        <v>916</v>
      </c>
      <c r="DJ33" s="282">
        <v>916</v>
      </c>
      <c r="DK33" s="282">
        <v>917</v>
      </c>
      <c r="DL33" s="282">
        <v>917</v>
      </c>
      <c r="DM33" s="125">
        <f>DL33+'Cash Flow'!DM39</f>
        <v>917</v>
      </c>
      <c r="DN33" s="300">
        <f>DM33</f>
        <v>917</v>
      </c>
      <c r="DO33" s="125">
        <f>DN33+'Cash Flow'!DO39</f>
        <v>917</v>
      </c>
      <c r="DP33" s="125">
        <f>DO33+'Cash Flow'!DP39</f>
        <v>917</v>
      </c>
      <c r="DQ33" s="125">
        <f>DP33+'Cash Flow'!DQ39</f>
        <v>0</v>
      </c>
      <c r="DR33" s="125">
        <f>DQ33+'Cash Flow'!DR39</f>
        <v>0</v>
      </c>
      <c r="DS33" s="300">
        <f>DR33</f>
        <v>0</v>
      </c>
      <c r="DT33" s="125">
        <f>DS33+'Cash Flow'!DT39</f>
        <v>0</v>
      </c>
      <c r="DU33" s="125">
        <f>DT33+'Cash Flow'!DU39</f>
        <v>0</v>
      </c>
      <c r="DV33" s="125">
        <f>DU33+'Cash Flow'!DV39</f>
        <v>0</v>
      </c>
      <c r="DW33" s="125">
        <f>DV33+'Cash Flow'!DW39</f>
        <v>0</v>
      </c>
      <c r="DX33" s="300">
        <f>DW33</f>
        <v>0</v>
      </c>
      <c r="DY33" s="125">
        <f>DX33+'Cash Flow'!DY39</f>
        <v>0</v>
      </c>
      <c r="DZ33" s="125">
        <f>DY33+'Cash Flow'!DZ39</f>
        <v>0</v>
      </c>
      <c r="EA33" s="125">
        <f>DZ33+'Cash Flow'!EA39</f>
        <v>0</v>
      </c>
      <c r="EB33" s="125">
        <f>EA33+'Cash Flow'!EB39</f>
        <v>0</v>
      </c>
      <c r="EC33" s="300">
        <f>EB33</f>
        <v>0</v>
      </c>
      <c r="ED33" s="180"/>
    </row>
    <row r="34" spans="1:134" s="179" customFormat="1" ht="12" customHeight="1">
      <c r="A34" s="139"/>
      <c r="B34" s="139"/>
      <c r="C34" s="309" t="s">
        <v>273</v>
      </c>
      <c r="D34" s="369"/>
      <c r="E34" s="369"/>
      <c r="F34" s="369"/>
      <c r="G34" s="369"/>
      <c r="H34" s="369"/>
      <c r="I34" s="370"/>
      <c r="J34" s="370"/>
      <c r="K34" s="370"/>
      <c r="L34" s="370"/>
      <c r="M34" s="452"/>
      <c r="N34" s="370"/>
      <c r="O34" s="370"/>
      <c r="P34" s="370"/>
      <c r="Q34" s="370"/>
      <c r="R34" s="452"/>
      <c r="S34" s="370"/>
      <c r="T34" s="370"/>
      <c r="U34" s="370"/>
      <c r="V34" s="370"/>
      <c r="W34" s="452"/>
      <c r="X34" s="370"/>
      <c r="Y34" s="370"/>
      <c r="Z34" s="370"/>
      <c r="AA34" s="370"/>
      <c r="AB34" s="452"/>
      <c r="AC34" s="370"/>
      <c r="AD34" s="370"/>
      <c r="AE34" s="370"/>
      <c r="AF34" s="370"/>
      <c r="AG34" s="452"/>
      <c r="AH34" s="370"/>
      <c r="AI34" s="370"/>
      <c r="AJ34" s="370"/>
      <c r="AK34" s="370"/>
      <c r="AL34" s="452"/>
      <c r="AM34" s="370"/>
      <c r="AN34" s="370"/>
      <c r="AO34" s="370"/>
      <c r="AP34" s="370"/>
      <c r="AQ34" s="452"/>
      <c r="AR34" s="370"/>
      <c r="AS34" s="370"/>
      <c r="AT34" s="370"/>
      <c r="AU34" s="370"/>
      <c r="AV34" s="452"/>
      <c r="AW34" s="370"/>
      <c r="AX34" s="370"/>
      <c r="AY34" s="370"/>
      <c r="AZ34" s="370"/>
      <c r="BA34" s="452"/>
      <c r="BB34" s="370"/>
      <c r="BC34" s="370"/>
      <c r="BD34" s="370"/>
      <c r="BE34" s="370"/>
      <c r="BF34" s="369"/>
      <c r="BG34" s="93"/>
      <c r="BH34" s="93"/>
      <c r="BI34" s="93"/>
      <c r="BJ34" s="370"/>
      <c r="BK34" s="369"/>
      <c r="BL34" s="370"/>
      <c r="BM34" s="370"/>
      <c r="BN34" s="370"/>
      <c r="BO34" s="370"/>
      <c r="BP34" s="452"/>
      <c r="BQ34" s="282"/>
      <c r="BR34" s="282">
        <v>0</v>
      </c>
      <c r="BS34" s="282">
        <v>0</v>
      </c>
      <c r="BT34" s="282">
        <v>0</v>
      </c>
      <c r="BU34" s="300">
        <f>BT34</f>
        <v>0</v>
      </c>
      <c r="BV34" s="282">
        <v>0</v>
      </c>
      <c r="BW34" s="282">
        <v>0</v>
      </c>
      <c r="BX34" s="282">
        <v>0</v>
      </c>
      <c r="BY34" s="282">
        <v>0</v>
      </c>
      <c r="BZ34" s="300">
        <f>BY34</f>
        <v>0</v>
      </c>
      <c r="CA34" s="282">
        <v>0</v>
      </c>
      <c r="CB34" s="282">
        <v>1.6930000000000001</v>
      </c>
      <c r="CC34" s="282">
        <v>1.5409999999999999</v>
      </c>
      <c r="CD34" s="282">
        <v>1.3879999999999999</v>
      </c>
      <c r="CE34" s="300">
        <f>CD34</f>
        <v>1.3879999999999999</v>
      </c>
      <c r="CF34" s="282">
        <v>1.236</v>
      </c>
      <c r="CG34" s="282">
        <v>1.5089999999999999</v>
      </c>
      <c r="CH34" s="282">
        <v>1.32</v>
      </c>
      <c r="CI34" s="282">
        <v>1.1319999999999999</v>
      </c>
      <c r="CJ34" s="300">
        <f>CI34</f>
        <v>1.1319999999999999</v>
      </c>
      <c r="CK34" s="282">
        <v>0.94499999999999995</v>
      </c>
      <c r="CL34" s="282">
        <v>1.798</v>
      </c>
      <c r="CM34" s="282">
        <v>1.425</v>
      </c>
      <c r="CN34" s="282">
        <v>8.7530000000000001</v>
      </c>
      <c r="CO34" s="300">
        <f>CN34</f>
        <v>8.7530000000000001</v>
      </c>
      <c r="CP34" s="282">
        <v>4.2190000000000003</v>
      </c>
      <c r="CQ34" s="282">
        <v>0</v>
      </c>
      <c r="CR34" s="282">
        <v>0</v>
      </c>
      <c r="CS34" s="282">
        <v>0</v>
      </c>
      <c r="CT34" s="300">
        <f>CS34</f>
        <v>0</v>
      </c>
      <c r="CU34" s="282">
        <v>102.374</v>
      </c>
      <c r="CV34" s="282">
        <v>127.777</v>
      </c>
      <c r="CW34" s="282">
        <v>310.63499999999999</v>
      </c>
      <c r="CX34" s="282">
        <v>183.42699999999999</v>
      </c>
      <c r="CY34" s="300">
        <f>CX34</f>
        <v>183.42699999999999</v>
      </c>
      <c r="CZ34" s="282">
        <v>0.21099999999999999</v>
      </c>
      <c r="DA34" s="282">
        <v>1.335</v>
      </c>
      <c r="DB34" s="282">
        <v>23.576000000000001</v>
      </c>
      <c r="DC34" s="282">
        <v>16.294</v>
      </c>
      <c r="DD34" s="300">
        <f>DC34</f>
        <v>16.294</v>
      </c>
      <c r="DE34" s="282">
        <v>17</v>
      </c>
      <c r="DF34" s="282">
        <v>6</v>
      </c>
      <c r="DG34" s="282">
        <v>5</v>
      </c>
      <c r="DH34" s="282">
        <v>6</v>
      </c>
      <c r="DI34" s="300">
        <f t="shared" si="142"/>
        <v>6</v>
      </c>
      <c r="DJ34" s="282">
        <v>6</v>
      </c>
      <c r="DK34" s="282">
        <v>10</v>
      </c>
      <c r="DL34" s="282">
        <v>8</v>
      </c>
      <c r="DM34" s="125">
        <f t="shared" ref="DM34" si="147">DL34</f>
        <v>8</v>
      </c>
      <c r="DN34" s="300">
        <f>DM34</f>
        <v>8</v>
      </c>
      <c r="DO34" s="125">
        <f>DN34</f>
        <v>8</v>
      </c>
      <c r="DP34" s="125">
        <f t="shared" ref="DP34:DR34" si="148">DO34</f>
        <v>8</v>
      </c>
      <c r="DQ34" s="125">
        <f t="shared" si="148"/>
        <v>8</v>
      </c>
      <c r="DR34" s="125">
        <f t="shared" si="148"/>
        <v>8</v>
      </c>
      <c r="DS34" s="300">
        <f>DR34</f>
        <v>8</v>
      </c>
      <c r="DT34" s="125">
        <f>DS34</f>
        <v>8</v>
      </c>
      <c r="DU34" s="125">
        <f t="shared" ref="DU34" si="149">DT34</f>
        <v>8</v>
      </c>
      <c r="DV34" s="125">
        <f t="shared" ref="DV34" si="150">DU34</f>
        <v>8</v>
      </c>
      <c r="DW34" s="125">
        <f t="shared" ref="DW34" si="151">DV34</f>
        <v>8</v>
      </c>
      <c r="DX34" s="300">
        <f>DW34</f>
        <v>8</v>
      </c>
      <c r="DY34" s="125">
        <f>DX34</f>
        <v>8</v>
      </c>
      <c r="DZ34" s="125">
        <f t="shared" ref="DZ34" si="152">DY34</f>
        <v>8</v>
      </c>
      <c r="EA34" s="125">
        <f t="shared" ref="EA34" si="153">DZ34</f>
        <v>8</v>
      </c>
      <c r="EB34" s="125">
        <f t="shared" ref="EB34" si="154">EA34</f>
        <v>8</v>
      </c>
      <c r="EC34" s="300">
        <f>EB34</f>
        <v>8</v>
      </c>
    </row>
    <row r="35" spans="1:134" s="179" customFormat="1" ht="12" customHeight="1">
      <c r="A35" s="139"/>
      <c r="B35" s="139"/>
      <c r="C35" s="848" t="s">
        <v>390</v>
      </c>
      <c r="D35" s="849"/>
      <c r="E35" s="849"/>
      <c r="F35" s="849"/>
      <c r="G35" s="849"/>
      <c r="H35" s="849"/>
      <c r="I35" s="849"/>
      <c r="J35" s="849"/>
      <c r="K35" s="849"/>
      <c r="L35" s="849"/>
      <c r="M35" s="114"/>
      <c r="N35" s="849"/>
      <c r="O35" s="849"/>
      <c r="P35" s="849"/>
      <c r="Q35" s="849"/>
      <c r="R35" s="114"/>
      <c r="S35" s="849"/>
      <c r="T35" s="849"/>
      <c r="U35" s="849"/>
      <c r="V35" s="849"/>
      <c r="W35" s="114"/>
      <c r="X35" s="849"/>
      <c r="Y35" s="849"/>
      <c r="Z35" s="849"/>
      <c r="AA35" s="849"/>
      <c r="AB35" s="114"/>
      <c r="AC35" s="849"/>
      <c r="AD35" s="849"/>
      <c r="AE35" s="849"/>
      <c r="AF35" s="849"/>
      <c r="AG35" s="114"/>
      <c r="AH35" s="849"/>
      <c r="AI35" s="849"/>
      <c r="AJ35" s="849"/>
      <c r="AK35" s="849"/>
      <c r="AL35" s="114"/>
      <c r="AM35" s="849"/>
      <c r="AN35" s="849"/>
      <c r="AO35" s="849"/>
      <c r="AP35" s="849"/>
      <c r="AQ35" s="114"/>
      <c r="AR35" s="849"/>
      <c r="AS35" s="849"/>
      <c r="AT35" s="849"/>
      <c r="AU35" s="849"/>
      <c r="AV35" s="114"/>
      <c r="AW35" s="849"/>
      <c r="AX35" s="849"/>
      <c r="AY35" s="849"/>
      <c r="AZ35" s="849"/>
      <c r="BA35" s="114"/>
      <c r="BB35" s="849"/>
      <c r="BC35" s="849"/>
      <c r="BD35" s="849"/>
      <c r="BE35" s="849"/>
      <c r="BF35" s="849"/>
      <c r="BG35" s="850"/>
      <c r="BH35" s="850"/>
      <c r="BI35" s="850"/>
      <c r="BJ35" s="849"/>
      <c r="BK35" s="849"/>
      <c r="BL35" s="849"/>
      <c r="BM35" s="849"/>
      <c r="BN35" s="849"/>
      <c r="BO35" s="849"/>
      <c r="BP35" s="114"/>
      <c r="BQ35" s="851"/>
      <c r="BR35" s="114">
        <f t="shared" ref="BR35" si="155">+BR36-BR30</f>
        <v>9.1540000000000035</v>
      </c>
      <c r="BS35" s="114">
        <f t="shared" ref="BS35" si="156">+BS36-BS30</f>
        <v>7.6869999999999976</v>
      </c>
      <c r="BT35" s="852">
        <f t="shared" ref="BT35" si="157">+BT36-BT30</f>
        <v>11.158000000000001</v>
      </c>
      <c r="BU35" s="307">
        <f t="shared" ref="BU35" si="158">+BU36-BU30</f>
        <v>11.158000000000001</v>
      </c>
      <c r="BV35" s="853">
        <f t="shared" ref="BV35" si="159">+BV36-BV30</f>
        <v>11.770000000000003</v>
      </c>
      <c r="BW35" s="114">
        <f t="shared" ref="BW35" si="160">+BW36-BW30</f>
        <v>12.580999999999996</v>
      </c>
      <c r="BX35" s="114">
        <f t="shared" ref="BX35" si="161">+BX36-BX30</f>
        <v>12.970999999999997</v>
      </c>
      <c r="BY35" s="852">
        <f t="shared" ref="BY35" si="162">+BY36-BY30</f>
        <v>13.549999999999997</v>
      </c>
      <c r="BZ35" s="307">
        <f t="shared" ref="BZ35:CA35" si="163">+BZ36-BZ30</f>
        <v>13.549999999999997</v>
      </c>
      <c r="CA35" s="853">
        <f t="shared" si="163"/>
        <v>13.637</v>
      </c>
      <c r="CB35" s="114">
        <f t="shared" ref="CB35" si="164">+CB36-CB30</f>
        <v>15.545999999999992</v>
      </c>
      <c r="CC35" s="114">
        <f t="shared" ref="CC35" si="165">+CC36-CC30</f>
        <v>18.075999999999993</v>
      </c>
      <c r="CD35" s="852">
        <f t="shared" ref="CD35" si="166">+CD36-CD30</f>
        <v>17.710000000000008</v>
      </c>
      <c r="CE35" s="307">
        <f t="shared" ref="CE35:CF35" si="167">+CE36-CE30</f>
        <v>17.710000000000008</v>
      </c>
      <c r="CF35" s="853">
        <f t="shared" si="167"/>
        <v>19.070999999999998</v>
      </c>
      <c r="CG35" s="114">
        <f t="shared" ref="CG35" si="168">+CG36-CG30</f>
        <v>20.475999999999971</v>
      </c>
      <c r="CH35" s="114">
        <f t="shared" ref="CH35" si="169">+CH36-CH30</f>
        <v>22.668999999999983</v>
      </c>
      <c r="CI35" s="852">
        <f t="shared" ref="CI35" si="170">+CI36-CI30</f>
        <v>25.329000000000008</v>
      </c>
      <c r="CJ35" s="307">
        <f t="shared" ref="CJ35:CK35" si="171">+CJ36-CJ30</f>
        <v>25.329000000000008</v>
      </c>
      <c r="CK35" s="853">
        <f t="shared" si="171"/>
        <v>101.81900000000002</v>
      </c>
      <c r="CL35" s="114">
        <f t="shared" ref="CL35" si="172">+CL36-CL30</f>
        <v>112.76300000000003</v>
      </c>
      <c r="CM35" s="114">
        <f t="shared" ref="CM35" si="173">+CM36-CM30</f>
        <v>109.13500000000005</v>
      </c>
      <c r="CN35" s="852">
        <f t="shared" ref="CN35" si="174">+CN36-CN30</f>
        <v>157.36299999999994</v>
      </c>
      <c r="CO35" s="307">
        <f t="shared" ref="CO35:CP35" si="175">+CO36-CO30</f>
        <v>157.36299999999994</v>
      </c>
      <c r="CP35" s="853">
        <f t="shared" si="175"/>
        <v>141.50799999999998</v>
      </c>
      <c r="CQ35" s="114">
        <f t="shared" ref="CQ35" si="176">+CQ36-CQ30</f>
        <v>148.99399999999997</v>
      </c>
      <c r="CR35" s="114">
        <f t="shared" ref="CR35" si="177">+CR36-CR30</f>
        <v>915.07100000000003</v>
      </c>
      <c r="CS35" s="852">
        <f t="shared" ref="CS35" si="178">+CS36-CS30</f>
        <v>923.85000000000014</v>
      </c>
      <c r="CT35" s="307">
        <f t="shared" ref="CT35:CU35" si="179">+CT36-CT30</f>
        <v>923.85000000000014</v>
      </c>
      <c r="CU35" s="853">
        <f t="shared" si="179"/>
        <v>1187.9140000000002</v>
      </c>
      <c r="CV35" s="114">
        <f t="shared" ref="CV35" si="180">+CV36-CV30</f>
        <v>1324.0509999999999</v>
      </c>
      <c r="CW35" s="114">
        <f t="shared" ref="CW35" si="181">+CW36-CW30</f>
        <v>1569.6839999999997</v>
      </c>
      <c r="CX35" s="852">
        <f t="shared" ref="CX35" si="182">+CX36-CX30</f>
        <v>1504.098</v>
      </c>
      <c r="CY35" s="307">
        <f t="shared" ref="CY35:CZ35" si="183">+CY36-CY30</f>
        <v>1504.098</v>
      </c>
      <c r="CZ35" s="853">
        <f t="shared" si="183"/>
        <v>1362.9299999999998</v>
      </c>
      <c r="DA35" s="114">
        <f t="shared" ref="DA35" si="184">+DA36-DA30</f>
        <v>1327.2939999999999</v>
      </c>
      <c r="DB35" s="114">
        <f t="shared" ref="DB35" si="185">+DB36-DB30</f>
        <v>1605.056</v>
      </c>
      <c r="DC35" s="852">
        <f t="shared" ref="DC35" si="186">+DC36-DC30</f>
        <v>1662.2539999999997</v>
      </c>
      <c r="DD35" s="307">
        <f t="shared" ref="DD35" si="187">+DD36-DD30</f>
        <v>1662.2539999999997</v>
      </c>
      <c r="DE35" s="853">
        <f>+DE36-DE30</f>
        <v>1624</v>
      </c>
      <c r="DF35" s="114">
        <f t="shared" ref="DF35" si="188">+DF36-DF30</f>
        <v>1360</v>
      </c>
      <c r="DG35" s="114">
        <f t="shared" ref="DG35" si="189">+DG36-DG30</f>
        <v>1328</v>
      </c>
      <c r="DH35" s="852">
        <f t="shared" ref="DH35:DI35" si="190">+DH36-DH30</f>
        <v>1335</v>
      </c>
      <c r="DI35" s="307">
        <f t="shared" si="190"/>
        <v>1335</v>
      </c>
      <c r="DJ35" s="853">
        <f>+DJ36-DJ30</f>
        <v>1317</v>
      </c>
      <c r="DK35" s="852">
        <f>+DK36-DK30</f>
        <v>1300</v>
      </c>
      <c r="DL35" s="852">
        <f>+DL36-DL30</f>
        <v>1290</v>
      </c>
      <c r="DM35" s="852">
        <f t="shared" ref="DM35" si="191">+DM36-DM30</f>
        <v>1314.8440651716796</v>
      </c>
      <c r="DN35" s="307">
        <f t="shared" ref="DN35" si="192">+DN36-DN30</f>
        <v>1314.8440651716796</v>
      </c>
      <c r="DO35" s="853">
        <f>+DO36-DO30</f>
        <v>1360.9922980278809</v>
      </c>
      <c r="DP35" s="114">
        <f t="shared" ref="DP35" si="193">+DP36-DP30</f>
        <v>1339.4913568985205</v>
      </c>
      <c r="DQ35" s="114">
        <f t="shared" ref="DQ35" si="194">+DQ36-DQ30</f>
        <v>407.55827851430149</v>
      </c>
      <c r="DR35" s="852">
        <f t="shared" ref="DR35" si="195">+DR36-DR30</f>
        <v>439.61985429053584</v>
      </c>
      <c r="DS35" s="307">
        <f t="shared" ref="DS35" si="196">+DS36-DS30</f>
        <v>439.61985429053584</v>
      </c>
      <c r="DT35" s="853">
        <f>+DT36-DT30</f>
        <v>489.25769049163659</v>
      </c>
      <c r="DU35" s="114">
        <f t="shared" ref="DU35:DX35" si="197">+DU36-DU30</f>
        <v>463.48402902939324</v>
      </c>
      <c r="DV35" s="114">
        <f t="shared" si="197"/>
        <v>445.48140692391189</v>
      </c>
      <c r="DW35" s="852">
        <f t="shared" si="197"/>
        <v>484.33498878863202</v>
      </c>
      <c r="DX35" s="307">
        <f t="shared" si="197"/>
        <v>484.33498878863202</v>
      </c>
      <c r="DY35" s="853">
        <f>+DY36-DY30</f>
        <v>538.53914032207967</v>
      </c>
      <c r="DZ35" s="114">
        <f t="shared" ref="DZ35:EC35" si="198">+DZ36-DZ30</f>
        <v>508.10731727664006</v>
      </c>
      <c r="EA35" s="114">
        <f t="shared" si="198"/>
        <v>486.76407626406194</v>
      </c>
      <c r="EB35" s="852">
        <f t="shared" si="198"/>
        <v>533.02588565883275</v>
      </c>
      <c r="EC35" s="307">
        <f t="shared" si="198"/>
        <v>533.02588565883275</v>
      </c>
    </row>
    <row r="36" spans="1:134" s="179" customFormat="1" ht="12" customHeight="1">
      <c r="A36" s="139"/>
      <c r="B36" s="139"/>
      <c r="C36" s="466" t="s">
        <v>180</v>
      </c>
      <c r="D36" s="472"/>
      <c r="E36" s="472"/>
      <c r="F36" s="472"/>
      <c r="G36" s="472"/>
      <c r="H36" s="472"/>
      <c r="I36" s="472"/>
      <c r="J36" s="472"/>
      <c r="K36" s="472"/>
      <c r="L36" s="472"/>
      <c r="M36" s="468"/>
      <c r="N36" s="472"/>
      <c r="O36" s="472"/>
      <c r="P36" s="472"/>
      <c r="Q36" s="472"/>
      <c r="R36" s="468"/>
      <c r="S36" s="472"/>
      <c r="T36" s="472"/>
      <c r="U36" s="472"/>
      <c r="V36" s="472"/>
      <c r="W36" s="468"/>
      <c r="X36" s="472"/>
      <c r="Y36" s="472"/>
      <c r="Z36" s="472"/>
      <c r="AA36" s="472"/>
      <c r="AB36" s="468"/>
      <c r="AC36" s="472"/>
      <c r="AD36" s="472"/>
      <c r="AE36" s="472"/>
      <c r="AF36" s="472"/>
      <c r="AG36" s="468"/>
      <c r="AH36" s="472"/>
      <c r="AI36" s="472"/>
      <c r="AJ36" s="472"/>
      <c r="AK36" s="472"/>
      <c r="AL36" s="468"/>
      <c r="AM36" s="472"/>
      <c r="AN36" s="472"/>
      <c r="AO36" s="472"/>
      <c r="AP36" s="472"/>
      <c r="AQ36" s="468"/>
      <c r="AR36" s="472"/>
      <c r="AS36" s="472"/>
      <c r="AT36" s="472"/>
      <c r="AU36" s="472"/>
      <c r="AV36" s="468"/>
      <c r="AW36" s="472"/>
      <c r="AX36" s="472"/>
      <c r="AY36" s="472"/>
      <c r="AZ36" s="472"/>
      <c r="BA36" s="468"/>
      <c r="BB36" s="472"/>
      <c r="BC36" s="472"/>
      <c r="BD36" s="472"/>
      <c r="BE36" s="472"/>
      <c r="BF36" s="472"/>
      <c r="BG36" s="137"/>
      <c r="BH36" s="137"/>
      <c r="BI36" s="137"/>
      <c r="BJ36" s="472"/>
      <c r="BK36" s="472"/>
      <c r="BL36" s="472"/>
      <c r="BM36" s="472"/>
      <c r="BN36" s="472"/>
      <c r="BO36" s="472"/>
      <c r="BP36" s="468"/>
      <c r="BQ36" s="473"/>
      <c r="BR36" s="114">
        <f>+SUM(BR30:BR34)</f>
        <v>37.329000000000008</v>
      </c>
      <c r="BS36" s="114">
        <f t="shared" ref="BS36:DN36" si="199">+SUM(BS30:BS34)</f>
        <v>27.460999999999999</v>
      </c>
      <c r="BT36" s="114">
        <f t="shared" si="199"/>
        <v>48.395000000000003</v>
      </c>
      <c r="BU36" s="854">
        <f t="shared" si="199"/>
        <v>48.395000000000003</v>
      </c>
      <c r="BV36" s="114">
        <f t="shared" si="199"/>
        <v>54.297000000000004</v>
      </c>
      <c r="BW36" s="114">
        <f t="shared" si="199"/>
        <v>62.357999999999997</v>
      </c>
      <c r="BX36" s="114">
        <f t="shared" si="199"/>
        <v>74.820999999999998</v>
      </c>
      <c r="BY36" s="114">
        <f t="shared" si="199"/>
        <v>80.082000000000008</v>
      </c>
      <c r="BZ36" s="854">
        <f t="shared" si="199"/>
        <v>80.082000000000008</v>
      </c>
      <c r="CA36" s="114">
        <f t="shared" si="199"/>
        <v>90.474000000000004</v>
      </c>
      <c r="CB36" s="114">
        <f t="shared" si="199"/>
        <v>99.789000000000001</v>
      </c>
      <c r="CC36" s="114">
        <f t="shared" si="199"/>
        <v>113.48599999999999</v>
      </c>
      <c r="CD36" s="114">
        <f t="shared" si="199"/>
        <v>112.464</v>
      </c>
      <c r="CE36" s="854">
        <f t="shared" si="199"/>
        <v>112.464</v>
      </c>
      <c r="CF36" s="114">
        <f t="shared" si="199"/>
        <v>132.64699999999999</v>
      </c>
      <c r="CG36" s="114">
        <f t="shared" si="199"/>
        <v>152.85599999999999</v>
      </c>
      <c r="CH36" s="114">
        <f t="shared" si="199"/>
        <v>169.61599999999999</v>
      </c>
      <c r="CI36" s="114">
        <f t="shared" si="199"/>
        <v>164.017</v>
      </c>
      <c r="CJ36" s="854">
        <f t="shared" si="199"/>
        <v>164.017</v>
      </c>
      <c r="CK36" s="114">
        <f t="shared" si="199"/>
        <v>274.83300000000003</v>
      </c>
      <c r="CL36" s="114">
        <f t="shared" si="199"/>
        <v>306.11400000000003</v>
      </c>
      <c r="CM36" s="114">
        <f t="shared" si="199"/>
        <v>368.87600000000003</v>
      </c>
      <c r="CN36" s="114">
        <f t="shared" si="199"/>
        <v>473.74499999999995</v>
      </c>
      <c r="CO36" s="854">
        <f t="shared" si="199"/>
        <v>473.74499999999995</v>
      </c>
      <c r="CP36" s="114">
        <f t="shared" si="199"/>
        <v>430.065</v>
      </c>
      <c r="CQ36" s="114">
        <f t="shared" si="199"/>
        <v>469.5</v>
      </c>
      <c r="CR36" s="114">
        <f t="shared" si="199"/>
        <v>1285.202</v>
      </c>
      <c r="CS36" s="114">
        <f t="shared" si="199"/>
        <v>1362.1820000000002</v>
      </c>
      <c r="CT36" s="854">
        <f t="shared" si="199"/>
        <v>1362.1820000000002</v>
      </c>
      <c r="CU36" s="114">
        <f t="shared" si="199"/>
        <v>1683.0170000000001</v>
      </c>
      <c r="CV36" s="306">
        <f t="shared" si="199"/>
        <v>1835.134</v>
      </c>
      <c r="CW36" s="306">
        <f t="shared" si="199"/>
        <v>2166.241</v>
      </c>
      <c r="CX36" s="306">
        <f t="shared" si="199"/>
        <v>2206.8310000000001</v>
      </c>
      <c r="CY36" s="854">
        <f t="shared" si="199"/>
        <v>2206.8310000000001</v>
      </c>
      <c r="CZ36" s="114">
        <f t="shared" si="199"/>
        <v>2044.8619999999999</v>
      </c>
      <c r="DA36" s="114">
        <f t="shared" si="199"/>
        <v>2030.502</v>
      </c>
      <c r="DB36" s="114">
        <f t="shared" si="199"/>
        <v>2510.277</v>
      </c>
      <c r="DC36" s="114">
        <f t="shared" si="199"/>
        <v>2518.2619999999997</v>
      </c>
      <c r="DD36" s="854">
        <f t="shared" si="199"/>
        <v>2518.2619999999997</v>
      </c>
      <c r="DE36" s="114">
        <f t="shared" si="199"/>
        <v>2507</v>
      </c>
      <c r="DF36" s="306">
        <f t="shared" ref="DF36:DH36" si="200">+SUM(DF30:DF34)</f>
        <v>2240</v>
      </c>
      <c r="DG36" s="306">
        <f t="shared" si="200"/>
        <v>2180</v>
      </c>
      <c r="DH36" s="306">
        <f t="shared" si="200"/>
        <v>2233</v>
      </c>
      <c r="DI36" s="854">
        <f t="shared" si="199"/>
        <v>2233</v>
      </c>
      <c r="DJ36" s="114">
        <f t="shared" ref="DJ36:DK36" si="201">+SUM(DJ30:DJ34)</f>
        <v>2219</v>
      </c>
      <c r="DK36" s="468">
        <f t="shared" si="201"/>
        <v>2174</v>
      </c>
      <c r="DL36" s="468">
        <f t="shared" ref="DL36" si="202">+SUM(DL30:DL34)</f>
        <v>2211</v>
      </c>
      <c r="DM36" s="306">
        <f t="shared" si="199"/>
        <v>2378.161670872842</v>
      </c>
      <c r="DN36" s="854">
        <f t="shared" si="199"/>
        <v>2378.161670872842</v>
      </c>
      <c r="DO36" s="306">
        <f t="shared" ref="DO36" si="203">+SUM(DO30:DO34)</f>
        <v>2476.3515139963383</v>
      </c>
      <c r="DP36" s="306">
        <f t="shared" ref="DP36" si="204">+SUM(DP30:DP34)</f>
        <v>2464.6206273055577</v>
      </c>
      <c r="DQ36" s="306">
        <f t="shared" ref="DQ36" si="205">+SUM(DQ30:DQ34)</f>
        <v>1554.1431311639915</v>
      </c>
      <c r="DR36" s="306">
        <f t="shared" ref="DR36:DV36" si="206">+SUM(DR30:DR34)</f>
        <v>1738.8394631513293</v>
      </c>
      <c r="DS36" s="854">
        <f t="shared" si="206"/>
        <v>1738.8394631513293</v>
      </c>
      <c r="DT36" s="306">
        <f t="shared" si="206"/>
        <v>1809.6801223273935</v>
      </c>
      <c r="DU36" s="306">
        <f t="shared" si="206"/>
        <v>1811.3463303770793</v>
      </c>
      <c r="DV36" s="306">
        <f t="shared" si="206"/>
        <v>1818.400508744199</v>
      </c>
      <c r="DW36" s="306">
        <f t="shared" ref="DW36:EC36" si="207">+SUM(DW30:DW34)</f>
        <v>2019.7491028332588</v>
      </c>
      <c r="DX36" s="854">
        <f t="shared" si="207"/>
        <v>2019.7491028332588</v>
      </c>
      <c r="DY36" s="306">
        <f t="shared" si="207"/>
        <v>2077.8127634776138</v>
      </c>
      <c r="DZ36" s="306">
        <f t="shared" si="207"/>
        <v>2078.7571908573946</v>
      </c>
      <c r="EA36" s="306">
        <f t="shared" si="207"/>
        <v>2085.8845218104325</v>
      </c>
      <c r="EB36" s="306">
        <f t="shared" si="207"/>
        <v>2319.1403191023746</v>
      </c>
      <c r="EC36" s="854">
        <f t="shared" si="207"/>
        <v>2319.1403191023746</v>
      </c>
    </row>
    <row r="37" spans="1:134" s="179" customFormat="1">
      <c r="A37" s="139"/>
      <c r="B37" s="139"/>
      <c r="C37" s="466" t="s">
        <v>215</v>
      </c>
      <c r="D37" s="369"/>
      <c r="E37" s="369"/>
      <c r="F37" s="369"/>
      <c r="G37" s="369"/>
      <c r="H37" s="369"/>
      <c r="I37" s="370"/>
      <c r="J37" s="370"/>
      <c r="K37" s="370"/>
      <c r="L37" s="370"/>
      <c r="M37" s="452"/>
      <c r="N37" s="370"/>
      <c r="O37" s="370"/>
      <c r="P37" s="370"/>
      <c r="Q37" s="370"/>
      <c r="R37" s="452"/>
      <c r="S37" s="370"/>
      <c r="T37" s="370"/>
      <c r="U37" s="370"/>
      <c r="V37" s="370"/>
      <c r="W37" s="452"/>
      <c r="X37" s="370"/>
      <c r="Y37" s="370"/>
      <c r="Z37" s="370"/>
      <c r="AA37" s="370"/>
      <c r="AB37" s="452"/>
      <c r="AC37" s="370"/>
      <c r="AD37" s="370"/>
      <c r="AE37" s="370"/>
      <c r="AF37" s="370"/>
      <c r="AG37" s="452"/>
      <c r="AH37" s="370"/>
      <c r="AI37" s="370"/>
      <c r="AJ37" s="370"/>
      <c r="AK37" s="370"/>
      <c r="AL37" s="452"/>
      <c r="AM37" s="370"/>
      <c r="AN37" s="370"/>
      <c r="AO37" s="370"/>
      <c r="AP37" s="370"/>
      <c r="AQ37" s="452"/>
      <c r="AR37" s="370"/>
      <c r="AS37" s="370"/>
      <c r="AT37" s="370"/>
      <c r="AU37" s="370"/>
      <c r="AV37" s="452"/>
      <c r="AW37" s="370"/>
      <c r="AX37" s="370"/>
      <c r="AY37" s="370"/>
      <c r="AZ37" s="370"/>
      <c r="BA37" s="452"/>
      <c r="BB37" s="370"/>
      <c r="BC37" s="370"/>
      <c r="BD37" s="370"/>
      <c r="BE37" s="370"/>
      <c r="BF37" s="369"/>
      <c r="BG37" s="93"/>
      <c r="BH37" s="93"/>
      <c r="BI37" s="93"/>
      <c r="BJ37" s="370"/>
      <c r="BK37" s="369"/>
      <c r="BL37" s="370"/>
      <c r="BM37" s="370"/>
      <c r="BN37" s="370"/>
      <c r="BO37" s="370"/>
      <c r="BP37" s="452"/>
      <c r="BQ37" s="125"/>
      <c r="BR37" s="282"/>
      <c r="BS37" s="282"/>
      <c r="BT37" s="282"/>
      <c r="BU37" s="300"/>
      <c r="BV37" s="125"/>
      <c r="BW37" s="282"/>
      <c r="BX37" s="282"/>
      <c r="BY37" s="282"/>
      <c r="BZ37" s="300"/>
      <c r="CA37" s="125"/>
      <c r="CB37" s="282"/>
      <c r="CC37" s="282"/>
      <c r="CD37" s="282"/>
      <c r="CE37" s="300"/>
      <c r="CF37" s="125"/>
      <c r="CG37" s="282"/>
      <c r="CH37" s="282"/>
      <c r="CI37" s="282"/>
      <c r="CJ37" s="300"/>
      <c r="CK37" s="125"/>
      <c r="CL37" s="282"/>
      <c r="CM37" s="282"/>
      <c r="CN37" s="282"/>
      <c r="CO37" s="300"/>
      <c r="CP37" s="125"/>
      <c r="CQ37" s="282"/>
      <c r="CR37" s="282"/>
      <c r="CS37" s="282"/>
      <c r="CT37" s="300"/>
      <c r="CU37" s="282"/>
      <c r="CV37" s="125"/>
      <c r="CW37" s="125"/>
      <c r="CX37" s="125"/>
      <c r="CY37" s="300"/>
      <c r="CZ37" s="282"/>
      <c r="DA37" s="282"/>
      <c r="DB37" s="282"/>
      <c r="DC37" s="282"/>
      <c r="DD37" s="300"/>
      <c r="DE37" s="282"/>
      <c r="DF37" s="282"/>
      <c r="DG37" s="282"/>
      <c r="DH37" s="282"/>
      <c r="DI37" s="300"/>
      <c r="DJ37" s="282"/>
      <c r="DK37" s="282"/>
      <c r="DL37" s="282"/>
      <c r="DM37" s="125"/>
      <c r="DN37" s="300"/>
      <c r="DO37" s="125"/>
      <c r="DP37" s="125"/>
      <c r="DQ37" s="125"/>
      <c r="DR37" s="125"/>
      <c r="DS37" s="300"/>
      <c r="DT37" s="125"/>
      <c r="DU37" s="125"/>
      <c r="DV37" s="125"/>
      <c r="DW37" s="125"/>
      <c r="DX37" s="300"/>
      <c r="DY37" s="125"/>
      <c r="DZ37" s="125"/>
      <c r="EA37" s="125"/>
      <c r="EB37" s="125"/>
      <c r="EC37" s="300"/>
    </row>
    <row r="38" spans="1:134" s="179" customFormat="1" ht="12" customHeight="1">
      <c r="A38" s="139"/>
      <c r="B38" s="139"/>
      <c r="C38" s="309" t="s">
        <v>217</v>
      </c>
      <c r="D38" s="369"/>
      <c r="E38" s="369"/>
      <c r="F38" s="369"/>
      <c r="G38" s="369"/>
      <c r="H38" s="369"/>
      <c r="I38" s="370"/>
      <c r="J38" s="370"/>
      <c r="K38" s="370"/>
      <c r="L38" s="370"/>
      <c r="M38" s="452"/>
      <c r="N38" s="370"/>
      <c r="O38" s="370"/>
      <c r="P38" s="370"/>
      <c r="Q38" s="370"/>
      <c r="R38" s="452"/>
      <c r="S38" s="370"/>
      <c r="T38" s="370"/>
      <c r="U38" s="370"/>
      <c r="V38" s="370"/>
      <c r="W38" s="452"/>
      <c r="X38" s="370"/>
      <c r="Y38" s="370"/>
      <c r="Z38" s="370"/>
      <c r="AA38" s="370"/>
      <c r="AB38" s="452"/>
      <c r="AC38" s="370"/>
      <c r="AD38" s="370"/>
      <c r="AE38" s="370"/>
      <c r="AF38" s="370"/>
      <c r="AG38" s="452"/>
      <c r="AH38" s="370"/>
      <c r="AI38" s="370"/>
      <c r="AJ38" s="370"/>
      <c r="AK38" s="370"/>
      <c r="AL38" s="452"/>
      <c r="AM38" s="370"/>
      <c r="AN38" s="370"/>
      <c r="AO38" s="370"/>
      <c r="AP38" s="370"/>
      <c r="AQ38" s="452"/>
      <c r="AR38" s="370"/>
      <c r="AS38" s="370"/>
      <c r="AT38" s="370"/>
      <c r="AU38" s="370"/>
      <c r="AV38" s="452"/>
      <c r="AW38" s="370"/>
      <c r="AX38" s="370"/>
      <c r="AY38" s="370"/>
      <c r="AZ38" s="370"/>
      <c r="BA38" s="452"/>
      <c r="BB38" s="370"/>
      <c r="BC38" s="370"/>
      <c r="BD38" s="370"/>
      <c r="BE38" s="370"/>
      <c r="BF38" s="369"/>
      <c r="BG38" s="93"/>
      <c r="BH38" s="93"/>
      <c r="BI38" s="93"/>
      <c r="BJ38" s="370"/>
      <c r="BK38" s="369"/>
      <c r="BL38" s="370"/>
      <c r="BM38" s="370"/>
      <c r="BN38" s="370"/>
      <c r="BO38" s="370"/>
      <c r="BP38" s="452"/>
      <c r="BQ38" s="282"/>
      <c r="BR38" s="282">
        <f>199.551-SUM(BR39:BR42)</f>
        <v>236.44099999999997</v>
      </c>
      <c r="BS38" s="282">
        <f>67.732-SUM(BS39:BS42)</f>
        <v>96.795999999999992</v>
      </c>
      <c r="BT38" s="282">
        <f>195.317-SUM(BT39:BT42)</f>
        <v>243.17099999999999</v>
      </c>
      <c r="BU38" s="300">
        <f>BT38</f>
        <v>243.17099999999999</v>
      </c>
      <c r="BV38" s="282">
        <f>190.977-SUM(BV39:BV42)</f>
        <v>247.76</v>
      </c>
      <c r="BW38" s="282">
        <f>188.751-SUM(BW39:BW42)</f>
        <v>253.97300000000001</v>
      </c>
      <c r="BX38" s="282">
        <f>411.522-SUM(BX39:BX42)</f>
        <v>485.86399999999998</v>
      </c>
      <c r="BY38" s="282">
        <f>410.476-SUM(BY39:BY42)</f>
        <v>493.685</v>
      </c>
      <c r="BZ38" s="300">
        <f>BY38</f>
        <v>493.685</v>
      </c>
      <c r="CA38" s="282">
        <f>410.864-SUM(CA39:CA42)</f>
        <v>507.67099999999999</v>
      </c>
      <c r="CB38" s="282">
        <f>977.444-SUM(CB39:CB42)</f>
        <v>1088.2809999999999</v>
      </c>
      <c r="CC38" s="282">
        <f>987.922-SUM(CC39:CC42)</f>
        <v>1108.1390000000001</v>
      </c>
      <c r="CD38" s="282">
        <f>1001.1-SUM(CD39:CD42)</f>
        <v>1124.3040000000001</v>
      </c>
      <c r="CE38" s="300">
        <f>CD38</f>
        <v>1124.3040000000001</v>
      </c>
      <c r="CF38" s="282">
        <f>1649.889-SUM(CF39:CF42)</f>
        <v>1788.9949999999999</v>
      </c>
      <c r="CG38" s="282">
        <f>1656.201-SUM(CG39:CG42)</f>
        <v>1819.26</v>
      </c>
      <c r="CH38" s="282">
        <f>1672.078-SUM(CH39:CH42)</f>
        <v>1977.0729999999999</v>
      </c>
      <c r="CI38" s="282">
        <f>2090.768-SUM(CI39:CI42)</f>
        <v>2278.5250000000001</v>
      </c>
      <c r="CJ38" s="300">
        <f>CI38</f>
        <v>2278.5250000000001</v>
      </c>
      <c r="CK38" s="282">
        <f>2127.918-SUM(CK39:CK42)</f>
        <v>2331.451</v>
      </c>
      <c r="CL38" s="282">
        <f>2161.184-SUM(CL39:CL42)</f>
        <v>2393.3950000000004</v>
      </c>
      <c r="CM38" s="282">
        <f>2820.059-SUM(CM39:CM42)</f>
        <v>3125.0540000000001</v>
      </c>
      <c r="CN38" s="282">
        <f>3015.734-SUM(CN39:CN42)</f>
        <v>3319.9580000000001</v>
      </c>
      <c r="CO38" s="300">
        <f>CN38</f>
        <v>3319.9580000000001</v>
      </c>
      <c r="CP38" s="282">
        <f>3040.851-SUM(CP39:CP42)</f>
        <v>3376.5039999999999</v>
      </c>
      <c r="CQ38" s="282">
        <f>4628.939-SUM(CQ39:CQ42)</f>
        <v>4928.5940000000001</v>
      </c>
      <c r="CR38" s="282">
        <f>6176.829-SUM(CR39:CR42)</f>
        <v>6285.4160000000002</v>
      </c>
      <c r="CS38" s="282">
        <f>6400.723-SUM(CS39:CS42)</f>
        <v>6385.4380000000001</v>
      </c>
      <c r="CT38" s="300">
        <f>CS38</f>
        <v>6385.4380000000001</v>
      </c>
      <c r="CU38" s="282">
        <f>9141.871-SUM(CU39:CU42)</f>
        <v>7859.9429999999993</v>
      </c>
      <c r="CV38" s="282">
        <f>10120.544-SUM(CV39:CV42)</f>
        <v>7959.5229999999992</v>
      </c>
      <c r="CW38" s="282">
        <f>11370.277-SUM(CW39:CW42)</f>
        <v>8060.8240000000005</v>
      </c>
      <c r="CX38" s="282">
        <v>8040.0990000000002</v>
      </c>
      <c r="CY38" s="300">
        <f>CX38</f>
        <v>8040.0990000000002</v>
      </c>
      <c r="CZ38" s="282">
        <v>8150.8779999999997</v>
      </c>
      <c r="DA38" s="282">
        <v>8244.56</v>
      </c>
      <c r="DB38" s="282">
        <v>8653.0110000000004</v>
      </c>
      <c r="DC38" s="282">
        <v>8747.4320000000007</v>
      </c>
      <c r="DD38" s="300">
        <f>DC38</f>
        <v>8747.4320000000007</v>
      </c>
      <c r="DE38" s="282">
        <v>8886</v>
      </c>
      <c r="DF38" s="282">
        <v>9019</v>
      </c>
      <c r="DG38" s="282">
        <v>9098</v>
      </c>
      <c r="DH38" s="282">
        <v>9201</v>
      </c>
      <c r="DI38" s="300">
        <f>DH38</f>
        <v>9201</v>
      </c>
      <c r="DJ38" s="282">
        <v>9283</v>
      </c>
      <c r="DK38" s="282">
        <v>9368</v>
      </c>
      <c r="DL38" s="282">
        <v>9474</v>
      </c>
      <c r="DM38" s="125">
        <f>DL38+'Cash Flow'!DM42+'Cash Flow'!DM11+'Cash Flow'!DM40</f>
        <v>9593.7447900344505</v>
      </c>
      <c r="DN38" s="300">
        <f>DM38</f>
        <v>9593.7447900344505</v>
      </c>
      <c r="DO38" s="125">
        <f>DN38+'Cash Flow'!DO42+'Cash Flow'!DO11+'Cash Flow'!DO40</f>
        <v>9724.4775022269787</v>
      </c>
      <c r="DP38" s="125">
        <f>DO38+'Cash Flow'!DP42+'Cash Flow'!DP11+'Cash Flow'!DP40</f>
        <v>9848.7521481606454</v>
      </c>
      <c r="DQ38" s="125">
        <f>DP38+'Cash Flow'!DQ42+'Cash Flow'!DQ11+'Cash Flow'!DQ40</f>
        <v>9972.7907449752274</v>
      </c>
      <c r="DR38" s="125">
        <f>DQ38+'Cash Flow'!DR42+'Cash Flow'!DR11+'Cash Flow'!DR40</f>
        <v>10107.303459904258</v>
      </c>
      <c r="DS38" s="300">
        <f>DR38</f>
        <v>10107.303459904258</v>
      </c>
      <c r="DT38" s="125">
        <f>DS38+'Cash Flow'!DT42+'Cash Flow'!DT11+'Cash Flow'!DT40</f>
        <v>10253.269003235049</v>
      </c>
      <c r="DU38" s="125">
        <f>DT38+'Cash Flow'!DU42+'Cash Flow'!DU11+'Cash Flow'!DU40</f>
        <v>10390.723696581905</v>
      </c>
      <c r="DV38" s="125">
        <f>DU38+'Cash Flow'!DV42+'Cash Flow'!DV11+'Cash Flow'!DV40</f>
        <v>10527.261330219384</v>
      </c>
      <c r="DW38" s="125">
        <f>DV38+'Cash Flow'!DW42+'Cash Flow'!DW11+'Cash Flow'!DW40</f>
        <v>10673.52466370577</v>
      </c>
      <c r="DX38" s="300">
        <f>DW38</f>
        <v>10673.52466370577</v>
      </c>
      <c r="DY38" s="125">
        <f>DX38+'Cash Flow'!DY42+'Cash Flow'!DY11+'Cash Flow'!DY40</f>
        <v>10833.247133646659</v>
      </c>
      <c r="DZ38" s="125">
        <f>DY38+'Cash Flow'!DZ42+'Cash Flow'!DZ11+'Cash Flow'!DZ40</f>
        <v>10982.020022558765</v>
      </c>
      <c r="EA38" s="125">
        <f>DZ38+'Cash Flow'!EA42+'Cash Flow'!EA11+'Cash Flow'!EA40</f>
        <v>11128.999545477722</v>
      </c>
      <c r="EB38" s="125">
        <f>EA38+'Cash Flow'!EB42+'Cash Flow'!EB11+'Cash Flow'!EB40</f>
        <v>11284.013495077643</v>
      </c>
      <c r="EC38" s="300">
        <f>EB38</f>
        <v>11284.013495077643</v>
      </c>
    </row>
    <row r="39" spans="1:134" s="179" customFormat="1" ht="12" customHeight="1">
      <c r="A39" s="139"/>
      <c r="B39" s="139"/>
      <c r="C39" s="309" t="s">
        <v>86</v>
      </c>
      <c r="D39" s="369"/>
      <c r="E39" s="369"/>
      <c r="F39" s="369"/>
      <c r="G39" s="369"/>
      <c r="H39" s="369"/>
      <c r="I39" s="370"/>
      <c r="J39" s="370"/>
      <c r="K39" s="370"/>
      <c r="L39" s="370"/>
      <c r="M39" s="452"/>
      <c r="N39" s="370"/>
      <c r="O39" s="370"/>
      <c r="P39" s="370"/>
      <c r="Q39" s="370"/>
      <c r="R39" s="452"/>
      <c r="S39" s="370"/>
      <c r="T39" s="370"/>
      <c r="U39" s="370"/>
      <c r="V39" s="370"/>
      <c r="W39" s="452"/>
      <c r="X39" s="370"/>
      <c r="Y39" s="370"/>
      <c r="Z39" s="370"/>
      <c r="AA39" s="370"/>
      <c r="AB39" s="452"/>
      <c r="AC39" s="370"/>
      <c r="AD39" s="370"/>
      <c r="AE39" s="370"/>
      <c r="AF39" s="370"/>
      <c r="AG39" s="452"/>
      <c r="AH39" s="370"/>
      <c r="AI39" s="370"/>
      <c r="AJ39" s="370"/>
      <c r="AK39" s="370"/>
      <c r="AL39" s="452"/>
      <c r="AM39" s="370"/>
      <c r="AN39" s="370"/>
      <c r="AO39" s="370"/>
      <c r="AP39" s="370"/>
      <c r="AQ39" s="452"/>
      <c r="AR39" s="370"/>
      <c r="AS39" s="370"/>
      <c r="AT39" s="370"/>
      <c r="AU39" s="370"/>
      <c r="AV39" s="452"/>
      <c r="AW39" s="370"/>
      <c r="AX39" s="370"/>
      <c r="AY39" s="370"/>
      <c r="AZ39" s="370"/>
      <c r="BA39" s="452"/>
      <c r="BB39" s="370"/>
      <c r="BC39" s="370"/>
      <c r="BD39" s="370"/>
      <c r="BE39" s="370"/>
      <c r="BF39" s="369"/>
      <c r="BG39" s="93"/>
      <c r="BH39" s="93"/>
      <c r="BI39" s="93"/>
      <c r="BJ39" s="370"/>
      <c r="BK39" s="453"/>
      <c r="BL39" s="842"/>
      <c r="BM39" s="842"/>
      <c r="BN39" s="842"/>
      <c r="BO39" s="842"/>
      <c r="BP39" s="454"/>
      <c r="BQ39" s="474"/>
      <c r="BR39" s="463">
        <v>0</v>
      </c>
      <c r="BS39" s="463">
        <v>0</v>
      </c>
      <c r="BT39" s="463">
        <f>BS39</f>
        <v>0</v>
      </c>
      <c r="BU39" s="331">
        <f>BT39</f>
        <v>0</v>
      </c>
      <c r="BV39" s="463">
        <v>0</v>
      </c>
      <c r="BW39" s="463">
        <v>0</v>
      </c>
      <c r="BX39" s="463">
        <v>0</v>
      </c>
      <c r="BY39" s="463">
        <f>BX39</f>
        <v>0</v>
      </c>
      <c r="BZ39" s="331">
        <f>BY39</f>
        <v>0</v>
      </c>
      <c r="CA39" s="463">
        <v>0</v>
      </c>
      <c r="CB39" s="463">
        <v>0</v>
      </c>
      <c r="CC39" s="463">
        <v>0</v>
      </c>
      <c r="CD39" s="463">
        <f>CC39</f>
        <v>0</v>
      </c>
      <c r="CE39" s="331">
        <f>CD39</f>
        <v>0</v>
      </c>
      <c r="CF39" s="463">
        <v>0</v>
      </c>
      <c r="CG39" s="463">
        <v>0</v>
      </c>
      <c r="CH39" s="463">
        <v>0</v>
      </c>
      <c r="CI39" s="463">
        <f>CH39</f>
        <v>0</v>
      </c>
      <c r="CJ39" s="331">
        <f>CI39</f>
        <v>0</v>
      </c>
      <c r="CK39" s="463">
        <v>0</v>
      </c>
      <c r="CL39" s="463">
        <v>0</v>
      </c>
      <c r="CM39" s="463">
        <v>0</v>
      </c>
      <c r="CN39" s="463">
        <f>CM39</f>
        <v>0</v>
      </c>
      <c r="CO39" s="331">
        <f>CN39</f>
        <v>0</v>
      </c>
      <c r="CP39" s="463">
        <v>0</v>
      </c>
      <c r="CQ39" s="463">
        <v>0</v>
      </c>
      <c r="CR39" s="463">
        <v>0</v>
      </c>
      <c r="CS39" s="463">
        <f>CR39</f>
        <v>0</v>
      </c>
      <c r="CT39" s="331">
        <f>CS39</f>
        <v>0</v>
      </c>
      <c r="CU39" s="463">
        <v>0</v>
      </c>
      <c r="CV39" s="455">
        <v>0</v>
      </c>
      <c r="CW39" s="455">
        <v>0</v>
      </c>
      <c r="CX39" s="455">
        <v>0</v>
      </c>
      <c r="CY39" s="331">
        <f>CX39</f>
        <v>0</v>
      </c>
      <c r="CZ39" s="463">
        <v>0</v>
      </c>
      <c r="DA39" s="455">
        <v>0</v>
      </c>
      <c r="DB39" s="455">
        <v>0</v>
      </c>
      <c r="DC39" s="455">
        <v>0</v>
      </c>
      <c r="DD39" s="331">
        <f>DC39</f>
        <v>0</v>
      </c>
      <c r="DE39" s="463">
        <v>0</v>
      </c>
      <c r="DF39" s="455">
        <v>0</v>
      </c>
      <c r="DG39" s="455">
        <v>0</v>
      </c>
      <c r="DH39" s="455">
        <v>0</v>
      </c>
      <c r="DI39" s="331">
        <f>DH39</f>
        <v>0</v>
      </c>
      <c r="DJ39" s="455">
        <v>0</v>
      </c>
      <c r="DK39" s="455">
        <v>0</v>
      </c>
      <c r="DL39" s="455">
        <v>0</v>
      </c>
      <c r="DM39" s="456">
        <v>0</v>
      </c>
      <c r="DN39" s="331">
        <f>DM39</f>
        <v>0</v>
      </c>
      <c r="DO39" s="456">
        <v>0</v>
      </c>
      <c r="DP39" s="456">
        <v>0</v>
      </c>
      <c r="DQ39" s="456">
        <v>0</v>
      </c>
      <c r="DR39" s="456">
        <v>0</v>
      </c>
      <c r="DS39" s="300">
        <f>DR39</f>
        <v>0</v>
      </c>
      <c r="DT39" s="456">
        <v>0</v>
      </c>
      <c r="DU39" s="456">
        <v>0</v>
      </c>
      <c r="DV39" s="456">
        <v>0</v>
      </c>
      <c r="DW39" s="456">
        <v>0</v>
      </c>
      <c r="DX39" s="300">
        <f>DW39</f>
        <v>0</v>
      </c>
      <c r="DY39" s="456">
        <v>0</v>
      </c>
      <c r="DZ39" s="456">
        <v>0</v>
      </c>
      <c r="EA39" s="456">
        <v>0</v>
      </c>
      <c r="EB39" s="456">
        <v>0</v>
      </c>
      <c r="EC39" s="300">
        <f>EB39</f>
        <v>0</v>
      </c>
    </row>
    <row r="40" spans="1:134" s="179" customFormat="1" ht="12" customHeight="1">
      <c r="A40" s="139"/>
      <c r="B40" s="139"/>
      <c r="C40" s="309" t="s">
        <v>411</v>
      </c>
      <c r="D40" s="369"/>
      <c r="E40" s="369"/>
      <c r="F40" s="369"/>
      <c r="G40" s="369"/>
      <c r="H40" s="369"/>
      <c r="I40" s="370"/>
      <c r="J40" s="370"/>
      <c r="K40" s="370"/>
      <c r="L40" s="370"/>
      <c r="M40" s="452"/>
      <c r="N40" s="370"/>
      <c r="O40" s="370"/>
      <c r="P40" s="370"/>
      <c r="Q40" s="370"/>
      <c r="R40" s="452"/>
      <c r="S40" s="370"/>
      <c r="T40" s="370"/>
      <c r="U40" s="370"/>
      <c r="V40" s="370"/>
      <c r="W40" s="452"/>
      <c r="X40" s="370"/>
      <c r="Y40" s="370"/>
      <c r="Z40" s="370"/>
      <c r="AA40" s="370"/>
      <c r="AB40" s="452"/>
      <c r="AC40" s="370"/>
      <c r="AD40" s="370"/>
      <c r="AE40" s="370"/>
      <c r="AF40" s="370"/>
      <c r="AG40" s="452"/>
      <c r="AH40" s="370"/>
      <c r="AI40" s="370"/>
      <c r="AJ40" s="370"/>
      <c r="AK40" s="370"/>
      <c r="AL40" s="452"/>
      <c r="AM40" s="370"/>
      <c r="AN40" s="370"/>
      <c r="AO40" s="370"/>
      <c r="AP40" s="370"/>
      <c r="AQ40" s="452"/>
      <c r="AR40" s="370"/>
      <c r="AS40" s="370"/>
      <c r="AT40" s="370"/>
      <c r="AU40" s="370"/>
      <c r="AV40" s="452"/>
      <c r="AW40" s="370"/>
      <c r="AX40" s="370"/>
      <c r="AY40" s="370"/>
      <c r="AZ40" s="370"/>
      <c r="BA40" s="452"/>
      <c r="BB40" s="370"/>
      <c r="BC40" s="370"/>
      <c r="BD40" s="370"/>
      <c r="BE40" s="370"/>
      <c r="BF40" s="369"/>
      <c r="BG40" s="93"/>
      <c r="BH40" s="93"/>
      <c r="BI40" s="93"/>
      <c r="BJ40" s="370"/>
      <c r="BK40" s="453"/>
      <c r="BL40" s="842"/>
      <c r="BM40" s="842"/>
      <c r="BN40" s="842"/>
      <c r="BO40" s="842"/>
      <c r="BP40" s="454"/>
      <c r="BQ40" s="474"/>
      <c r="BR40" s="463"/>
      <c r="BS40" s="463"/>
      <c r="BT40" s="463"/>
      <c r="BU40" s="331"/>
      <c r="BV40" s="463"/>
      <c r="BW40" s="463"/>
      <c r="BX40" s="463"/>
      <c r="BY40" s="463"/>
      <c r="BZ40" s="331"/>
      <c r="CA40" s="463"/>
      <c r="CB40" s="463"/>
      <c r="CC40" s="463"/>
      <c r="CD40" s="463"/>
      <c r="CE40" s="331"/>
      <c r="CF40" s="463"/>
      <c r="CG40" s="463"/>
      <c r="CH40" s="463"/>
      <c r="CI40" s="463"/>
      <c r="CJ40" s="331"/>
      <c r="CK40" s="463"/>
      <c r="CL40" s="463"/>
      <c r="CM40" s="463"/>
      <c r="CN40" s="463"/>
      <c r="CO40" s="331"/>
      <c r="CP40" s="463"/>
      <c r="CQ40" s="463"/>
      <c r="CR40" s="463"/>
      <c r="CS40" s="463"/>
      <c r="CT40" s="331"/>
      <c r="CU40" s="463"/>
      <c r="CV40" s="455"/>
      <c r="CW40" s="455"/>
      <c r="CX40" s="455"/>
      <c r="CY40" s="331"/>
      <c r="CZ40" s="463"/>
      <c r="DA40" s="455"/>
      <c r="DB40" s="455"/>
      <c r="DC40" s="455"/>
      <c r="DD40" s="331"/>
      <c r="DE40" s="463"/>
      <c r="DF40" s="455"/>
      <c r="DG40" s="455"/>
      <c r="DH40" s="455"/>
      <c r="DI40" s="331"/>
      <c r="DJ40" s="455"/>
      <c r="DK40" s="463">
        <v>301</v>
      </c>
      <c r="DL40" s="463">
        <v>309</v>
      </c>
      <c r="DM40" s="464">
        <f t="shared" ref="DM40:DO41" si="208">+DL40</f>
        <v>309</v>
      </c>
      <c r="DN40" s="331">
        <f t="shared" si="208"/>
        <v>309</v>
      </c>
      <c r="DO40" s="464">
        <f t="shared" si="208"/>
        <v>309</v>
      </c>
      <c r="DP40" s="464">
        <f t="shared" ref="DP40:DR40" si="209">+DO40</f>
        <v>309</v>
      </c>
      <c r="DQ40" s="464">
        <f t="shared" si="209"/>
        <v>309</v>
      </c>
      <c r="DR40" s="464">
        <f t="shared" si="209"/>
        <v>309</v>
      </c>
      <c r="DS40" s="300">
        <f>DR40</f>
        <v>309</v>
      </c>
      <c r="DT40" s="464">
        <f t="shared" ref="DT40" si="210">+DS40</f>
        <v>309</v>
      </c>
      <c r="DU40" s="464">
        <f t="shared" ref="DU40:DU41" si="211">+DT40</f>
        <v>309</v>
      </c>
      <c r="DV40" s="464">
        <f t="shared" ref="DV40:DV41" si="212">+DU40</f>
        <v>309</v>
      </c>
      <c r="DW40" s="464">
        <f t="shared" ref="DW40:DW41" si="213">+DV40</f>
        <v>309</v>
      </c>
      <c r="DX40" s="300">
        <f>DW40</f>
        <v>309</v>
      </c>
      <c r="DY40" s="464">
        <f t="shared" ref="DY40" si="214">+DX40</f>
        <v>309</v>
      </c>
      <c r="DZ40" s="464">
        <f t="shared" ref="DZ40:DZ41" si="215">+DY40</f>
        <v>309</v>
      </c>
      <c r="EA40" s="464">
        <f t="shared" ref="EA40:EA41" si="216">+DZ40</f>
        <v>309</v>
      </c>
      <c r="EB40" s="464">
        <f t="shared" ref="EB40:EB41" si="217">+EA40</f>
        <v>309</v>
      </c>
      <c r="EC40" s="300">
        <f>EB40</f>
        <v>309</v>
      </c>
    </row>
    <row r="41" spans="1:134" s="179" customFormat="1" ht="12" customHeight="1">
      <c r="A41" s="139"/>
      <c r="B41" s="139"/>
      <c r="C41" s="309" t="s">
        <v>412</v>
      </c>
      <c r="D41" s="369"/>
      <c r="E41" s="369"/>
      <c r="F41" s="369"/>
      <c r="G41" s="369"/>
      <c r="H41" s="369"/>
      <c r="I41" s="370"/>
      <c r="J41" s="370"/>
      <c r="K41" s="370"/>
      <c r="L41" s="370"/>
      <c r="M41" s="452"/>
      <c r="N41" s="370"/>
      <c r="O41" s="370"/>
      <c r="P41" s="370"/>
      <c r="Q41" s="370"/>
      <c r="R41" s="452"/>
      <c r="S41" s="370"/>
      <c r="T41" s="370"/>
      <c r="U41" s="370"/>
      <c r="V41" s="370"/>
      <c r="W41" s="452"/>
      <c r="X41" s="370"/>
      <c r="Y41" s="370"/>
      <c r="Z41" s="370"/>
      <c r="AA41" s="370"/>
      <c r="AB41" s="452"/>
      <c r="AC41" s="370"/>
      <c r="AD41" s="370"/>
      <c r="AE41" s="370"/>
      <c r="AF41" s="370"/>
      <c r="AG41" s="452"/>
      <c r="AH41" s="370"/>
      <c r="AI41" s="370"/>
      <c r="AJ41" s="370"/>
      <c r="AK41" s="370"/>
      <c r="AL41" s="452"/>
      <c r="AM41" s="370"/>
      <c r="AN41" s="370"/>
      <c r="AO41" s="370"/>
      <c r="AP41" s="370"/>
      <c r="AQ41" s="452"/>
      <c r="AR41" s="370"/>
      <c r="AS41" s="370"/>
      <c r="AT41" s="370"/>
      <c r="AU41" s="370"/>
      <c r="AV41" s="452"/>
      <c r="AW41" s="370"/>
      <c r="AX41" s="370"/>
      <c r="AY41" s="370"/>
      <c r="AZ41" s="370"/>
      <c r="BA41" s="452"/>
      <c r="BB41" s="370"/>
      <c r="BC41" s="370"/>
      <c r="BD41" s="370"/>
      <c r="BE41" s="370"/>
      <c r="BF41" s="369"/>
      <c r="BG41" s="93"/>
      <c r="BH41" s="93"/>
      <c r="BI41" s="93"/>
      <c r="BJ41" s="370"/>
      <c r="BK41" s="453"/>
      <c r="BL41" s="842"/>
      <c r="BM41" s="842"/>
      <c r="BN41" s="842"/>
      <c r="BO41" s="842"/>
      <c r="BP41" s="454"/>
      <c r="BQ41" s="474"/>
      <c r="BR41" s="463"/>
      <c r="BS41" s="463"/>
      <c r="BT41" s="463"/>
      <c r="BU41" s="331"/>
      <c r="BV41" s="463"/>
      <c r="BW41" s="463"/>
      <c r="BX41" s="463"/>
      <c r="BY41" s="463"/>
      <c r="BZ41" s="331"/>
      <c r="CA41" s="463"/>
      <c r="CB41" s="463"/>
      <c r="CC41" s="463"/>
      <c r="CD41" s="463"/>
      <c r="CE41" s="331"/>
      <c r="CF41" s="463"/>
      <c r="CG41" s="463"/>
      <c r="CH41" s="463"/>
      <c r="CI41" s="463"/>
      <c r="CJ41" s="331"/>
      <c r="CK41" s="463"/>
      <c r="CL41" s="463"/>
      <c r="CM41" s="463"/>
      <c r="CN41" s="463"/>
      <c r="CO41" s="331"/>
      <c r="CP41" s="463"/>
      <c r="CQ41" s="463"/>
      <c r="CR41" s="463"/>
      <c r="CS41" s="463"/>
      <c r="CT41" s="331"/>
      <c r="CU41" s="463"/>
      <c r="CV41" s="455"/>
      <c r="CW41" s="455"/>
      <c r="CX41" s="455"/>
      <c r="CY41" s="331"/>
      <c r="CZ41" s="463"/>
      <c r="DA41" s="455"/>
      <c r="DB41" s="455"/>
      <c r="DC41" s="455"/>
      <c r="DD41" s="331"/>
      <c r="DE41" s="463"/>
      <c r="DF41" s="455"/>
      <c r="DG41" s="455"/>
      <c r="DH41" s="455"/>
      <c r="DI41" s="331"/>
      <c r="DJ41" s="455"/>
      <c r="DK41" s="463">
        <v>-5</v>
      </c>
      <c r="DL41" s="530">
        <v>-1</v>
      </c>
      <c r="DM41" s="464">
        <f t="shared" si="208"/>
        <v>-1</v>
      </c>
      <c r="DN41" s="331">
        <f t="shared" si="208"/>
        <v>-1</v>
      </c>
      <c r="DO41" s="464">
        <f t="shared" si="208"/>
        <v>-1</v>
      </c>
      <c r="DP41" s="464">
        <f t="shared" ref="DP41:DR41" si="218">+DO41</f>
        <v>-1</v>
      </c>
      <c r="DQ41" s="464">
        <f t="shared" si="218"/>
        <v>-1</v>
      </c>
      <c r="DR41" s="464">
        <f t="shared" si="218"/>
        <v>-1</v>
      </c>
      <c r="DS41" s="300">
        <f>DR41</f>
        <v>-1</v>
      </c>
      <c r="DT41" s="464">
        <f t="shared" ref="DT41" si="219">+DS41</f>
        <v>-1</v>
      </c>
      <c r="DU41" s="464">
        <f t="shared" si="211"/>
        <v>-1</v>
      </c>
      <c r="DV41" s="464">
        <f t="shared" si="212"/>
        <v>-1</v>
      </c>
      <c r="DW41" s="464">
        <f t="shared" si="213"/>
        <v>-1</v>
      </c>
      <c r="DX41" s="300">
        <f>DW41</f>
        <v>-1</v>
      </c>
      <c r="DY41" s="464">
        <f t="shared" ref="DY41" si="220">+DX41</f>
        <v>-1</v>
      </c>
      <c r="DZ41" s="464">
        <f t="shared" si="215"/>
        <v>-1</v>
      </c>
      <c r="EA41" s="464">
        <f t="shared" si="216"/>
        <v>-1</v>
      </c>
      <c r="EB41" s="464">
        <f t="shared" si="217"/>
        <v>-1</v>
      </c>
      <c r="EC41" s="300">
        <f>EB41</f>
        <v>-1</v>
      </c>
    </row>
    <row r="42" spans="1:134" s="179" customFormat="1" ht="12" customHeight="1">
      <c r="A42" s="139"/>
      <c r="B42" s="139"/>
      <c r="C42" s="309" t="s">
        <v>55</v>
      </c>
      <c r="D42" s="369"/>
      <c r="E42" s="369"/>
      <c r="F42" s="369"/>
      <c r="G42" s="369"/>
      <c r="H42" s="369"/>
      <c r="I42" s="370"/>
      <c r="J42" s="370"/>
      <c r="K42" s="370"/>
      <c r="L42" s="370"/>
      <c r="M42" s="452"/>
      <c r="N42" s="370"/>
      <c r="O42" s="370"/>
      <c r="P42" s="370"/>
      <c r="Q42" s="370"/>
      <c r="R42" s="452"/>
      <c r="S42" s="370"/>
      <c r="T42" s="370"/>
      <c r="U42" s="370"/>
      <c r="V42" s="370"/>
      <c r="W42" s="452"/>
      <c r="X42" s="370"/>
      <c r="Y42" s="370"/>
      <c r="Z42" s="370"/>
      <c r="AA42" s="370"/>
      <c r="AB42" s="452"/>
      <c r="AC42" s="370"/>
      <c r="AD42" s="370"/>
      <c r="AE42" s="370"/>
      <c r="AF42" s="370"/>
      <c r="AG42" s="452"/>
      <c r="AH42" s="370"/>
      <c r="AI42" s="370"/>
      <c r="AJ42" s="370"/>
      <c r="AK42" s="370"/>
      <c r="AL42" s="452"/>
      <c r="AM42" s="370"/>
      <c r="AN42" s="370"/>
      <c r="AO42" s="370"/>
      <c r="AP42" s="370"/>
      <c r="AQ42" s="452"/>
      <c r="AR42" s="370"/>
      <c r="AS42" s="370"/>
      <c r="AT42" s="370"/>
      <c r="AU42" s="370"/>
      <c r="AV42" s="452"/>
      <c r="AW42" s="370"/>
      <c r="AX42" s="370"/>
      <c r="AY42" s="370"/>
      <c r="AZ42" s="370"/>
      <c r="BA42" s="452"/>
      <c r="BB42" s="370"/>
      <c r="BC42" s="370"/>
      <c r="BD42" s="370"/>
      <c r="BE42" s="370"/>
      <c r="BF42" s="369"/>
      <c r="BG42" s="93"/>
      <c r="BH42" s="93"/>
      <c r="BI42" s="93"/>
      <c r="BJ42" s="370"/>
      <c r="BK42" s="453"/>
      <c r="BL42" s="842"/>
      <c r="BM42" s="842"/>
      <c r="BN42" s="842"/>
      <c r="BO42" s="842"/>
      <c r="BP42" s="454"/>
      <c r="BQ42" s="282"/>
      <c r="BR42" s="282">
        <v>-36.89</v>
      </c>
      <c r="BS42" s="282">
        <v>-29.064</v>
      </c>
      <c r="BT42" s="282">
        <v>-47.853999999999999</v>
      </c>
      <c r="BU42" s="300">
        <f>BT42</f>
        <v>-47.853999999999999</v>
      </c>
      <c r="BV42" s="282">
        <v>-56.783000000000001</v>
      </c>
      <c r="BW42" s="282">
        <v>-65.221999999999994</v>
      </c>
      <c r="BX42" s="282">
        <v>-74.341999999999999</v>
      </c>
      <c r="BY42" s="282">
        <v>-83.209000000000003</v>
      </c>
      <c r="BZ42" s="300">
        <f>BY42</f>
        <v>-83.209000000000003</v>
      </c>
      <c r="CA42" s="282">
        <v>-96.807000000000002</v>
      </c>
      <c r="CB42" s="282">
        <v>-110.837</v>
      </c>
      <c r="CC42" s="282">
        <v>-120.217</v>
      </c>
      <c r="CD42" s="282">
        <v>-123.20399999999999</v>
      </c>
      <c r="CE42" s="300">
        <f>CD42</f>
        <v>-123.20399999999999</v>
      </c>
      <c r="CF42" s="282">
        <v>-139.10599999999999</v>
      </c>
      <c r="CG42" s="282">
        <v>-163.059</v>
      </c>
      <c r="CH42" s="282">
        <v>-304.995</v>
      </c>
      <c r="CI42" s="282">
        <v>-187.75700000000001</v>
      </c>
      <c r="CJ42" s="300">
        <f>CI42</f>
        <v>-187.75700000000001</v>
      </c>
      <c r="CK42" s="282">
        <v>-203.53299999999999</v>
      </c>
      <c r="CL42" s="282">
        <v>-232.21100000000001</v>
      </c>
      <c r="CM42" s="282">
        <v>-304.995</v>
      </c>
      <c r="CN42" s="282">
        <v>-304.22399999999999</v>
      </c>
      <c r="CO42" s="300">
        <f>CN42</f>
        <v>-304.22399999999999</v>
      </c>
      <c r="CP42" s="282">
        <v>-335.65300000000002</v>
      </c>
      <c r="CQ42" s="282">
        <v>-299.65499999999997</v>
      </c>
      <c r="CR42" s="282">
        <v>-108.587</v>
      </c>
      <c r="CS42" s="282">
        <v>15.285</v>
      </c>
      <c r="CT42" s="300">
        <f>CS42</f>
        <v>15.285</v>
      </c>
      <c r="CU42" s="282">
        <v>1281.9280000000001</v>
      </c>
      <c r="CV42" s="282">
        <v>2161.0210000000002</v>
      </c>
      <c r="CW42" s="282">
        <v>3309.453</v>
      </c>
      <c r="CX42" s="282">
        <f>161.074-5.974+2938.142</f>
        <v>3093.2419999999997</v>
      </c>
      <c r="CY42" s="300">
        <f>CX42</f>
        <v>3093.2419999999997</v>
      </c>
      <c r="CZ42" s="282">
        <f>1463.734+174.57+0.413</f>
        <v>1638.7169999999999</v>
      </c>
      <c r="DA42" s="302">
        <f>221.858-9.117+259.827</f>
        <v>472.56799999999998</v>
      </c>
      <c r="DB42" s="302">
        <f>101.418-23.409-38.012</f>
        <v>39.997000000000014</v>
      </c>
      <c r="DC42" s="302">
        <f>30.206-16.473-522.276</f>
        <v>-508.54299999999995</v>
      </c>
      <c r="DD42" s="300">
        <f>DC42</f>
        <v>-508.54299999999995</v>
      </c>
      <c r="DE42" s="302">
        <f>32-7-454</f>
        <v>-429</v>
      </c>
      <c r="DF42" s="302">
        <f>205+4-1765</f>
        <v>-1556</v>
      </c>
      <c r="DG42" s="302">
        <f>239-6-1047</f>
        <v>-814</v>
      </c>
      <c r="DH42" s="302">
        <f>251+4-390</f>
        <v>-135</v>
      </c>
      <c r="DI42" s="300">
        <f>DH42</f>
        <v>-135</v>
      </c>
      <c r="DJ42" s="302">
        <f>277-4-663</f>
        <v>-390</v>
      </c>
      <c r="DK42" s="302">
        <v>-492</v>
      </c>
      <c r="DL42" s="302">
        <v>336</v>
      </c>
      <c r="DM42" s="125">
        <f>DL42+Income!DM63+'Cash Flow'!DM41</f>
        <v>736.8646892579668</v>
      </c>
      <c r="DN42" s="300">
        <f>DM42</f>
        <v>736.8646892579668</v>
      </c>
      <c r="DO42" s="125">
        <f>DN42+Income!DO63+'Cash Flow'!DO41</f>
        <v>919.65463290519619</v>
      </c>
      <c r="DP42" s="125">
        <f>DO42+Income!DP63+'Cash Flow'!DP41</f>
        <v>1245.4502958699509</v>
      </c>
      <c r="DQ42" s="125">
        <f>DP42+Income!DQ63+'Cash Flow'!DQ41</f>
        <v>1633.7042513857189</v>
      </c>
      <c r="DR42" s="125">
        <f>DQ42+Income!DR63+'Cash Flow'!DR41</f>
        <v>2173.3366554550021</v>
      </c>
      <c r="DS42" s="300">
        <f>DR42</f>
        <v>2173.3366554550021</v>
      </c>
      <c r="DT42" s="125">
        <f>DS42+Income!DT63+'Cash Flow'!DT41</f>
        <v>2415.3220010732334</v>
      </c>
      <c r="DU42" s="125">
        <f>DT42+Income!DU63+'Cash Flow'!DU41</f>
        <v>2830.4270875629404</v>
      </c>
      <c r="DV42" s="125">
        <f>DU42+Income!DV63+'Cash Flow'!DV41</f>
        <v>3322.1598233862774</v>
      </c>
      <c r="DW42" s="125">
        <f>DV42+Income!DW63+'Cash Flow'!DW41</f>
        <v>4007.2477787031589</v>
      </c>
      <c r="DX42" s="300">
        <f>DW42</f>
        <v>4007.2477787031589</v>
      </c>
      <c r="DY42" s="125">
        <f>DX42+Income!DY63+'Cash Flow'!DY41</f>
        <v>4327.7501538273955</v>
      </c>
      <c r="DZ42" s="125">
        <f>DY42+Income!DZ63+'Cash Flow'!DZ41</f>
        <v>4855.1318911721055</v>
      </c>
      <c r="EA42" s="125">
        <f>DZ42+Income!EA63+'Cash Flow'!EA41</f>
        <v>5475.2568700455058</v>
      </c>
      <c r="EB42" s="125">
        <f>EA42+Income!EB63+'Cash Flow'!EB41</f>
        <v>6338.832266557095</v>
      </c>
      <c r="EC42" s="300">
        <f>EB42</f>
        <v>6338.832266557095</v>
      </c>
    </row>
    <row r="43" spans="1:134" s="179" customFormat="1" ht="12" customHeight="1">
      <c r="A43" s="139"/>
      <c r="B43" s="139"/>
      <c r="C43" s="466" t="s">
        <v>391</v>
      </c>
      <c r="D43" s="369"/>
      <c r="E43" s="369"/>
      <c r="F43" s="369"/>
      <c r="G43" s="369"/>
      <c r="H43" s="369"/>
      <c r="I43" s="370"/>
      <c r="J43" s="370"/>
      <c r="K43" s="370"/>
      <c r="L43" s="370"/>
      <c r="M43" s="452"/>
      <c r="N43" s="370"/>
      <c r="O43" s="370"/>
      <c r="P43" s="370"/>
      <c r="Q43" s="370"/>
      <c r="R43" s="452"/>
      <c r="S43" s="370"/>
      <c r="T43" s="370"/>
      <c r="U43" s="370"/>
      <c r="V43" s="370"/>
      <c r="W43" s="452"/>
      <c r="X43" s="370"/>
      <c r="Y43" s="370"/>
      <c r="Z43" s="370"/>
      <c r="AA43" s="370"/>
      <c r="AB43" s="452"/>
      <c r="AC43" s="370"/>
      <c r="AD43" s="370"/>
      <c r="AE43" s="370"/>
      <c r="AF43" s="370"/>
      <c r="AG43" s="452"/>
      <c r="AH43" s="370"/>
      <c r="AI43" s="370"/>
      <c r="AJ43" s="370"/>
      <c r="AK43" s="370"/>
      <c r="AL43" s="452"/>
      <c r="AM43" s="370"/>
      <c r="AN43" s="370"/>
      <c r="AO43" s="370"/>
      <c r="AP43" s="370"/>
      <c r="AQ43" s="452"/>
      <c r="AR43" s="370"/>
      <c r="AS43" s="370"/>
      <c r="AT43" s="370"/>
      <c r="AU43" s="370"/>
      <c r="AV43" s="452"/>
      <c r="AW43" s="370"/>
      <c r="AX43" s="370"/>
      <c r="AY43" s="370"/>
      <c r="AZ43" s="370"/>
      <c r="BA43" s="452"/>
      <c r="BB43" s="370"/>
      <c r="BC43" s="370"/>
      <c r="BD43" s="370"/>
      <c r="BE43" s="370"/>
      <c r="BF43" s="369"/>
      <c r="BG43" s="93"/>
      <c r="BH43" s="93"/>
      <c r="BI43" s="93"/>
      <c r="BJ43" s="370"/>
      <c r="BK43" s="453"/>
      <c r="BL43" s="842"/>
      <c r="BM43" s="842"/>
      <c r="BN43" s="842"/>
      <c r="BO43" s="842"/>
      <c r="BP43" s="454"/>
      <c r="BQ43" s="282"/>
      <c r="BR43" s="855">
        <f t="shared" ref="BR43:DR43" si="221">+SUM(BR38:BR42)</f>
        <v>199.55099999999999</v>
      </c>
      <c r="BS43" s="855">
        <f t="shared" si="221"/>
        <v>67.731999999999999</v>
      </c>
      <c r="BT43" s="855">
        <f t="shared" si="221"/>
        <v>195.31700000000001</v>
      </c>
      <c r="BU43" s="856">
        <f t="shared" si="221"/>
        <v>195.31700000000001</v>
      </c>
      <c r="BV43" s="855">
        <f t="shared" si="221"/>
        <v>190.97699999999998</v>
      </c>
      <c r="BW43" s="855">
        <f t="shared" si="221"/>
        <v>188.75100000000003</v>
      </c>
      <c r="BX43" s="855">
        <f t="shared" si="221"/>
        <v>411.52199999999999</v>
      </c>
      <c r="BY43" s="855">
        <f t="shared" si="221"/>
        <v>410.476</v>
      </c>
      <c r="BZ43" s="856">
        <f t="shared" si="221"/>
        <v>410.476</v>
      </c>
      <c r="CA43" s="855">
        <f t="shared" si="221"/>
        <v>410.86399999999998</v>
      </c>
      <c r="CB43" s="855">
        <f t="shared" si="221"/>
        <v>977.44399999999996</v>
      </c>
      <c r="CC43" s="855">
        <f t="shared" si="221"/>
        <v>987.92200000000014</v>
      </c>
      <c r="CD43" s="855">
        <f t="shared" si="221"/>
        <v>1001.1000000000001</v>
      </c>
      <c r="CE43" s="856">
        <f t="shared" si="221"/>
        <v>1001.1000000000001</v>
      </c>
      <c r="CF43" s="855">
        <f t="shared" si="221"/>
        <v>1649.8889999999999</v>
      </c>
      <c r="CG43" s="855">
        <f t="shared" si="221"/>
        <v>1656.201</v>
      </c>
      <c r="CH43" s="855">
        <f t="shared" si="221"/>
        <v>1672.078</v>
      </c>
      <c r="CI43" s="855">
        <f t="shared" si="221"/>
        <v>2090.768</v>
      </c>
      <c r="CJ43" s="856">
        <f t="shared" si="221"/>
        <v>2090.768</v>
      </c>
      <c r="CK43" s="855">
        <f t="shared" si="221"/>
        <v>2127.9180000000001</v>
      </c>
      <c r="CL43" s="855">
        <f t="shared" si="221"/>
        <v>2161.1840000000002</v>
      </c>
      <c r="CM43" s="855">
        <f t="shared" si="221"/>
        <v>2820.0590000000002</v>
      </c>
      <c r="CN43" s="855">
        <f t="shared" si="221"/>
        <v>3015.7339999999999</v>
      </c>
      <c r="CO43" s="856">
        <f t="shared" si="221"/>
        <v>3015.7339999999999</v>
      </c>
      <c r="CP43" s="855">
        <f t="shared" si="221"/>
        <v>3040.8509999999997</v>
      </c>
      <c r="CQ43" s="855">
        <f t="shared" si="221"/>
        <v>4628.9390000000003</v>
      </c>
      <c r="CR43" s="855">
        <f t="shared" si="221"/>
        <v>6176.8289999999997</v>
      </c>
      <c r="CS43" s="855">
        <f t="shared" si="221"/>
        <v>6400.723</v>
      </c>
      <c r="CT43" s="856">
        <f t="shared" si="221"/>
        <v>6400.723</v>
      </c>
      <c r="CU43" s="855">
        <f t="shared" si="221"/>
        <v>9141.8709999999992</v>
      </c>
      <c r="CV43" s="855">
        <f t="shared" si="221"/>
        <v>10120.544</v>
      </c>
      <c r="CW43" s="855">
        <f t="shared" si="221"/>
        <v>11370.277</v>
      </c>
      <c r="CX43" s="855">
        <f t="shared" si="221"/>
        <v>11133.341</v>
      </c>
      <c r="CY43" s="856">
        <f t="shared" si="221"/>
        <v>11133.341</v>
      </c>
      <c r="CZ43" s="855">
        <f t="shared" si="221"/>
        <v>9789.5949999999993</v>
      </c>
      <c r="DA43" s="855">
        <f t="shared" si="221"/>
        <v>8717.1279999999988</v>
      </c>
      <c r="DB43" s="855">
        <f t="shared" si="221"/>
        <v>8693.0079999999998</v>
      </c>
      <c r="DC43" s="855">
        <f t="shared" si="221"/>
        <v>8238.889000000001</v>
      </c>
      <c r="DD43" s="856">
        <f t="shared" si="221"/>
        <v>8238.889000000001</v>
      </c>
      <c r="DE43" s="855">
        <f t="shared" si="221"/>
        <v>8457</v>
      </c>
      <c r="DF43" s="855">
        <f t="shared" si="221"/>
        <v>7463</v>
      </c>
      <c r="DG43" s="855">
        <f t="shared" si="221"/>
        <v>8284</v>
      </c>
      <c r="DH43" s="855">
        <f t="shared" si="221"/>
        <v>9066</v>
      </c>
      <c r="DI43" s="856">
        <f t="shared" si="221"/>
        <v>9066</v>
      </c>
      <c r="DJ43" s="855">
        <f t="shared" si="221"/>
        <v>8893</v>
      </c>
      <c r="DK43" s="855">
        <f t="shared" ref="DK43:DL43" si="222">+SUM(DK38:DK42)</f>
        <v>9172</v>
      </c>
      <c r="DL43" s="855">
        <f t="shared" si="222"/>
        <v>10118</v>
      </c>
      <c r="DM43" s="855">
        <f t="shared" si="221"/>
        <v>10638.609479292418</v>
      </c>
      <c r="DN43" s="856">
        <f t="shared" si="221"/>
        <v>10638.609479292418</v>
      </c>
      <c r="DO43" s="855">
        <f t="shared" si="221"/>
        <v>10952.132135132175</v>
      </c>
      <c r="DP43" s="855">
        <f t="shared" si="221"/>
        <v>11402.202444030596</v>
      </c>
      <c r="DQ43" s="855">
        <f t="shared" si="221"/>
        <v>11914.494996360947</v>
      </c>
      <c r="DR43" s="855">
        <f t="shared" si="221"/>
        <v>12588.64011535926</v>
      </c>
      <c r="DS43" s="856">
        <f>+SUM(DS38:DS42)</f>
        <v>12588.64011535926</v>
      </c>
      <c r="DT43" s="855">
        <f t="shared" ref="DT43:DW43" si="223">+SUM(DT38:DT42)</f>
        <v>12976.591004308282</v>
      </c>
      <c r="DU43" s="855">
        <f t="shared" si="223"/>
        <v>13529.150784144846</v>
      </c>
      <c r="DV43" s="855">
        <f t="shared" si="223"/>
        <v>14157.421153605661</v>
      </c>
      <c r="DW43" s="855">
        <f t="shared" si="223"/>
        <v>14988.772442408928</v>
      </c>
      <c r="DX43" s="856">
        <f>+SUM(DX38:DX42)</f>
        <v>14988.772442408928</v>
      </c>
      <c r="DY43" s="855">
        <f t="shared" ref="DY43:EB43" si="224">+SUM(DY38:DY42)</f>
        <v>15468.997287474054</v>
      </c>
      <c r="DZ43" s="855">
        <f t="shared" si="224"/>
        <v>16145.151913730871</v>
      </c>
      <c r="EA43" s="855">
        <f t="shared" si="224"/>
        <v>16912.256415523228</v>
      </c>
      <c r="EB43" s="855">
        <f t="shared" si="224"/>
        <v>17930.845761634737</v>
      </c>
      <c r="EC43" s="856">
        <f>+SUM(EC38:EC42)</f>
        <v>17930.845761634737</v>
      </c>
    </row>
    <row r="44" spans="1:134" s="468" customFormat="1" ht="12" customHeight="1">
      <c r="A44" s="139"/>
      <c r="B44" s="139"/>
      <c r="C44" s="466" t="s">
        <v>85</v>
      </c>
      <c r="D44" s="467"/>
      <c r="E44" s="467"/>
      <c r="F44" s="467"/>
      <c r="G44" s="467"/>
      <c r="H44" s="467"/>
      <c r="M44" s="467"/>
      <c r="R44" s="467"/>
      <c r="W44" s="467"/>
      <c r="AB44" s="467"/>
      <c r="AG44" s="467"/>
      <c r="AL44" s="467"/>
      <c r="AQ44" s="467"/>
      <c r="AV44" s="467"/>
      <c r="BA44" s="467"/>
      <c r="BF44" s="467"/>
      <c r="BK44" s="467"/>
      <c r="BP44" s="467"/>
      <c r="BQ44" s="469"/>
      <c r="BR44" s="306">
        <f t="shared" ref="BR44:CW44" si="225">SUM(BR36:BR42)</f>
        <v>236.88</v>
      </c>
      <c r="BS44" s="306">
        <f t="shared" si="225"/>
        <v>95.192999999999984</v>
      </c>
      <c r="BT44" s="306">
        <f t="shared" si="225"/>
        <v>243.71199999999999</v>
      </c>
      <c r="BU44" s="307">
        <f t="shared" si="225"/>
        <v>243.71199999999999</v>
      </c>
      <c r="BV44" s="306">
        <f t="shared" si="225"/>
        <v>245.274</v>
      </c>
      <c r="BW44" s="306">
        <f t="shared" si="225"/>
        <v>251.10900000000004</v>
      </c>
      <c r="BX44" s="306">
        <f t="shared" si="225"/>
        <v>486.34299999999996</v>
      </c>
      <c r="BY44" s="306">
        <f t="shared" si="225"/>
        <v>490.55800000000005</v>
      </c>
      <c r="BZ44" s="307">
        <f t="shared" si="225"/>
        <v>490.55800000000005</v>
      </c>
      <c r="CA44" s="306">
        <f t="shared" si="225"/>
        <v>501.33799999999997</v>
      </c>
      <c r="CB44" s="306">
        <f t="shared" si="225"/>
        <v>1077.2329999999999</v>
      </c>
      <c r="CC44" s="306">
        <f t="shared" si="225"/>
        <v>1101.4079999999999</v>
      </c>
      <c r="CD44" s="306">
        <f t="shared" si="225"/>
        <v>1113.5640000000001</v>
      </c>
      <c r="CE44" s="307">
        <f t="shared" si="225"/>
        <v>1113.5640000000001</v>
      </c>
      <c r="CF44" s="306">
        <f t="shared" si="225"/>
        <v>1782.5359999999998</v>
      </c>
      <c r="CG44" s="306">
        <f t="shared" si="225"/>
        <v>1809.057</v>
      </c>
      <c r="CH44" s="306">
        <f t="shared" si="225"/>
        <v>1841.694</v>
      </c>
      <c r="CI44" s="306">
        <f t="shared" si="225"/>
        <v>2254.7849999999999</v>
      </c>
      <c r="CJ44" s="307">
        <f t="shared" si="225"/>
        <v>2254.7849999999999</v>
      </c>
      <c r="CK44" s="306">
        <f t="shared" si="225"/>
        <v>2402.7510000000002</v>
      </c>
      <c r="CL44" s="306">
        <f t="shared" si="225"/>
        <v>2467.2980000000007</v>
      </c>
      <c r="CM44" s="306">
        <f t="shared" si="225"/>
        <v>3188.9350000000004</v>
      </c>
      <c r="CN44" s="306">
        <f t="shared" si="225"/>
        <v>3489.4789999999998</v>
      </c>
      <c r="CO44" s="307">
        <f t="shared" si="225"/>
        <v>3489.4789999999998</v>
      </c>
      <c r="CP44" s="306">
        <f t="shared" si="225"/>
        <v>3470.9160000000002</v>
      </c>
      <c r="CQ44" s="306">
        <f t="shared" si="225"/>
        <v>5098.4390000000003</v>
      </c>
      <c r="CR44" s="306">
        <f t="shared" si="225"/>
        <v>7462.0309999999999</v>
      </c>
      <c r="CS44" s="306">
        <f t="shared" si="225"/>
        <v>7762.9050000000007</v>
      </c>
      <c r="CT44" s="307">
        <f t="shared" si="225"/>
        <v>7762.9050000000007</v>
      </c>
      <c r="CU44" s="306">
        <f t="shared" si="225"/>
        <v>10824.887999999999</v>
      </c>
      <c r="CV44" s="306">
        <f t="shared" si="225"/>
        <v>11955.678</v>
      </c>
      <c r="CW44" s="306">
        <f t="shared" si="225"/>
        <v>13536.518</v>
      </c>
      <c r="CX44" s="306">
        <f t="shared" ref="CX44:DS44" si="226">SUM(CX36:CX42)</f>
        <v>13340.172</v>
      </c>
      <c r="CY44" s="307">
        <f t="shared" si="226"/>
        <v>13340.172</v>
      </c>
      <c r="CZ44" s="306">
        <f t="shared" si="226"/>
        <v>11834.457</v>
      </c>
      <c r="DA44" s="306">
        <f t="shared" si="226"/>
        <v>10747.63</v>
      </c>
      <c r="DB44" s="306">
        <f t="shared" si="226"/>
        <v>11203.285</v>
      </c>
      <c r="DC44" s="306">
        <f t="shared" si="226"/>
        <v>10757.151</v>
      </c>
      <c r="DD44" s="307">
        <f t="shared" si="226"/>
        <v>10757.151</v>
      </c>
      <c r="DE44" s="306">
        <f t="shared" si="226"/>
        <v>10964</v>
      </c>
      <c r="DF44" s="306">
        <f t="shared" si="226"/>
        <v>9703</v>
      </c>
      <c r="DG44" s="306">
        <f t="shared" si="226"/>
        <v>10464</v>
      </c>
      <c r="DH44" s="306">
        <f t="shared" si="226"/>
        <v>11299</v>
      </c>
      <c r="DI44" s="307">
        <f t="shared" si="226"/>
        <v>11299</v>
      </c>
      <c r="DJ44" s="306">
        <f t="shared" si="226"/>
        <v>11112</v>
      </c>
      <c r="DK44" s="306">
        <f t="shared" ref="DK44:DL44" si="227">SUM(DK36:DK42)</f>
        <v>11346</v>
      </c>
      <c r="DL44" s="306">
        <f t="shared" si="227"/>
        <v>12329</v>
      </c>
      <c r="DM44" s="306">
        <f t="shared" si="226"/>
        <v>13016.771150165259</v>
      </c>
      <c r="DN44" s="307">
        <f t="shared" si="226"/>
        <v>13016.771150165259</v>
      </c>
      <c r="DO44" s="306">
        <f t="shared" si="226"/>
        <v>13428.483649128513</v>
      </c>
      <c r="DP44" s="306">
        <f t="shared" si="226"/>
        <v>13866.823071336154</v>
      </c>
      <c r="DQ44" s="306">
        <f t="shared" si="226"/>
        <v>13468.638127524939</v>
      </c>
      <c r="DR44" s="306">
        <f t="shared" si="226"/>
        <v>14327.479578510589</v>
      </c>
      <c r="DS44" s="307">
        <f t="shared" si="226"/>
        <v>14327.479578510589</v>
      </c>
      <c r="DT44" s="306">
        <f t="shared" ref="DT44:EC44" si="228">SUM(DT36:DT42)</f>
        <v>14786.271126635676</v>
      </c>
      <c r="DU44" s="306">
        <f t="shared" si="228"/>
        <v>15340.497114521924</v>
      </c>
      <c r="DV44" s="306">
        <f t="shared" si="228"/>
        <v>15975.821662349859</v>
      </c>
      <c r="DW44" s="306">
        <f t="shared" si="228"/>
        <v>17008.521545242187</v>
      </c>
      <c r="DX44" s="307">
        <f t="shared" si="228"/>
        <v>17008.521545242187</v>
      </c>
      <c r="DY44" s="306">
        <f t="shared" si="228"/>
        <v>17546.810050951666</v>
      </c>
      <c r="DZ44" s="306">
        <f t="shared" si="228"/>
        <v>18223.909104588267</v>
      </c>
      <c r="EA44" s="306">
        <f t="shared" si="228"/>
        <v>18998.140937333661</v>
      </c>
      <c r="EB44" s="306">
        <f t="shared" si="228"/>
        <v>20249.986080737111</v>
      </c>
      <c r="EC44" s="307">
        <f t="shared" si="228"/>
        <v>20249.986080737111</v>
      </c>
    </row>
    <row r="45" spans="1:134" s="179" customFormat="1">
      <c r="A45" s="139"/>
      <c r="B45" s="139"/>
      <c r="C45" s="921" t="s">
        <v>161</v>
      </c>
      <c r="D45" s="922"/>
      <c r="E45" s="922"/>
      <c r="F45" s="922"/>
      <c r="G45" s="922"/>
      <c r="H45" s="922"/>
      <c r="I45" s="923"/>
      <c r="J45" s="923"/>
      <c r="K45" s="923"/>
      <c r="L45" s="923"/>
      <c r="M45" s="922"/>
      <c r="N45" s="923"/>
      <c r="O45" s="923"/>
      <c r="P45" s="923"/>
      <c r="Q45" s="923"/>
      <c r="R45" s="922"/>
      <c r="S45" s="923"/>
      <c r="T45" s="923"/>
      <c r="U45" s="923"/>
      <c r="V45" s="923"/>
      <c r="W45" s="922"/>
      <c r="X45" s="923"/>
      <c r="Y45" s="923"/>
      <c r="Z45" s="923"/>
      <c r="AA45" s="923"/>
      <c r="AB45" s="922"/>
      <c r="AC45" s="923"/>
      <c r="AD45" s="923"/>
      <c r="AE45" s="923"/>
      <c r="AF45" s="923"/>
      <c r="AG45" s="922"/>
      <c r="AH45" s="923"/>
      <c r="AI45" s="923"/>
      <c r="AJ45" s="923"/>
      <c r="AK45" s="923"/>
      <c r="AL45" s="922"/>
      <c r="AM45" s="923"/>
      <c r="AN45" s="923"/>
      <c r="AO45" s="923"/>
      <c r="AP45" s="923"/>
      <c r="AQ45" s="922"/>
      <c r="AR45" s="923"/>
      <c r="AS45" s="923"/>
      <c r="AT45" s="923"/>
      <c r="AU45" s="923"/>
      <c r="AV45" s="922"/>
      <c r="AW45" s="923"/>
      <c r="AX45" s="923"/>
      <c r="AY45" s="923"/>
      <c r="AZ45" s="923"/>
      <c r="BA45" s="922"/>
      <c r="BB45" s="923"/>
      <c r="BC45" s="923"/>
      <c r="BD45" s="923"/>
      <c r="BE45" s="923"/>
      <c r="BF45" s="924"/>
      <c r="BG45" s="923"/>
      <c r="BH45" s="923"/>
      <c r="BI45" s="923"/>
      <c r="BJ45" s="923"/>
      <c r="BK45" s="924"/>
      <c r="BL45" s="925"/>
      <c r="BM45" s="925"/>
      <c r="BN45" s="925"/>
      <c r="BO45" s="925"/>
      <c r="BP45" s="924"/>
      <c r="BQ45" s="925"/>
      <c r="BR45" s="925"/>
      <c r="BS45" s="925"/>
      <c r="BT45" s="925"/>
      <c r="BU45" s="924"/>
      <c r="BV45" s="925">
        <f>ROUND(BV44-BV23,2)</f>
        <v>0</v>
      </c>
      <c r="BW45" s="925">
        <f>ROUND(BW44-BW23,2)</f>
        <v>0</v>
      </c>
      <c r="BX45" s="925">
        <f>ROUND(BX44-BX23,2)</f>
        <v>0</v>
      </c>
      <c r="BY45" s="925">
        <f>ROUND(BY44-BY23,2)</f>
        <v>0</v>
      </c>
      <c r="BZ45" s="924">
        <f>BZ44-BZ23</f>
        <v>0</v>
      </c>
      <c r="CA45" s="925">
        <f>ROUND(CA44-CA23,2)</f>
        <v>0</v>
      </c>
      <c r="CB45" s="925">
        <f>ROUND(CB44-CB23,2)</f>
        <v>0</v>
      </c>
      <c r="CC45" s="925">
        <f>ROUND(CC44-CC23,2)</f>
        <v>0</v>
      </c>
      <c r="CD45" s="925">
        <f>ROUND(CD44-CD23,2)</f>
        <v>0</v>
      </c>
      <c r="CE45" s="924">
        <f>CE44-CE23</f>
        <v>0</v>
      </c>
      <c r="CF45" s="925">
        <f>ROUND(CF44-CF23,2)</f>
        <v>0</v>
      </c>
      <c r="CG45" s="925">
        <f>ROUND(CG44-CG23,2)</f>
        <v>0</v>
      </c>
      <c r="CH45" s="925">
        <f>ROUND(CH44-CH23,2)</f>
        <v>0</v>
      </c>
      <c r="CI45" s="925">
        <f>ROUND(CI44-CI23,2)</f>
        <v>0</v>
      </c>
      <c r="CJ45" s="924">
        <f>CJ44-CJ23</f>
        <v>0</v>
      </c>
      <c r="CK45" s="925">
        <f>ROUND(CK44-CK23,2)</f>
        <v>0</v>
      </c>
      <c r="CL45" s="925">
        <f>ROUND(CL44-CL23,2)</f>
        <v>0</v>
      </c>
      <c r="CM45" s="925">
        <f>ROUND(CM44-CM23,2)</f>
        <v>0</v>
      </c>
      <c r="CN45" s="925">
        <f>ROUND(CN44-CN23,2)</f>
        <v>0</v>
      </c>
      <c r="CO45" s="924">
        <f>ROUND(CO44-CO23,0)</f>
        <v>0</v>
      </c>
      <c r="CP45" s="925">
        <f t="shared" ref="CP45:DD45" si="229">ROUND(CP44-CP23,2)</f>
        <v>0</v>
      </c>
      <c r="CQ45" s="925">
        <f t="shared" si="229"/>
        <v>0</v>
      </c>
      <c r="CR45" s="925">
        <f t="shared" si="229"/>
        <v>0</v>
      </c>
      <c r="CS45" s="925">
        <f t="shared" si="229"/>
        <v>0</v>
      </c>
      <c r="CT45" s="924">
        <f t="shared" si="229"/>
        <v>0</v>
      </c>
      <c r="CU45" s="925">
        <f t="shared" si="229"/>
        <v>0</v>
      </c>
      <c r="CV45" s="925">
        <f t="shared" si="229"/>
        <v>0</v>
      </c>
      <c r="CW45" s="925">
        <f t="shared" si="229"/>
        <v>0</v>
      </c>
      <c r="CX45" s="925">
        <f t="shared" si="229"/>
        <v>0</v>
      </c>
      <c r="CY45" s="924">
        <f t="shared" si="229"/>
        <v>0</v>
      </c>
      <c r="CZ45" s="925">
        <f t="shared" si="229"/>
        <v>0</v>
      </c>
      <c r="DA45" s="925">
        <f t="shared" si="229"/>
        <v>0</v>
      </c>
      <c r="DB45" s="925">
        <f t="shared" si="229"/>
        <v>0</v>
      </c>
      <c r="DC45" s="925">
        <f t="shared" si="229"/>
        <v>0</v>
      </c>
      <c r="DD45" s="924">
        <f t="shared" si="229"/>
        <v>0</v>
      </c>
      <c r="DE45" s="925">
        <f>ROUND(DE44-DE23,0)</f>
        <v>0</v>
      </c>
      <c r="DF45" s="925">
        <f>ROUND(DF44-DF23,0)</f>
        <v>0</v>
      </c>
      <c r="DG45" s="925">
        <f>ROUND(DG44-DG23,0)</f>
        <v>0</v>
      </c>
      <c r="DH45" s="925">
        <f>ROUND(DH44-DH23,0)</f>
        <v>0</v>
      </c>
      <c r="DI45" s="924">
        <f>ROUND(DI44-DI23,0)</f>
        <v>0</v>
      </c>
      <c r="DJ45" s="925">
        <f t="shared" ref="DJ45:EC45" si="230">ROUND(DJ44-DJ23,2)</f>
        <v>0</v>
      </c>
      <c r="DK45" s="925">
        <f t="shared" si="230"/>
        <v>0</v>
      </c>
      <c r="DL45" s="925">
        <f t="shared" si="230"/>
        <v>0</v>
      </c>
      <c r="DM45" s="925">
        <f t="shared" si="230"/>
        <v>0</v>
      </c>
      <c r="DN45" s="924">
        <f t="shared" si="230"/>
        <v>0</v>
      </c>
      <c r="DO45" s="925">
        <f t="shared" si="230"/>
        <v>0</v>
      </c>
      <c r="DP45" s="925">
        <f t="shared" si="230"/>
        <v>0</v>
      </c>
      <c r="DQ45" s="925">
        <f t="shared" si="230"/>
        <v>0</v>
      </c>
      <c r="DR45" s="925">
        <f t="shared" si="230"/>
        <v>0</v>
      </c>
      <c r="DS45" s="924">
        <f t="shared" si="230"/>
        <v>0</v>
      </c>
      <c r="DT45" s="925">
        <f t="shared" si="230"/>
        <v>0</v>
      </c>
      <c r="DU45" s="925">
        <f t="shared" si="230"/>
        <v>0</v>
      </c>
      <c r="DV45" s="925">
        <f t="shared" si="230"/>
        <v>0</v>
      </c>
      <c r="DW45" s="925">
        <f t="shared" si="230"/>
        <v>0</v>
      </c>
      <c r="DX45" s="924">
        <f t="shared" si="230"/>
        <v>0</v>
      </c>
      <c r="DY45" s="925">
        <f t="shared" si="230"/>
        <v>0</v>
      </c>
      <c r="DZ45" s="925">
        <f t="shared" si="230"/>
        <v>0</v>
      </c>
      <c r="EA45" s="925">
        <f t="shared" si="230"/>
        <v>0</v>
      </c>
      <c r="EB45" s="925">
        <f t="shared" si="230"/>
        <v>0</v>
      </c>
      <c r="EC45" s="924">
        <f t="shared" si="230"/>
        <v>0</v>
      </c>
    </row>
    <row r="46" spans="1:134" s="179" customFormat="1">
      <c r="A46" s="139"/>
      <c r="B46" s="139"/>
      <c r="C46" s="466" t="s">
        <v>52</v>
      </c>
      <c r="D46" s="452"/>
      <c r="E46" s="452"/>
      <c r="F46" s="452"/>
      <c r="G46" s="452"/>
      <c r="H46" s="452"/>
      <c r="M46" s="452"/>
      <c r="R46" s="452"/>
      <c r="W46" s="452"/>
      <c r="AB46" s="452"/>
      <c r="AG46" s="452"/>
      <c r="AL46" s="452"/>
      <c r="AQ46" s="452"/>
      <c r="AV46" s="452"/>
      <c r="BA46" s="452"/>
      <c r="BF46" s="452"/>
      <c r="BG46" s="93"/>
      <c r="BH46" s="93"/>
      <c r="BI46" s="93"/>
      <c r="BK46" s="452"/>
      <c r="BP46" s="452"/>
      <c r="BU46" s="452"/>
      <c r="BV46" s="125"/>
      <c r="BW46" s="125"/>
      <c r="BX46" s="125"/>
      <c r="BY46" s="125"/>
      <c r="BZ46" s="300"/>
      <c r="CA46" s="125"/>
      <c r="CB46" s="125"/>
      <c r="CC46" s="125"/>
      <c r="CD46" s="125"/>
      <c r="CE46" s="300"/>
      <c r="CF46" s="125"/>
      <c r="CG46" s="125"/>
      <c r="CH46" s="125"/>
      <c r="CI46" s="125"/>
      <c r="CJ46" s="300"/>
      <c r="CK46" s="125"/>
      <c r="CL46" s="125"/>
      <c r="CM46" s="125"/>
      <c r="CN46" s="125"/>
      <c r="CO46" s="300"/>
      <c r="CP46" s="125"/>
      <c r="CQ46" s="125"/>
      <c r="CR46" s="125"/>
      <c r="CS46" s="125"/>
      <c r="CT46" s="300"/>
      <c r="CU46" s="125"/>
      <c r="CV46" s="125"/>
      <c r="CW46" s="125"/>
      <c r="CX46" s="125"/>
      <c r="CY46" s="300"/>
      <c r="CZ46" s="125"/>
      <c r="DA46" s="125"/>
      <c r="DB46" s="125"/>
      <c r="DC46" s="125"/>
      <c r="DD46" s="300"/>
      <c r="DE46" s="125"/>
      <c r="DF46" s="125"/>
      <c r="DG46" s="125"/>
      <c r="DH46" s="125"/>
      <c r="DI46" s="300"/>
      <c r="DJ46" s="125"/>
      <c r="DK46" s="125"/>
      <c r="DL46" s="125"/>
      <c r="DM46" s="125"/>
      <c r="DN46" s="300"/>
      <c r="DO46" s="125"/>
      <c r="DP46" s="125"/>
      <c r="DQ46" s="125"/>
      <c r="DR46" s="125"/>
      <c r="DS46" s="300"/>
      <c r="DT46" s="125"/>
      <c r="DU46" s="125"/>
      <c r="DV46" s="125"/>
      <c r="DW46" s="125"/>
      <c r="DX46" s="300"/>
      <c r="DY46" s="125"/>
      <c r="DZ46" s="125"/>
      <c r="EA46" s="125"/>
      <c r="EB46" s="125"/>
      <c r="EC46" s="300"/>
    </row>
    <row r="47" spans="1:134" s="179" customFormat="1">
      <c r="A47" s="139"/>
      <c r="B47" s="139"/>
      <c r="C47" s="309" t="s">
        <v>22</v>
      </c>
      <c r="D47" s="452"/>
      <c r="E47" s="452"/>
      <c r="F47" s="452"/>
      <c r="G47" s="452"/>
      <c r="H47" s="452"/>
      <c r="M47" s="452"/>
      <c r="R47" s="452"/>
      <c r="W47" s="452"/>
      <c r="AB47" s="452"/>
      <c r="AG47" s="452"/>
      <c r="AL47" s="452"/>
      <c r="AQ47" s="452"/>
      <c r="AV47" s="452"/>
      <c r="BA47" s="452"/>
      <c r="BF47" s="452"/>
      <c r="BG47" s="93"/>
      <c r="BH47" s="93"/>
      <c r="BI47" s="93"/>
      <c r="BK47" s="452"/>
      <c r="BP47" s="452"/>
      <c r="BQ47" s="125"/>
      <c r="BR47" s="125">
        <f>BR8</f>
        <v>146.66800000000001</v>
      </c>
      <c r="BS47" s="125">
        <f>BS8</f>
        <v>115.315</v>
      </c>
      <c r="BT47" s="125">
        <f>BT8</f>
        <v>110.07000000000001</v>
      </c>
      <c r="BU47" s="300">
        <f>BT47</f>
        <v>110.07000000000001</v>
      </c>
      <c r="BV47" s="125">
        <f>BV8</f>
        <v>83.864000000000019</v>
      </c>
      <c r="BW47" s="125">
        <f>BW8</f>
        <v>68.140000000000015</v>
      </c>
      <c r="BX47" s="125">
        <f>BX8</f>
        <v>187.36</v>
      </c>
      <c r="BY47" s="125">
        <f>BY8</f>
        <v>84.013000000000034</v>
      </c>
      <c r="BZ47" s="300">
        <f>BY47</f>
        <v>84.013000000000034</v>
      </c>
      <c r="CA47" s="125">
        <f>CA8</f>
        <v>101.26800000000003</v>
      </c>
      <c r="CB47" s="125">
        <f>CB8</f>
        <v>199.39699999999993</v>
      </c>
      <c r="CC47" s="125">
        <f>CC8</f>
        <v>119.84899999999996</v>
      </c>
      <c r="CD47" s="125">
        <f>CD8</f>
        <v>141.67700000000005</v>
      </c>
      <c r="CE47" s="300">
        <f>CD47</f>
        <v>141.67700000000005</v>
      </c>
      <c r="CF47" s="125">
        <f>CF8</f>
        <v>196.57800000000012</v>
      </c>
      <c r="CG47" s="125">
        <f>CG8</f>
        <v>219.80100000000002</v>
      </c>
      <c r="CH47" s="125">
        <f>CH8</f>
        <v>243.42099999999996</v>
      </c>
      <c r="CI47" s="125">
        <f>CI8</f>
        <v>410.68299999999999</v>
      </c>
      <c r="CJ47" s="300">
        <f>CI47</f>
        <v>410.68299999999999</v>
      </c>
      <c r="CK47" s="125">
        <f>CK8</f>
        <v>410.44600000000003</v>
      </c>
      <c r="CL47" s="125">
        <f>CL8</f>
        <v>668.99</v>
      </c>
      <c r="CM47" s="125">
        <f>CM8</f>
        <v>1124.529</v>
      </c>
      <c r="CN47" s="125">
        <f>CN8</f>
        <v>649.91600000000017</v>
      </c>
      <c r="CO47" s="300">
        <f>CN47</f>
        <v>649.91600000000017</v>
      </c>
      <c r="CP47" s="125">
        <f>CP8</f>
        <v>969.36300000000028</v>
      </c>
      <c r="CQ47" s="125">
        <f>CQ8</f>
        <v>1882.3620000000001</v>
      </c>
      <c r="CR47" s="125">
        <f>CR8</f>
        <v>3089.884</v>
      </c>
      <c r="CS47" s="125">
        <f>CS8</f>
        <v>2703.5970000000002</v>
      </c>
      <c r="CT47" s="300">
        <f>CS47</f>
        <v>2703.5970000000002</v>
      </c>
      <c r="CU47" s="125">
        <f>CU8</f>
        <v>2785.5709999999999</v>
      </c>
      <c r="CV47" s="125">
        <f>CV8</f>
        <v>2364.67</v>
      </c>
      <c r="CW47" s="125">
        <f>CW8</f>
        <v>2189.6130000000007</v>
      </c>
      <c r="CX47" s="125">
        <f>CX8</f>
        <v>2502.9920000000002</v>
      </c>
      <c r="CY47" s="300">
        <f>CX47</f>
        <v>2502.9920000000002</v>
      </c>
      <c r="CZ47" s="125">
        <f>CZ8</f>
        <v>2451.5400000000004</v>
      </c>
      <c r="DA47" s="125">
        <f>DA8</f>
        <v>3350.7810000000004</v>
      </c>
      <c r="DB47" s="125">
        <f>DB8</f>
        <v>1378.2510000000009</v>
      </c>
      <c r="DC47" s="125">
        <f>DC8</f>
        <v>1649.3280000000018</v>
      </c>
      <c r="DD47" s="300">
        <f>DC47</f>
        <v>1649.3280000000018</v>
      </c>
      <c r="DE47" s="125">
        <f>DE8</f>
        <v>1738.3280000000018</v>
      </c>
      <c r="DF47" s="125">
        <f>DF8</f>
        <v>1611.3280000000018</v>
      </c>
      <c r="DG47" s="125">
        <f>DG8</f>
        <v>1287.0000000000018</v>
      </c>
      <c r="DH47" s="125">
        <f>DH8</f>
        <v>1413.0000000000018</v>
      </c>
      <c r="DI47" s="300">
        <f>DH47</f>
        <v>1413.0000000000018</v>
      </c>
      <c r="DJ47" s="125">
        <f>DJ8</f>
        <v>1623.0000000000018</v>
      </c>
      <c r="DK47" s="125">
        <f>DK8</f>
        <v>1541.0000000000018</v>
      </c>
      <c r="DL47" s="125">
        <f>DL8</f>
        <v>1507.0000000000018</v>
      </c>
      <c r="DM47" s="125">
        <f>DM8</f>
        <v>2133.9697404962999</v>
      </c>
      <c r="DN47" s="300">
        <f>DM47</f>
        <v>2133.9697404962999</v>
      </c>
      <c r="DO47" s="125">
        <f>DO8</f>
        <v>2730.5082885049264</v>
      </c>
      <c r="DP47" s="125">
        <f>DP8</f>
        <v>3048.9614271335854</v>
      </c>
      <c r="DQ47" s="125">
        <f>DQ8</f>
        <v>2333.247636451551</v>
      </c>
      <c r="DR47" s="125">
        <f>DR8</f>
        <v>3114.6578224252471</v>
      </c>
      <c r="DS47" s="300">
        <f>DR47</f>
        <v>3114.6578224252471</v>
      </c>
      <c r="DT47" s="125">
        <f>DT8</f>
        <v>3807.3893823967933</v>
      </c>
      <c r="DU47" s="125">
        <f>DU8</f>
        <v>4219.6643677545271</v>
      </c>
      <c r="DV47" s="125">
        <f>DV8</f>
        <v>4477.026561764128</v>
      </c>
      <c r="DW47" s="125">
        <f>DW8</f>
        <v>5420.0066215019169</v>
      </c>
      <c r="DX47" s="300">
        <f>DW47</f>
        <v>5420.0066215019169</v>
      </c>
      <c r="DY47" s="125">
        <f>DY8</f>
        <v>6265.2985236258455</v>
      </c>
      <c r="DZ47" s="125">
        <f>DZ8</f>
        <v>6776.8405782417767</v>
      </c>
      <c r="EA47" s="125">
        <f>EA8</f>
        <v>7107.5103245376749</v>
      </c>
      <c r="EB47" s="125">
        <f>EB8</f>
        <v>8258.3214333452852</v>
      </c>
      <c r="EC47" s="300">
        <f>EB47</f>
        <v>8258.3214333452852</v>
      </c>
    </row>
    <row r="48" spans="1:134" s="179" customFormat="1">
      <c r="A48" s="139"/>
      <c r="B48" s="139"/>
      <c r="C48" s="309" t="s">
        <v>51</v>
      </c>
      <c r="D48" s="452"/>
      <c r="E48" s="452"/>
      <c r="F48" s="452"/>
      <c r="G48" s="452"/>
      <c r="H48" s="452"/>
      <c r="M48" s="452"/>
      <c r="R48" s="452"/>
      <c r="W48" s="452"/>
      <c r="AB48" s="452"/>
      <c r="AG48" s="452"/>
      <c r="AL48" s="452"/>
      <c r="AQ48" s="452"/>
      <c r="AV48" s="452"/>
      <c r="BA48" s="452"/>
      <c r="BF48" s="452"/>
      <c r="BG48" s="93"/>
      <c r="BH48" s="93"/>
      <c r="BI48" s="93"/>
      <c r="BK48" s="452"/>
      <c r="BP48" s="452"/>
      <c r="BQ48" s="125"/>
      <c r="BR48" s="125">
        <f t="shared" ref="BR48:CW48" si="231">BR33</f>
        <v>0</v>
      </c>
      <c r="BS48" s="125">
        <f t="shared" si="231"/>
        <v>0</v>
      </c>
      <c r="BT48" s="125">
        <f t="shared" si="231"/>
        <v>0</v>
      </c>
      <c r="BU48" s="300">
        <f t="shared" si="231"/>
        <v>0</v>
      </c>
      <c r="BV48" s="125">
        <f t="shared" si="231"/>
        <v>0</v>
      </c>
      <c r="BW48" s="125">
        <f t="shared" si="231"/>
        <v>0</v>
      </c>
      <c r="BX48" s="125">
        <f t="shared" si="231"/>
        <v>0</v>
      </c>
      <c r="BY48" s="125">
        <f t="shared" si="231"/>
        <v>0</v>
      </c>
      <c r="BZ48" s="300">
        <f t="shared" si="231"/>
        <v>0</v>
      </c>
      <c r="CA48" s="125">
        <f t="shared" si="231"/>
        <v>0</v>
      </c>
      <c r="CB48" s="125">
        <f t="shared" si="231"/>
        <v>0</v>
      </c>
      <c r="CC48" s="125">
        <f t="shared" si="231"/>
        <v>0</v>
      </c>
      <c r="CD48" s="125">
        <f t="shared" si="231"/>
        <v>0</v>
      </c>
      <c r="CE48" s="300">
        <f t="shared" si="231"/>
        <v>0</v>
      </c>
      <c r="CF48" s="125">
        <f t="shared" si="231"/>
        <v>0</v>
      </c>
      <c r="CG48" s="125">
        <f t="shared" si="231"/>
        <v>0</v>
      </c>
      <c r="CH48" s="125">
        <f t="shared" si="231"/>
        <v>0</v>
      </c>
      <c r="CI48" s="125">
        <f t="shared" si="231"/>
        <v>0</v>
      </c>
      <c r="CJ48" s="300">
        <f t="shared" si="231"/>
        <v>0</v>
      </c>
      <c r="CK48" s="125">
        <f t="shared" si="231"/>
        <v>0</v>
      </c>
      <c r="CL48" s="125">
        <f t="shared" si="231"/>
        <v>0</v>
      </c>
      <c r="CM48" s="125">
        <f t="shared" si="231"/>
        <v>0</v>
      </c>
      <c r="CN48" s="125">
        <f t="shared" si="231"/>
        <v>0</v>
      </c>
      <c r="CO48" s="300">
        <f t="shared" si="231"/>
        <v>0</v>
      </c>
      <c r="CP48" s="125">
        <f t="shared" si="231"/>
        <v>0</v>
      </c>
      <c r="CQ48" s="125">
        <f t="shared" si="231"/>
        <v>0</v>
      </c>
      <c r="CR48" s="125">
        <f t="shared" si="231"/>
        <v>750.452</v>
      </c>
      <c r="CS48" s="125">
        <f t="shared" si="231"/>
        <v>758.00800000000004</v>
      </c>
      <c r="CT48" s="300">
        <f t="shared" si="231"/>
        <v>758.00800000000004</v>
      </c>
      <c r="CU48" s="125">
        <f t="shared" si="231"/>
        <v>909.20500000000004</v>
      </c>
      <c r="CV48" s="125">
        <f t="shared" si="231"/>
        <v>909.79100000000005</v>
      </c>
      <c r="CW48" s="125">
        <f t="shared" si="231"/>
        <v>910.37599999999998</v>
      </c>
      <c r="CX48" s="125">
        <f t="shared" ref="CX48:DS48" si="232">CX33</f>
        <v>910.96299999999997</v>
      </c>
      <c r="CY48" s="300">
        <f t="shared" si="232"/>
        <v>910.96299999999997</v>
      </c>
      <c r="CZ48" s="125">
        <f t="shared" si="232"/>
        <v>911.54899999999998</v>
      </c>
      <c r="DA48" s="125">
        <f t="shared" si="232"/>
        <v>912.13699999999994</v>
      </c>
      <c r="DB48" s="125">
        <f t="shared" si="232"/>
        <v>912.72400000000005</v>
      </c>
      <c r="DC48" s="125">
        <f t="shared" si="232"/>
        <v>913.31200000000001</v>
      </c>
      <c r="DD48" s="300">
        <f t="shared" si="232"/>
        <v>913.31200000000001</v>
      </c>
      <c r="DE48" s="125">
        <f t="shared" si="232"/>
        <v>914</v>
      </c>
      <c r="DF48" s="125">
        <f t="shared" si="232"/>
        <v>914</v>
      </c>
      <c r="DG48" s="125">
        <f t="shared" si="232"/>
        <v>915</v>
      </c>
      <c r="DH48" s="125">
        <f t="shared" si="232"/>
        <v>916</v>
      </c>
      <c r="DI48" s="300">
        <f t="shared" si="232"/>
        <v>916</v>
      </c>
      <c r="DJ48" s="125">
        <f t="shared" si="232"/>
        <v>916</v>
      </c>
      <c r="DK48" s="125">
        <f t="shared" ref="DK48:DL48" si="233">DK33</f>
        <v>917</v>
      </c>
      <c r="DL48" s="125">
        <f t="shared" si="233"/>
        <v>917</v>
      </c>
      <c r="DM48" s="125">
        <f t="shared" si="232"/>
        <v>917</v>
      </c>
      <c r="DN48" s="300">
        <f t="shared" si="232"/>
        <v>917</v>
      </c>
      <c r="DO48" s="125">
        <f t="shared" si="232"/>
        <v>917</v>
      </c>
      <c r="DP48" s="125">
        <f t="shared" si="232"/>
        <v>917</v>
      </c>
      <c r="DQ48" s="125">
        <f>DQ33</f>
        <v>0</v>
      </c>
      <c r="DR48" s="125">
        <f t="shared" si="232"/>
        <v>0</v>
      </c>
      <c r="DS48" s="300">
        <f t="shared" si="232"/>
        <v>0</v>
      </c>
      <c r="DT48" s="125">
        <f t="shared" ref="DT48:EC48" si="234">DT33</f>
        <v>0</v>
      </c>
      <c r="DU48" s="125">
        <f t="shared" si="234"/>
        <v>0</v>
      </c>
      <c r="DV48" s="125">
        <f t="shared" si="234"/>
        <v>0</v>
      </c>
      <c r="DW48" s="125">
        <f t="shared" si="234"/>
        <v>0</v>
      </c>
      <c r="DX48" s="300">
        <f t="shared" si="234"/>
        <v>0</v>
      </c>
      <c r="DY48" s="125">
        <f t="shared" si="234"/>
        <v>0</v>
      </c>
      <c r="DZ48" s="125">
        <f t="shared" si="234"/>
        <v>0</v>
      </c>
      <c r="EA48" s="125">
        <f t="shared" si="234"/>
        <v>0</v>
      </c>
      <c r="EB48" s="125">
        <f t="shared" si="234"/>
        <v>0</v>
      </c>
      <c r="EC48" s="300">
        <f t="shared" si="234"/>
        <v>0</v>
      </c>
    </row>
    <row r="49" spans="1:133" s="179" customFormat="1">
      <c r="A49" s="139"/>
      <c r="B49" s="139"/>
      <c r="C49" s="466" t="s">
        <v>12</v>
      </c>
      <c r="D49" s="467"/>
      <c r="E49" s="467"/>
      <c r="F49" s="467"/>
      <c r="G49" s="467"/>
      <c r="H49" s="467"/>
      <c r="I49" s="468"/>
      <c r="J49" s="468"/>
      <c r="K49" s="468"/>
      <c r="L49" s="468"/>
      <c r="M49" s="467"/>
      <c r="N49" s="468"/>
      <c r="O49" s="468"/>
      <c r="P49" s="468"/>
      <c r="Q49" s="468"/>
      <c r="R49" s="467"/>
      <c r="S49" s="468"/>
      <c r="T49" s="468"/>
      <c r="U49" s="468"/>
      <c r="V49" s="468"/>
      <c r="W49" s="467"/>
      <c r="X49" s="468"/>
      <c r="Y49" s="468"/>
      <c r="Z49" s="468"/>
      <c r="AA49" s="468"/>
      <c r="AB49" s="467"/>
      <c r="AC49" s="468"/>
      <c r="AD49" s="468"/>
      <c r="AE49" s="468"/>
      <c r="AF49" s="468"/>
      <c r="AG49" s="467"/>
      <c r="AH49" s="468"/>
      <c r="AI49" s="468"/>
      <c r="AJ49" s="468"/>
      <c r="AK49" s="468"/>
      <c r="AL49" s="467"/>
      <c r="AM49" s="468"/>
      <c r="AN49" s="468"/>
      <c r="AO49" s="468"/>
      <c r="AP49" s="468"/>
      <c r="AQ49" s="467"/>
      <c r="AR49" s="468"/>
      <c r="AS49" s="468"/>
      <c r="AT49" s="468"/>
      <c r="AU49" s="468"/>
      <c r="AV49" s="467"/>
      <c r="AW49" s="468"/>
      <c r="AX49" s="468"/>
      <c r="AY49" s="468"/>
      <c r="AZ49" s="468"/>
      <c r="BA49" s="467"/>
      <c r="BB49" s="468"/>
      <c r="BC49" s="468"/>
      <c r="BD49" s="468"/>
      <c r="BE49" s="468"/>
      <c r="BF49" s="467"/>
      <c r="BG49" s="468"/>
      <c r="BH49" s="468"/>
      <c r="BI49" s="468"/>
      <c r="BJ49" s="468"/>
      <c r="BK49" s="467"/>
      <c r="BL49" s="468"/>
      <c r="BM49" s="468"/>
      <c r="BN49" s="468"/>
      <c r="BO49" s="468"/>
      <c r="BP49" s="467"/>
      <c r="BQ49" s="469"/>
      <c r="BR49" s="469">
        <f>+BR47-BR48</f>
        <v>146.66800000000001</v>
      </c>
      <c r="BS49" s="469">
        <f t="shared" ref="BS49:BV49" si="235">+BS47-BS48</f>
        <v>115.315</v>
      </c>
      <c r="BT49" s="469">
        <f t="shared" si="235"/>
        <v>110.07000000000001</v>
      </c>
      <c r="BU49" s="470">
        <f>BT49</f>
        <v>110.07000000000001</v>
      </c>
      <c r="BV49" s="469">
        <f t="shared" si="235"/>
        <v>83.864000000000019</v>
      </c>
      <c r="BW49" s="469">
        <f t="shared" ref="BW49" si="236">+BW47-BW48</f>
        <v>68.140000000000015</v>
      </c>
      <c r="BX49" s="469">
        <f t="shared" ref="BX49" si="237">+BX47-BX48</f>
        <v>187.36</v>
      </c>
      <c r="BY49" s="469">
        <f t="shared" ref="BY49" si="238">+BY47-BY48</f>
        <v>84.013000000000034</v>
      </c>
      <c r="BZ49" s="470">
        <f>BY49</f>
        <v>84.013000000000034</v>
      </c>
      <c r="CA49" s="469">
        <f t="shared" ref="CA49" si="239">+CA47-CA48</f>
        <v>101.26800000000003</v>
      </c>
      <c r="CB49" s="469">
        <f t="shared" ref="CB49" si="240">+CB47-CB48</f>
        <v>199.39699999999993</v>
      </c>
      <c r="CC49" s="469">
        <f t="shared" ref="CC49" si="241">+CC47-CC48</f>
        <v>119.84899999999996</v>
      </c>
      <c r="CD49" s="469">
        <f t="shared" ref="CD49" si="242">+CD47-CD48</f>
        <v>141.67700000000005</v>
      </c>
      <c r="CE49" s="470">
        <f t="shared" ref="CE49" si="243">CD49</f>
        <v>141.67700000000005</v>
      </c>
      <c r="CF49" s="469">
        <f t="shared" ref="CF49" si="244">+CF47-CF48</f>
        <v>196.57800000000012</v>
      </c>
      <c r="CG49" s="469">
        <f t="shared" ref="CG49" si="245">+CG47-CG48</f>
        <v>219.80100000000002</v>
      </c>
      <c r="CH49" s="469">
        <f t="shared" ref="CH49" si="246">+CH47-CH48</f>
        <v>243.42099999999996</v>
      </c>
      <c r="CI49" s="469">
        <f t="shared" ref="CI49" si="247">+CI47-CI48</f>
        <v>410.68299999999999</v>
      </c>
      <c r="CJ49" s="470">
        <f t="shared" ref="CJ49" si="248">CI49</f>
        <v>410.68299999999999</v>
      </c>
      <c r="CK49" s="469">
        <f t="shared" ref="CK49" si="249">+CK47-CK48</f>
        <v>410.44600000000003</v>
      </c>
      <c r="CL49" s="469">
        <f t="shared" ref="CL49" si="250">+CL47-CL48</f>
        <v>668.99</v>
      </c>
      <c r="CM49" s="469">
        <f t="shared" ref="CM49" si="251">+CM47-CM48</f>
        <v>1124.529</v>
      </c>
      <c r="CN49" s="469">
        <f t="shared" ref="CN49" si="252">+CN47-CN48</f>
        <v>649.91600000000017</v>
      </c>
      <c r="CO49" s="470">
        <f t="shared" ref="CO49" si="253">CN49</f>
        <v>649.91600000000017</v>
      </c>
      <c r="CP49" s="469">
        <f t="shared" ref="CP49" si="254">+CP47-CP48</f>
        <v>969.36300000000028</v>
      </c>
      <c r="CQ49" s="469">
        <f t="shared" ref="CQ49" si="255">+CQ47-CQ48</f>
        <v>1882.3620000000001</v>
      </c>
      <c r="CR49" s="469">
        <f t="shared" ref="CR49" si="256">+CR47-CR48</f>
        <v>2339.4319999999998</v>
      </c>
      <c r="CS49" s="469">
        <f t="shared" ref="CS49" si="257">+CS47-CS48</f>
        <v>1945.5890000000002</v>
      </c>
      <c r="CT49" s="470">
        <f t="shared" ref="CT49" si="258">CS49</f>
        <v>1945.5890000000002</v>
      </c>
      <c r="CU49" s="469">
        <f t="shared" ref="CU49" si="259">+CU47-CU48</f>
        <v>1876.366</v>
      </c>
      <c r="CV49" s="469">
        <f t="shared" ref="CV49" si="260">+CV47-CV48</f>
        <v>1454.8789999999999</v>
      </c>
      <c r="CW49" s="469">
        <f t="shared" ref="CW49" si="261">+CW47-CW48</f>
        <v>1279.2370000000008</v>
      </c>
      <c r="CX49" s="469">
        <f t="shared" ref="CX49" si="262">+CX47-CX48</f>
        <v>1592.0290000000002</v>
      </c>
      <c r="CY49" s="470">
        <f t="shared" ref="CY49" si="263">CX49</f>
        <v>1592.0290000000002</v>
      </c>
      <c r="CZ49" s="469">
        <f t="shared" ref="CZ49" si="264">+CZ47-CZ48</f>
        <v>1539.9910000000004</v>
      </c>
      <c r="DA49" s="469">
        <f t="shared" ref="DA49" si="265">+DA47-DA48</f>
        <v>2438.6440000000002</v>
      </c>
      <c r="DB49" s="469">
        <f t="shared" ref="DB49" si="266">+DB47-DB48</f>
        <v>465.52700000000084</v>
      </c>
      <c r="DC49" s="469">
        <f t="shared" ref="DC49" si="267">+DC47-DC48</f>
        <v>736.01600000000178</v>
      </c>
      <c r="DD49" s="470">
        <f t="shared" ref="DD49" si="268">DC49</f>
        <v>736.01600000000178</v>
      </c>
      <c r="DE49" s="469">
        <f t="shared" ref="DE49" si="269">+DE47-DE48</f>
        <v>824.32800000000179</v>
      </c>
      <c r="DF49" s="469">
        <f t="shared" ref="DF49" si="270">+DF47-DF48</f>
        <v>697.32800000000179</v>
      </c>
      <c r="DG49" s="469">
        <f t="shared" ref="DG49:DH49" si="271">+DG47-DG48</f>
        <v>372.00000000000182</v>
      </c>
      <c r="DH49" s="469">
        <f t="shared" si="271"/>
        <v>497.00000000000182</v>
      </c>
      <c r="DI49" s="470">
        <f t="shared" ref="DI49" si="272">DH49</f>
        <v>497.00000000000182</v>
      </c>
      <c r="DJ49" s="469">
        <f t="shared" ref="DJ49:DK49" si="273">+DJ47-DJ48</f>
        <v>707.00000000000182</v>
      </c>
      <c r="DK49" s="469">
        <f t="shared" si="273"/>
        <v>624.00000000000182</v>
      </c>
      <c r="DL49" s="469">
        <f t="shared" ref="DL49" si="274">+DL47-DL48</f>
        <v>590.00000000000182</v>
      </c>
      <c r="DM49" s="469">
        <f t="shared" ref="DM49" si="275">+DM47-DM48</f>
        <v>1216.9697404962999</v>
      </c>
      <c r="DN49" s="470">
        <f t="shared" ref="DN49" si="276">DM49</f>
        <v>1216.9697404962999</v>
      </c>
      <c r="DO49" s="469">
        <f t="shared" ref="DO49" si="277">+DO47-DO48</f>
        <v>1813.5082885049264</v>
      </c>
      <c r="DP49" s="469">
        <f t="shared" ref="DP49" si="278">+DP47-DP48</f>
        <v>2131.9614271335854</v>
      </c>
      <c r="DQ49" s="469">
        <f t="shared" ref="DQ49" si="279">+DQ47-DQ48</f>
        <v>2333.247636451551</v>
      </c>
      <c r="DR49" s="469">
        <f t="shared" ref="DR49" si="280">+DR47-DR48</f>
        <v>3114.6578224252471</v>
      </c>
      <c r="DS49" s="470">
        <f t="shared" ref="DS49" si="281">DR49</f>
        <v>3114.6578224252471</v>
      </c>
      <c r="DT49" s="469">
        <f t="shared" ref="DT49:DW49" si="282">+DT47-DT48</f>
        <v>3807.3893823967933</v>
      </c>
      <c r="DU49" s="469">
        <f t="shared" si="282"/>
        <v>4219.6643677545271</v>
      </c>
      <c r="DV49" s="469">
        <f t="shared" si="282"/>
        <v>4477.026561764128</v>
      </c>
      <c r="DW49" s="469">
        <f t="shared" si="282"/>
        <v>5420.0066215019169</v>
      </c>
      <c r="DX49" s="470">
        <f t="shared" ref="DX49" si="283">DW49</f>
        <v>5420.0066215019169</v>
      </c>
      <c r="DY49" s="469">
        <f t="shared" ref="DY49:EB49" si="284">+DY47-DY48</f>
        <v>6265.2985236258455</v>
      </c>
      <c r="DZ49" s="469">
        <f t="shared" si="284"/>
        <v>6776.8405782417767</v>
      </c>
      <c r="EA49" s="469">
        <f t="shared" si="284"/>
        <v>7107.5103245376749</v>
      </c>
      <c r="EB49" s="469">
        <f t="shared" si="284"/>
        <v>8258.3214333452852</v>
      </c>
      <c r="EC49" s="470">
        <f t="shared" ref="EC49" si="285">EB49</f>
        <v>8258.3214333452852</v>
      </c>
    </row>
    <row r="50" spans="1:133" s="93" customFormat="1" ht="12" customHeight="1">
      <c r="A50" s="139"/>
      <c r="B50" s="139"/>
      <c r="C50" s="858" t="s">
        <v>219</v>
      </c>
      <c r="D50" s="433"/>
      <c r="E50" s="433"/>
      <c r="F50" s="433"/>
      <c r="G50" s="433"/>
      <c r="H50" s="433"/>
      <c r="M50" s="433"/>
      <c r="R50" s="433"/>
      <c r="W50" s="433"/>
      <c r="AB50" s="433"/>
      <c r="AG50" s="433"/>
      <c r="AL50" s="433"/>
      <c r="AQ50" s="433"/>
      <c r="AV50" s="433"/>
      <c r="BA50" s="433"/>
      <c r="BF50" s="433"/>
      <c r="BK50" s="433"/>
      <c r="BP50" s="433"/>
      <c r="BU50" s="323"/>
      <c r="BZ50" s="323"/>
      <c r="CE50" s="323"/>
      <c r="CJ50" s="323"/>
      <c r="CK50" s="382"/>
      <c r="CL50" s="382"/>
      <c r="CM50" s="382"/>
      <c r="CN50" s="382"/>
      <c r="CO50" s="323"/>
      <c r="CP50" s="382"/>
      <c r="CQ50" s="382"/>
      <c r="CR50" s="382"/>
      <c r="CS50" s="382"/>
      <c r="CT50" s="323"/>
      <c r="CU50" s="382"/>
      <c r="CV50" s="382"/>
      <c r="CW50" s="382"/>
      <c r="CX50" s="382"/>
      <c r="CY50" s="323"/>
      <c r="CZ50" s="382"/>
      <c r="DA50" s="382"/>
      <c r="DB50" s="382"/>
      <c r="DC50" s="382"/>
      <c r="DD50" s="323"/>
      <c r="DE50" s="382"/>
      <c r="DF50" s="382"/>
      <c r="DG50" s="382"/>
      <c r="DH50" s="382"/>
      <c r="DI50" s="323"/>
      <c r="DJ50" s="382"/>
      <c r="DK50" s="382"/>
      <c r="DL50" s="382"/>
      <c r="DM50" s="382"/>
      <c r="DN50" s="323"/>
      <c r="DO50" s="382"/>
      <c r="DP50" s="382"/>
      <c r="DQ50" s="382"/>
      <c r="DR50" s="382"/>
      <c r="DS50" s="323"/>
      <c r="DT50" s="382"/>
      <c r="DU50" s="382"/>
      <c r="DV50" s="382"/>
      <c r="DW50" s="382"/>
      <c r="DX50" s="323"/>
      <c r="DY50" s="382"/>
      <c r="DZ50" s="382"/>
      <c r="EA50" s="382"/>
      <c r="EB50" s="382"/>
      <c r="EC50" s="323"/>
    </row>
    <row r="51" spans="1:133" s="93" customFormat="1" ht="12" customHeight="1">
      <c r="A51" s="139"/>
      <c r="B51" s="139"/>
      <c r="C51" s="858" t="s">
        <v>197</v>
      </c>
      <c r="D51" s="433"/>
      <c r="E51" s="433"/>
      <c r="F51" s="433"/>
      <c r="G51" s="433"/>
      <c r="H51" s="433"/>
      <c r="M51" s="433"/>
      <c r="R51" s="433"/>
      <c r="W51" s="433"/>
      <c r="AB51" s="433"/>
      <c r="AG51" s="433"/>
      <c r="AL51" s="433"/>
      <c r="AQ51" s="433"/>
      <c r="AV51" s="433"/>
      <c r="BA51" s="433"/>
      <c r="BF51" s="433"/>
      <c r="BK51" s="433"/>
      <c r="BP51" s="433"/>
      <c r="BU51" s="323"/>
      <c r="BZ51" s="323"/>
      <c r="CE51" s="323">
        <f>Income!CE11</f>
        <v>673.30399999999997</v>
      </c>
      <c r="CF51" s="382">
        <f>Income!CF11</f>
        <v>214.33999999999997</v>
      </c>
      <c r="CG51" s="382">
        <f>Income!CG11</f>
        <v>244.96299999999999</v>
      </c>
      <c r="CH51" s="382">
        <f>Income!CH11</f>
        <v>270.06399999999996</v>
      </c>
      <c r="CI51" s="382">
        <f>Income!CI11</f>
        <v>343.86199999999997</v>
      </c>
      <c r="CJ51" s="323">
        <f>Income!CJ11</f>
        <v>1073.2289999999998</v>
      </c>
      <c r="CK51" s="382">
        <f>Income!CK11</f>
        <v>320.48199999999997</v>
      </c>
      <c r="CL51" s="382">
        <f>Income!CL11</f>
        <v>361.97899999999998</v>
      </c>
      <c r="CM51" s="382">
        <f>Income!CM11</f>
        <v>390.55200000000002</v>
      </c>
      <c r="CN51" s="382">
        <f>Income!CN11</f>
        <v>505.16</v>
      </c>
      <c r="CO51" s="323">
        <f>Income!CO11</f>
        <v>1578.173</v>
      </c>
      <c r="CP51" s="382">
        <f>Income!CP11</f>
        <v>470.00099999999998</v>
      </c>
      <c r="CQ51" s="382">
        <f>Income!CQ11</f>
        <v>714.34100000000001</v>
      </c>
      <c r="CR51" s="382">
        <f>Income!CR11</f>
        <v>767.40499999999997</v>
      </c>
      <c r="CS51" s="382">
        <f>Income!CS11</f>
        <v>977.74399999999991</v>
      </c>
      <c r="CT51" s="323">
        <f>Income!CT11</f>
        <v>2929.491</v>
      </c>
      <c r="CU51" s="382">
        <f>Income!CU11</f>
        <v>988.64699999999993</v>
      </c>
      <c r="CV51" s="382">
        <f>Income!CV11</f>
        <v>1119.4449999999999</v>
      </c>
      <c r="CW51" s="382">
        <f>Income!CW11</f>
        <v>1123.74</v>
      </c>
      <c r="CX51" s="382">
        <f>Income!CX11</f>
        <v>1380.0240000000001</v>
      </c>
      <c r="CY51" s="323">
        <f>Income!CY11</f>
        <v>4611.8559999999998</v>
      </c>
      <c r="CZ51" s="382">
        <f>Income!CZ11</f>
        <v>1203.623</v>
      </c>
      <c r="DA51" s="382">
        <f>Income!DA11</f>
        <v>1295.0630000000001</v>
      </c>
      <c r="DB51" s="382">
        <f>Income!DB11</f>
        <v>1366.2</v>
      </c>
      <c r="DC51" s="382">
        <f>Income!DC11</f>
        <v>1734.9780000000001</v>
      </c>
      <c r="DD51" s="323">
        <f>Income!DD11</f>
        <v>5599.8640000000005</v>
      </c>
      <c r="DE51" s="382">
        <f>Income!DE11</f>
        <v>1508</v>
      </c>
      <c r="DF51" s="382">
        <f>Income!DF11</f>
        <v>1694</v>
      </c>
      <c r="DG51" s="382">
        <f>Income!DG11</f>
        <v>1714</v>
      </c>
      <c r="DH51" s="382">
        <f>Income!DH11</f>
        <v>2144</v>
      </c>
      <c r="DI51" s="918">
        <f>Income!DI11</f>
        <v>7060</v>
      </c>
      <c r="DJ51" s="919">
        <f>Income!DJ11</f>
        <v>1861</v>
      </c>
      <c r="DK51" s="919">
        <f>Income!DK11</f>
        <v>2045</v>
      </c>
      <c r="DL51" s="919">
        <f>Income!DL11</f>
        <v>2162</v>
      </c>
      <c r="DM51" s="919">
        <f>Income!DM11</f>
        <v>2703.5891937011711</v>
      </c>
      <c r="DN51" s="918">
        <f>Income!DN11</f>
        <v>8771.5891937011711</v>
      </c>
      <c r="DO51" s="919">
        <f>Income!DO11</f>
        <v>2338.8834242070311</v>
      </c>
      <c r="DP51" s="919">
        <f>Income!DP11</f>
        <v>2508.0283815145549</v>
      </c>
      <c r="DQ51" s="919">
        <f>Income!DQ11</f>
        <v>2631.9056487290545</v>
      </c>
      <c r="DR51" s="919">
        <f>Income!DR11</f>
        <v>3317.9390336843499</v>
      </c>
      <c r="DS51" s="918">
        <f>Income!DS11</f>
        <v>10796.75648813499</v>
      </c>
      <c r="DT51" s="919">
        <f>Income!DT11</f>
        <v>2799.2052568575727</v>
      </c>
      <c r="DU51" s="919">
        <f>Income!DU11</f>
        <v>3001.1461139124062</v>
      </c>
      <c r="DV51" s="919">
        <f>Income!DV11</f>
        <v>3147.5647910031289</v>
      </c>
      <c r="DW51" s="919">
        <f>Income!DW11</f>
        <v>3975.5145410092937</v>
      </c>
      <c r="DX51" s="918">
        <f>Income!DX11</f>
        <v>12923.430702782402</v>
      </c>
      <c r="DY51" s="919">
        <f>Income!DY11</f>
        <v>3300.3679789037724</v>
      </c>
      <c r="DZ51" s="919">
        <f>Income!DZ11</f>
        <v>3537.9380225337027</v>
      </c>
      <c r="EA51" s="919">
        <f>Income!EA11</f>
        <v>3708.9052382572477</v>
      </c>
      <c r="EB51" s="919">
        <f>Income!EB11</f>
        <v>4691.55714204166</v>
      </c>
      <c r="EC51" s="918">
        <f>Income!EC11</f>
        <v>15238.768381736383</v>
      </c>
    </row>
    <row r="52" spans="1:133" s="93" customFormat="1" ht="12" customHeight="1">
      <c r="A52" s="139"/>
      <c r="B52" s="139"/>
      <c r="C52" s="123" t="s">
        <v>220</v>
      </c>
      <c r="D52" s="433"/>
      <c r="E52" s="433"/>
      <c r="F52" s="433"/>
      <c r="G52" s="433"/>
      <c r="H52" s="433"/>
      <c r="M52" s="433"/>
      <c r="R52" s="433"/>
      <c r="W52" s="433"/>
      <c r="AB52" s="433"/>
      <c r="AG52" s="433"/>
      <c r="AL52" s="433"/>
      <c r="AQ52" s="433"/>
      <c r="AV52" s="433"/>
      <c r="BA52" s="433"/>
      <c r="BF52" s="433"/>
      <c r="BK52" s="433"/>
      <c r="BP52" s="433"/>
      <c r="BQ52" s="382"/>
      <c r="BR52" s="382">
        <f>BR10/Income!BR11*(90)</f>
        <v>6.5968481502915903</v>
      </c>
      <c r="BS52" s="382">
        <f>BS10/Income!BS11*(90)</f>
        <v>6.5403705527980902</v>
      </c>
      <c r="BT52" s="382">
        <f>BT10/Income!BT11*(90)</f>
        <v>7.8094138771322301</v>
      </c>
      <c r="BU52" s="323"/>
      <c r="BV52" s="382">
        <f>BV10/Income!BV11*(90)</f>
        <v>8.1037375209702702</v>
      </c>
      <c r="BW52" s="382">
        <f>BW10/Income!BW11*(90)</f>
        <v>9.443835331863772</v>
      </c>
      <c r="BX52" s="382">
        <f>BX10/Income!BX11*(90)</f>
        <v>6.9449075096908954</v>
      </c>
      <c r="BY52" s="382">
        <f>BY10/Income!BY11*(90)</f>
        <v>6.6259404983778571</v>
      </c>
      <c r="BZ52" s="323"/>
      <c r="CA52" s="382">
        <f>CA10/Income!CA11*(90)</f>
        <v>6.472730983914146</v>
      </c>
      <c r="CB52" s="382">
        <f>CB10/Income!CB11*(90)</f>
        <v>7.4769048168540442</v>
      </c>
      <c r="CC52" s="382">
        <f>CC10/Income!CC11*(90)</f>
        <v>9.3377309630459138</v>
      </c>
      <c r="CD52" s="382">
        <f>CD10/Income!CD11*(90)</f>
        <v>8.8616963027457878</v>
      </c>
      <c r="CE52" s="323"/>
      <c r="CF52" s="382">
        <f>CF10/Income!CF11*(90)</f>
        <v>11.910282728375478</v>
      </c>
      <c r="CG52" s="382">
        <f>CG10/Income!CG11*(90)</f>
        <v>11.94425280552573</v>
      </c>
      <c r="CH52" s="382">
        <f>CH10/Income!CH11*(90)</f>
        <v>11.930172107352334</v>
      </c>
      <c r="CI52" s="382">
        <f>CI10/Income!CI11*(90)</f>
        <v>10.821870401498277</v>
      </c>
      <c r="CJ52" s="323"/>
      <c r="CK52" s="382">
        <f>CK10/Income!CK11*(90)</f>
        <v>11.349061725775551</v>
      </c>
      <c r="CL52" s="382">
        <f>CL10/Income!CL11*(90)</f>
        <v>11.397346254893241</v>
      </c>
      <c r="CM52" s="382">
        <f>CM10/Income!CM11*(90)</f>
        <v>10.759617157254349</v>
      </c>
      <c r="CN52" s="382">
        <f>CN10/Income!CN11*(90)</f>
        <v>16.128771082429328</v>
      </c>
      <c r="CO52" s="323"/>
      <c r="CP52" s="382">
        <f>CP10/Income!CP11*(90)</f>
        <v>16.877644941180975</v>
      </c>
      <c r="CQ52" s="382">
        <f>CQ10/Income!CQ11*(90)</f>
        <v>13.406496337183501</v>
      </c>
      <c r="CR52" s="382">
        <f>CR10/Income!CR11*(90)</f>
        <v>12.865436112613288</v>
      </c>
      <c r="CS52" s="382">
        <f>CS10/Income!CS11*(90)</f>
        <v>11.115056701958796</v>
      </c>
      <c r="CT52" s="859"/>
      <c r="CU52" s="382">
        <f>CU10/Income!CU11*(90)</f>
        <v>14.880427493331799</v>
      </c>
      <c r="CV52" s="382">
        <f>CV10/Income!CV11*(90)</f>
        <v>12.332897105261983</v>
      </c>
      <c r="CW52" s="382">
        <f>CW10/Income!CW11*(90)</f>
        <v>12.155454108601633</v>
      </c>
      <c r="CX52" s="382">
        <f>CX10/Income!CX11*(90)</f>
        <v>12.53515156258152</v>
      </c>
      <c r="CY52" s="859"/>
      <c r="CZ52" s="382">
        <f>CZ10/Income!CZ11*(90)</f>
        <v>16.843048030820281</v>
      </c>
      <c r="DA52" s="382">
        <f>DA10/Income!DA11*(90)</f>
        <v>16.589980564652066</v>
      </c>
      <c r="DB52" s="382">
        <f>DB10/Income!DB11*(90)</f>
        <v>15.888208168642949</v>
      </c>
      <c r="DC52" s="382">
        <f>DC10/Income!DC11*(90)</f>
        <v>14.164415917665814</v>
      </c>
      <c r="DD52" s="859"/>
      <c r="DE52" s="382">
        <f>DE10/Income!DE11*(90)</f>
        <v>16.472148541114059</v>
      </c>
      <c r="DF52" s="382">
        <f>DF10/Income!DF11*(90)</f>
        <v>13.919716646989373</v>
      </c>
      <c r="DG52" s="382">
        <f>DG10/Income!DG11*(90)</f>
        <v>13.022170361726953</v>
      </c>
      <c r="DH52" s="382">
        <f>DH10/Income!DH11*(90)</f>
        <v>11.83768656716418</v>
      </c>
      <c r="DI52" s="859"/>
      <c r="DJ52" s="382">
        <f>DJ10/Income!DJ11*(90)</f>
        <v>12.815690488984417</v>
      </c>
      <c r="DK52" s="382">
        <f>DK10/Income!DK11*(90)</f>
        <v>12.102689486552569</v>
      </c>
      <c r="DL52" s="382">
        <f>DL10/Income!DL11*(90)</f>
        <v>11.697502312673452</v>
      </c>
      <c r="DM52" s="860">
        <v>12</v>
      </c>
      <c r="DN52" s="859"/>
      <c r="DO52" s="860">
        <v>12</v>
      </c>
      <c r="DP52" s="860">
        <v>12</v>
      </c>
      <c r="DQ52" s="860">
        <v>12</v>
      </c>
      <c r="DR52" s="860">
        <v>12</v>
      </c>
      <c r="DS52" s="859"/>
      <c r="DT52" s="860">
        <v>12</v>
      </c>
      <c r="DU52" s="860">
        <v>12</v>
      </c>
      <c r="DV52" s="860">
        <v>12</v>
      </c>
      <c r="DW52" s="860">
        <v>12</v>
      </c>
      <c r="DX52" s="859"/>
      <c r="DY52" s="860">
        <v>12</v>
      </c>
      <c r="DZ52" s="860">
        <v>12</v>
      </c>
      <c r="EA52" s="860">
        <v>12</v>
      </c>
      <c r="EB52" s="860">
        <v>12</v>
      </c>
      <c r="EC52" s="859"/>
    </row>
    <row r="53" spans="1:133" s="93" customFormat="1" ht="12" customHeight="1">
      <c r="A53" s="139"/>
      <c r="B53" s="139"/>
      <c r="C53" s="123" t="s">
        <v>305</v>
      </c>
      <c r="D53" s="861"/>
      <c r="E53" s="861"/>
      <c r="F53" s="861"/>
      <c r="G53" s="861"/>
      <c r="H53" s="861"/>
      <c r="I53" s="91"/>
      <c r="J53" s="91"/>
      <c r="K53" s="91"/>
      <c r="L53" s="91"/>
      <c r="M53" s="861"/>
      <c r="N53" s="91"/>
      <c r="O53" s="91"/>
      <c r="P53" s="91"/>
      <c r="Q53" s="91"/>
      <c r="R53" s="861"/>
      <c r="S53" s="91"/>
      <c r="T53" s="91"/>
      <c r="U53" s="91"/>
      <c r="V53" s="91"/>
      <c r="W53" s="861"/>
      <c r="X53" s="91"/>
      <c r="Y53" s="91"/>
      <c r="Z53" s="91"/>
      <c r="AA53" s="91"/>
      <c r="AB53" s="861"/>
      <c r="AC53" s="91"/>
      <c r="AD53" s="91"/>
      <c r="AE53" s="91"/>
      <c r="AF53" s="91"/>
      <c r="AG53" s="861"/>
      <c r="AH53" s="91"/>
      <c r="AI53" s="91"/>
      <c r="AJ53" s="91"/>
      <c r="AK53" s="91"/>
      <c r="AL53" s="861"/>
      <c r="AM53" s="91"/>
      <c r="AN53" s="91"/>
      <c r="AO53" s="91"/>
      <c r="AP53" s="91"/>
      <c r="AQ53" s="861"/>
      <c r="AR53" s="91"/>
      <c r="AS53" s="91"/>
      <c r="AT53" s="91"/>
      <c r="AU53" s="91"/>
      <c r="AV53" s="861"/>
      <c r="AW53" s="91"/>
      <c r="AX53" s="91"/>
      <c r="AY53" s="91"/>
      <c r="AZ53" s="91"/>
      <c r="BA53" s="861"/>
      <c r="BB53" s="91"/>
      <c r="BC53" s="91"/>
      <c r="BD53" s="91"/>
      <c r="BE53" s="91"/>
      <c r="BF53" s="861"/>
      <c r="BG53" s="91"/>
      <c r="BH53" s="91"/>
      <c r="BI53" s="91"/>
      <c r="BJ53" s="91"/>
      <c r="BK53" s="861"/>
      <c r="BL53" s="91"/>
      <c r="BM53" s="91"/>
      <c r="BN53" s="91"/>
      <c r="BO53" s="91"/>
      <c r="BP53" s="861"/>
      <c r="BQ53" s="862"/>
      <c r="BR53" s="862"/>
      <c r="BS53" s="862"/>
      <c r="BT53" s="862"/>
      <c r="BU53" s="863"/>
      <c r="BV53" s="862"/>
      <c r="BW53" s="862"/>
      <c r="BX53" s="862"/>
      <c r="BY53" s="862"/>
      <c r="BZ53" s="863"/>
      <c r="CA53" s="862"/>
      <c r="CB53" s="862"/>
      <c r="CC53" s="862"/>
      <c r="CD53" s="862"/>
      <c r="CE53" s="476"/>
      <c r="CF53" s="477">
        <f>CF9/CF51</f>
        <v>6.4544881963235987</v>
      </c>
      <c r="CG53" s="477">
        <f>CG9/CG51</f>
        <v>5.5288635426574624</v>
      </c>
      <c r="CH53" s="477">
        <f>CH9/CH51</f>
        <v>4.9425469518336405</v>
      </c>
      <c r="CI53" s="477">
        <f>CI9/CI51</f>
        <v>4.5337577283910413</v>
      </c>
      <c r="CJ53" s="476"/>
      <c r="CK53" s="477">
        <f>CK9/CK51</f>
        <v>4.9505682066387511</v>
      </c>
      <c r="CL53" s="477">
        <f>CL9/CL51</f>
        <v>3.7138646164556506</v>
      </c>
      <c r="CM53" s="477">
        <f>CM9/CM51</f>
        <v>3.949929842889039</v>
      </c>
      <c r="CN53" s="477">
        <f>CN9/CN51</f>
        <v>3.5736756671153693</v>
      </c>
      <c r="CO53" s="476"/>
      <c r="CP53" s="477">
        <f>CP9/CP51</f>
        <v>2.9600128510364874</v>
      </c>
      <c r="CQ53" s="477">
        <f>CQ9/CQ51</f>
        <v>2.9658006470299196</v>
      </c>
      <c r="CR53" s="477">
        <f>CR9/CR51</f>
        <v>3.9500355092812791</v>
      </c>
      <c r="CS53" s="477">
        <f>CS9/CS51</f>
        <v>3.7682358572387047</v>
      </c>
      <c r="CT53" s="476"/>
      <c r="CU53" s="477">
        <f t="shared" ref="CU53:DL53" si="286">CU9/CU51</f>
        <v>5.1452914943351882</v>
      </c>
      <c r="CV53" s="477">
        <f t="shared" si="286"/>
        <v>4.8155264439074719</v>
      </c>
      <c r="CW53" s="477">
        <f t="shared" si="286"/>
        <v>4.7422722337907341</v>
      </c>
      <c r="CX53" s="477">
        <f t="shared" si="286"/>
        <v>3.8152242279844404</v>
      </c>
      <c r="CY53" s="476">
        <f t="shared" si="286"/>
        <v>1.1416447087680102</v>
      </c>
      <c r="CZ53" s="477">
        <f t="shared" si="286"/>
        <v>3.9839260299944419</v>
      </c>
      <c r="DA53" s="477">
        <f t="shared" si="286"/>
        <v>2.782883921477179</v>
      </c>
      <c r="DB53" s="477">
        <f t="shared" si="286"/>
        <v>2.6080961791831356</v>
      </c>
      <c r="DC53" s="477">
        <f t="shared" si="286"/>
        <v>1.9617666621709322</v>
      </c>
      <c r="DD53" s="476">
        <f t="shared" si="286"/>
        <v>0.60780440382123557</v>
      </c>
      <c r="DE53" s="477">
        <f t="shared" si="286"/>
        <v>2.0722811671087533</v>
      </c>
      <c r="DF53" s="477">
        <f t="shared" si="286"/>
        <v>1.8707201889020071</v>
      </c>
      <c r="DG53" s="477">
        <f t="shared" si="286"/>
        <v>2.1184364060676781</v>
      </c>
      <c r="DH53" s="477">
        <f t="shared" si="286"/>
        <v>1.6767723880597014</v>
      </c>
      <c r="DI53" s="476">
        <f t="shared" si="286"/>
        <v>0.50920679886685549</v>
      </c>
      <c r="DJ53" s="477">
        <f t="shared" si="286"/>
        <v>1.9097259537882858</v>
      </c>
      <c r="DK53" s="477">
        <f t="shared" si="286"/>
        <v>1.7017114914425429</v>
      </c>
      <c r="DL53" s="477">
        <f t="shared" si="286"/>
        <v>1.567067530064755</v>
      </c>
      <c r="DM53" s="478">
        <v>1.4</v>
      </c>
      <c r="DN53" s="476">
        <f>DN9/DN51</f>
        <v>0.3862469987118074</v>
      </c>
      <c r="DO53" s="478">
        <f>DJ53-30%</f>
        <v>1.6097259537882858</v>
      </c>
      <c r="DP53" s="478">
        <f t="shared" ref="DP53:DR53" si="287">DK53-30%</f>
        <v>1.4017114914425428</v>
      </c>
      <c r="DQ53" s="478">
        <f t="shared" si="287"/>
        <v>1.2670675300647549</v>
      </c>
      <c r="DR53" s="478">
        <f t="shared" si="287"/>
        <v>1.0999999999999999</v>
      </c>
      <c r="DS53" s="476">
        <f>DS9/DS51</f>
        <v>0.31379794512576215</v>
      </c>
      <c r="DT53" s="478">
        <f>DO53-30%</f>
        <v>1.3097259537882857</v>
      </c>
      <c r="DU53" s="478">
        <f t="shared" ref="DU53" si="288">DP53-30%</f>
        <v>1.1017114914425428</v>
      </c>
      <c r="DV53" s="478">
        <f t="shared" ref="DV53" si="289">DQ53-30%</f>
        <v>0.96706753006475488</v>
      </c>
      <c r="DW53" s="478">
        <f t="shared" ref="DW53" si="290">DR53-30%</f>
        <v>0.79999999999999982</v>
      </c>
      <c r="DX53" s="476">
        <f>DX9/DX51</f>
        <v>0.2621594898381408</v>
      </c>
      <c r="DY53" s="478">
        <f>DT53-30%</f>
        <v>1.0097259537882857</v>
      </c>
      <c r="DZ53" s="478">
        <f t="shared" ref="DZ53" si="291">DU53-30%</f>
        <v>0.80171149144254272</v>
      </c>
      <c r="EA53" s="478">
        <f t="shared" ref="EA53" si="292">DV53-30%</f>
        <v>0.66706753006475483</v>
      </c>
      <c r="EB53" s="478">
        <f t="shared" ref="EB53" si="293">DW53-30%</f>
        <v>0.49999999999999983</v>
      </c>
      <c r="EC53" s="476">
        <f>EC9/EC51</f>
        <v>0.22232767866335626</v>
      </c>
    </row>
    <row r="54" spans="1:133" s="93" customFormat="1" ht="12" customHeight="1">
      <c r="A54" s="139"/>
      <c r="B54" s="139"/>
      <c r="C54" s="309" t="s">
        <v>306</v>
      </c>
      <c r="D54" s="861"/>
      <c r="E54" s="861"/>
      <c r="F54" s="861"/>
      <c r="G54" s="861"/>
      <c r="H54" s="861"/>
      <c r="I54" s="91"/>
      <c r="J54" s="91"/>
      <c r="K54" s="91"/>
      <c r="L54" s="91"/>
      <c r="M54" s="861"/>
      <c r="N54" s="91"/>
      <c r="O54" s="91"/>
      <c r="P54" s="91"/>
      <c r="Q54" s="91"/>
      <c r="R54" s="861"/>
      <c r="S54" s="91"/>
      <c r="T54" s="91"/>
      <c r="U54" s="91"/>
      <c r="V54" s="91"/>
      <c r="W54" s="861"/>
      <c r="X54" s="91"/>
      <c r="Y54" s="91"/>
      <c r="Z54" s="91"/>
      <c r="AA54" s="91"/>
      <c r="AB54" s="861"/>
      <c r="AC54" s="91"/>
      <c r="AD54" s="91"/>
      <c r="AE54" s="91"/>
      <c r="AF54" s="91"/>
      <c r="AG54" s="861"/>
      <c r="AH54" s="91"/>
      <c r="AI54" s="91"/>
      <c r="AJ54" s="91"/>
      <c r="AK54" s="91"/>
      <c r="AL54" s="861"/>
      <c r="AM54" s="91"/>
      <c r="AN54" s="91"/>
      <c r="AO54" s="91"/>
      <c r="AP54" s="91"/>
      <c r="AQ54" s="861"/>
      <c r="AR54" s="91"/>
      <c r="AS54" s="91"/>
      <c r="AT54" s="91"/>
      <c r="AU54" s="91"/>
      <c r="AV54" s="861"/>
      <c r="AW54" s="91"/>
      <c r="AX54" s="91"/>
      <c r="AY54" s="91"/>
      <c r="AZ54" s="91"/>
      <c r="BA54" s="861"/>
      <c r="BB54" s="91"/>
      <c r="BC54" s="91"/>
      <c r="BD54" s="91"/>
      <c r="BE54" s="91"/>
      <c r="BF54" s="861"/>
      <c r="BG54" s="91"/>
      <c r="BH54" s="91"/>
      <c r="BI54" s="91"/>
      <c r="BJ54" s="91"/>
      <c r="BK54" s="861"/>
      <c r="BL54" s="91"/>
      <c r="BM54" s="91"/>
      <c r="BN54" s="91"/>
      <c r="BO54" s="91"/>
      <c r="BP54" s="861"/>
      <c r="BQ54" s="862"/>
      <c r="BR54" s="862"/>
      <c r="BS54" s="862"/>
      <c r="BT54" s="862"/>
      <c r="BU54" s="863"/>
      <c r="BV54" s="862"/>
      <c r="BW54" s="862"/>
      <c r="BX54" s="862"/>
      <c r="BY54" s="862"/>
      <c r="BZ54" s="863"/>
      <c r="CA54" s="862"/>
      <c r="CB54" s="862"/>
      <c r="CC54" s="862"/>
      <c r="CD54" s="862"/>
      <c r="CE54" s="476"/>
      <c r="CF54" s="477"/>
      <c r="CG54" s="477"/>
      <c r="CH54" s="477"/>
      <c r="CI54" s="477"/>
      <c r="CJ54" s="476"/>
      <c r="CK54" s="477">
        <f>CK11/CK51</f>
        <v>0.33335413533365371</v>
      </c>
      <c r="CL54" s="477">
        <f>CL11/CL51</f>
        <v>0.31923398871205239</v>
      </c>
      <c r="CM54" s="477">
        <f>CM11/CM51</f>
        <v>0.42446332370593415</v>
      </c>
      <c r="CN54" s="477">
        <f>CN11/CN51</f>
        <v>0.29727611053923508</v>
      </c>
      <c r="CO54" s="476"/>
      <c r="CP54" s="477">
        <f>CP11/CP51</f>
        <v>0.40821828038663749</v>
      </c>
      <c r="CQ54" s="477">
        <f>CQ11/CQ51</f>
        <v>0.23307495999809616</v>
      </c>
      <c r="CR54" s="477">
        <f>CR11/CR51</f>
        <v>0.32313706582573742</v>
      </c>
      <c r="CS54" s="477">
        <f>CS11/CS51</f>
        <v>0.25029353286749911</v>
      </c>
      <c r="CT54" s="476"/>
      <c r="CU54" s="477">
        <f>CU11/CU51</f>
        <v>0.3163626653396005</v>
      </c>
      <c r="CV54" s="477">
        <f>CV11/CV51</f>
        <v>0.37103564712871112</v>
      </c>
      <c r="CW54" s="477">
        <f>CW11/CW51</f>
        <v>0.46631783152686562</v>
      </c>
      <c r="CX54" s="477">
        <f>CX11/CX51</f>
        <v>0.34109696642956927</v>
      </c>
      <c r="CY54" s="476"/>
      <c r="CZ54" s="477">
        <f>CZ11/CZ51</f>
        <v>0.40420214635313551</v>
      </c>
      <c r="DA54" s="477">
        <f>DA11/DA51</f>
        <v>0.41526165136367876</v>
      </c>
      <c r="DB54" s="477">
        <f>DB11/DB51</f>
        <v>0.48752232469623774</v>
      </c>
      <c r="DC54" s="477">
        <f>DC11/DC51</f>
        <v>0.33436389395139304</v>
      </c>
      <c r="DD54" s="476"/>
      <c r="DE54" s="477">
        <f>DE11/DE51</f>
        <v>0.41710875331564989</v>
      </c>
      <c r="DF54" s="477">
        <f>DF11/DF51</f>
        <v>0.42443919716646988</v>
      </c>
      <c r="DG54" s="477">
        <f>DG11/DG51</f>
        <v>0.48599766627771296</v>
      </c>
      <c r="DH54" s="477">
        <f>DH11/DH51</f>
        <v>0.38059701492537312</v>
      </c>
      <c r="DI54" s="476"/>
      <c r="DJ54" s="477">
        <f>DJ11/DJ51</f>
        <v>0.43793659322944656</v>
      </c>
      <c r="DK54" s="477">
        <f>DK11/DK51</f>
        <v>0.44889975550122252</v>
      </c>
      <c r="DL54" s="477">
        <f>DL11/DL51</f>
        <v>0.53376503237742834</v>
      </c>
      <c r="DM54" s="478">
        <f>+DL54-10.5%</f>
        <v>0.42876503237742836</v>
      </c>
      <c r="DN54" s="476"/>
      <c r="DO54" s="478">
        <f>+DJ54-1%</f>
        <v>0.42793659322944655</v>
      </c>
      <c r="DP54" s="478">
        <f t="shared" ref="DP54:DR54" si="294">+DK54-1%</f>
        <v>0.43889975550122251</v>
      </c>
      <c r="DQ54" s="478">
        <f t="shared" si="294"/>
        <v>0.52376503237742833</v>
      </c>
      <c r="DR54" s="478">
        <f t="shared" si="294"/>
        <v>0.41876503237742835</v>
      </c>
      <c r="DS54" s="476"/>
      <c r="DT54" s="478">
        <f>+DO54-1%</f>
        <v>0.41793659322944654</v>
      </c>
      <c r="DU54" s="478">
        <f t="shared" ref="DU54" si="295">+DP54-1%</f>
        <v>0.4288997555012225</v>
      </c>
      <c r="DV54" s="478">
        <f t="shared" ref="DV54" si="296">+DQ54-1%</f>
        <v>0.51376503237742832</v>
      </c>
      <c r="DW54" s="478">
        <f t="shared" ref="DW54" si="297">+DR54-1%</f>
        <v>0.40876503237742834</v>
      </c>
      <c r="DX54" s="476"/>
      <c r="DY54" s="478">
        <f>+DT54-1%</f>
        <v>0.40793659322944653</v>
      </c>
      <c r="DZ54" s="478">
        <f t="shared" ref="DZ54" si="298">+DU54-1%</f>
        <v>0.41889975550122249</v>
      </c>
      <c r="EA54" s="478">
        <f t="shared" ref="EA54" si="299">+DV54-1%</f>
        <v>0.50376503237742831</v>
      </c>
      <c r="EB54" s="478">
        <f t="shared" ref="EB54" si="300">+DW54-1%</f>
        <v>0.39876503237742833</v>
      </c>
      <c r="EC54" s="476"/>
    </row>
    <row r="55" spans="1:133" s="93" customFormat="1" ht="12" customHeight="1">
      <c r="A55" s="139"/>
      <c r="B55" s="139"/>
      <c r="C55" s="123" t="s">
        <v>222</v>
      </c>
      <c r="D55" s="861"/>
      <c r="E55" s="861"/>
      <c r="F55" s="861"/>
      <c r="G55" s="861"/>
      <c r="H55" s="861"/>
      <c r="I55" s="91"/>
      <c r="J55" s="91"/>
      <c r="K55" s="91"/>
      <c r="L55" s="91"/>
      <c r="M55" s="861"/>
      <c r="N55" s="91"/>
      <c r="O55" s="91"/>
      <c r="P55" s="91"/>
      <c r="Q55" s="91"/>
      <c r="R55" s="861"/>
      <c r="S55" s="91"/>
      <c r="T55" s="91"/>
      <c r="U55" s="91"/>
      <c r="V55" s="91"/>
      <c r="W55" s="861"/>
      <c r="X55" s="91"/>
      <c r="Y55" s="91"/>
      <c r="Z55" s="91"/>
      <c r="AA55" s="91"/>
      <c r="AB55" s="861"/>
      <c r="AC55" s="91"/>
      <c r="AD55" s="91"/>
      <c r="AE55" s="91"/>
      <c r="AF55" s="91"/>
      <c r="AG55" s="861"/>
      <c r="AH55" s="91"/>
      <c r="AI55" s="91"/>
      <c r="AJ55" s="91"/>
      <c r="AK55" s="91"/>
      <c r="AL55" s="861"/>
      <c r="AM55" s="91"/>
      <c r="AN55" s="91"/>
      <c r="AO55" s="91"/>
      <c r="AP55" s="91"/>
      <c r="AQ55" s="861"/>
      <c r="AR55" s="91"/>
      <c r="AS55" s="91"/>
      <c r="AT55" s="91"/>
      <c r="AU55" s="91"/>
      <c r="AV55" s="861"/>
      <c r="AW55" s="91"/>
      <c r="AX55" s="91"/>
      <c r="AY55" s="91"/>
      <c r="AZ55" s="91"/>
      <c r="BA55" s="861"/>
      <c r="BB55" s="91"/>
      <c r="BC55" s="91"/>
      <c r="BD55" s="91"/>
      <c r="BE55" s="91"/>
      <c r="BF55" s="861"/>
      <c r="BG55" s="91"/>
      <c r="BH55" s="91"/>
      <c r="BI55" s="91"/>
      <c r="BJ55" s="91"/>
      <c r="BK55" s="861"/>
      <c r="BL55" s="91"/>
      <c r="BM55" s="91"/>
      <c r="BN55" s="91"/>
      <c r="BO55" s="91"/>
      <c r="BP55" s="861"/>
      <c r="BQ55" s="477"/>
      <c r="BR55" s="477">
        <f>BR13/Income!BR11</f>
        <v>6.575257089435961E-2</v>
      </c>
      <c r="BS55" s="477">
        <f>BS13/Income!BS11</f>
        <v>8.9114537945667399E-2</v>
      </c>
      <c r="BT55" s="477">
        <f>BT13/Income!BT11</f>
        <v>8.8395821754805981E-2</v>
      </c>
      <c r="BU55" s="863"/>
      <c r="BV55" s="477">
        <f>BV13/Income!BV11</f>
        <v>9.8305877176095249E-2</v>
      </c>
      <c r="BW55" s="477">
        <f>BW13/Income!BW11</f>
        <v>8.2345609195932923E-2</v>
      </c>
      <c r="BX55" s="477">
        <f>BX13/Income!BX11</f>
        <v>0.10348671393279639</v>
      </c>
      <c r="BY55" s="477">
        <f>BY13/Income!BY11</f>
        <v>6.8943037052376477E-2</v>
      </c>
      <c r="BZ55" s="863"/>
      <c r="CA55" s="477">
        <f>CA13/Income!CA11</f>
        <v>9.5094167798459708E-2</v>
      </c>
      <c r="CB55" s="477">
        <f>CB13/Income!CB11</f>
        <v>0.10802149615904522</v>
      </c>
      <c r="CC55" s="477">
        <f>CC13/Income!CC11</f>
        <v>0.11840938783128031</v>
      </c>
      <c r="CD55" s="477">
        <f>CD13/Income!CD11</f>
        <v>8.3468722791207012E-2</v>
      </c>
      <c r="CE55" s="863"/>
      <c r="CF55" s="477">
        <f>CF13/Income!CF11</f>
        <v>8.1883922739572637E-2</v>
      </c>
      <c r="CG55" s="477">
        <f>CG13/Income!CG11</f>
        <v>8.1812355335295545E-2</v>
      </c>
      <c r="CH55" s="477">
        <f>CH13/Income!CH11</f>
        <v>8.680905266899698E-2</v>
      </c>
      <c r="CI55" s="477">
        <f>CI13/Income!CI11</f>
        <v>7.6170091490190842E-2</v>
      </c>
      <c r="CJ55" s="863"/>
      <c r="CK55" s="477">
        <f>CK13/Income!CK11</f>
        <v>9.2676031727210895E-2</v>
      </c>
      <c r="CL55" s="477">
        <f>CL13/Income!CL11</f>
        <v>0.1006632981471301</v>
      </c>
      <c r="CM55" s="477">
        <f>CM13/Income!CM11</f>
        <v>7.9845961613306288E-2</v>
      </c>
      <c r="CN55" s="477">
        <f>CN13/Income!CN11</f>
        <v>9.1719455222107837E-2</v>
      </c>
      <c r="CO55" s="863"/>
      <c r="CP55" s="477">
        <f>CP13/Income!CP11</f>
        <v>0.12534441416082093</v>
      </c>
      <c r="CQ55" s="477">
        <f>CQ13/Income!CQ11</f>
        <v>9.2619631240541983E-2</v>
      </c>
      <c r="CR55" s="477">
        <f>CR13/Income!CR11</f>
        <v>8.2193887191248427E-2</v>
      </c>
      <c r="CS55" s="477">
        <f>CS13/Income!CS11</f>
        <v>6.9800479471109012E-2</v>
      </c>
      <c r="CT55" s="864"/>
      <c r="CU55" s="477">
        <f>CU13/Income!CU11</f>
        <v>7.8748026343072916E-2</v>
      </c>
      <c r="CV55" s="477">
        <f>CV13/Income!CV11</f>
        <v>7.0643935164300162E-2</v>
      </c>
      <c r="CW55" s="477">
        <f>CW13/Income!CW11</f>
        <v>7.1984622777510804E-2</v>
      </c>
      <c r="CX55" s="477">
        <f>CX13/Income!CX11</f>
        <v>7.4834205781928426E-2</v>
      </c>
      <c r="CY55" s="864"/>
      <c r="CZ55" s="477">
        <f>CZ13/Income!CZ11</f>
        <v>9.3935559556439188E-2</v>
      </c>
      <c r="DA55" s="477">
        <f>DA13/Income!DA11</f>
        <v>8.7445166760227108E-2</v>
      </c>
      <c r="DB55" s="477">
        <f>DB13/Income!DB11</f>
        <v>0.11149319279754062</v>
      </c>
      <c r="DC55" s="477">
        <f>DC13/Income!DC11</f>
        <v>8.0496121564653841E-2</v>
      </c>
      <c r="DD55" s="864"/>
      <c r="DE55" s="477">
        <f>DE13/Income!DE11</f>
        <v>0</v>
      </c>
      <c r="DF55" s="477">
        <f>DF13/Income!DF11</f>
        <v>0</v>
      </c>
      <c r="DG55" s="477">
        <f>DG13/Income!DG11</f>
        <v>0</v>
      </c>
      <c r="DH55" s="477">
        <f>DH13/Income!DH11</f>
        <v>7.882462686567164E-2</v>
      </c>
      <c r="DI55" s="864"/>
      <c r="DJ55" s="477">
        <f>DJ13/Income!DJ11</f>
        <v>9.8334228909188609E-2</v>
      </c>
      <c r="DK55" s="477">
        <f>DK13/Income!DK11</f>
        <v>9.1931540342298293E-2</v>
      </c>
      <c r="DL55" s="477">
        <f>DL13/Income!DL11</f>
        <v>9.7594819611470859E-2</v>
      </c>
      <c r="DM55" s="478">
        <v>7.1999999999999995E-2</v>
      </c>
      <c r="DN55" s="864"/>
      <c r="DO55" s="478">
        <f>+DJ55-1%</f>
        <v>8.8334228909188614E-2</v>
      </c>
      <c r="DP55" s="478">
        <f t="shared" ref="DP55:DR55" si="301">+DK55-1%</f>
        <v>8.1931540342298298E-2</v>
      </c>
      <c r="DQ55" s="478">
        <f t="shared" si="301"/>
        <v>8.7594819611470864E-2</v>
      </c>
      <c r="DR55" s="478">
        <f t="shared" si="301"/>
        <v>6.1999999999999993E-2</v>
      </c>
      <c r="DS55" s="859"/>
      <c r="DT55" s="478">
        <f>+DO55</f>
        <v>8.8334228909188614E-2</v>
      </c>
      <c r="DU55" s="478">
        <f t="shared" ref="DU55" si="302">+DP55</f>
        <v>8.1931540342298298E-2</v>
      </c>
      <c r="DV55" s="478">
        <f t="shared" ref="DV55" si="303">+DQ55</f>
        <v>8.7594819611470864E-2</v>
      </c>
      <c r="DW55" s="478">
        <f t="shared" ref="DW55" si="304">+DR55</f>
        <v>6.1999999999999993E-2</v>
      </c>
      <c r="DX55" s="859"/>
      <c r="DY55" s="478">
        <f>+DT55</f>
        <v>8.8334228909188614E-2</v>
      </c>
      <c r="DZ55" s="478">
        <f t="shared" ref="DZ55:EB55" si="305">+DU55</f>
        <v>8.1931540342298298E-2</v>
      </c>
      <c r="EA55" s="478">
        <f t="shared" si="305"/>
        <v>8.7594819611470864E-2</v>
      </c>
      <c r="EB55" s="478">
        <f t="shared" si="305"/>
        <v>6.1999999999999993E-2</v>
      </c>
      <c r="EC55" s="859"/>
    </row>
    <row r="56" spans="1:133" s="93" customFormat="1" ht="12" customHeight="1">
      <c r="A56" s="139"/>
      <c r="B56" s="139"/>
      <c r="C56" s="123"/>
      <c r="D56" s="433"/>
      <c r="E56" s="433"/>
      <c r="F56" s="433"/>
      <c r="G56" s="433"/>
      <c r="H56" s="433"/>
      <c r="M56" s="433"/>
      <c r="R56" s="433"/>
      <c r="W56" s="433"/>
      <c r="AB56" s="433"/>
      <c r="AG56" s="433"/>
      <c r="AL56" s="433"/>
      <c r="AQ56" s="433"/>
      <c r="AV56" s="433"/>
      <c r="BA56" s="433"/>
      <c r="BF56" s="433"/>
      <c r="BK56" s="433"/>
      <c r="BP56" s="433"/>
      <c r="BQ56" s="477"/>
      <c r="BR56" s="477"/>
      <c r="BS56" s="477"/>
      <c r="BT56" s="477"/>
      <c r="BU56" s="323"/>
      <c r="BV56" s="477"/>
      <c r="BW56" s="477"/>
      <c r="BX56" s="477"/>
      <c r="BY56" s="477"/>
      <c r="BZ56" s="323"/>
      <c r="CA56" s="477"/>
      <c r="CB56" s="477"/>
      <c r="CC56" s="477"/>
      <c r="CD56" s="477"/>
      <c r="CE56" s="323"/>
      <c r="CF56" s="477"/>
      <c r="CG56" s="477"/>
      <c r="CH56" s="477"/>
      <c r="CI56" s="477"/>
      <c r="CJ56" s="323"/>
      <c r="CK56" s="477"/>
      <c r="CL56" s="477"/>
      <c r="CM56" s="477"/>
      <c r="CN56" s="477"/>
      <c r="CO56" s="323"/>
      <c r="CP56" s="477"/>
      <c r="CQ56" s="477"/>
      <c r="CR56" s="477"/>
      <c r="CS56" s="477"/>
      <c r="CT56" s="859"/>
      <c r="CU56" s="477"/>
      <c r="CV56" s="477"/>
      <c r="CW56" s="477"/>
      <c r="CX56" s="478"/>
      <c r="CY56" s="859"/>
      <c r="CZ56" s="477"/>
      <c r="DA56" s="477"/>
      <c r="DB56" s="477"/>
      <c r="DC56" s="477"/>
      <c r="DD56" s="859"/>
      <c r="DE56" s="477"/>
      <c r="DF56" s="477"/>
      <c r="DG56" s="477"/>
      <c r="DH56" s="477"/>
      <c r="DI56" s="859"/>
      <c r="DJ56" s="477"/>
      <c r="DK56" s="477"/>
      <c r="DL56" s="477"/>
      <c r="DM56" s="478"/>
      <c r="DN56" s="859"/>
      <c r="DO56" s="478"/>
      <c r="DP56" s="478"/>
      <c r="DQ56" s="478"/>
      <c r="DR56" s="478"/>
      <c r="DS56" s="859"/>
      <c r="DT56" s="478"/>
      <c r="DU56" s="478"/>
      <c r="DV56" s="478"/>
      <c r="DW56" s="478"/>
      <c r="DX56" s="859"/>
      <c r="DY56" s="478"/>
      <c r="DZ56" s="478"/>
      <c r="EA56" s="478"/>
      <c r="EB56" s="478"/>
      <c r="EC56" s="859"/>
    </row>
    <row r="57" spans="1:133" s="93" customFormat="1" ht="12" customHeight="1">
      <c r="A57" s="139"/>
      <c r="B57" s="139"/>
      <c r="C57" s="1274" t="str">
        <f>Income!C11</f>
        <v>Total revenue</v>
      </c>
      <c r="D57" s="1275">
        <f>Income!D11</f>
        <v>0</v>
      </c>
      <c r="E57" s="1275">
        <f>Income!E11</f>
        <v>0</v>
      </c>
      <c r="F57" s="1275">
        <f>Income!F11</f>
        <v>0</v>
      </c>
      <c r="G57" s="1275">
        <f>Income!G11</f>
        <v>0</v>
      </c>
      <c r="H57" s="1275">
        <f>Income!H11</f>
        <v>0</v>
      </c>
      <c r="I57" s="1276">
        <f>Income!I11</f>
        <v>0</v>
      </c>
      <c r="J57" s="1276">
        <f>Income!J11</f>
        <v>0</v>
      </c>
      <c r="K57" s="1276">
        <f>Income!K11</f>
        <v>0</v>
      </c>
      <c r="L57" s="1276">
        <f>Income!L11</f>
        <v>0</v>
      </c>
      <c r="M57" s="1275">
        <f>Income!M11</f>
        <v>0</v>
      </c>
      <c r="N57" s="1276">
        <f>Income!N11</f>
        <v>0</v>
      </c>
      <c r="O57" s="1276">
        <f>Income!O11</f>
        <v>0</v>
      </c>
      <c r="P57" s="1276">
        <f>Income!P11</f>
        <v>0</v>
      </c>
      <c r="Q57" s="1276">
        <f>Income!Q11</f>
        <v>0</v>
      </c>
      <c r="R57" s="1275">
        <f>Income!R11</f>
        <v>0</v>
      </c>
      <c r="S57" s="1276">
        <f>Income!S11</f>
        <v>0</v>
      </c>
      <c r="T57" s="1276">
        <f>Income!T11</f>
        <v>0</v>
      </c>
      <c r="U57" s="1276">
        <f>Income!U11</f>
        <v>0</v>
      </c>
      <c r="V57" s="1276">
        <f>Income!V11</f>
        <v>0</v>
      </c>
      <c r="W57" s="1275">
        <f>Income!W11</f>
        <v>0</v>
      </c>
      <c r="X57" s="1276">
        <f>Income!X11</f>
        <v>0</v>
      </c>
      <c r="Y57" s="1276">
        <f>Income!Y11</f>
        <v>0</v>
      </c>
      <c r="Z57" s="1276">
        <f>Income!Z11</f>
        <v>0</v>
      </c>
      <c r="AA57" s="1276">
        <f>Income!AA11</f>
        <v>0</v>
      </c>
      <c r="AB57" s="1275">
        <f>Income!AB11</f>
        <v>0</v>
      </c>
      <c r="AC57" s="1276">
        <f>Income!AC11</f>
        <v>0</v>
      </c>
      <c r="AD57" s="1276">
        <f>Income!AD11</f>
        <v>0</v>
      </c>
      <c r="AE57" s="1276">
        <f>Income!AE11</f>
        <v>0</v>
      </c>
      <c r="AF57" s="1276">
        <f>Income!AF11</f>
        <v>0</v>
      </c>
      <c r="AG57" s="1275">
        <f>Income!AG11</f>
        <v>0</v>
      </c>
      <c r="AH57" s="1276">
        <f>Income!AH11</f>
        <v>0</v>
      </c>
      <c r="AI57" s="1276">
        <f>Income!AI11</f>
        <v>0</v>
      </c>
      <c r="AJ57" s="1276">
        <f>Income!AJ11</f>
        <v>0</v>
      </c>
      <c r="AK57" s="1276">
        <f>Income!AK11</f>
        <v>0</v>
      </c>
      <c r="AL57" s="1275">
        <f>Income!AL11</f>
        <v>0</v>
      </c>
      <c r="AM57" s="1276">
        <f>Income!AM11</f>
        <v>0</v>
      </c>
      <c r="AN57" s="1276">
        <f>Income!AN11</f>
        <v>0</v>
      </c>
      <c r="AO57" s="1276">
        <f>Income!AO11</f>
        <v>0</v>
      </c>
      <c r="AP57" s="1276">
        <f>Income!AP11</f>
        <v>0</v>
      </c>
      <c r="AQ57" s="1275">
        <f>Income!AQ11</f>
        <v>0</v>
      </c>
      <c r="AR57" s="1276">
        <f>Income!AR11</f>
        <v>0</v>
      </c>
      <c r="AS57" s="1276">
        <f>Income!AS11</f>
        <v>0</v>
      </c>
      <c r="AT57" s="1276">
        <f>Income!AT11</f>
        <v>0</v>
      </c>
      <c r="AU57" s="1276">
        <f>Income!AU11</f>
        <v>0</v>
      </c>
      <c r="AV57" s="1275">
        <f>Income!AV11</f>
        <v>0</v>
      </c>
      <c r="AW57" s="1276">
        <f>Income!AW11</f>
        <v>0</v>
      </c>
      <c r="AX57" s="1276">
        <f>Income!AX11</f>
        <v>0</v>
      </c>
      <c r="AY57" s="1276">
        <f>Income!AY11</f>
        <v>0</v>
      </c>
      <c r="AZ57" s="1276">
        <f>Income!AZ11</f>
        <v>0</v>
      </c>
      <c r="BA57" s="1275">
        <f>Income!BA11</f>
        <v>0</v>
      </c>
      <c r="BB57" s="1276">
        <f>Income!BB11</f>
        <v>0</v>
      </c>
      <c r="BC57" s="1276">
        <f>Income!BC11</f>
        <v>0</v>
      </c>
      <c r="BD57" s="1276">
        <f>Income!BD11</f>
        <v>0</v>
      </c>
      <c r="BE57" s="1276">
        <f>Income!BE11</f>
        <v>0</v>
      </c>
      <c r="BF57" s="1275">
        <f>Income!BF11</f>
        <v>0</v>
      </c>
      <c r="BG57" s="1276">
        <f>Income!BG11</f>
        <v>0</v>
      </c>
      <c r="BH57" s="1276">
        <f>Income!BH11</f>
        <v>0</v>
      </c>
      <c r="BI57" s="1276">
        <f>Income!BI11</f>
        <v>0</v>
      </c>
      <c r="BJ57" s="1276">
        <f>Income!BJ11</f>
        <v>0</v>
      </c>
      <c r="BK57" s="1275">
        <f>Income!BK11</f>
        <v>0</v>
      </c>
      <c r="BL57" s="1276">
        <f>Income!BL11</f>
        <v>0</v>
      </c>
      <c r="BM57" s="1276">
        <f>Income!BM11</f>
        <v>0</v>
      </c>
      <c r="BN57" s="1276">
        <f>Income!BN11</f>
        <v>0</v>
      </c>
      <c r="BO57" s="1276">
        <f>Income!BO11</f>
        <v>0</v>
      </c>
      <c r="BP57" s="1275">
        <f>Income!BP11</f>
        <v>0</v>
      </c>
      <c r="BQ57" s="1277">
        <f>Income!BQ11</f>
        <v>37.347999999999999</v>
      </c>
      <c r="BR57" s="1277">
        <f>Income!BR11</f>
        <v>44.926000000000002</v>
      </c>
      <c r="BS57" s="1277">
        <f>Income!BS11</f>
        <v>52.786000000000001</v>
      </c>
      <c r="BT57" s="1277">
        <f>Income!BT11</f>
        <v>70.173000000000002</v>
      </c>
      <c r="BU57" s="1278">
        <f>Income!BU11</f>
        <v>205.233</v>
      </c>
      <c r="BV57" s="1279">
        <f>Income!BV11</f>
        <v>72.722000000000008</v>
      </c>
      <c r="BW57" s="1279">
        <f>Income!BW11</f>
        <v>86.646999999999991</v>
      </c>
      <c r="BX57" s="1279">
        <f>Income!BX11</f>
        <v>99.578000000000003</v>
      </c>
      <c r="BY57" s="1279">
        <f>Income!BY11</f>
        <v>130.38299999999998</v>
      </c>
      <c r="BZ57" s="1278">
        <f>Income!BZ11</f>
        <v>389.33</v>
      </c>
      <c r="CA57" s="1279">
        <f>Income!CA11</f>
        <v>127.379</v>
      </c>
      <c r="CB57" s="1279">
        <f>Income!CB11</f>
        <v>151.655</v>
      </c>
      <c r="CC57" s="1279">
        <f>Income!CC11</f>
        <v>171.45600000000002</v>
      </c>
      <c r="CD57" s="1279">
        <f>Income!CD11</f>
        <v>222.81399999999999</v>
      </c>
      <c r="CE57" s="1278">
        <f>Income!CE11</f>
        <v>673.30399999999997</v>
      </c>
      <c r="CF57" s="1279">
        <f>Income!CF11</f>
        <v>214.33999999999997</v>
      </c>
      <c r="CG57" s="1279">
        <f>Income!CG11</f>
        <v>244.96299999999999</v>
      </c>
      <c r="CH57" s="1279">
        <f>Income!CH11</f>
        <v>270.06399999999996</v>
      </c>
      <c r="CI57" s="1279">
        <f>Income!CI11</f>
        <v>343.86199999999997</v>
      </c>
      <c r="CJ57" s="1278">
        <f>Income!CJ11</f>
        <v>1073.2289999999998</v>
      </c>
      <c r="CK57" s="1279">
        <f>Income!CK11</f>
        <v>320.48199999999997</v>
      </c>
      <c r="CL57" s="1279">
        <f>Income!CL11</f>
        <v>361.97899999999998</v>
      </c>
      <c r="CM57" s="1279">
        <f>Income!CM11</f>
        <v>390.55200000000002</v>
      </c>
      <c r="CN57" s="1279">
        <f>Income!CN11</f>
        <v>505.16</v>
      </c>
      <c r="CO57" s="1278">
        <f>Income!CO11</f>
        <v>1578.173</v>
      </c>
      <c r="CP57" s="1279">
        <f>Income!CP11</f>
        <v>470.00099999999998</v>
      </c>
      <c r="CQ57" s="1279">
        <f>Income!CQ11</f>
        <v>714.34100000000001</v>
      </c>
      <c r="CR57" s="1279">
        <f>Income!CR11</f>
        <v>767.40499999999997</v>
      </c>
      <c r="CS57" s="1279">
        <f>Income!CS11</f>
        <v>977.74399999999991</v>
      </c>
      <c r="CT57" s="1278">
        <f>Income!CT11</f>
        <v>2929.491</v>
      </c>
      <c r="CU57" s="1279">
        <f>Income!CU11</f>
        <v>988.64699999999993</v>
      </c>
      <c r="CV57" s="1279">
        <f>Income!CV11</f>
        <v>1119.4449999999999</v>
      </c>
      <c r="CW57" s="1279">
        <f>Income!CW11</f>
        <v>1123.74</v>
      </c>
      <c r="CX57" s="1279">
        <f>Income!CX11</f>
        <v>1380.0240000000001</v>
      </c>
      <c r="CY57" s="1278">
        <f>Income!CY11</f>
        <v>4611.8559999999998</v>
      </c>
      <c r="CZ57" s="1279">
        <f>Income!CZ11</f>
        <v>1203.623</v>
      </c>
      <c r="DA57" s="1279">
        <f>Income!DA11</f>
        <v>1295.0630000000001</v>
      </c>
      <c r="DB57" s="1279">
        <f>Income!DB11</f>
        <v>1366.2</v>
      </c>
      <c r="DC57" s="1279">
        <f>Income!DC11</f>
        <v>1734.9780000000001</v>
      </c>
      <c r="DD57" s="1278">
        <f>Income!DD11</f>
        <v>5599.8640000000005</v>
      </c>
      <c r="DE57" s="1279">
        <f>Income!DE11</f>
        <v>1508</v>
      </c>
      <c r="DF57" s="1279">
        <f>Income!DF11</f>
        <v>1694</v>
      </c>
      <c r="DG57" s="1279">
        <f>Income!DG11</f>
        <v>1714</v>
      </c>
      <c r="DH57" s="1279">
        <f>Income!DH11</f>
        <v>2144</v>
      </c>
      <c r="DI57" s="1278">
        <f>Income!DI11</f>
        <v>7060</v>
      </c>
      <c r="DJ57" s="1279">
        <f>Income!DJ11</f>
        <v>1861</v>
      </c>
      <c r="DK57" s="1279">
        <f>Income!DK11</f>
        <v>2045</v>
      </c>
      <c r="DL57" s="1279">
        <f>Income!DL11</f>
        <v>2162</v>
      </c>
      <c r="DM57" s="1279">
        <f>Income!DM11</f>
        <v>2703.5891937011711</v>
      </c>
      <c r="DN57" s="1278">
        <f>Income!DN11</f>
        <v>8771.5891937011711</v>
      </c>
      <c r="DO57" s="1279">
        <f>Income!DO11</f>
        <v>2338.8834242070311</v>
      </c>
      <c r="DP57" s="1279">
        <f>Income!DP11</f>
        <v>2508.0283815145549</v>
      </c>
      <c r="DQ57" s="1279">
        <f>Income!DQ11</f>
        <v>2631.9056487290545</v>
      </c>
      <c r="DR57" s="1279">
        <f>Income!DR11</f>
        <v>3317.9390336843499</v>
      </c>
      <c r="DS57" s="1278">
        <f>Income!DS11</f>
        <v>10796.75648813499</v>
      </c>
      <c r="DT57" s="1279">
        <f>Income!DT11</f>
        <v>2799.2052568575727</v>
      </c>
      <c r="DU57" s="1279">
        <f>Income!DU11</f>
        <v>3001.1461139124062</v>
      </c>
      <c r="DV57" s="1279">
        <f>Income!DV11</f>
        <v>3147.5647910031289</v>
      </c>
      <c r="DW57" s="1279">
        <f>Income!DW11</f>
        <v>3975.5145410092937</v>
      </c>
      <c r="DX57" s="1278">
        <f>Income!DX11</f>
        <v>12923.430702782402</v>
      </c>
      <c r="DY57" s="1279">
        <f>Income!DY11</f>
        <v>3300.3679789037724</v>
      </c>
      <c r="DZ57" s="1279">
        <f>Income!DZ11</f>
        <v>3537.9380225337027</v>
      </c>
      <c r="EA57" s="1279">
        <f>Income!EA11</f>
        <v>3708.9052382572477</v>
      </c>
      <c r="EB57" s="1279">
        <f>Income!EB11</f>
        <v>4691.55714204166</v>
      </c>
      <c r="EC57" s="1278">
        <f>Income!EC11</f>
        <v>15238.768381736383</v>
      </c>
    </row>
    <row r="58" spans="1:133" s="93" customFormat="1" ht="12" customHeight="1">
      <c r="A58" s="139"/>
      <c r="B58" s="139"/>
      <c r="C58" s="1274" t="str">
        <f>Income!C42</f>
        <v>Total operating costs</v>
      </c>
      <c r="D58" s="1275">
        <f>Income!D42</f>
        <v>0</v>
      </c>
      <c r="E58" s="1275">
        <f>Income!E42</f>
        <v>0</v>
      </c>
      <c r="F58" s="1275">
        <f>Income!F42</f>
        <v>0</v>
      </c>
      <c r="G58" s="1275">
        <f>Income!G42</f>
        <v>0</v>
      </c>
      <c r="H58" s="1275">
        <f>Income!H42</f>
        <v>0</v>
      </c>
      <c r="I58" s="1276">
        <f>Income!I42</f>
        <v>0</v>
      </c>
      <c r="J58" s="1276">
        <f>Income!J42</f>
        <v>0</v>
      </c>
      <c r="K58" s="1276">
        <f>Income!K42</f>
        <v>0</v>
      </c>
      <c r="L58" s="1276">
        <f>Income!L42</f>
        <v>0</v>
      </c>
      <c r="M58" s="1275">
        <f>Income!M42</f>
        <v>0</v>
      </c>
      <c r="N58" s="1276">
        <f>Income!N42</f>
        <v>0</v>
      </c>
      <c r="O58" s="1276">
        <f>Income!O42</f>
        <v>0</v>
      </c>
      <c r="P58" s="1276">
        <f>Income!P42</f>
        <v>0</v>
      </c>
      <c r="Q58" s="1276">
        <f>Income!Q42</f>
        <v>0</v>
      </c>
      <c r="R58" s="1275">
        <f>Income!R42</f>
        <v>0</v>
      </c>
      <c r="S58" s="1276">
        <f>Income!S42</f>
        <v>0</v>
      </c>
      <c r="T58" s="1276">
        <f>Income!T42</f>
        <v>0</v>
      </c>
      <c r="U58" s="1276">
        <f>Income!U42</f>
        <v>0</v>
      </c>
      <c r="V58" s="1276">
        <f>Income!V42</f>
        <v>0</v>
      </c>
      <c r="W58" s="1275">
        <f>Income!W42</f>
        <v>0</v>
      </c>
      <c r="X58" s="1276">
        <f>Income!X42</f>
        <v>0</v>
      </c>
      <c r="Y58" s="1276">
        <f>Income!Y42</f>
        <v>0</v>
      </c>
      <c r="Z58" s="1276">
        <f>Income!Z42</f>
        <v>0</v>
      </c>
      <c r="AA58" s="1276">
        <f>Income!AA42</f>
        <v>0</v>
      </c>
      <c r="AB58" s="1275">
        <f>Income!AB42</f>
        <v>0</v>
      </c>
      <c r="AC58" s="1276">
        <f>Income!AC42</f>
        <v>0</v>
      </c>
      <c r="AD58" s="1276">
        <f>Income!AD42</f>
        <v>0</v>
      </c>
      <c r="AE58" s="1276">
        <f>Income!AE42</f>
        <v>0</v>
      </c>
      <c r="AF58" s="1276">
        <f>Income!AF42</f>
        <v>0</v>
      </c>
      <c r="AG58" s="1275">
        <f>Income!AG42</f>
        <v>0</v>
      </c>
      <c r="AH58" s="1276">
        <f>Income!AH42</f>
        <v>0</v>
      </c>
      <c r="AI58" s="1276">
        <f>Income!AI42</f>
        <v>0</v>
      </c>
      <c r="AJ58" s="1276">
        <f>Income!AJ42</f>
        <v>0</v>
      </c>
      <c r="AK58" s="1276">
        <f>Income!AK42</f>
        <v>0</v>
      </c>
      <c r="AL58" s="1275">
        <f>Income!AL42</f>
        <v>0</v>
      </c>
      <c r="AM58" s="1276">
        <f>Income!AM42</f>
        <v>0</v>
      </c>
      <c r="AN58" s="1276">
        <f>Income!AN42</f>
        <v>0</v>
      </c>
      <c r="AO58" s="1276">
        <f>Income!AO42</f>
        <v>0</v>
      </c>
      <c r="AP58" s="1276">
        <f>Income!AP42</f>
        <v>0</v>
      </c>
      <c r="AQ58" s="1275">
        <f>Income!AQ42</f>
        <v>0</v>
      </c>
      <c r="AR58" s="1276">
        <f>Income!AR42</f>
        <v>0</v>
      </c>
      <c r="AS58" s="1276">
        <f>Income!AS42</f>
        <v>0</v>
      </c>
      <c r="AT58" s="1276">
        <f>Income!AT42</f>
        <v>0</v>
      </c>
      <c r="AU58" s="1276">
        <f>Income!AU42</f>
        <v>0</v>
      </c>
      <c r="AV58" s="1275">
        <f>Income!AV42</f>
        <v>0</v>
      </c>
      <c r="AW58" s="1276">
        <f>Income!AW42</f>
        <v>0</v>
      </c>
      <c r="AX58" s="1276">
        <f>Income!AX42</f>
        <v>0</v>
      </c>
      <c r="AY58" s="1276">
        <f>Income!AY42</f>
        <v>0</v>
      </c>
      <c r="AZ58" s="1276">
        <f>Income!AZ42</f>
        <v>0</v>
      </c>
      <c r="BA58" s="1275">
        <f>Income!BA42</f>
        <v>0</v>
      </c>
      <c r="BB58" s="1276">
        <f>Income!BB42</f>
        <v>0</v>
      </c>
      <c r="BC58" s="1276">
        <f>Income!BC42</f>
        <v>0</v>
      </c>
      <c r="BD58" s="1276">
        <f>Income!BD42</f>
        <v>0</v>
      </c>
      <c r="BE58" s="1276">
        <f>Income!BE42</f>
        <v>0</v>
      </c>
      <c r="BF58" s="1275">
        <f>Income!BF42</f>
        <v>0</v>
      </c>
      <c r="BG58" s="1276">
        <f>Income!BG42</f>
        <v>0</v>
      </c>
      <c r="BH58" s="1276">
        <f>Income!BH42</f>
        <v>0</v>
      </c>
      <c r="BI58" s="1276">
        <f>Income!BI42</f>
        <v>0</v>
      </c>
      <c r="BJ58" s="1276">
        <f>Income!BJ42</f>
        <v>0</v>
      </c>
      <c r="BK58" s="1275">
        <f>Income!BK42</f>
        <v>0</v>
      </c>
      <c r="BL58" s="1276">
        <f>Income!BL42</f>
        <v>0</v>
      </c>
      <c r="BM58" s="1276">
        <f>Income!BM42</f>
        <v>0</v>
      </c>
      <c r="BN58" s="1276">
        <f>Income!BN42</f>
        <v>0</v>
      </c>
      <c r="BO58" s="1276">
        <f>Income!BO42</f>
        <v>0</v>
      </c>
      <c r="BP58" s="1275">
        <f>Income!BP42</f>
        <v>0</v>
      </c>
      <c r="BQ58" s="1277">
        <f>Income!BQ42</f>
        <v>-25.041999999999998</v>
      </c>
      <c r="BR58" s="1277">
        <f>Income!BR42</f>
        <v>-28.713000000000001</v>
      </c>
      <c r="BS58" s="1277">
        <f>Income!BS42</f>
        <v>-33.042999999999999</v>
      </c>
      <c r="BT58" s="1277">
        <f>Income!BT42</f>
        <v>-42.985999999999997</v>
      </c>
      <c r="BU58" s="1278">
        <f>Income!BU42</f>
        <v>-129.78399999999999</v>
      </c>
      <c r="BV58" s="1279">
        <f>Income!BV42</f>
        <v>-49.796999999999997</v>
      </c>
      <c r="BW58" s="1279">
        <f>Income!BW42</f>
        <v>-56.181999999999995</v>
      </c>
      <c r="BX58" s="1279">
        <f>Income!BX42</f>
        <v>-63.241000000000007</v>
      </c>
      <c r="BY58" s="1279">
        <f>Income!BY42</f>
        <v>-77.44</v>
      </c>
      <c r="BZ58" s="1278">
        <f>Income!BZ42</f>
        <v>-246.66</v>
      </c>
      <c r="CA58" s="1279">
        <f>Income!CA42</f>
        <v>-86.701999999999998</v>
      </c>
      <c r="CB58" s="1279">
        <f>Income!CB42</f>
        <v>-102.747</v>
      </c>
      <c r="CC58" s="1279">
        <f>Income!CC42</f>
        <v>-112.703</v>
      </c>
      <c r="CD58" s="1279">
        <f>Income!CD42</f>
        <v>-127.25800000000001</v>
      </c>
      <c r="CE58" s="1278">
        <f>Income!CE42</f>
        <v>-429.41000000000008</v>
      </c>
      <c r="CF58" s="1279">
        <f>Income!CF42</f>
        <v>-144.17500000000001</v>
      </c>
      <c r="CG58" s="1279">
        <f>Income!CG42</f>
        <v>-167.71600000000001</v>
      </c>
      <c r="CH58" s="1279">
        <f>Income!CH42</f>
        <v>-181.095</v>
      </c>
      <c r="CI58" s="1279">
        <f>Income!CI42</f>
        <v>-195.20100000000002</v>
      </c>
      <c r="CJ58" s="1278">
        <f>Income!CJ42</f>
        <v>-688.18700000000001</v>
      </c>
      <c r="CK58" s="1279">
        <f>Income!CK42</f>
        <v>-216.08100000000002</v>
      </c>
      <c r="CL58" s="1279">
        <f>Income!CL42</f>
        <v>-244.38499999999999</v>
      </c>
      <c r="CM58" s="1279">
        <f>Income!CM42</f>
        <v>-252.35399999999998</v>
      </c>
      <c r="CN58" s="1279">
        <f>Income!CN42</f>
        <v>-293.96999999999997</v>
      </c>
      <c r="CO58" s="1278">
        <f>Income!CO42</f>
        <v>-1006.79</v>
      </c>
      <c r="CP58" s="1279">
        <f>Income!CP42</f>
        <v>-330.18299999999999</v>
      </c>
      <c r="CQ58" s="1279">
        <f>Income!CQ42</f>
        <v>-374.75</v>
      </c>
      <c r="CR58" s="1279">
        <f>Income!CR42</f>
        <v>-354.58699999999993</v>
      </c>
      <c r="CS58" s="1279">
        <f>Income!CS42</f>
        <v>-391.84699999999998</v>
      </c>
      <c r="CT58" s="1278">
        <f>Income!CT42</f>
        <v>-1451.367</v>
      </c>
      <c r="CU58" s="1279">
        <f>Income!CU42</f>
        <v>-439.81700000000001</v>
      </c>
      <c r="CV58" s="1279">
        <f>Income!CV42</f>
        <v>-481.41899999999998</v>
      </c>
      <c r="CW58" s="1279">
        <f>Income!CW42</f>
        <v>-613.01</v>
      </c>
      <c r="CX58" s="1279">
        <f>Income!CX42</f>
        <v>-678.25499999999988</v>
      </c>
      <c r="CY58" s="1278">
        <f>Income!CY42</f>
        <v>-2212.5010000000002</v>
      </c>
      <c r="CZ58" s="1279">
        <f>Income!CZ42</f>
        <v>-735.61299999999994</v>
      </c>
      <c r="DA58" s="1279">
        <f>Income!DA42</f>
        <v>-845.85</v>
      </c>
      <c r="DB58" s="1279">
        <f>Income!DB42</f>
        <v>-1007.6980000000001</v>
      </c>
      <c r="DC58" s="1279">
        <f>Income!DC42</f>
        <v>-987.25700000000006</v>
      </c>
      <c r="DD58" s="1278">
        <f>Income!DD42</f>
        <v>-3576.4180000000001</v>
      </c>
      <c r="DE58" s="1279">
        <f>Income!DE42</f>
        <v>-910</v>
      </c>
      <c r="DF58" s="1279">
        <f>Income!DF42</f>
        <v>-2471</v>
      </c>
      <c r="DG58" s="1279">
        <f>Income!DG42</f>
        <v>-779</v>
      </c>
      <c r="DH58" s="1279">
        <f>Income!DH42</f>
        <v>-773</v>
      </c>
      <c r="DI58" s="1278">
        <f>Income!DI42</f>
        <v>-4933</v>
      </c>
      <c r="DJ58" s="1279">
        <f>Income!DJ42</f>
        <v>-871</v>
      </c>
      <c r="DK58" s="1279">
        <f>Income!DK42</f>
        <v>-804</v>
      </c>
      <c r="DL58" s="1279">
        <f>Income!DL42</f>
        <v>-835</v>
      </c>
      <c r="DM58" s="1279">
        <f>Income!DM42</f>
        <v>-893.05845208144569</v>
      </c>
      <c r="DN58" s="1278">
        <f>Income!DN42</f>
        <v>-3403.0584520814455</v>
      </c>
      <c r="DO58" s="1279">
        <f>Income!DO42</f>
        <v>-1039.5175163187405</v>
      </c>
      <c r="DP58" s="1279">
        <f>Income!DP42</f>
        <v>-944.1301015813159</v>
      </c>
      <c r="DQ58" s="1279">
        <f>Income!DQ42</f>
        <v>-955.95146919521721</v>
      </c>
      <c r="DR58" s="1279">
        <f>Income!DR42</f>
        <v>-1019.6799089367909</v>
      </c>
      <c r="DS58" s="1278">
        <f>Income!DS42</f>
        <v>-3959.2789960320647</v>
      </c>
      <c r="DT58" s="1279">
        <f>Income!DT42</f>
        <v>-1190.9228081648321</v>
      </c>
      <c r="DU58" s="1279">
        <f>Income!DU42</f>
        <v>-1072.7391174015522</v>
      </c>
      <c r="DV58" s="1279">
        <f>Income!DV42</f>
        <v>-1083.4436296047013</v>
      </c>
      <c r="DW58" s="1279">
        <f>Income!DW42</f>
        <v>-1146.2333948652533</v>
      </c>
      <c r="DX58" s="1278">
        <f>Income!DX42</f>
        <v>-4493.3389500363392</v>
      </c>
      <c r="DY58" s="1279">
        <f>Income!DY42</f>
        <v>-1338.1352954788774</v>
      </c>
      <c r="DZ58" s="1279">
        <f>Income!DZ42</f>
        <v>-1193.8529470967876</v>
      </c>
      <c r="EA58" s="1279">
        <f>Income!EA42</f>
        <v>-1202.4881499481253</v>
      </c>
      <c r="EB58" s="1279">
        <f>Income!EB42</f>
        <v>-1258.854003862587</v>
      </c>
      <c r="EC58" s="1278">
        <f>Income!EC42</f>
        <v>-4993.3303963863773</v>
      </c>
    </row>
    <row r="59" spans="1:133" s="93" customFormat="1" ht="12" customHeight="1">
      <c r="A59" s="139"/>
      <c r="B59" s="139"/>
      <c r="C59" s="123" t="s">
        <v>307</v>
      </c>
      <c r="D59" s="861"/>
      <c r="E59" s="861"/>
      <c r="F59" s="861"/>
      <c r="G59" s="861"/>
      <c r="H59" s="861"/>
      <c r="I59" s="91"/>
      <c r="J59" s="91"/>
      <c r="K59" s="91"/>
      <c r="L59" s="91"/>
      <c r="M59" s="861"/>
      <c r="N59" s="91"/>
      <c r="O59" s="91"/>
      <c r="P59" s="91"/>
      <c r="Q59" s="91"/>
      <c r="R59" s="861"/>
      <c r="S59" s="91"/>
      <c r="T59" s="91"/>
      <c r="U59" s="91"/>
      <c r="V59" s="91"/>
      <c r="W59" s="861"/>
      <c r="X59" s="91"/>
      <c r="Y59" s="91"/>
      <c r="Z59" s="91"/>
      <c r="AA59" s="91"/>
      <c r="AB59" s="861"/>
      <c r="AC59" s="91"/>
      <c r="AD59" s="91"/>
      <c r="AE59" s="91"/>
      <c r="AF59" s="91"/>
      <c r="AG59" s="861"/>
      <c r="AH59" s="91"/>
      <c r="AI59" s="91"/>
      <c r="AJ59" s="91"/>
      <c r="AK59" s="91"/>
      <c r="AL59" s="861"/>
      <c r="AM59" s="91"/>
      <c r="AN59" s="91"/>
      <c r="AO59" s="91"/>
      <c r="AP59" s="91"/>
      <c r="AQ59" s="861"/>
      <c r="AR59" s="91"/>
      <c r="AS59" s="91"/>
      <c r="AT59" s="91"/>
      <c r="AU59" s="91"/>
      <c r="AV59" s="861"/>
      <c r="AW59" s="91"/>
      <c r="AX59" s="91"/>
      <c r="AY59" s="91"/>
      <c r="AZ59" s="91"/>
      <c r="BA59" s="861"/>
      <c r="BB59" s="91"/>
      <c r="BC59" s="91"/>
      <c r="BD59" s="91"/>
      <c r="BE59" s="91"/>
      <c r="BF59" s="861"/>
      <c r="BG59" s="91"/>
      <c r="BH59" s="91"/>
      <c r="BI59" s="91"/>
      <c r="BJ59" s="91"/>
      <c r="BK59" s="861"/>
      <c r="BL59" s="91"/>
      <c r="BM59" s="91"/>
      <c r="BN59" s="91"/>
      <c r="BO59" s="91"/>
      <c r="BP59" s="861"/>
      <c r="BQ59" s="477"/>
      <c r="BR59" s="477"/>
      <c r="BS59" s="477"/>
      <c r="BT59" s="477"/>
      <c r="BU59" s="863"/>
      <c r="BV59" s="477"/>
      <c r="BW59" s="477"/>
      <c r="BX59" s="477"/>
      <c r="BY59" s="477"/>
      <c r="BZ59" s="863"/>
      <c r="CA59" s="477"/>
      <c r="CB59" s="477"/>
      <c r="CC59" s="477"/>
      <c r="CD59" s="477"/>
      <c r="CE59" s="863"/>
      <c r="CF59" s="477"/>
      <c r="CG59" s="477"/>
      <c r="CH59" s="477"/>
      <c r="CI59" s="477"/>
      <c r="CJ59" s="863"/>
      <c r="CK59" s="477">
        <f>CK26/-CK58</f>
        <v>0</v>
      </c>
      <c r="CL59" s="477">
        <f>CL26/-CL58</f>
        <v>0</v>
      </c>
      <c r="CM59" s="477">
        <f>CM26/-CM58</f>
        <v>0.2639823422652306</v>
      </c>
      <c r="CN59" s="477">
        <f>CN26/-CN58</f>
        <v>0.23618736605776103</v>
      </c>
      <c r="CO59" s="863"/>
      <c r="CP59" s="477">
        <f>CP26/-CP58</f>
        <v>4.4248189640290385E-3</v>
      </c>
      <c r="CQ59" s="477">
        <f>CQ26/-CQ58</f>
        <v>2.8338892595063379E-3</v>
      </c>
      <c r="CR59" s="477">
        <f>CR26/-CR58</f>
        <v>2.2533257000397653E-3</v>
      </c>
      <c r="CS59" s="477">
        <f>CS26/-CS58</f>
        <v>5.0216028194678027E-2</v>
      </c>
      <c r="CT59" s="864"/>
      <c r="CU59" s="477">
        <f>CU26/-CU58</f>
        <v>5.8967707023602996E-2</v>
      </c>
      <c r="CV59" s="477">
        <f>CV26/-CV58</f>
        <v>4.6828230709631324E-2</v>
      </c>
      <c r="CW59" s="477">
        <f>CW26/-CW58</f>
        <v>4.3226048514706128E-2</v>
      </c>
      <c r="CX59" s="477">
        <f>CX26/-CX58</f>
        <v>1.9911390258825962E-2</v>
      </c>
      <c r="CY59" s="864"/>
      <c r="CZ59" s="477">
        <f>CZ26/-CZ58</f>
        <v>1.1274950279562761E-2</v>
      </c>
      <c r="DA59" s="477">
        <f>DA26/-DA58</f>
        <v>4.8767511970207482E-3</v>
      </c>
      <c r="DB59" s="477">
        <f>DB26/-DB58</f>
        <v>4.4239444754281543E-3</v>
      </c>
      <c r="DC59" s="477">
        <f>DC26/-DC58</f>
        <v>9.5112012373677769E-3</v>
      </c>
      <c r="DD59" s="864"/>
      <c r="DE59" s="477">
        <f>DE26/-DE58</f>
        <v>0</v>
      </c>
      <c r="DF59" s="477">
        <f>DF26/-DF58</f>
        <v>0</v>
      </c>
      <c r="DG59" s="477">
        <f>DG26/-DG58</f>
        <v>0</v>
      </c>
      <c r="DH59" s="477">
        <f>DH26/-DH58</f>
        <v>0</v>
      </c>
      <c r="DI59" s="864"/>
      <c r="DJ59" s="477">
        <f>DJ26/-DJ58</f>
        <v>0</v>
      </c>
      <c r="DK59" s="477">
        <f>DK26/-DK58</f>
        <v>0</v>
      </c>
      <c r="DL59" s="477">
        <f>DL26/-DL58</f>
        <v>0</v>
      </c>
      <c r="DM59" s="478">
        <v>2.1999999999999999E-2</v>
      </c>
      <c r="DN59" s="864"/>
      <c r="DO59" s="478">
        <v>2.1999999999999999E-2</v>
      </c>
      <c r="DP59" s="478">
        <v>2.1999999999999999E-2</v>
      </c>
      <c r="DQ59" s="478">
        <v>2.1999999999999999E-2</v>
      </c>
      <c r="DR59" s="478">
        <v>2.1999999999999999E-2</v>
      </c>
      <c r="DS59" s="859"/>
      <c r="DT59" s="478">
        <v>2.1999999999999999E-2</v>
      </c>
      <c r="DU59" s="478">
        <v>2.1999999999999999E-2</v>
      </c>
      <c r="DV59" s="478">
        <v>2.1999999999999999E-2</v>
      </c>
      <c r="DW59" s="478">
        <v>2.1999999999999999E-2</v>
      </c>
      <c r="DX59" s="859"/>
      <c r="DY59" s="478">
        <v>2.1999999999999999E-2</v>
      </c>
      <c r="DZ59" s="478">
        <v>2.1999999999999999E-2</v>
      </c>
      <c r="EA59" s="478">
        <v>2.1999999999999999E-2</v>
      </c>
      <c r="EB59" s="478">
        <v>2.1999999999999999E-2</v>
      </c>
      <c r="EC59" s="859"/>
    </row>
    <row r="60" spans="1:133" s="93" customFormat="1" ht="12" customHeight="1">
      <c r="A60" s="139"/>
      <c r="B60" s="139"/>
      <c r="C60" s="123" t="s">
        <v>221</v>
      </c>
      <c r="D60" s="433"/>
      <c r="E60" s="433"/>
      <c r="F60" s="433"/>
      <c r="G60" s="433"/>
      <c r="H60" s="433"/>
      <c r="M60" s="433"/>
      <c r="R60" s="433"/>
      <c r="W60" s="433"/>
      <c r="AB60" s="433"/>
      <c r="AG60" s="433"/>
      <c r="AL60" s="433"/>
      <c r="AQ60" s="433"/>
      <c r="AV60" s="433"/>
      <c r="BA60" s="433"/>
      <c r="BF60" s="433"/>
      <c r="BK60" s="433"/>
      <c r="BP60" s="433"/>
      <c r="BQ60" s="382"/>
      <c r="BR60" s="382">
        <f>BR25/-Income!BR20*(90)</f>
        <v>81.427264409881076</v>
      </c>
      <c r="BS60" s="382">
        <f>BS25/-Income!BS20*(90)</f>
        <v>46.843571933618925</v>
      </c>
      <c r="BT60" s="382">
        <f>BT25/-Income!BT20*(90)</f>
        <v>63.253130006527016</v>
      </c>
      <c r="BU60" s="323"/>
      <c r="BV60" s="382">
        <f>BV25/-Income!BV20*(90)</f>
        <v>74.648405184300032</v>
      </c>
      <c r="BW60" s="382">
        <f>BW25/-Income!BW20*(90)</f>
        <v>74.205602699110514</v>
      </c>
      <c r="BX60" s="382">
        <f>BX25/-Income!BX20*(90)</f>
        <v>83.141884519704973</v>
      </c>
      <c r="BY60" s="382">
        <f>BY25/-Income!BY20*(90)</f>
        <v>65.144743606220288</v>
      </c>
      <c r="BZ60" s="323"/>
      <c r="CA60" s="382">
        <f>CA25/-Income!CA20*(90)</f>
        <v>85.383945736152924</v>
      </c>
      <c r="CB60" s="382">
        <f>CB25/-Income!CB20*(90)</f>
        <v>79.312196250867856</v>
      </c>
      <c r="CC60" s="382">
        <f>CC25/-Income!CC20*(90)</f>
        <v>82.209466743199528</v>
      </c>
      <c r="CD60" s="382">
        <f>CD25/-Income!CD20*(90)</f>
        <v>55.393876206119849</v>
      </c>
      <c r="CE60" s="323"/>
      <c r="CF60" s="382">
        <f>CF25/-Income!CF20*(90)</f>
        <v>78.617980507856529</v>
      </c>
      <c r="CG60" s="382">
        <f>CG25/-Income!CG20*(90)</f>
        <v>79.768257906821717</v>
      </c>
      <c r="CH60" s="382">
        <f>CH25/-Income!CH20*(90)</f>
        <v>80.65275019320741</v>
      </c>
      <c r="CI60" s="382">
        <f>CI25/-Income!CI20*(90)</f>
        <v>55.186536722342034</v>
      </c>
      <c r="CJ60" s="323"/>
      <c r="CK60" s="382">
        <f>CK25/-Income!CK20*(90)</f>
        <v>80.263711650533907</v>
      </c>
      <c r="CL60" s="382">
        <f>CL25/-Income!CL20*(90)</f>
        <v>81.290470314348596</v>
      </c>
      <c r="CM60" s="382">
        <f>CM25/-Income!CM20*(90)</f>
        <v>72.12693263390392</v>
      </c>
      <c r="CN60" s="382">
        <f>CN25/-Income!CN20*(90)</f>
        <v>67.589992912475296</v>
      </c>
      <c r="CO60" s="323"/>
      <c r="CP60" s="382">
        <f>CP25/-Income!CP20*(90)</f>
        <v>90.582959009814559</v>
      </c>
      <c r="CQ60" s="382">
        <f>CQ25/-Income!CQ20*(90)</f>
        <v>63.923349650906125</v>
      </c>
      <c r="CR60" s="382">
        <f>CR25/-Income!CR20*(90)</f>
        <v>64.982843671757891</v>
      </c>
      <c r="CS60" s="382">
        <f>CS25/-Income!CS20*(90)</f>
        <v>57.190676784492013</v>
      </c>
      <c r="CT60" s="859"/>
      <c r="CU60" s="382">
        <f>CU25/-Income!CU20*(90)</f>
        <v>70.938918105463429</v>
      </c>
      <c r="CV60" s="382">
        <f>CV25/-Income!CV20*(90)</f>
        <v>52.264568729504497</v>
      </c>
      <c r="CW60" s="382">
        <f>CW25/-Income!CW20*(90)</f>
        <v>61.287917782728698</v>
      </c>
      <c r="CX60" s="382">
        <f>CX25/-Income!CX20*(90)</f>
        <v>59.796352738355893</v>
      </c>
      <c r="CY60" s="859"/>
      <c r="CZ60" s="382">
        <f>CZ25/-Income!CZ20*(90)</f>
        <v>64.662783178382497</v>
      </c>
      <c r="DA60" s="382">
        <f>DA25/-Income!DA20*(90)</f>
        <v>59.032656106070966</v>
      </c>
      <c r="DB60" s="382">
        <f>DB25/-Income!DB20*(90)</f>
        <v>76.222047315689878</v>
      </c>
      <c r="DC60" s="382">
        <f>DC25/-Income!DC20*(90)</f>
        <v>51.182856898779455</v>
      </c>
      <c r="DD60" s="859"/>
      <c r="DE60" s="382">
        <f>DE25/-Income!DE20*(90)</f>
        <v>60.872313527180779</v>
      </c>
      <c r="DF60" s="382">
        <f>DF25/-Income!DF20*(90)</f>
        <v>58.0442374854482</v>
      </c>
      <c r="DG60" s="382">
        <f>DG25/-Income!DG20*(90)</f>
        <v>59.003690036900366</v>
      </c>
      <c r="DH60" s="382">
        <f>DH25/-Income!DH20*(90)</f>
        <v>48.160813308687615</v>
      </c>
      <c r="DI60" s="859"/>
      <c r="DJ60" s="382">
        <f>DJ25/-Income!DJ20*(90)</f>
        <v>58.639380530973455</v>
      </c>
      <c r="DK60" s="382">
        <f>DK25/-Income!DK20*(90)</f>
        <v>50.31</v>
      </c>
      <c r="DL60" s="382">
        <f>DL25/-Income!DL20*(90)</f>
        <v>52.84482758620689</v>
      </c>
      <c r="DM60" s="860">
        <v>45</v>
      </c>
      <c r="DN60" s="859"/>
      <c r="DO60" s="860">
        <f>+DJ60-2</f>
        <v>56.639380530973455</v>
      </c>
      <c r="DP60" s="860">
        <v>54</v>
      </c>
      <c r="DQ60" s="860">
        <v>55</v>
      </c>
      <c r="DR60" s="860">
        <v>45</v>
      </c>
      <c r="DS60" s="859"/>
      <c r="DT60" s="860">
        <f>+DO60-1</f>
        <v>55.639380530973455</v>
      </c>
      <c r="DU60" s="860">
        <v>54</v>
      </c>
      <c r="DV60" s="860">
        <v>55</v>
      </c>
      <c r="DW60" s="860">
        <f t="shared" ref="DW60" si="306">+DR60-1</f>
        <v>44</v>
      </c>
      <c r="DX60" s="859"/>
      <c r="DY60" s="860">
        <f>+DT60-1</f>
        <v>54.639380530973455</v>
      </c>
      <c r="DZ60" s="860">
        <f t="shared" ref="DZ60" si="307">+DU60-1</f>
        <v>53</v>
      </c>
      <c r="EA60" s="860">
        <f t="shared" ref="EA60" si="308">+DV60-1</f>
        <v>54</v>
      </c>
      <c r="EB60" s="860">
        <f t="shared" ref="EB60" si="309">+DW60-1</f>
        <v>43</v>
      </c>
      <c r="EC60" s="859"/>
    </row>
    <row r="61" spans="1:133" s="93" customFormat="1" ht="12" customHeight="1">
      <c r="A61" s="139"/>
      <c r="B61" s="139"/>
      <c r="C61" s="123" t="s">
        <v>308</v>
      </c>
      <c r="D61" s="861"/>
      <c r="E61" s="861"/>
      <c r="F61" s="861"/>
      <c r="G61" s="861"/>
      <c r="H61" s="861"/>
      <c r="I61" s="91"/>
      <c r="J61" s="91"/>
      <c r="K61" s="91"/>
      <c r="L61" s="91"/>
      <c r="M61" s="861"/>
      <c r="N61" s="91"/>
      <c r="O61" s="91"/>
      <c r="P61" s="91"/>
      <c r="Q61" s="91"/>
      <c r="R61" s="861"/>
      <c r="S61" s="91"/>
      <c r="T61" s="91"/>
      <c r="U61" s="91"/>
      <c r="V61" s="91"/>
      <c r="W61" s="861"/>
      <c r="X61" s="91"/>
      <c r="Y61" s="91"/>
      <c r="Z61" s="91"/>
      <c r="AA61" s="91"/>
      <c r="AB61" s="861"/>
      <c r="AC61" s="91"/>
      <c r="AD61" s="91"/>
      <c r="AE61" s="91"/>
      <c r="AF61" s="91"/>
      <c r="AG61" s="861"/>
      <c r="AH61" s="91"/>
      <c r="AI61" s="91"/>
      <c r="AJ61" s="91"/>
      <c r="AK61" s="91"/>
      <c r="AL61" s="861"/>
      <c r="AM61" s="91"/>
      <c r="AN61" s="91"/>
      <c r="AO61" s="91"/>
      <c r="AP61" s="91"/>
      <c r="AQ61" s="861"/>
      <c r="AR61" s="91"/>
      <c r="AS61" s="91"/>
      <c r="AT61" s="91"/>
      <c r="AU61" s="91"/>
      <c r="AV61" s="861"/>
      <c r="AW61" s="91"/>
      <c r="AX61" s="91"/>
      <c r="AY61" s="91"/>
      <c r="AZ61" s="91"/>
      <c r="BA61" s="861"/>
      <c r="BB61" s="91"/>
      <c r="BC61" s="91"/>
      <c r="BD61" s="91"/>
      <c r="BE61" s="91"/>
      <c r="BF61" s="861"/>
      <c r="BG61" s="91"/>
      <c r="BH61" s="91"/>
      <c r="BI61" s="91"/>
      <c r="BJ61" s="91"/>
      <c r="BK61" s="861"/>
      <c r="BL61" s="91"/>
      <c r="BM61" s="91"/>
      <c r="BN61" s="91"/>
      <c r="BO61" s="91"/>
      <c r="BP61" s="861"/>
      <c r="BQ61" s="477"/>
      <c r="BR61" s="477">
        <f>(BR27+BR31)/Income!BR11</f>
        <v>0.22594933891287899</v>
      </c>
      <c r="BS61" s="477">
        <f>(BS27+BS31)/Income!BS11</f>
        <v>0.1358125260485735</v>
      </c>
      <c r="BT61" s="477">
        <f>(BT27+BT31)/Income!BT11</f>
        <v>0.19077137930543087</v>
      </c>
      <c r="BU61" s="863"/>
      <c r="BV61" s="477">
        <f>(BV27+BV31)/Income!BV11</f>
        <v>0.21037650229641647</v>
      </c>
      <c r="BW61" s="477">
        <f>(BW27+BW31)/Income!BW11</f>
        <v>0.19966069223400693</v>
      </c>
      <c r="BX61" s="477">
        <f>(BX27+BX31)/Income!BX11</f>
        <v>0.19248227520134967</v>
      </c>
      <c r="BY61" s="477">
        <f>(BY27+BY31)/Income!BY11</f>
        <v>0.16172353757775174</v>
      </c>
      <c r="BZ61" s="863"/>
      <c r="CA61" s="477">
        <f>(CA27+CA31)/Income!CA11</f>
        <v>0.19004702501982271</v>
      </c>
      <c r="CB61" s="477">
        <f>(CB27+CB31)/Income!CB11</f>
        <v>0.17734990603672809</v>
      </c>
      <c r="CC61" s="477">
        <f>(CC27+CC31)/Income!CC11</f>
        <v>0.1746687196715192</v>
      </c>
      <c r="CD61" s="477">
        <f>(CD27+CD31)/Income!CD11</f>
        <v>0.14382399669679644</v>
      </c>
      <c r="CE61" s="863"/>
      <c r="CF61" s="477">
        <f>(CF27+CF31)/Income!CF11</f>
        <v>0.16083325557525427</v>
      </c>
      <c r="CG61" s="477">
        <f>(CG27+CG31)/Income!CG11</f>
        <v>0.14966750080624422</v>
      </c>
      <c r="CH61" s="477">
        <f>(CH27+CH31)/Income!CH11</f>
        <v>0.14341415368209021</v>
      </c>
      <c r="CI61" s="477">
        <f>(CI27+CI31)/Income!CI11</f>
        <v>0.11941127545352498</v>
      </c>
      <c r="CJ61" s="863"/>
      <c r="CK61" s="477">
        <f>CK27/CK51</f>
        <v>0.13338034585405734</v>
      </c>
      <c r="CL61" s="477">
        <f>CL27/CL51</f>
        <v>0.12626975598031931</v>
      </c>
      <c r="CM61" s="477">
        <f>CM27/CM51</f>
        <v>0.12384522419549765</v>
      </c>
      <c r="CN61" s="477">
        <f>CN27/CN51</f>
        <v>0.11222384986934833</v>
      </c>
      <c r="CO61" s="863"/>
      <c r="CP61" s="477">
        <f>CP27/CP51</f>
        <v>0.13379546000965956</v>
      </c>
      <c r="CQ61" s="477">
        <f>CQ27/CQ51</f>
        <v>9.4429691141905608E-2</v>
      </c>
      <c r="CR61" s="477">
        <f>CR27/CR51</f>
        <v>0.12610942071005532</v>
      </c>
      <c r="CS61" s="477">
        <f>CS27/CS51</f>
        <v>0.11026301363138</v>
      </c>
      <c r="CT61" s="864"/>
      <c r="CU61" s="477">
        <f>CU27/CU51</f>
        <v>0.11604242970443444</v>
      </c>
      <c r="CV61" s="477">
        <f>CV27/CV51</f>
        <v>0.16361679224973091</v>
      </c>
      <c r="CW61" s="477">
        <f>CW27/CW51</f>
        <v>0.18140584120882056</v>
      </c>
      <c r="CX61" s="477">
        <f>CX27/CX51</f>
        <v>0.15709292012312828</v>
      </c>
      <c r="CY61" s="864"/>
      <c r="CZ61" s="477">
        <f>CZ27/CZ51</f>
        <v>0.20575130252579088</v>
      </c>
      <c r="DA61" s="477">
        <f>DA27/DA51</f>
        <v>0.196134859848517</v>
      </c>
      <c r="DB61" s="477">
        <f>DB27/DB51</f>
        <v>0.21052920509442247</v>
      </c>
      <c r="DC61" s="477">
        <f>DC27/DC51</f>
        <v>0.17054279650808252</v>
      </c>
      <c r="DD61" s="864"/>
      <c r="DE61" s="477">
        <f>DE27/DE51</f>
        <v>0.21485411140583555</v>
      </c>
      <c r="DF61" s="477">
        <f>DF27/DF51</f>
        <v>0.18299881936245574</v>
      </c>
      <c r="DG61" s="477">
        <f>DG27/DG51</f>
        <v>0.17736289381563594</v>
      </c>
      <c r="DH61" s="477">
        <f>DH27/DH51</f>
        <v>0.14085820895522388</v>
      </c>
      <c r="DI61" s="864"/>
      <c r="DJ61" s="477">
        <f>DJ27/DJ51</f>
        <v>0.15905427189682966</v>
      </c>
      <c r="DK61" s="477">
        <f>DK27/DK51</f>
        <v>0.14572127139364302</v>
      </c>
      <c r="DL61" s="477">
        <f>DL27/DL51</f>
        <v>0.13413506012950971</v>
      </c>
      <c r="DM61" s="478">
        <v>0.13</v>
      </c>
      <c r="DN61" s="864"/>
      <c r="DO61" s="478">
        <f>+DJ61</f>
        <v>0.15905427189682966</v>
      </c>
      <c r="DP61" s="478">
        <f t="shared" ref="DP61:DR62" si="310">+DK61</f>
        <v>0.14572127139364302</v>
      </c>
      <c r="DQ61" s="478">
        <f t="shared" si="310"/>
        <v>0.13413506012950971</v>
      </c>
      <c r="DR61" s="478">
        <f t="shared" si="310"/>
        <v>0.13</v>
      </c>
      <c r="DS61" s="859"/>
      <c r="DT61" s="478">
        <f>+DO61</f>
        <v>0.15905427189682966</v>
      </c>
      <c r="DU61" s="478">
        <f t="shared" ref="DU61:DU62" si="311">+DP61</f>
        <v>0.14572127139364302</v>
      </c>
      <c r="DV61" s="478">
        <f t="shared" ref="DV61:DV62" si="312">+DQ61</f>
        <v>0.13413506012950971</v>
      </c>
      <c r="DW61" s="478">
        <f t="shared" ref="DW61:DW62" si="313">+DR61</f>
        <v>0.13</v>
      </c>
      <c r="DX61" s="859"/>
      <c r="DY61" s="478">
        <f>+DT61</f>
        <v>0.15905427189682966</v>
      </c>
      <c r="DZ61" s="478">
        <f t="shared" ref="DZ61:EB62" si="314">+DU61</f>
        <v>0.14572127139364302</v>
      </c>
      <c r="EA61" s="478">
        <f t="shared" si="314"/>
        <v>0.13413506012950971</v>
      </c>
      <c r="EB61" s="478">
        <f t="shared" si="314"/>
        <v>0.13</v>
      </c>
      <c r="EC61" s="859"/>
    </row>
    <row r="62" spans="1:133" s="93" customFormat="1" ht="12" customHeight="1">
      <c r="A62" s="139"/>
      <c r="B62" s="139"/>
      <c r="C62" s="123" t="s">
        <v>309</v>
      </c>
      <c r="D62" s="861"/>
      <c r="E62" s="861"/>
      <c r="F62" s="861"/>
      <c r="G62" s="861"/>
      <c r="H62" s="861"/>
      <c r="I62" s="91"/>
      <c r="J62" s="91"/>
      <c r="K62" s="91"/>
      <c r="L62" s="91"/>
      <c r="M62" s="861"/>
      <c r="N62" s="91"/>
      <c r="O62" s="91"/>
      <c r="P62" s="91"/>
      <c r="Q62" s="91"/>
      <c r="R62" s="861"/>
      <c r="S62" s="91"/>
      <c r="T62" s="91"/>
      <c r="U62" s="91"/>
      <c r="V62" s="91"/>
      <c r="W62" s="861"/>
      <c r="X62" s="91"/>
      <c r="Y62" s="91"/>
      <c r="Z62" s="91"/>
      <c r="AA62" s="91"/>
      <c r="AB62" s="861"/>
      <c r="AC62" s="91"/>
      <c r="AD62" s="91"/>
      <c r="AE62" s="91"/>
      <c r="AF62" s="91"/>
      <c r="AG62" s="861"/>
      <c r="AH62" s="91"/>
      <c r="AI62" s="91"/>
      <c r="AJ62" s="91"/>
      <c r="AK62" s="91"/>
      <c r="AL62" s="861"/>
      <c r="AM62" s="91"/>
      <c r="AN62" s="91"/>
      <c r="AO62" s="91"/>
      <c r="AP62" s="91"/>
      <c r="AQ62" s="861"/>
      <c r="AR62" s="91"/>
      <c r="AS62" s="91"/>
      <c r="AT62" s="91"/>
      <c r="AU62" s="91"/>
      <c r="AV62" s="861"/>
      <c r="AW62" s="91"/>
      <c r="AX62" s="91"/>
      <c r="AY62" s="91"/>
      <c r="AZ62" s="91"/>
      <c r="BA62" s="861"/>
      <c r="BB62" s="91"/>
      <c r="BC62" s="91"/>
      <c r="BD62" s="91"/>
      <c r="BE62" s="91"/>
      <c r="BF62" s="861"/>
      <c r="BG62" s="91"/>
      <c r="BH62" s="91"/>
      <c r="BI62" s="91"/>
      <c r="BJ62" s="91"/>
      <c r="BK62" s="861"/>
      <c r="BL62" s="91"/>
      <c r="BM62" s="91"/>
      <c r="BN62" s="91"/>
      <c r="BO62" s="91"/>
      <c r="BP62" s="861"/>
      <c r="BQ62" s="477"/>
      <c r="BR62" s="477"/>
      <c r="BS62" s="477"/>
      <c r="BT62" s="477"/>
      <c r="BU62" s="863"/>
      <c r="BV62" s="477"/>
      <c r="BW62" s="477"/>
      <c r="BX62" s="477"/>
      <c r="BY62" s="477"/>
      <c r="BZ62" s="863"/>
      <c r="CA62" s="477"/>
      <c r="CB62" s="477"/>
      <c r="CC62" s="477"/>
      <c r="CD62" s="477"/>
      <c r="CE62" s="863"/>
      <c r="CF62" s="477"/>
      <c r="CG62" s="477"/>
      <c r="CH62" s="477"/>
      <c r="CI62" s="477"/>
      <c r="CJ62" s="863"/>
      <c r="CK62" s="477">
        <f>CK31/CK51</f>
        <v>6.2749233966338212E-3</v>
      </c>
      <c r="CL62" s="477">
        <f>CL31/CL51</f>
        <v>5.7793407904878462E-3</v>
      </c>
      <c r="CM62" s="477">
        <f>CM31/CM51</f>
        <v>5.4154120322005778E-3</v>
      </c>
      <c r="CN62" s="477">
        <f>CN31/CN51</f>
        <v>1.1816058278565206E-2</v>
      </c>
      <c r="CO62" s="863"/>
      <c r="CP62" s="477">
        <f>CP31/CP51</f>
        <v>1.1872315165286883E-2</v>
      </c>
      <c r="CQ62" s="477">
        <f>CQ31/CQ51</f>
        <v>9.6116560578211243E-3</v>
      </c>
      <c r="CR62" s="477">
        <f>CR31/CR51</f>
        <v>3.0075383923743003E-2</v>
      </c>
      <c r="CS62" s="477">
        <f>CS31/CS51</f>
        <v>2.1484151270680263E-2</v>
      </c>
      <c r="CT62" s="864"/>
      <c r="CU62" s="477">
        <f>CU31/CU51</f>
        <v>2.2674422721153255E-2</v>
      </c>
      <c r="CV62" s="477">
        <f>CV31/CV51</f>
        <v>0.1208822228872343</v>
      </c>
      <c r="CW62" s="477">
        <f>CW31/CW51</f>
        <v>0.15526990229056545</v>
      </c>
      <c r="CX62" s="477">
        <f>CX31/CX51</f>
        <v>0.11806461336904284</v>
      </c>
      <c r="CY62" s="864"/>
      <c r="CZ62" s="477">
        <f>CZ31/CZ51</f>
        <v>0.15506184245399099</v>
      </c>
      <c r="DA62" s="477">
        <f>DA31/DA51</f>
        <v>0.12308667609220554</v>
      </c>
      <c r="DB62" s="477">
        <f>DB31/DB51</f>
        <v>0.21931269213877908</v>
      </c>
      <c r="DC62" s="477">
        <f>DC31/DC51</f>
        <v>0.15418812227013828</v>
      </c>
      <c r="DD62" s="864"/>
      <c r="DE62" s="477">
        <f>DE31/DE51</f>
        <v>0.15384615384615385</v>
      </c>
      <c r="DF62" s="477">
        <f>DF31/DF51</f>
        <v>0.13931523022432113</v>
      </c>
      <c r="DG62" s="477">
        <f>DG31/DG51</f>
        <v>0.12602100350058343</v>
      </c>
      <c r="DH62" s="477">
        <f>DH31/DH51</f>
        <v>9.1417910447761194E-2</v>
      </c>
      <c r="DI62" s="864"/>
      <c r="DJ62" s="477">
        <f>DJ31/DJ51</f>
        <v>9.8334228909188609E-2</v>
      </c>
      <c r="DK62" s="477">
        <f>DK31/DK51</f>
        <v>8.3129584352078234E-2</v>
      </c>
      <c r="DL62" s="477">
        <f>DL31/DL51</f>
        <v>7.3543015726179467E-2</v>
      </c>
      <c r="DM62" s="478">
        <v>6.8000000000000005E-2</v>
      </c>
      <c r="DN62" s="864"/>
      <c r="DO62" s="478">
        <f>+DJ62</f>
        <v>9.8334228909188609E-2</v>
      </c>
      <c r="DP62" s="478">
        <f t="shared" si="310"/>
        <v>8.3129584352078234E-2</v>
      </c>
      <c r="DQ62" s="478">
        <f t="shared" si="310"/>
        <v>7.3543015726179467E-2</v>
      </c>
      <c r="DR62" s="478">
        <f t="shared" si="310"/>
        <v>6.8000000000000005E-2</v>
      </c>
      <c r="DS62" s="859"/>
      <c r="DT62" s="478">
        <f>+DO62</f>
        <v>9.8334228909188609E-2</v>
      </c>
      <c r="DU62" s="478">
        <f t="shared" si="311"/>
        <v>8.3129584352078234E-2</v>
      </c>
      <c r="DV62" s="478">
        <f t="shared" si="312"/>
        <v>7.3543015726179467E-2</v>
      </c>
      <c r="DW62" s="478">
        <f t="shared" si="313"/>
        <v>6.8000000000000005E-2</v>
      </c>
      <c r="DX62" s="859"/>
      <c r="DY62" s="478">
        <f>+DT62</f>
        <v>9.8334228909188609E-2</v>
      </c>
      <c r="DZ62" s="478">
        <f t="shared" si="314"/>
        <v>8.3129584352078234E-2</v>
      </c>
      <c r="EA62" s="478">
        <f t="shared" si="314"/>
        <v>7.3543015726179467E-2</v>
      </c>
      <c r="EB62" s="478">
        <f t="shared" si="314"/>
        <v>6.8000000000000005E-2</v>
      </c>
      <c r="EC62" s="859"/>
    </row>
    <row r="63" spans="1:133" s="93" customFormat="1" ht="12" hidden="1" customHeight="1">
      <c r="A63" s="139"/>
      <c r="B63" s="139"/>
      <c r="C63" s="123" t="s">
        <v>223</v>
      </c>
      <c r="D63" s="433"/>
      <c r="E63" s="433"/>
      <c r="F63" s="433"/>
      <c r="G63" s="433"/>
      <c r="H63" s="433"/>
      <c r="M63" s="433"/>
      <c r="R63" s="433"/>
      <c r="W63" s="433"/>
      <c r="AB63" s="433"/>
      <c r="AG63" s="433"/>
      <c r="AL63" s="433"/>
      <c r="AQ63" s="433"/>
      <c r="AV63" s="433"/>
      <c r="BA63" s="433"/>
      <c r="BF63" s="433"/>
      <c r="BK63" s="433"/>
      <c r="BP63" s="433"/>
      <c r="BQ63" s="477"/>
      <c r="BR63" s="477">
        <f>BR29/Income!BR11</f>
        <v>0</v>
      </c>
      <c r="BS63" s="477">
        <f>BS29/Income!BS11</f>
        <v>0</v>
      </c>
      <c r="BT63" s="477">
        <f>BT29/Income!BT11</f>
        <v>0</v>
      </c>
      <c r="BU63" s="323"/>
      <c r="BV63" s="477">
        <f>BV29/Income!BV11</f>
        <v>0</v>
      </c>
      <c r="BW63" s="477">
        <f>BW29/Income!BW11</f>
        <v>0</v>
      </c>
      <c r="BX63" s="477">
        <f>BX29/Income!BX11</f>
        <v>0</v>
      </c>
      <c r="BY63" s="477">
        <f>BY29/Income!BY11</f>
        <v>0</v>
      </c>
      <c r="BZ63" s="323"/>
      <c r="CA63" s="477">
        <f>CA29/Income!CA11</f>
        <v>0</v>
      </c>
      <c r="CB63" s="477">
        <f>CB29/Income!CB11</f>
        <v>0</v>
      </c>
      <c r="CC63" s="477">
        <f>CC29/Income!CC11</f>
        <v>0</v>
      </c>
      <c r="CD63" s="477">
        <f>CD29/Income!CD11</f>
        <v>0</v>
      </c>
      <c r="CE63" s="323"/>
      <c r="CF63" s="477">
        <f>CF29/Income!CF11</f>
        <v>0</v>
      </c>
      <c r="CG63" s="477">
        <f>CG29/Income!CG11</f>
        <v>0</v>
      </c>
      <c r="CH63" s="477">
        <f>CH29/Income!CH11</f>
        <v>0</v>
      </c>
      <c r="CI63" s="477">
        <f>CI29/Income!CI11</f>
        <v>0</v>
      </c>
      <c r="CJ63" s="323"/>
      <c r="CK63" s="477">
        <f>CK29/Income!CK11</f>
        <v>0</v>
      </c>
      <c r="CL63" s="477">
        <f>CL29/Income!CL11</f>
        <v>0</v>
      </c>
      <c r="CM63" s="477">
        <f>CM29/Income!CM11</f>
        <v>0</v>
      </c>
      <c r="CN63" s="477">
        <f>CN29/Income!CN11</f>
        <v>0</v>
      </c>
      <c r="CO63" s="323"/>
      <c r="CP63" s="477">
        <f>CP29/Income!CP11</f>
        <v>0</v>
      </c>
      <c r="CQ63" s="477">
        <f>CQ29/Income!CQ11</f>
        <v>0</v>
      </c>
      <c r="CR63" s="477">
        <f>CR29/Income!CR11</f>
        <v>0</v>
      </c>
      <c r="CS63" s="477">
        <f>CS29/Income!CS11</f>
        <v>0</v>
      </c>
      <c r="CT63" s="859"/>
      <c r="CU63" s="477">
        <f>CU29/Income!CU11</f>
        <v>0</v>
      </c>
      <c r="CV63" s="477">
        <f>CV29/Income!CV11</f>
        <v>0</v>
      </c>
      <c r="CW63" s="477">
        <f>CW29/Income!CW11</f>
        <v>0</v>
      </c>
      <c r="CX63" s="477">
        <f>CX29/Income!CX11</f>
        <v>0</v>
      </c>
      <c r="CY63" s="859"/>
      <c r="CZ63" s="477">
        <f>CZ29/Income!CZ11</f>
        <v>0</v>
      </c>
      <c r="DA63" s="477">
        <f>DA29/Income!DA11</f>
        <v>0</v>
      </c>
      <c r="DB63" s="477">
        <f>DB29/Income!DB11</f>
        <v>0</v>
      </c>
      <c r="DC63" s="477">
        <f>DC29/Income!DC11</f>
        <v>0</v>
      </c>
      <c r="DD63" s="859"/>
      <c r="DE63" s="477">
        <f>DE29/Income!DE11</f>
        <v>0</v>
      </c>
      <c r="DF63" s="477">
        <f>DF29/Income!DF11</f>
        <v>0</v>
      </c>
      <c r="DG63" s="477">
        <f>DG29/Income!DG11</f>
        <v>0</v>
      </c>
      <c r="DH63" s="477">
        <f>DH29/Income!DH11</f>
        <v>0</v>
      </c>
      <c r="DI63" s="859"/>
      <c r="DJ63" s="477">
        <f>DJ29/Income!DJ11</f>
        <v>0</v>
      </c>
      <c r="DK63" s="478">
        <v>0.346262226611389</v>
      </c>
      <c r="DL63" s="478">
        <v>0.346262226611389</v>
      </c>
      <c r="DM63" s="478">
        <v>0.346262226611389</v>
      </c>
      <c r="DN63" s="859"/>
      <c r="DO63" s="478">
        <v>0.346262226611389</v>
      </c>
      <c r="DP63" s="478">
        <v>0.346262226611389</v>
      </c>
      <c r="DQ63" s="478">
        <v>0.346262226611389</v>
      </c>
      <c r="DR63" s="478">
        <v>0.346262226611389</v>
      </c>
      <c r="DS63" s="859"/>
      <c r="DT63" s="478">
        <v>0.346262226611389</v>
      </c>
      <c r="DU63" s="478">
        <v>0.346262226611389</v>
      </c>
      <c r="DV63" s="478">
        <v>0.346262226611389</v>
      </c>
      <c r="DW63" s="478">
        <v>0.346262226611389</v>
      </c>
      <c r="DX63" s="859"/>
      <c r="DY63" s="478">
        <v>0.346262226611389</v>
      </c>
      <c r="DZ63" s="478">
        <v>0.346262226611389</v>
      </c>
      <c r="EA63" s="478">
        <v>0.346262226611389</v>
      </c>
      <c r="EB63" s="478">
        <v>0.346262226611389</v>
      </c>
      <c r="EC63" s="859"/>
    </row>
    <row r="64" spans="1:133" s="93" customFormat="1" ht="12" customHeight="1">
      <c r="A64" s="139"/>
      <c r="B64" s="139"/>
      <c r="C64" s="858"/>
      <c r="D64" s="433"/>
      <c r="E64" s="433"/>
      <c r="F64" s="433"/>
      <c r="G64" s="433"/>
      <c r="H64" s="433"/>
      <c r="M64" s="433"/>
      <c r="R64" s="433"/>
      <c r="W64" s="433"/>
      <c r="AB64" s="433"/>
      <c r="AG64" s="433"/>
      <c r="AL64" s="433"/>
      <c r="AQ64" s="433"/>
      <c r="AV64" s="433"/>
      <c r="BA64" s="433"/>
      <c r="BF64" s="433"/>
      <c r="BK64" s="433"/>
      <c r="BP64" s="433"/>
      <c r="BU64" s="323"/>
      <c r="BZ64" s="323"/>
      <c r="CE64" s="323"/>
      <c r="CJ64" s="323"/>
      <c r="CK64" s="382"/>
      <c r="CL64" s="382"/>
      <c r="CM64" s="382"/>
      <c r="CO64" s="323"/>
      <c r="CP64" s="382"/>
      <c r="CQ64" s="382"/>
      <c r="CR64" s="382"/>
      <c r="CS64" s="382"/>
      <c r="CT64" s="323"/>
      <c r="CU64" s="382"/>
      <c r="CV64" s="382"/>
      <c r="CW64" s="382"/>
      <c r="CX64" s="382"/>
      <c r="CY64" s="323"/>
      <c r="CZ64" s="382"/>
      <c r="DA64" s="382"/>
      <c r="DB64" s="382"/>
      <c r="DC64" s="382"/>
      <c r="DD64" s="323"/>
      <c r="DE64" s="382"/>
      <c r="DF64" s="382"/>
      <c r="DG64" s="382"/>
      <c r="DH64" s="382"/>
      <c r="DI64" s="323"/>
      <c r="DJ64" s="382"/>
      <c r="DK64" s="382"/>
      <c r="DL64" s="382"/>
      <c r="DM64" s="382"/>
      <c r="DN64" s="323"/>
      <c r="DO64" s="382"/>
      <c r="DP64" s="382"/>
      <c r="DQ64" s="382"/>
      <c r="DR64" s="382"/>
      <c r="DS64" s="323"/>
      <c r="DT64" s="382"/>
      <c r="DU64" s="382"/>
      <c r="DV64" s="382"/>
      <c r="DW64" s="382"/>
      <c r="DX64" s="323"/>
      <c r="DY64" s="382"/>
      <c r="DZ64" s="382"/>
      <c r="EA64" s="382"/>
      <c r="EB64" s="382"/>
      <c r="EC64" s="323"/>
    </row>
    <row r="65" spans="1:258" s="93" customFormat="1" ht="12" customHeight="1">
      <c r="A65" s="139"/>
      <c r="B65" s="139"/>
      <c r="C65" s="858" t="s">
        <v>90</v>
      </c>
      <c r="D65" s="433"/>
      <c r="E65" s="433"/>
      <c r="F65" s="433"/>
      <c r="G65" s="433"/>
      <c r="H65" s="433"/>
      <c r="M65" s="433"/>
      <c r="R65" s="433"/>
      <c r="W65" s="433"/>
      <c r="AB65" s="433"/>
      <c r="AG65" s="433"/>
      <c r="AL65" s="433"/>
      <c r="AQ65" s="433"/>
      <c r="AV65" s="433"/>
      <c r="BA65" s="433"/>
      <c r="BF65" s="433"/>
      <c r="BK65" s="433"/>
      <c r="BP65" s="433"/>
      <c r="BU65" s="323"/>
      <c r="BZ65" s="323"/>
      <c r="CE65" s="323"/>
      <c r="CJ65" s="323"/>
      <c r="CO65" s="323"/>
      <c r="CP65" s="382"/>
      <c r="CQ65" s="382"/>
      <c r="CR65" s="382"/>
      <c r="CS65" s="382"/>
      <c r="CT65" s="323"/>
      <c r="CU65" s="382"/>
      <c r="CV65" s="382"/>
      <c r="CW65" s="382"/>
      <c r="CX65" s="382"/>
      <c r="CY65" s="323"/>
      <c r="CZ65" s="382"/>
      <c r="DA65" s="382"/>
      <c r="DB65" s="382"/>
      <c r="DC65" s="382"/>
      <c r="DD65" s="323"/>
      <c r="DE65" s="382"/>
      <c r="DF65" s="382"/>
      <c r="DG65" s="382"/>
      <c r="DH65" s="382"/>
      <c r="DI65" s="323"/>
      <c r="DJ65" s="382"/>
      <c r="DK65" s="382"/>
      <c r="DL65" s="382"/>
      <c r="DM65" s="382"/>
      <c r="DN65" s="323"/>
      <c r="DO65" s="382"/>
      <c r="DP65" s="382"/>
      <c r="DQ65" s="382"/>
      <c r="DR65" s="382"/>
      <c r="DS65" s="323"/>
      <c r="DT65" s="382"/>
      <c r="DU65" s="382"/>
      <c r="DV65" s="382"/>
      <c r="DW65" s="382"/>
      <c r="DX65" s="323"/>
      <c r="DY65" s="382"/>
      <c r="DZ65" s="382"/>
      <c r="EA65" s="382"/>
      <c r="EB65" s="382"/>
      <c r="EC65" s="323"/>
    </row>
    <row r="66" spans="1:258" s="93" customFormat="1">
      <c r="A66" s="139"/>
      <c r="B66" s="139"/>
      <c r="C66" s="865" t="s">
        <v>70</v>
      </c>
      <c r="D66" s="433"/>
      <c r="E66" s="866"/>
      <c r="F66" s="866"/>
      <c r="G66" s="866"/>
      <c r="H66" s="866"/>
      <c r="M66" s="866"/>
      <c r="R66" s="866"/>
      <c r="W66" s="866"/>
      <c r="AB66" s="866"/>
      <c r="AG66" s="866"/>
      <c r="AL66" s="866"/>
      <c r="AQ66" s="866"/>
      <c r="AV66" s="866"/>
      <c r="BA66" s="866"/>
      <c r="BF66" s="866"/>
      <c r="BK66" s="866"/>
      <c r="BP66" s="866"/>
      <c r="BQ66" s="841"/>
      <c r="BR66" s="841"/>
      <c r="BS66" s="841"/>
      <c r="BT66" s="841"/>
      <c r="BU66" s="867">
        <f>-BU49/Income!BU110</f>
        <v>-206.12359550561558</v>
      </c>
      <c r="BV66" s="841"/>
      <c r="BW66" s="841"/>
      <c r="BX66" s="841"/>
      <c r="BY66" s="841"/>
      <c r="BZ66" s="867">
        <f>-BZ49/Income!BZ110</f>
        <v>-46.08502468458633</v>
      </c>
      <c r="CA66" s="841"/>
      <c r="CB66" s="841"/>
      <c r="CC66" s="841"/>
      <c r="CD66" s="841"/>
      <c r="CE66" s="867">
        <f>-CE49/Income!CE110</f>
        <v>-4.8145240765283592</v>
      </c>
      <c r="CF66" s="841"/>
      <c r="CG66" s="841"/>
      <c r="CH66" s="841"/>
      <c r="CI66" s="841"/>
      <c r="CJ66" s="867">
        <f>-CJ49/Income!CJ110</f>
        <v>-9.876460968688404</v>
      </c>
      <c r="CK66" s="841"/>
      <c r="CL66" s="841"/>
      <c r="CM66" s="841"/>
      <c r="CN66" s="841"/>
      <c r="CO66" s="867">
        <f>-CO49/Income!CO110</f>
        <v>-7.9836375697123048</v>
      </c>
      <c r="CP66" s="868"/>
      <c r="CQ66" s="869">
        <f>-CQ49/(Income!CQ110+Income!CP110+Income!CO110+Income!CM110)</f>
        <v>-7.797753088260877</v>
      </c>
      <c r="CR66" s="869">
        <f>-CR49/(Income!CR110+Income!CQ110+Income!CP110+Income!CN110)</f>
        <v>-7.0738397900313243</v>
      </c>
      <c r="CS66" s="868"/>
      <c r="CT66" s="867">
        <f>-CT49/Income!CT110</f>
        <v>-3.8343453334673474</v>
      </c>
      <c r="CU66" s="870">
        <f>-CU49/(Income!CU110+Income!CS110+Income!CR110+Income!CQ110)</f>
        <v>-2.5811166792074935</v>
      </c>
      <c r="CV66" s="870">
        <f>-CV49/(Income!CV110+Income!CU110+Income!CS110+Income!CR110)</f>
        <v>-1.7221212142733702</v>
      </c>
      <c r="CW66" s="870">
        <f>-CW49/(Income!CW110+Income!CV110+Income!CU110+Income!CS110)</f>
        <v>-1.5053849611779142</v>
      </c>
      <c r="CX66" s="870">
        <f>-CX49/(Income!CX110+Income!CW110+Income!CV110+Income!CU110)</f>
        <v>-2.0761083275856693</v>
      </c>
      <c r="CY66" s="867">
        <f>-CY49/Income!CY110</f>
        <v>-2.0761083275856698</v>
      </c>
      <c r="CZ66" s="870">
        <f>-CZ49/(Income!CZ110+Income!CX110+Income!CW110+Income!CV110)</f>
        <v>-2.6695434343322275</v>
      </c>
      <c r="DA66" s="870">
        <f>-DA49/(Income!DA110+Income!CY110+Income!CX110+Income!CW110)</f>
        <v>-2.3880820930761355</v>
      </c>
      <c r="DB66" s="870">
        <f>-DB49/(Income!DB110+Income!CZ110+Income!CY110+Income!CX110)</f>
        <v>-0.51828556847118368</v>
      </c>
      <c r="DC66" s="870">
        <f>-DC49/(Income!DC110+Income!DA110+Income!CZ110+Income!CY110)</f>
        <v>-0.88012682160468458</v>
      </c>
      <c r="DD66" s="867">
        <f>-DD49/Income!DD110</f>
        <v>-25.242334865216968</v>
      </c>
      <c r="DE66" s="870">
        <f>-DE49/(Income!DE110+Income!DC110+Income!DB110+Income!DA110)</f>
        <v>22.568870636550425</v>
      </c>
      <c r="DF66" s="870">
        <f>-DF49/(Income!DF110+Income!DD110+Income!DC110+Income!DB110)</f>
        <v>-3.4179561707488069</v>
      </c>
      <c r="DG66" s="870">
        <f>-DG49/(Income!DG110+Income!DE110+Income!DD110+Income!DC110)</f>
        <v>-1.0711539956635583</v>
      </c>
      <c r="DH66" s="870">
        <f>-DH49/(Income!DH110+Income!DF110+Income!DE110+Income!DD110)</f>
        <v>-0.90337684810545626</v>
      </c>
      <c r="DI66" s="867">
        <f>-DI49/Income!DI110</f>
        <v>-0.62047440699126322</v>
      </c>
      <c r="DJ66" s="870">
        <f>-DJ49/(Income!DJ110+Income!DH110+Income!DH110+Income!DG110)</f>
        <v>-0.54763749031758469</v>
      </c>
      <c r="DK66" s="870">
        <f>-DK49/(Income!DK110+Income!DJ110+Income!DI110+Income!DH110)</f>
        <v>-0.36384839650145878</v>
      </c>
      <c r="DL66" s="870">
        <f>-DL49/(Income!DL110+Income!DK110+Income!DJ110+Income!DI110)</f>
        <v>-0.34422403733955764</v>
      </c>
      <c r="DM66" s="870">
        <f>-DM49/(Income!DM110+Income!DL110+Income!DK110+Income!DJ110)</f>
        <v>-0.83224290434159798</v>
      </c>
      <c r="DN66" s="867">
        <f>-DN49/Income!DN110</f>
        <v>-0.83224290434159798</v>
      </c>
      <c r="DO66" s="870">
        <f>-DO49/(Income!DO110+Income!DM110+Income!DM110+Income!DL110)</f>
        <v>-1.0175437522596997</v>
      </c>
      <c r="DP66" s="870">
        <f>-DP49/(Income!DP110+Income!DO110+Income!DN110+Income!DM110)</f>
        <v>-0.77481511514889922</v>
      </c>
      <c r="DQ66" s="870">
        <f>-DQ49/(Income!DQ110+Income!DP110+Income!DO110+Income!DN110)</f>
        <v>-0.85201118730893222</v>
      </c>
      <c r="DR66" s="870">
        <f>-DR49/(Income!DR110+Income!DQ110+Income!DP110+Income!DO110)</f>
        <v>-1.5458154874568661</v>
      </c>
      <c r="DS66" s="867">
        <f>-DS49/Income!DS110</f>
        <v>-1.5458154874568659</v>
      </c>
      <c r="DT66" s="870">
        <f>-DT49/(Income!DT110+Income!DR110+Income!DR110+Income!DQ110)</f>
        <v>-1.5953110406014321</v>
      </c>
      <c r="DU66" s="870">
        <f>-DU49/(Income!DU110+Income!DT110+Income!DS110+Income!DR110)</f>
        <v>-1.1372401790608706</v>
      </c>
      <c r="DV66" s="870">
        <f>-DV49/(Income!DV110+Income!DU110+Income!DT110+Income!DS110)</f>
        <v>-1.2259948791317083</v>
      </c>
      <c r="DW66" s="870">
        <f>-DW49/(Income!DW110+Income!DV110+Income!DU110+Income!DT110)</f>
        <v>-2.1075499739319885</v>
      </c>
      <c r="DX66" s="867">
        <f>-DX49/Income!DX110</f>
        <v>-2.1075499739319885</v>
      </c>
      <c r="DY66" s="870">
        <f>-DY49/(Income!DY110+Income!DW110+Income!DW110+Income!DV110)</f>
        <v>-2.0635654321683314</v>
      </c>
      <c r="DZ66" s="870">
        <f>-DZ49/(Income!DZ110+Income!DY110+Income!DX110+Income!DW110)</f>
        <v>-1.4325658149162788</v>
      </c>
      <c r="EA66" s="870">
        <f>-EA49/(Income!EA110+Income!DZ110+Income!DY110+Income!DX110)</f>
        <v>-1.528854335885327</v>
      </c>
      <c r="EB66" s="870">
        <f>-EB49/(Income!EB110+Income!EA110+Income!DZ110+Income!DY110)</f>
        <v>-2.5432904081605332</v>
      </c>
      <c r="EC66" s="867">
        <f>-EC49/Income!EC110</f>
        <v>-2.5432904081605332</v>
      </c>
    </row>
    <row r="67" spans="1:258" s="93" customFormat="1">
      <c r="A67" s="139"/>
      <c r="B67" s="139"/>
      <c r="C67" s="865" t="s">
        <v>71</v>
      </c>
      <c r="D67" s="433"/>
      <c r="E67" s="866"/>
      <c r="F67" s="866"/>
      <c r="G67" s="866"/>
      <c r="H67" s="866"/>
      <c r="M67" s="866"/>
      <c r="R67" s="866"/>
      <c r="W67" s="866"/>
      <c r="AB67" s="866"/>
      <c r="AG67" s="866"/>
      <c r="AL67" s="866"/>
      <c r="AQ67" s="866"/>
      <c r="AV67" s="866"/>
      <c r="BA67" s="866"/>
      <c r="BF67" s="866"/>
      <c r="BK67" s="866"/>
      <c r="BP67" s="866"/>
      <c r="BU67" s="867">
        <f>Income!BU110/-Income!BU49</f>
        <v>-2.670000000000031</v>
      </c>
      <c r="BZ67" s="867">
        <f>Income!BZ110/-Income!BZ49</f>
        <v>-1.1868489583333213</v>
      </c>
      <c r="CC67" s="100"/>
      <c r="CE67" s="867" t="str">
        <f>IFERROR(Income!CE110/-Income!CE50,"nm")</f>
        <v>nm</v>
      </c>
      <c r="CH67" s="100"/>
      <c r="CJ67" s="867" t="str">
        <f>IFERROR(Income!CJ110/-Income!CJ50,"nm")</f>
        <v>nm</v>
      </c>
      <c r="CO67" s="867" t="str">
        <f>IFERROR(Income!CO110/-Income!CO50,"nm")</f>
        <v>nm</v>
      </c>
      <c r="CP67" s="382"/>
      <c r="CQ67" s="869">
        <f>(Income!CQ110+Income!CP110+Income!CO110+Income!CM110)/-(Income!CQ49+Income!CP49+Income!CO49+Income!CM49)</f>
        <v>-3.1660830218374989</v>
      </c>
      <c r="CR67" s="869">
        <f>(Income!CR110+Income!CQ110+Income!CP110+Income!CN110)/-(Income!CR49+Income!CQ49+Income!CP49+Income!CN49)</f>
        <v>-10.178069122580247</v>
      </c>
      <c r="CS67" s="868"/>
      <c r="CT67" s="867">
        <f>IFERROR(Income!CT110/-Income!CT50,"nm")</f>
        <v>55.851513483764442</v>
      </c>
      <c r="CU67" s="870">
        <f>(Income!CU110+Income!CS110+Income!CR110+Income!CQ110)/-(Income!CU49+Income!CS49+Income!CR49+Income!CQ49)</f>
        <v>-46.018801038171794</v>
      </c>
      <c r="CV67" s="870">
        <f>(Income!CV110+Income!CU110+Income!CS110+Income!CR110)/-(Income!CV49+Income!CU49+Income!CS49+Income!CR49)</f>
        <v>-65.302465795779526</v>
      </c>
      <c r="CW67" s="870">
        <f>(Income!CW110+Income!CV110+Income!CU110+Income!CS110)/-(Income!CW49+Income!CV49+Income!CU49+Income!CS49)</f>
        <v>-62.186169045005478</v>
      </c>
      <c r="CX67" s="870">
        <f>(Income!CX110+Income!CW110+Income!CV110+Income!CU110)/-(Income!CX49+Income!CW49+Income!CV49+Income!CU49)</f>
        <v>-49.937047408179218</v>
      </c>
      <c r="CY67" s="867">
        <f>Income!CY110/-Income!CY49</f>
        <v>-49.937047408179211</v>
      </c>
      <c r="CZ67" s="870">
        <f>(Income!CZ110+Income!CX110+Income!CW110+Income!CV110)/-(Income!CZ49+Income!CX49+Income!CW49+Income!CV49)</f>
        <v>-30.824167779855745</v>
      </c>
      <c r="DA67" s="870">
        <f>(Income!DA110+Income!CY110+Income!CX110+Income!CW110)/-(Income!DA49+Income!CY49+Income!CX49+Income!CW49)</f>
        <v>-27.380951870223903</v>
      </c>
      <c r="DB67" s="870">
        <f>(Income!DB110+Income!CZ110+Income!CY110+Income!CX110)/-(Income!DB49+Income!CZ49+Income!CY49+Income!CX49)</f>
        <v>-18.97069719306398</v>
      </c>
      <c r="DC67" s="870">
        <f>(Income!DC110+Income!DA110+Income!CZ110+Income!CY110)/-(Income!DC49+Income!DA49+Income!CZ49+Income!CY49)</f>
        <v>-11.360239359895674</v>
      </c>
      <c r="DD67" s="867">
        <f>Income!DD110/-Income!DD49</f>
        <v>-0.36843102816492351</v>
      </c>
      <c r="DE67" s="870">
        <f>(Income!DE110+Income!DC110+Income!DB110+Income!DA110)/-(Income!DE49+Income!DC49+Income!DB49+Income!DA49)</f>
        <v>0.29231224790319399</v>
      </c>
      <c r="DF67" s="870">
        <f>(Income!DF110+Income!DD110+Income!DC110+Income!DB110)/-(Income!DF49+Income!DD49+Income!DC49+Income!DB49)</f>
        <v>-1.0325475231289363</v>
      </c>
      <c r="DG67" s="870">
        <f>(Income!DG110+Income!DE110+Income!DD110+Income!DC110)/-(Income!DG49+Income!DE49+Income!DD49+Income!DC49)</f>
        <v>-1.4860207784205675</v>
      </c>
      <c r="DH67" s="870">
        <f>(Income!DH110+Income!DF110+Income!DE110+Income!DD110)/-(Income!DH49+Income!DF49+Income!DE49+Income!DD49)</f>
        <v>-2.139518785413451</v>
      </c>
      <c r="DI67" s="867">
        <f>Income!DI110/-Income!DI49</f>
        <v>-3.3236514522821579</v>
      </c>
      <c r="DJ67" s="870">
        <f>(Income!DJ110+Income!DH110+Income!DH110+Income!DG110)/-(Income!DJ49+Income!DH49+Income!DH49+Income!DG49)</f>
        <v>-4.6438848920863309</v>
      </c>
      <c r="DK67" s="870">
        <f>(Income!DK110+Income!DJ110+Income!DI110+Income!DH110)/-(Income!DK49+Income!DJ49+Income!DI49+Income!DH49)</f>
        <v>-3.6645299145299144</v>
      </c>
      <c r="DL67" s="870">
        <f>(Income!DL110+Income!DK110+Income!DJ110+Income!DI110)/-(Income!DL49+Income!DK49+Income!DJ49+Income!DI49)</f>
        <v>-3.5932914046121591</v>
      </c>
      <c r="DM67" s="870">
        <f>(Income!DM110+Income!DL110+Income!DK110+Income!DJ110)/-(Income!DM49+Income!DL49+Income!DK49+Income!DJ49)</f>
        <v>-4.6718118204723869</v>
      </c>
      <c r="DN67" s="867">
        <f>Income!DN110/-Income!DN49</f>
        <v>-4.6718118204723869</v>
      </c>
      <c r="DO67" s="870">
        <f>(Income!DO110+Income!DM110+Income!DM110+Income!DL110)/-(Income!DO49+Income!DM49+Income!DM49+Income!DL49)</f>
        <v>-5.7864970529685316</v>
      </c>
      <c r="DP67" s="870">
        <f>(Income!DP110+Income!DO110+Income!DN110+Income!DM110)/-(Income!DP49+Income!DO49+Income!DN49+Income!DM49)</f>
        <v>-5.0580411564392964</v>
      </c>
      <c r="DQ67" s="870">
        <f>(Income!DQ110+Income!DP110+Income!DO110+Income!DN110)/-(Income!DQ49+Income!DP49+Income!DO49+Income!DN49)</f>
        <v>-5.0340397158266947</v>
      </c>
      <c r="DR67" s="870">
        <f>(Income!DR110+Income!DQ110+Income!DP110+Income!DO110)/-(Income!DR49+Income!DQ49+Income!DP49+Income!DO49)</f>
        <v>-6.5418709280248075</v>
      </c>
      <c r="DS67" s="867">
        <f>Income!DS110/-Income!DS49</f>
        <v>-6.5418709280248084</v>
      </c>
      <c r="DT67" s="870">
        <f>(Income!DT110+Income!DR110+Income!DR110+Income!DQ110)/-(Income!DT49+Income!DR49+Income!DR49+Income!DQ49)</f>
        <v>-7.748742110059168</v>
      </c>
      <c r="DU67" s="870">
        <f>(Income!DU110+Income!DT110+Income!DS110+Income!DR110)/-(Income!DU49+Income!DT49+Income!DS49+Income!DR49)</f>
        <v>-6.8839379696654692</v>
      </c>
      <c r="DV67" s="870">
        <f>(Income!DV110+Income!DU110+Income!DT110+Income!DS110)/-(Income!DV49+Income!DU49+Income!DT49+Income!DS49)</f>
        <v>-6.7750460218668449</v>
      </c>
      <c r="DW67" s="870">
        <f>(Income!DW110+Income!DV110+Income!DU110+Income!DT110)/-(Income!DW49+Income!DV49+Income!DU49+Income!DT49)</f>
        <v>-8.3497066800055499</v>
      </c>
      <c r="DX67" s="867">
        <f>Income!DX110/-Income!DX49</f>
        <v>-8.3497066800055499</v>
      </c>
      <c r="DY67" s="870">
        <f>(Income!DY110+Income!DW110+Income!DW110+Income!DV110)/-(Income!DY49+Income!DW49+Income!DW49+Income!DV49)</f>
        <v>-9.857636693441755</v>
      </c>
      <c r="DZ67" s="870">
        <f>(Income!DZ110+Income!DY110+Income!DX110+Income!DW110)/-(Income!DZ49+Income!DY49+Income!DX49+Income!DW49)</f>
        <v>-8.7765518029805687</v>
      </c>
      <c r="EA67" s="870">
        <f>(Income!EA110+Income!DZ110+Income!DY110+Income!DX110)/-(Income!EA49+Income!DZ49+Income!DY49+Income!DX49)</f>
        <v>-8.625069927340407</v>
      </c>
      <c r="EB67" s="870">
        <f>(Income!EB110+Income!EA110+Income!DZ110+Income!DY110)/-(Income!EB49+Income!EA49+Income!DZ49+Income!DY49)</f>
        <v>-10.542536487541105</v>
      </c>
      <c r="EC67" s="867">
        <f>Income!EC110/-Income!EC49</f>
        <v>-10.542536487541106</v>
      </c>
    </row>
    <row r="68" spans="1:258" s="873" customFormat="1">
      <c r="A68" s="139"/>
      <c r="B68" s="139"/>
      <c r="C68" s="865" t="s">
        <v>224</v>
      </c>
      <c r="D68" s="861"/>
      <c r="E68" s="479"/>
      <c r="F68" s="479"/>
      <c r="G68" s="479"/>
      <c r="H68" s="479"/>
      <c r="I68" s="91"/>
      <c r="J68" s="91"/>
      <c r="K68" s="91"/>
      <c r="L68" s="91"/>
      <c r="M68" s="479"/>
      <c r="N68" s="91"/>
      <c r="O68" s="91"/>
      <c r="P68" s="91"/>
      <c r="Q68" s="91"/>
      <c r="R68" s="479"/>
      <c r="S68" s="91"/>
      <c r="T68" s="91"/>
      <c r="U68" s="91"/>
      <c r="V68" s="91"/>
      <c r="W68" s="479"/>
      <c r="X68" s="91"/>
      <c r="Y68" s="91"/>
      <c r="Z68" s="91"/>
      <c r="AA68" s="91"/>
      <c r="AB68" s="479"/>
      <c r="AC68" s="91"/>
      <c r="AD68" s="91"/>
      <c r="AE68" s="91"/>
      <c r="AF68" s="91"/>
      <c r="AG68" s="479"/>
      <c r="AH68" s="91"/>
      <c r="AI68" s="91"/>
      <c r="AJ68" s="91"/>
      <c r="AK68" s="91"/>
      <c r="AL68" s="479"/>
      <c r="AM68" s="91"/>
      <c r="AN68" s="91"/>
      <c r="AO68" s="91"/>
      <c r="AP68" s="91"/>
      <c r="AQ68" s="479"/>
      <c r="AR68" s="91"/>
      <c r="AS68" s="91"/>
      <c r="AT68" s="91"/>
      <c r="AU68" s="91"/>
      <c r="AV68" s="479"/>
      <c r="AW68" s="91"/>
      <c r="AX68" s="91"/>
      <c r="AY68" s="91"/>
      <c r="AZ68" s="91"/>
      <c r="BA68" s="479"/>
      <c r="BB68" s="91"/>
      <c r="BC68" s="91"/>
      <c r="BD68" s="91"/>
      <c r="BE68" s="91"/>
      <c r="BF68" s="479"/>
      <c r="BG68" s="91"/>
      <c r="BH68" s="91"/>
      <c r="BI68" s="91"/>
      <c r="BJ68" s="91"/>
      <c r="BK68" s="479"/>
      <c r="BL68" s="91"/>
      <c r="BM68" s="91"/>
      <c r="BN68" s="91"/>
      <c r="BO68" s="91"/>
      <c r="BP68" s="479"/>
      <c r="BQ68" s="91"/>
      <c r="BR68" s="91"/>
      <c r="BS68" s="91"/>
      <c r="BT68" s="91"/>
      <c r="BU68" s="476">
        <f>-BU49/(-BU49+BU38+BU39+BU42)</f>
        <v>-1.291189132755405</v>
      </c>
      <c r="BV68" s="91"/>
      <c r="BW68" s="91"/>
      <c r="BX68" s="91"/>
      <c r="BY68" s="91"/>
      <c r="BZ68" s="476">
        <f>-BZ49/(-BZ49+BZ38+BZ39+BZ42)</f>
        <v>-0.25734309860535509</v>
      </c>
      <c r="CA68" s="91"/>
      <c r="CB68" s="91"/>
      <c r="CC68" s="91"/>
      <c r="CD68" s="91"/>
      <c r="CE68" s="476">
        <f>-CE49/(-CE49+CE38+CE39+CE42)</f>
        <v>-0.16485130139640203</v>
      </c>
      <c r="CF68" s="91"/>
      <c r="CG68" s="91"/>
      <c r="CH68" s="91"/>
      <c r="CI68" s="91"/>
      <c r="CJ68" s="476">
        <f>-CJ49/(-CJ49+CJ38+CJ39+CJ42)</f>
        <v>-0.24444179907564201</v>
      </c>
      <c r="CK68" s="91"/>
      <c r="CL68" s="91"/>
      <c r="CM68" s="91"/>
      <c r="CN68" s="91"/>
      <c r="CO68" s="476">
        <f>-CO49/(-CO49+CO38+CO39+CO42)</f>
        <v>-0.27471090337464682</v>
      </c>
      <c r="CP68" s="862"/>
      <c r="CQ68" s="871">
        <f>-CQ49/(-CQ49+CQ38+CQ39+CQ42)</f>
        <v>-0.68534834450299409</v>
      </c>
      <c r="CR68" s="871">
        <f t="shared" ref="CR68:CX68" si="315">-CR49/(-CR49+CR38+CR39+CR42)</f>
        <v>-0.60964033692630692</v>
      </c>
      <c r="CS68" s="477"/>
      <c r="CT68" s="476">
        <f>-CT49/(-CT49+CT38+CT39+CT42)</f>
        <v>-0.43670717872907977</v>
      </c>
      <c r="CU68" s="872">
        <f t="shared" si="315"/>
        <v>-0.2582567901336521</v>
      </c>
      <c r="CV68" s="872">
        <f t="shared" si="315"/>
        <v>-0.16789005806247992</v>
      </c>
      <c r="CW68" s="872">
        <f t="shared" si="315"/>
        <v>-0.12676958965577392</v>
      </c>
      <c r="CX68" s="872">
        <f t="shared" si="315"/>
        <v>-0.16685640297686527</v>
      </c>
      <c r="CY68" s="476">
        <f t="shared" ref="CY68:DN68" si="316">-CY49/(-CY49+CY38+CY39+CY42)</f>
        <v>-0.16685640297686527</v>
      </c>
      <c r="CZ68" s="872">
        <f t="shared" si="316"/>
        <v>-0.18667453613531032</v>
      </c>
      <c r="DA68" s="872">
        <f t="shared" ref="DA68:DB68" si="317">-DA49/(-DA49+DA38+DA39+DA42)</f>
        <v>-0.38841287164226274</v>
      </c>
      <c r="DB68" s="872">
        <f t="shared" si="317"/>
        <v>-5.6581959897567778E-2</v>
      </c>
      <c r="DC68" s="872">
        <f t="shared" ref="DC68:DE68" si="318">-DC49/(-DC49+DC38+DC39+DC42)</f>
        <v>-9.809788863546029E-2</v>
      </c>
      <c r="DD68" s="476">
        <f t="shared" si="316"/>
        <v>-9.809788863546029E-2</v>
      </c>
      <c r="DE68" s="872">
        <f t="shared" si="318"/>
        <v>-0.10799992453494686</v>
      </c>
      <c r="DF68" s="872">
        <f t="shared" ref="DF68:DG68" si="319">-DF49/(-DF49+DF38+DF39+DF42)</f>
        <v>-0.1030685495838406</v>
      </c>
      <c r="DG68" s="872">
        <f t="shared" si="319"/>
        <v>-4.7017189079878903E-2</v>
      </c>
      <c r="DH68" s="872">
        <f t="shared" ref="DH68" si="320">-DH49/(-DH49+DH38+DH39+DH42)</f>
        <v>-5.7999766600537045E-2</v>
      </c>
      <c r="DI68" s="476">
        <f t="shared" si="316"/>
        <v>-5.7999766600537045E-2</v>
      </c>
      <c r="DJ68" s="872">
        <f t="shared" si="316"/>
        <v>-8.6366967994136568E-2</v>
      </c>
      <c r="DK68" s="872">
        <f t="shared" si="316"/>
        <v>-7.5618031992244539E-2</v>
      </c>
      <c r="DL68" s="872">
        <f t="shared" ref="DL68" si="321">-DL49/(-DL49+DL38+DL39+DL42)</f>
        <v>-6.3991323210412357E-2</v>
      </c>
      <c r="DM68" s="872">
        <f t="shared" si="316"/>
        <v>-0.13353278990343956</v>
      </c>
      <c r="DN68" s="476">
        <f t="shared" si="316"/>
        <v>-0.13353278990343956</v>
      </c>
      <c r="DO68" s="872">
        <f t="shared" ref="DO68:DS68" si="322">-DO49/(-DO49+DO38+DO39+DO42)</f>
        <v>-0.20536581786320504</v>
      </c>
      <c r="DP68" s="872">
        <f t="shared" si="322"/>
        <v>-0.23788262590953313</v>
      </c>
      <c r="DQ68" s="872">
        <f t="shared" si="322"/>
        <v>-0.25161063281227386</v>
      </c>
      <c r="DR68" s="872">
        <f t="shared" si="322"/>
        <v>-0.33980622293219059</v>
      </c>
      <c r="DS68" s="476">
        <f t="shared" si="322"/>
        <v>-0.33980622293219059</v>
      </c>
      <c r="DT68" s="872">
        <f t="shared" ref="DT68:EC68" si="323">-DT49/(-DT49+DT38+DT39+DT42)</f>
        <v>-0.42966964807369823</v>
      </c>
      <c r="DU68" s="872">
        <f t="shared" si="323"/>
        <v>-0.46877417490417683</v>
      </c>
      <c r="DV68" s="872">
        <f t="shared" si="323"/>
        <v>-0.47768225269359471</v>
      </c>
      <c r="DW68" s="872">
        <f t="shared" si="323"/>
        <v>-0.58526548736020989</v>
      </c>
      <c r="DX68" s="476">
        <f t="shared" si="323"/>
        <v>-0.58526548736020989</v>
      </c>
      <c r="DY68" s="872">
        <f t="shared" si="323"/>
        <v>-0.7043065069927712</v>
      </c>
      <c r="DZ68" s="872">
        <f t="shared" si="323"/>
        <v>-0.74796994576742648</v>
      </c>
      <c r="EA68" s="872">
        <f t="shared" si="323"/>
        <v>-0.74841532630678897</v>
      </c>
      <c r="EB68" s="872">
        <f t="shared" si="323"/>
        <v>-0.88187302887318908</v>
      </c>
      <c r="EC68" s="476">
        <f t="shared" si="323"/>
        <v>-0.88187302887318908</v>
      </c>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row>
    <row r="69" spans="1:258" s="873" customFormat="1">
      <c r="A69" s="139"/>
      <c r="B69" s="139"/>
      <c r="C69" s="865" t="s">
        <v>92</v>
      </c>
      <c r="D69" s="861"/>
      <c r="E69" s="861"/>
      <c r="F69" s="861"/>
      <c r="G69" s="861"/>
      <c r="H69" s="861"/>
      <c r="I69" s="91"/>
      <c r="J69" s="91"/>
      <c r="K69" s="91"/>
      <c r="L69" s="91"/>
      <c r="M69" s="861"/>
      <c r="N69" s="91"/>
      <c r="O69" s="91"/>
      <c r="P69" s="91"/>
      <c r="Q69" s="91"/>
      <c r="R69" s="861"/>
      <c r="S69" s="91"/>
      <c r="T69" s="91"/>
      <c r="U69" s="91"/>
      <c r="V69" s="91"/>
      <c r="W69" s="861"/>
      <c r="X69" s="91"/>
      <c r="Y69" s="91"/>
      <c r="Z69" s="91"/>
      <c r="AA69" s="91"/>
      <c r="AB69" s="861"/>
      <c r="AC69" s="91"/>
      <c r="AD69" s="91"/>
      <c r="AE69" s="91"/>
      <c r="AF69" s="91"/>
      <c r="AG69" s="861"/>
      <c r="AH69" s="91"/>
      <c r="AI69" s="91"/>
      <c r="AJ69" s="91"/>
      <c r="AK69" s="91"/>
      <c r="AL69" s="861"/>
      <c r="AM69" s="91"/>
      <c r="AN69" s="91"/>
      <c r="AO69" s="91"/>
      <c r="AP69" s="91"/>
      <c r="AQ69" s="861"/>
      <c r="AR69" s="91"/>
      <c r="AS69" s="91"/>
      <c r="AT69" s="91"/>
      <c r="AU69" s="91"/>
      <c r="AV69" s="861"/>
      <c r="AW69" s="91"/>
      <c r="AX69" s="91"/>
      <c r="AY69" s="91"/>
      <c r="AZ69" s="91"/>
      <c r="BA69" s="861"/>
      <c r="BB69" s="91"/>
      <c r="BC69" s="91"/>
      <c r="BD69" s="91"/>
      <c r="BE69" s="91"/>
      <c r="BF69" s="861"/>
      <c r="BG69" s="91"/>
      <c r="BH69" s="91"/>
      <c r="BI69" s="91"/>
      <c r="BJ69" s="91"/>
      <c r="BK69" s="861"/>
      <c r="BL69" s="91"/>
      <c r="BM69" s="91"/>
      <c r="BN69" s="91"/>
      <c r="BO69" s="91"/>
      <c r="BP69" s="861"/>
      <c r="BQ69" s="91"/>
      <c r="BR69" s="91"/>
      <c r="BS69" s="91"/>
      <c r="BT69" s="91"/>
      <c r="BU69" s="863">
        <f>Income!BU63/AVERAGE(BP23,BU23)</f>
        <v>-7.7099199054621814E-2</v>
      </c>
      <c r="BV69" s="91"/>
      <c r="BW69" s="91"/>
      <c r="BX69" s="91"/>
      <c r="BY69" s="91"/>
      <c r="BZ69" s="863">
        <f>Income!BZ63/AVERAGE(BU23,BZ23)</f>
        <v>-9.6299726258733218E-2</v>
      </c>
      <c r="CA69" s="91"/>
      <c r="CB69" s="91"/>
      <c r="CC69" s="91"/>
      <c r="CD69" s="91"/>
      <c r="CE69" s="863">
        <f>Income!CE63/AVERAGE(BZ23,CE23)</f>
        <v>-4.9865284560650626E-2</v>
      </c>
      <c r="CF69" s="91"/>
      <c r="CG69" s="91"/>
      <c r="CH69" s="91"/>
      <c r="CI69" s="91"/>
      <c r="CJ69" s="863">
        <f>Income!CJ63/AVERAGE(CE23,CJ23)</f>
        <v>-3.8329163634765955E-2</v>
      </c>
      <c r="CK69" s="91"/>
      <c r="CL69" s="91"/>
      <c r="CM69" s="91"/>
      <c r="CN69" s="91"/>
      <c r="CO69" s="863">
        <f>Income!CO63/AVERAGE(CJ23,CO23)</f>
        <v>-4.3466665181126754E-2</v>
      </c>
      <c r="CP69" s="862"/>
      <c r="CQ69" s="874"/>
      <c r="CR69" s="874"/>
      <c r="CS69" s="862"/>
      <c r="CT69" s="863">
        <f>Income!CT63/AVERAGE(CO23,CT23)</f>
        <v>5.6789565660041459E-2</v>
      </c>
      <c r="CU69" s="875">
        <f>Income!CU63*4/AVERAGE('Balance Sheet'!CU23,CT23)</f>
        <v>0.54162212802778686</v>
      </c>
      <c r="CV69" s="875">
        <f>Income!CV63*4/AVERAGE('Balance Sheet'!CV23,CU23)</f>
        <v>0.30871682468293371</v>
      </c>
      <c r="CW69" s="875">
        <f>Income!CW63*4/AVERAGE('Balance Sheet'!CW23,CV23)</f>
        <v>0.36040268951329263</v>
      </c>
      <c r="CX69" s="875">
        <f>Income!CX63*4/AVERAGE('Balance Sheet'!CX23,CW23)</f>
        <v>-0.11052283595933855</v>
      </c>
      <c r="CY69" s="863">
        <f>Income!CY63/AVERAGE(CT23,CY23)</f>
        <v>0.27623071270601923</v>
      </c>
      <c r="CZ69" s="875">
        <f>Income!CZ63*4/AVERAGE('Balance Sheet'!CZ23,CY23)</f>
        <v>-0.46853784191573211</v>
      </c>
      <c r="DA69" s="875">
        <f>Income!DA63*4/AVERAGE('Balance Sheet'!DA23,CZ23)</f>
        <v>-0.42649991262984505</v>
      </c>
      <c r="DB69" s="875">
        <f>Income!DB63*4/AVERAGE('Balance Sheet'!DB23,DA23)</f>
        <v>-5.7732080872255197E-2</v>
      </c>
      <c r="DC69" s="875">
        <f>Income!DC63*4/AVERAGE('Balance Sheet'!DC23,DB23)</f>
        <v>-0.22720641794179319</v>
      </c>
      <c r="DD69" s="863">
        <f>Income!DD63/AVERAGE(CY23,DD23)</f>
        <v>-0.28720352049063702</v>
      </c>
      <c r="DE69" s="875">
        <f>Income!DE63*4/AVERAGE('Balance Sheet'!DE23,DD23)</f>
        <v>2.5044335148633291E-2</v>
      </c>
      <c r="DF69" s="875">
        <f>Income!DF63*4/AVERAGE('Balance Sheet'!DF23,DE23)</f>
        <v>-0.50745957838663458</v>
      </c>
      <c r="DG69" s="875">
        <f>Income!DG63*4/AVERAGE('Balance Sheet'!DG23,DF23)</f>
        <v>0.28481710616299788</v>
      </c>
      <c r="DH69" s="875">
        <f>Income!DH63*4/AVERAGE('Balance Sheet'!DH23,DG23)</f>
        <v>0.24151082111841193</v>
      </c>
      <c r="DI69" s="863">
        <f>Income!DI63/AVERAGE(DD23,DI23)</f>
        <v>1.1969450154743679E-2</v>
      </c>
      <c r="DJ69" s="875">
        <f>Income!DJ63*4/AVERAGE('Balance Sheet'!DJ23,DH23)</f>
        <v>-9.7452144036410671E-2</v>
      </c>
      <c r="DK69" s="875">
        <f>Income!DK63*4/AVERAGE('Balance Sheet'!DK23,DJ23)</f>
        <v>6.0913705583756333E-2</v>
      </c>
      <c r="DL69" s="875">
        <f>Income!DL63*4/AVERAGE('Balance Sheet'!DL23,DK23)</f>
        <v>0.27978880675818368</v>
      </c>
      <c r="DM69" s="875">
        <f>Income!DM63*4/AVERAGE('Balance Sheet'!DM23,DL23)</f>
        <v>0.12463292181359165</v>
      </c>
      <c r="DN69" s="863">
        <f>Income!DN63/AVERAGE(DI23,DN23)</f>
        <v>9.2192403221425176E-2</v>
      </c>
      <c r="DO69" s="875">
        <f>Income!DO63*4/AVERAGE('Balance Sheet'!DO23,DM23)</f>
        <v>5.3481033172560095E-2</v>
      </c>
      <c r="DP69" s="875">
        <f>Income!DP63*4/AVERAGE('Balance Sheet'!DP23,DO23)</f>
        <v>9.3729128231407693E-2</v>
      </c>
      <c r="DQ69" s="875">
        <f>Income!DQ63*4/AVERAGE('Balance Sheet'!DQ23,DP23)</f>
        <v>0.11187049751527708</v>
      </c>
      <c r="DR69" s="875">
        <f>Income!DR63*4/AVERAGE('Balance Sheet'!DR23,DQ23)</f>
        <v>0.15358472998649375</v>
      </c>
      <c r="DS69" s="863">
        <f>Income!DS63/AVERAGE(DN23,DS23)</f>
        <v>0.10331034338533028</v>
      </c>
      <c r="DT69" s="875">
        <f>Income!DT63*4/AVERAGE('Balance Sheet'!DT23,DR23)</f>
        <v>6.4845054973014585E-2</v>
      </c>
      <c r="DU69" s="875">
        <f>Income!DU63*4/AVERAGE('Balance Sheet'!DU23,DT23)</f>
        <v>0.10863563810493533</v>
      </c>
      <c r="DV69" s="875">
        <f>Income!DV63*4/AVERAGE('Balance Sheet'!DV23,DU23)</f>
        <v>0.12408424867154379</v>
      </c>
      <c r="DW69" s="875">
        <f>Income!DW63*4/AVERAGE('Balance Sheet'!DW23,DV23)</f>
        <v>0.16470552735713101</v>
      </c>
      <c r="DX69" s="863">
        <f>Income!DX63/AVERAGE(DS23,DX23)</f>
        <v>0.11551640658298541</v>
      </c>
      <c r="DY69" s="875">
        <f>Income!DY63*4/AVERAGE('Balance Sheet'!DY23,DW23)</f>
        <v>7.2811311157292419E-2</v>
      </c>
      <c r="DZ69" s="875">
        <f>Income!DZ63*4/AVERAGE('Balance Sheet'!DZ23,DY23)</f>
        <v>0.11660525695949547</v>
      </c>
      <c r="EA69" s="875">
        <f>Income!EA63*4/AVERAGE('Balance Sheet'!EA23,DZ23)</f>
        <v>0.13199165079445799</v>
      </c>
      <c r="EB69" s="875">
        <f>Income!EB63*4/AVERAGE('Balance Sheet'!EB23,EA23)</f>
        <v>0.17480077887370085</v>
      </c>
      <c r="EC69" s="863">
        <f>Income!EC63/AVERAGE(DX23,EC23)</f>
        <v>0.12386886297318693</v>
      </c>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row>
    <row r="70" spans="1:258" s="873" customFormat="1">
      <c r="A70" s="139"/>
      <c r="B70" s="139"/>
      <c r="C70" s="865" t="s">
        <v>93</v>
      </c>
      <c r="D70" s="861"/>
      <c r="E70" s="861"/>
      <c r="F70" s="861"/>
      <c r="G70" s="861"/>
      <c r="H70" s="861"/>
      <c r="I70" s="91"/>
      <c r="J70" s="91"/>
      <c r="K70" s="91"/>
      <c r="L70" s="91"/>
      <c r="M70" s="861"/>
      <c r="N70" s="91"/>
      <c r="O70" s="91"/>
      <c r="P70" s="91"/>
      <c r="Q70" s="91"/>
      <c r="R70" s="861"/>
      <c r="S70" s="91"/>
      <c r="T70" s="91"/>
      <c r="U70" s="91"/>
      <c r="V70" s="91"/>
      <c r="W70" s="861"/>
      <c r="X70" s="91"/>
      <c r="Y70" s="91"/>
      <c r="Z70" s="91"/>
      <c r="AA70" s="91"/>
      <c r="AB70" s="861"/>
      <c r="AC70" s="91"/>
      <c r="AD70" s="91"/>
      <c r="AE70" s="91"/>
      <c r="AF70" s="91"/>
      <c r="AG70" s="861"/>
      <c r="AH70" s="91"/>
      <c r="AI70" s="91"/>
      <c r="AJ70" s="91"/>
      <c r="AK70" s="91"/>
      <c r="AL70" s="861"/>
      <c r="AM70" s="91"/>
      <c r="AN70" s="91"/>
      <c r="AO70" s="91"/>
      <c r="AP70" s="91"/>
      <c r="AQ70" s="861"/>
      <c r="AR70" s="91"/>
      <c r="AS70" s="91"/>
      <c r="AT70" s="91"/>
      <c r="AU70" s="91"/>
      <c r="AV70" s="861"/>
      <c r="AW70" s="91"/>
      <c r="AX70" s="91"/>
      <c r="AY70" s="91"/>
      <c r="AZ70" s="91"/>
      <c r="BA70" s="861"/>
      <c r="BB70" s="91"/>
      <c r="BC70" s="91"/>
      <c r="BD70" s="91"/>
      <c r="BE70" s="91"/>
      <c r="BF70" s="861"/>
      <c r="BG70" s="91"/>
      <c r="BH70" s="91"/>
      <c r="BI70" s="91"/>
      <c r="BJ70" s="91"/>
      <c r="BK70" s="861"/>
      <c r="BL70" s="91"/>
      <c r="BM70" s="91"/>
      <c r="BN70" s="91"/>
      <c r="BO70" s="91"/>
      <c r="BP70" s="861"/>
      <c r="BQ70" s="91"/>
      <c r="BR70" s="91"/>
      <c r="BS70" s="91"/>
      <c r="BT70" s="91"/>
      <c r="BU70" s="863">
        <f>Income!BU$63/AVERAGE(SUM(BP38:BP42),SUM(BU38:BU42))</f>
        <v>-0.19240516698495258</v>
      </c>
      <c r="BV70" s="91"/>
      <c r="BW70" s="91"/>
      <c r="BX70" s="91"/>
      <c r="BY70" s="91"/>
      <c r="BZ70" s="863">
        <f>Income!BZ$63/AVERAGE(SUM(BU38:BU42),SUM(BZ38:BZ42))</f>
        <v>-0.11672303905789608</v>
      </c>
      <c r="CA70" s="91"/>
      <c r="CB70" s="91"/>
      <c r="CC70" s="91"/>
      <c r="CD70" s="91"/>
      <c r="CE70" s="863">
        <f>Income!CE$63/AVERAGE(SUM(BZ38:BZ42),SUM(CE38:CE42))</f>
        <v>-5.6667157843431737E-2</v>
      </c>
      <c r="CF70" s="91"/>
      <c r="CG70" s="91"/>
      <c r="CH70" s="91"/>
      <c r="CI70" s="91"/>
      <c r="CJ70" s="863">
        <f>Income!CJ$63/AVERAGE(SUM(CE38:CE42),SUM(CJ38:CJ42))</f>
        <v>-4.1756633853709223E-2</v>
      </c>
      <c r="CK70" s="91"/>
      <c r="CL70" s="91"/>
      <c r="CM70" s="91"/>
      <c r="CN70" s="91"/>
      <c r="CO70" s="863">
        <f>Income!CO$63/AVERAGE(SUM(CJ38:CJ42),SUM(CO38:CO42))</f>
        <v>-4.8895310331808328E-2</v>
      </c>
      <c r="CP70" s="862"/>
      <c r="CQ70" s="874"/>
      <c r="CR70" s="874"/>
      <c r="CS70" s="862"/>
      <c r="CT70" s="863">
        <f>Income!CT$63/AVERAGE(SUM(CO38:CO42),SUM(CT38:CT42))</f>
        <v>6.7861829560736067E-2</v>
      </c>
      <c r="CU70" s="875">
        <f>Income!CU$63/AVERAGE(SUM(CT38:CT42),SUM(CU38:CU42))</f>
        <v>0.16193500261281998</v>
      </c>
      <c r="CV70" s="875">
        <f>Income!CV$63/AVERAGE(SUM(CU38:CU42),SUM(CV38:CV42))</f>
        <v>9.1275470910578957E-2</v>
      </c>
      <c r="CW70" s="875">
        <f>Income!CW$63/AVERAGE(SUM(CV38:CV42),SUM(CW38:CW42))</f>
        <v>0.10687651253528195</v>
      </c>
      <c r="CX70" s="875">
        <f>Income!CX$63/AVERAGE(SUM(CW38:CW42),SUM(CX38:CX42))</f>
        <v>-3.3000115803600946E-2</v>
      </c>
      <c r="CY70" s="863">
        <f>Income!CY$63/AVERAGE(SUM(CT38:CT42),SUM(CY38:CY42))</f>
        <v>0.33245675389345009</v>
      </c>
      <c r="CZ70" s="875">
        <f>Income!CZ$63/AVERAGE(SUM(CY38:CY42),SUM(CZ38:CZ42))</f>
        <v>-0.14093700807573081</v>
      </c>
      <c r="DA70" s="875">
        <f>Income!DA$63/AVERAGE(SUM(CZ38:CZ42),SUM(DA38:DA42))</f>
        <v>-0.13010482731059411</v>
      </c>
      <c r="DB70" s="875">
        <f>Income!DB$63/AVERAGE(SUM(DA38:DA42),SUM(DB38:DB42))</f>
        <v>-1.8197330566515964E-2</v>
      </c>
      <c r="DC70" s="875">
        <f>Income!DC$63/AVERAGE(SUM(DB38:DB42),SUM(DC38:DC42))</f>
        <v>-7.3670894643405899E-2</v>
      </c>
      <c r="DD70" s="863">
        <f>Income!DD$63/AVERAGE(SUM(CY38:CY42),SUM(DD38:DD42))</f>
        <v>-0.35725551472391143</v>
      </c>
      <c r="DE70" s="875">
        <f>Income!DE$63/AVERAGE(SUM(DD38:DD42),SUM(DE38:DE42))</f>
        <v>8.1457177871750337E-3</v>
      </c>
      <c r="DF70" s="875">
        <f>Income!DF$63/AVERAGE(SUM(DE38:DE42),SUM(DF38:DF42))</f>
        <v>-0.16469849246231155</v>
      </c>
      <c r="DG70" s="875">
        <f>Income!DG$63/AVERAGE(SUM(DF38:DF42),SUM(DG38:DG42))</f>
        <v>9.1191973074236363E-2</v>
      </c>
      <c r="DH70" s="875">
        <f>Income!DH$63/AVERAGE(SUM(DG38:DG42),SUM(DH38:DH42))</f>
        <v>7.5734870317002878E-2</v>
      </c>
      <c r="DI70" s="863">
        <f>Income!DI$63/AVERAGE(SUM(DD38:DD42),SUM(DI38:DI42))</f>
        <v>1.5255804299004748E-2</v>
      </c>
      <c r="DJ70" s="875">
        <f>Income!DJ$63/AVERAGE(SUM(DH38:DH42),SUM(DJ38:DJ42))</f>
        <v>-3.0402583662787461E-2</v>
      </c>
      <c r="DK70" s="875">
        <f>Income!DK$63/AVERAGE(SUM(DJ38:DJ42),SUM(DK38:DK42))</f>
        <v>1.8931635759756434E-2</v>
      </c>
      <c r="DL70" s="875">
        <f>Income!DL$63/AVERAGE(SUM(DK38:DK42),SUM(DL38:DL42))</f>
        <v>8.5847589424572324E-2</v>
      </c>
      <c r="DM70" s="875">
        <f>Income!DM$63/AVERAGE(SUM(DL38:DL42),SUM(DM38:DM42))</f>
        <v>3.8047128039085457E-2</v>
      </c>
      <c r="DN70" s="863">
        <f>Income!DN$63/AVERAGE(SUM(DI38:DI42),SUM(DN38:DN42))</f>
        <v>0.11376674990041126</v>
      </c>
      <c r="DO70" s="875">
        <f>Income!DO$63/AVERAGE(SUM(DM38:DM42),SUM(DO38:DO42))</f>
        <v>1.6376458651065275E-2</v>
      </c>
      <c r="DP70" s="875">
        <f>Income!DP$63/AVERAGE(SUM(DO38:DO42),SUM(DP38:DP42))</f>
        <v>2.8611512620272488E-2</v>
      </c>
      <c r="DQ70" s="875">
        <f>Income!DQ$63/AVERAGE(SUM(DP38:DP42),SUM(DQ38:DQ42))</f>
        <v>3.2788001516337296E-2</v>
      </c>
      <c r="DR70" s="875">
        <f>Income!DR$63/AVERAGE(SUM(DQ38:DQ42),SUM(DR38:DR42))</f>
        <v>4.3556255282128288E-2</v>
      </c>
      <c r="DS70" s="863">
        <f>Income!DS$63/AVERAGE(SUM(DN38:DN42),SUM(DS38:DS42))</f>
        <v>0.12162197340164389</v>
      </c>
      <c r="DT70" s="875">
        <f>Income!DT$63/AVERAGE(SUM(DR38:DR42),SUM(DT38:DT42))</f>
        <v>1.8461428689114101E-2</v>
      </c>
      <c r="DU70" s="875">
        <f>Income!DU$63/AVERAGE(SUM(DT38:DT42),SUM(DU38:DU42))</f>
        <v>3.0869167122719671E-2</v>
      </c>
      <c r="DV70" s="875">
        <f>Income!DV$63/AVERAGE(SUM(DU38:DU42),SUM(DV38:DV42))</f>
        <v>3.5087965163433078E-2</v>
      </c>
      <c r="DW70" s="875">
        <f>Income!DW$63/AVERAGE(SUM(DV38:DV42),SUM(DW38:DW42))</f>
        <v>4.6598740455065048E-2</v>
      </c>
      <c r="DX70" s="863">
        <f>Income!DX$63/AVERAGE(SUM(DS38:DS42),SUM(DX38:DX42))</f>
        <v>0.13126040156645002</v>
      </c>
      <c r="DY70" s="875">
        <f>Income!DY$63/AVERAGE(SUM(DW38:DW42),SUM(DY38:DY42))</f>
        <v>2.0651700890342541E-2</v>
      </c>
      <c r="DZ70" s="875">
        <f>Income!DZ$63/AVERAGE(SUM(DY38:DY42),SUM(DZ38:DZ42))</f>
        <v>3.2984075201671945E-2</v>
      </c>
      <c r="EA70" s="875">
        <f>Income!EA$63/AVERAGE(SUM(DZ38:DZ42),SUM(EA38:EA42))</f>
        <v>3.71550590268101E-2</v>
      </c>
      <c r="EB70" s="875">
        <f>Income!EB$63/AVERAGE(SUM(EA38:EA42),SUM(EB38:EB42))</f>
        <v>4.9224973835641332E-2</v>
      </c>
      <c r="EC70" s="863">
        <f>Income!EC$63/AVERAGE(SUM(DX38:DX42),SUM(EC38:EC42))</f>
        <v>0.14019509421713064</v>
      </c>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row>
    <row r="71" spans="1:258" s="873" customFormat="1">
      <c r="A71" s="139"/>
      <c r="B71" s="139"/>
      <c r="C71" s="865" t="s">
        <v>91</v>
      </c>
      <c r="D71" s="876"/>
      <c r="E71" s="876"/>
      <c r="F71" s="876"/>
      <c r="G71" s="876"/>
      <c r="H71" s="876"/>
      <c r="I71" s="91"/>
      <c r="J71" s="91"/>
      <c r="K71" s="91"/>
      <c r="L71" s="91"/>
      <c r="M71" s="876"/>
      <c r="N71" s="91"/>
      <c r="O71" s="91"/>
      <c r="P71" s="91"/>
      <c r="Q71" s="91"/>
      <c r="R71" s="876"/>
      <c r="S71" s="91"/>
      <c r="T71" s="91"/>
      <c r="U71" s="91"/>
      <c r="V71" s="91"/>
      <c r="W71" s="876"/>
      <c r="X71" s="91"/>
      <c r="Y71" s="91"/>
      <c r="Z71" s="91"/>
      <c r="AA71" s="91"/>
      <c r="AB71" s="876"/>
      <c r="AC71" s="91"/>
      <c r="AD71" s="91"/>
      <c r="AE71" s="91"/>
      <c r="AF71" s="91"/>
      <c r="AG71" s="876"/>
      <c r="AH71" s="91"/>
      <c r="AI71" s="91"/>
      <c r="AJ71" s="91"/>
      <c r="AK71" s="91"/>
      <c r="AL71" s="876"/>
      <c r="AM71" s="91"/>
      <c r="AN71" s="91"/>
      <c r="AO71" s="91"/>
      <c r="AP71" s="91"/>
      <c r="AQ71" s="876"/>
      <c r="AR71" s="91"/>
      <c r="AS71" s="91"/>
      <c r="AT71" s="91"/>
      <c r="AU71" s="91"/>
      <c r="AV71" s="876"/>
      <c r="AW71" s="91"/>
      <c r="AX71" s="91"/>
      <c r="AY71" s="91"/>
      <c r="AZ71" s="91"/>
      <c r="BA71" s="876"/>
      <c r="BB71" s="91"/>
      <c r="BC71" s="91"/>
      <c r="BD71" s="91"/>
      <c r="BE71" s="91"/>
      <c r="BF71" s="876"/>
      <c r="BG71" s="91"/>
      <c r="BH71" s="91"/>
      <c r="BI71" s="91"/>
      <c r="BJ71" s="91"/>
      <c r="BK71" s="876"/>
      <c r="BL71" s="91"/>
      <c r="BM71" s="91"/>
      <c r="BN71" s="91"/>
      <c r="BO71" s="91"/>
      <c r="BP71" s="876"/>
      <c r="BQ71" s="91"/>
      <c r="BR71" s="91"/>
      <c r="BS71" s="91"/>
      <c r="BT71" s="91"/>
      <c r="BU71" s="877">
        <f>'Cash Flow'!BU57/AVERAGE(SUM(BU14-BU30+BU17+BU16+BU21),SUM(BP14-BP30+BP17+BP16+BP21))</f>
        <v>0</v>
      </c>
      <c r="BV71" s="91"/>
      <c r="BW71" s="91"/>
      <c r="BX71" s="91"/>
      <c r="BY71" s="91"/>
      <c r="BZ71" s="877">
        <f>'Cash Flow'!BZ57/AVERAGE(SUM(BZ14-BZ30+BZ17+BZ16+BZ21),SUM(BU14-BU30+BU17+BU16+BU21))</f>
        <v>-3.536486785298712E-2</v>
      </c>
      <c r="CA71" s="91"/>
      <c r="CB71" s="91"/>
      <c r="CC71" s="91"/>
      <c r="CD71" s="91"/>
      <c r="CE71" s="877">
        <f>'Cash Flow'!CE57/AVERAGE(SUM(CE14-CE30+CE17+CE16+CE21),SUM(BZ14-BZ30+BZ17+BZ16+BZ21))</f>
        <v>-1.8031463731021997E-2</v>
      </c>
      <c r="CF71" s="91"/>
      <c r="CG71" s="91"/>
      <c r="CH71" s="91"/>
      <c r="CI71" s="91"/>
      <c r="CJ71" s="877">
        <f>'Cash Flow'!CJ57/AVERAGE(SUM(CJ14-CJ30+CJ17+CJ16+CJ21),SUM(CE14-CE30+CE17+CE16+CE21))</f>
        <v>-1.2323123057558305E-2</v>
      </c>
      <c r="CK71" s="91"/>
      <c r="CL71" s="91"/>
      <c r="CM71" s="91"/>
      <c r="CN71" s="91"/>
      <c r="CO71" s="877">
        <f>'Cash Flow'!CO57/AVERAGE(SUM(CO14-CO30+CO17+CO16+CO21),SUM(CJ14-CJ30+CJ17+CJ16+CJ21))</f>
        <v>5.4398565284952561E-3</v>
      </c>
      <c r="CP71" s="862"/>
      <c r="CQ71" s="874"/>
      <c r="CR71" s="874"/>
      <c r="CS71" s="862"/>
      <c r="CT71" s="877">
        <f>(Income!CT45+Income!CT58)/AVERAGE('Balance Sheet'!CT44-'Balance Sheet'!CT8-'Balance Sheet'!CT9,'Balance Sheet'!CO44-'Balance Sheet'!CO8-'Balance Sheet'!CO9)</f>
        <v>0.14054157709767834</v>
      </c>
      <c r="CU71" s="875">
        <f>(Income!CU45+Income!CU58)*4/AVERAGE('Balance Sheet'!CU44-'Balance Sheet'!CU8-'Balance Sheet'!CU9,'Balance Sheet'!CT44-'Balance Sheet'!CT8-'Balance Sheet'!CT9)</f>
        <v>1.4419817265789833E-2</v>
      </c>
      <c r="CV71" s="875">
        <f>(Income!CV45+Income!CV58)*4/AVERAGE('Balance Sheet'!CV44-'Balance Sheet'!CV8-'Balance Sheet'!CV9,'Balance Sheet'!CU44-'Balance Sheet'!CU8-'Balance Sheet'!CU9)</f>
        <v>0.11097187913259976</v>
      </c>
      <c r="CW71" s="875">
        <f>(Income!CW45+Income!CW58)*4/AVERAGE('Balance Sheet'!CW44-'Balance Sheet'!CW8-'Balance Sheet'!CW9,'Balance Sheet'!CV44-'Balance Sheet'!CV8-'Balance Sheet'!CV9)</f>
        <v>-0.15354769446223696</v>
      </c>
      <c r="CX71" s="875">
        <f>(Income!CX45+Income!CX58)*4/AVERAGE('Balance Sheet'!CX44-'Balance Sheet'!CX8-'Balance Sheet'!CX9,'Balance Sheet'!CW44-'Balance Sheet'!CW8-'Balance Sheet'!CW9)</f>
        <v>9.0984022903384268E-2</v>
      </c>
      <c r="CY71" s="877">
        <f>(Income!CY45+Income!CY58)/AVERAGE('Balance Sheet'!CY44-'Balance Sheet'!CY8-'Balance Sheet'!CY9,'Balance Sheet'!CT44-'Balance Sheet'!CT8-'Balance Sheet'!CT9)</f>
        <v>1.2295924999175914E-2</v>
      </c>
      <c r="CZ71" s="875">
        <f>(Income!CZ45+Income!CZ58)*4/AVERAGE('Balance Sheet'!CZ44-'Balance Sheet'!CZ8-'Balance Sheet'!CZ9,'Balance Sheet'!CY44-'Balance Sheet'!CY8-'Balance Sheet'!CY9)</f>
        <v>6.3365496206588171E-2</v>
      </c>
      <c r="DA71" s="875">
        <f>(Income!DA45+Income!DA58)*4/AVERAGE('Balance Sheet'!DA44-'Balance Sheet'!DA8-'Balance Sheet'!DA9,'Balance Sheet'!CZ44-'Balance Sheet'!CZ8-'Balance Sheet'!CZ9)</f>
        <v>-0.18696966128125986</v>
      </c>
      <c r="DB71" s="875">
        <f>(Income!DB45+Income!DB58)*4/AVERAGE('Balance Sheet'!DB44-'Balance Sheet'!DB8-'Balance Sheet'!DB9,'Balance Sheet'!DA44-'Balance Sheet'!DA8-'Balance Sheet'!DA9)</f>
        <v>-0.27580516638401265</v>
      </c>
      <c r="DC71" s="875">
        <f>(Income!DC45+Income!DC58)*4/AVERAGE('Balance Sheet'!DC44-'Balance Sheet'!DC8-'Balance Sheet'!DC9,'Balance Sheet'!DB44-'Balance Sheet'!DB8-'Balance Sheet'!DB9)</f>
        <v>-0.13226415324550594</v>
      </c>
      <c r="DD71" s="877">
        <f>(Income!DD45+Income!DD58)/AVERAGE('Balance Sheet'!DD44-'Balance Sheet'!DD8-'Balance Sheet'!DD9,'Balance Sheet'!CY44-'Balance Sheet'!CY8-'Balance Sheet'!CY9)</f>
        <v>-0.11703664683743216</v>
      </c>
      <c r="DE71" s="875">
        <f>(Income!DE45+Income!DE58)*4/AVERAGE('Balance Sheet'!DE44-'Balance Sheet'!DE8-'Balance Sheet'!DE9,'Balance Sheet'!DD44-'Balance Sheet'!DD8-'Balance Sheet'!DD9)</f>
        <v>-0.13621493429027151</v>
      </c>
      <c r="DF71" s="875">
        <f>(Income!DF45+Income!DF58)*4/AVERAGE('Balance Sheet'!DF44-'Balance Sheet'!DF8-'Balance Sheet'!DF9,'Balance Sheet'!DE44-'Balance Sheet'!DE8-'Balance Sheet'!DE9)</f>
        <v>-1.1945558443971269</v>
      </c>
      <c r="DG71" s="875">
        <f>(Income!DG45+Income!DG58)*4/AVERAGE('Balance Sheet'!DG44-'Balance Sheet'!DG8-'Balance Sheet'!DG9,'Balance Sheet'!DF44-'Balance Sheet'!DF8-'Balance Sheet'!DF9)</f>
        <v>8.558869740116036E-2</v>
      </c>
      <c r="DH71" s="875">
        <f>(Income!DH45+Income!DH58)*4/AVERAGE('Balance Sheet'!DH44-'Balance Sheet'!DH8-'Balance Sheet'!DH9,'Balance Sheet'!DG44-'Balance Sheet'!DG8-'Balance Sheet'!DG9)</f>
        <v>0.17842358705753153</v>
      </c>
      <c r="DI71" s="877">
        <f>(Income!DI45+Income!DI58)/AVERAGE('Balance Sheet'!DI44-'Balance Sheet'!DI8-'Balance Sheet'!DI9,'Balance Sheet'!DD44-'Balance Sheet'!DD8-'Balance Sheet'!DD9)</f>
        <v>-0.2452647521287889</v>
      </c>
      <c r="DJ71" s="875">
        <f>(Income!DJ45+Income!DJ58)*4/AVERAGE('Balance Sheet'!DJ44-'Balance Sheet'!DJ8-'Balance Sheet'!DJ9,'Balance Sheet'!DH44-'Balance Sheet'!DH8-'Balance Sheet'!DH9)</f>
        <v>4.5149681007688548E-2</v>
      </c>
      <c r="DK71" s="875">
        <f>(Income!DK45+Income!DK58)*4/AVERAGE('Balance Sheet'!DK44-'Balance Sheet'!DK8-'Balance Sheet'!DK9,'Balance Sheet'!DJ44-'Balance Sheet'!DJ8-'Balance Sheet'!DJ9)</f>
        <v>0.13637846655791194</v>
      </c>
      <c r="DL71" s="875">
        <f>(Income!DL45+Income!DL58)*4/AVERAGE('Balance Sheet'!DL44-'Balance Sheet'!DL8-'Balance Sheet'!DL9,'Balance Sheet'!DK44-'Balance Sheet'!DK8-'Balance Sheet'!DK9)</f>
        <v>0.1459408387237445</v>
      </c>
      <c r="DM71" s="875">
        <f>(Income!DM45+Income!DM58)*4/AVERAGE('Balance Sheet'!DM44-'Balance Sheet'!DM8-'Balance Sheet'!DM9,'Balance Sheet'!DL44-'Balance Sheet'!DL8-'Balance Sheet'!DL9)</f>
        <v>0.17033634812884305</v>
      </c>
      <c r="DN71" s="877">
        <f>(Income!DN45+Income!DN58)/AVERAGE('Balance Sheet'!DN44-'Balance Sheet'!DN8-'Balance Sheet'!DN9,'Balance Sheet'!DI44-'Balance Sheet'!DI8-'Balance Sheet'!DI9)</f>
        <v>0.12286042197938536</v>
      </c>
      <c r="DO71" s="875">
        <f>(Income!DO45+Income!DO58)*4/AVERAGE('Balance Sheet'!DO44-'Balance Sheet'!DO8-'Balance Sheet'!DO9,'Balance Sheet'!DM44-'Balance Sheet'!DM8-'Balance Sheet'!DM9)</f>
        <v>5.3923106140968846E-2</v>
      </c>
      <c r="DP71" s="875">
        <f>(Income!DP45+Income!DP58)*4/AVERAGE('Balance Sheet'!DP44-'Balance Sheet'!DP8-'Balance Sheet'!DP9,'Balance Sheet'!DO44-'Balance Sheet'!DO8-'Balance Sheet'!DO9)</f>
        <v>0.13177657955661679</v>
      </c>
      <c r="DQ71" s="875">
        <f>(Income!DQ45+Income!DQ58)*4/AVERAGE('Balance Sheet'!DQ44-'Balance Sheet'!DQ8-'Balance Sheet'!DQ9,'Balance Sheet'!DP44-'Balance Sheet'!DP8-'Balance Sheet'!DP9)</f>
        <v>0.16090077586905305</v>
      </c>
      <c r="DR71" s="875">
        <f>(Income!DR45+Income!DR58)*4/AVERAGE('Balance Sheet'!DR44-'Balance Sheet'!DR8-'Balance Sheet'!DR9,'Balance Sheet'!DQ44-'Balance Sheet'!DQ8-'Balance Sheet'!DQ9)</f>
        <v>0.23458832788647579</v>
      </c>
      <c r="DS71" s="877">
        <f>(Income!DS45+Income!DS58)/AVERAGE('Balance Sheet'!DS44-'Balance Sheet'!DS8-'Balance Sheet'!DS9,'Balance Sheet'!DN44-'Balance Sheet'!DN8-'Balance Sheet'!DN9)</f>
        <v>0.14419048748744517</v>
      </c>
      <c r="DT71" s="875">
        <f>(Income!DT45+Income!DT58)*4/AVERAGE('Balance Sheet'!DT44-'Balance Sheet'!DT8-'Balance Sheet'!DT9,'Balance Sheet'!DR44-'Balance Sheet'!DR8-'Balance Sheet'!DR9)</f>
        <v>8.2505658267175527E-2</v>
      </c>
      <c r="DU71" s="875">
        <f>(Income!DU45+Income!DU58)*4/AVERAGE('Balance Sheet'!DU44-'Balance Sheet'!DU8-'Balance Sheet'!DU9,'Balance Sheet'!DT44-'Balance Sheet'!DT8-'Balance Sheet'!DT9)</f>
        <v>0.17338098366926616</v>
      </c>
      <c r="DV71" s="875">
        <f>(Income!DV45+Income!DV58)*4/AVERAGE('Balance Sheet'!DV44-'Balance Sheet'!DV8-'Balance Sheet'!DV9,'Balance Sheet'!DU44-'Balance Sheet'!DU8-'Balance Sheet'!DU9)</f>
        <v>0.20638340650831213</v>
      </c>
      <c r="DW71" s="875">
        <f>(Income!DW45+Income!DW58)*4/AVERAGE('Balance Sheet'!DW44-'Balance Sheet'!DW8-'Balance Sheet'!DW9,'Balance Sheet'!DV44-'Balance Sheet'!DV8-'Balance Sheet'!DV9)</f>
        <v>0.29529839328365548</v>
      </c>
      <c r="DX71" s="877">
        <f>(Income!DX45+Income!DX58)/AVERAGE('Balance Sheet'!DX44-'Balance Sheet'!DX8-'Balance Sheet'!DX9,'Balance Sheet'!DS44-'Balance Sheet'!DS8-'Balance Sheet'!DS9)</f>
        <v>0.18744206792721199</v>
      </c>
      <c r="DY71" s="875">
        <f>(Income!DY45+Income!DY58)*4/AVERAGE('Balance Sheet'!DY44-'Balance Sheet'!DY8-'Balance Sheet'!DY9,'Balance Sheet'!DW44-'Balance Sheet'!DW8-'Balance Sheet'!DW9)</f>
        <v>0.11805740513543335</v>
      </c>
      <c r="DZ71" s="875">
        <f>(Income!DZ45+Income!DZ58)*4/AVERAGE('Balance Sheet'!DZ44-'Balance Sheet'!DZ8-'Balance Sheet'!DZ9,'Balance Sheet'!DY44-'Balance Sheet'!DY8-'Balance Sheet'!DY9)</f>
        <v>0.22285134359437372</v>
      </c>
      <c r="EA71" s="875">
        <f>(Income!EA45+Income!EA58)*4/AVERAGE('Balance Sheet'!EA44-'Balance Sheet'!EA8-'Balance Sheet'!EA9,'Balance Sheet'!DZ44-'Balance Sheet'!DZ8-'Balance Sheet'!DZ9)</f>
        <v>0.25945404483477941</v>
      </c>
      <c r="EB71" s="875">
        <f>(Income!EB45+Income!EB58)*4/AVERAGE('Balance Sheet'!EB44-'Balance Sheet'!EB8-'Balance Sheet'!EB9,'Balance Sheet'!EA44-'Balance Sheet'!EA8-'Balance Sheet'!EA9)</f>
        <v>0.36504708220639898</v>
      </c>
      <c r="EC71" s="877">
        <f>(Income!EC45+Income!EC58)/AVERAGE('Balance Sheet'!EC44-'Balance Sheet'!EC8-'Balance Sheet'!EC9,'Balance Sheet'!DX44-'Balance Sheet'!DX8-'Balance Sheet'!DX9)</f>
        <v>0.23798656511491018</v>
      </c>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row>
    <row r="72" spans="1:258" s="93" customFormat="1" ht="3" customHeight="1">
      <c r="A72" s="139"/>
      <c r="B72" s="139"/>
      <c r="C72" s="730"/>
      <c r="E72" s="91"/>
      <c r="F72" s="91"/>
      <c r="G72" s="91"/>
      <c r="H72" s="91"/>
      <c r="M72" s="91"/>
      <c r="R72" s="91"/>
      <c r="W72" s="91"/>
      <c r="AB72" s="91"/>
      <c r="AG72" s="91"/>
      <c r="AL72" s="91"/>
      <c r="AQ72" s="91"/>
      <c r="AV72" s="91"/>
      <c r="BA72" s="91"/>
      <c r="BF72" s="91"/>
      <c r="BK72" s="91"/>
      <c r="BP72" s="91"/>
      <c r="BU72" s="91"/>
      <c r="BZ72" s="91"/>
      <c r="CA72" s="100"/>
      <c r="CB72" s="100"/>
      <c r="CC72" s="100"/>
      <c r="CD72" s="100"/>
      <c r="CE72" s="100"/>
      <c r="CF72" s="100"/>
      <c r="CG72" s="100"/>
      <c r="CH72" s="100"/>
      <c r="CI72" s="100"/>
      <c r="CJ72" s="100"/>
      <c r="CK72" s="100"/>
      <c r="CL72" s="100"/>
      <c r="CM72" s="100"/>
      <c r="CN72" s="100"/>
      <c r="CO72" s="100"/>
      <c r="CT72" s="91"/>
      <c r="CY72" s="91"/>
    </row>
    <row r="73" spans="1:258" s="93" customFormat="1">
      <c r="A73" s="139"/>
      <c r="B73" s="139"/>
      <c r="C73" s="94"/>
      <c r="CP73" s="177"/>
    </row>
    <row r="74" spans="1:258" s="93" customFormat="1">
      <c r="A74" s="139"/>
      <c r="B74" s="139"/>
      <c r="C74" s="94"/>
      <c r="CP74" s="177"/>
    </row>
    <row r="75" spans="1:258" s="179" customFormat="1">
      <c r="A75" s="139"/>
      <c r="B75" s="139"/>
      <c r="C75" s="296"/>
      <c r="CA75" s="857"/>
      <c r="CB75" s="857"/>
      <c r="CC75" s="857"/>
      <c r="CD75" s="857"/>
      <c r="CE75" s="857"/>
      <c r="CF75" s="857"/>
      <c r="CG75" s="857"/>
      <c r="CH75" s="857"/>
      <c r="CI75" s="857"/>
      <c r="CJ75" s="857"/>
      <c r="CK75" s="857"/>
      <c r="CL75" s="857"/>
      <c r="CM75" s="857"/>
      <c r="CN75" s="857"/>
      <c r="CO75" s="857"/>
      <c r="CP75" s="177"/>
      <c r="CQ75" s="857"/>
      <c r="CR75" s="857"/>
      <c r="CS75" s="857"/>
      <c r="CT75" s="857"/>
      <c r="CU75" s="857"/>
      <c r="CV75" s="857"/>
      <c r="CW75" s="857"/>
      <c r="CX75" s="857"/>
      <c r="CY75" s="857"/>
      <c r="CZ75" s="857"/>
      <c r="DA75" s="100"/>
      <c r="DJ75" s="100"/>
      <c r="DK75" s="100"/>
      <c r="DL75" s="100"/>
      <c r="DO75" s="100"/>
      <c r="DP75" s="100"/>
      <c r="DT75" s="100"/>
      <c r="DU75" s="100"/>
      <c r="DY75" s="100"/>
      <c r="DZ75" s="100"/>
    </row>
    <row r="76" spans="1:258">
      <c r="CP76" s="177"/>
    </row>
    <row r="77" spans="1:258">
      <c r="CP77" s="177"/>
    </row>
    <row r="78" spans="1:258">
      <c r="CP78" s="177"/>
    </row>
    <row r="79" spans="1:258">
      <c r="CP79" s="177"/>
    </row>
    <row r="80" spans="1:258">
      <c r="CP80" s="177"/>
    </row>
    <row r="81" spans="79:97">
      <c r="CP81" s="177"/>
    </row>
    <row r="82" spans="79:97">
      <c r="CP82" s="177"/>
    </row>
    <row r="83" spans="79:97">
      <c r="CP83" s="177"/>
    </row>
    <row r="84" spans="79:97">
      <c r="CP84" s="177"/>
    </row>
    <row r="85" spans="79:97">
      <c r="CP85" s="177"/>
    </row>
    <row r="86" spans="79:97">
      <c r="CA86" s="878"/>
      <c r="CB86" s="878"/>
      <c r="CC86" s="878"/>
      <c r="CD86" s="878"/>
      <c r="CE86" s="879"/>
      <c r="CF86" s="878"/>
      <c r="CG86" s="878"/>
      <c r="CH86" s="878"/>
      <c r="CI86" s="878"/>
      <c r="CJ86" s="879"/>
      <c r="CK86" s="878"/>
      <c r="CL86" s="878"/>
      <c r="CM86" s="878"/>
      <c r="CN86" s="878"/>
      <c r="CP86" s="177"/>
    </row>
    <row r="87" spans="79:97">
      <c r="CP87" s="177"/>
    </row>
    <row r="88" spans="79:97">
      <c r="CP88" s="177"/>
    </row>
    <row r="89" spans="79:97">
      <c r="CP89" s="177"/>
    </row>
    <row r="90" spans="79:97">
      <c r="CP90" s="177"/>
    </row>
    <row r="91" spans="79:97">
      <c r="CL91" s="177"/>
      <c r="CM91" s="177"/>
      <c r="CN91" s="177"/>
      <c r="CP91" s="177"/>
      <c r="CQ91" s="177"/>
      <c r="CR91" s="177"/>
      <c r="CS91" s="177"/>
    </row>
    <row r="92" spans="79:97">
      <c r="CL92" s="177"/>
      <c r="CM92" s="177"/>
      <c r="CN92" s="177"/>
      <c r="CP92" s="177"/>
      <c r="CQ92" s="177"/>
      <c r="CR92" s="177"/>
      <c r="CS92" s="177"/>
    </row>
    <row r="93" spans="79:97">
      <c r="CL93" s="177"/>
      <c r="CM93" s="177"/>
      <c r="CN93" s="177"/>
      <c r="CP93" s="177"/>
      <c r="CQ93" s="177"/>
      <c r="CR93" s="177"/>
      <c r="CS93" s="177"/>
    </row>
    <row r="94" spans="79:97">
      <c r="CL94" s="177"/>
      <c r="CM94" s="177"/>
      <c r="CN94" s="177"/>
      <c r="CP94" s="177"/>
      <c r="CQ94" s="177"/>
      <c r="CR94" s="177"/>
      <c r="CS94" s="177"/>
    </row>
    <row r="95" spans="79:97">
      <c r="CL95" s="177"/>
      <c r="CM95" s="177"/>
      <c r="CN95" s="177"/>
      <c r="CP95" s="177"/>
      <c r="CQ95" s="177"/>
      <c r="CR95" s="177"/>
      <c r="CS95" s="177"/>
    </row>
    <row r="96" spans="79:97">
      <c r="CL96" s="177"/>
      <c r="CM96" s="177"/>
      <c r="CN96" s="177"/>
      <c r="CP96" s="177"/>
      <c r="CQ96" s="177"/>
      <c r="CR96" s="177"/>
      <c r="CS96" s="177"/>
    </row>
    <row r="97" spans="90:97">
      <c r="CL97" s="177"/>
      <c r="CM97" s="177"/>
      <c r="CN97" s="177"/>
      <c r="CP97" s="177"/>
      <c r="CQ97" s="177"/>
      <c r="CR97" s="177"/>
      <c r="CS97" s="177"/>
    </row>
    <row r="98" spans="90:97">
      <c r="CL98" s="177"/>
      <c r="CM98" s="177"/>
      <c r="CN98" s="177"/>
      <c r="CP98" s="177"/>
      <c r="CQ98" s="177"/>
      <c r="CR98" s="177"/>
      <c r="CS98" s="177"/>
    </row>
    <row r="99" spans="90:97">
      <c r="CL99" s="177"/>
      <c r="CM99" s="177"/>
      <c r="CN99" s="177"/>
      <c r="CP99" s="177"/>
      <c r="CQ99" s="177"/>
      <c r="CR99" s="177"/>
      <c r="CS99" s="177"/>
    </row>
    <row r="100" spans="90:97">
      <c r="CL100" s="177"/>
      <c r="CM100" s="177"/>
      <c r="CN100" s="177"/>
      <c r="CP100" s="177"/>
      <c r="CQ100" s="177"/>
      <c r="CR100" s="177"/>
      <c r="CS100" s="177"/>
    </row>
    <row r="101" spans="90:97">
      <c r="CL101" s="177"/>
      <c r="CM101" s="177"/>
      <c r="CN101" s="177"/>
      <c r="CP101" s="177"/>
      <c r="CQ101" s="177"/>
      <c r="CR101" s="177"/>
      <c r="CS101" s="177"/>
    </row>
    <row r="102" spans="90:97">
      <c r="CL102" s="177"/>
      <c r="CM102" s="177"/>
      <c r="CN102" s="177"/>
      <c r="CP102" s="177"/>
      <c r="CQ102" s="177"/>
      <c r="CR102" s="177"/>
      <c r="CS102" s="177"/>
    </row>
    <row r="103" spans="90:97">
      <c r="CL103" s="177"/>
      <c r="CM103" s="177"/>
      <c r="CN103" s="177"/>
      <c r="CP103" s="177"/>
      <c r="CQ103" s="177"/>
      <c r="CR103" s="177"/>
      <c r="CS103" s="177"/>
    </row>
    <row r="104" spans="90:97">
      <c r="CL104" s="177"/>
      <c r="CM104" s="177"/>
      <c r="CN104" s="177"/>
      <c r="CP104" s="177"/>
      <c r="CQ104" s="177"/>
      <c r="CR104" s="177"/>
      <c r="CS104" s="177"/>
    </row>
    <row r="105" spans="90:97">
      <c r="CP105" s="177"/>
    </row>
    <row r="106" spans="90:97">
      <c r="CP106" s="177"/>
    </row>
    <row r="107" spans="90:97">
      <c r="CP107" s="177"/>
    </row>
    <row r="108" spans="90:97">
      <c r="CP108" s="177"/>
    </row>
    <row r="109" spans="90:97">
      <c r="CP109" s="177"/>
    </row>
    <row r="110" spans="90:97">
      <c r="CP110" s="177"/>
    </row>
    <row r="111" spans="90:97">
      <c r="CP111" s="177"/>
    </row>
    <row r="112" spans="90:97">
      <c r="CP112" s="177"/>
    </row>
    <row r="113" spans="94:94">
      <c r="CP113" s="177"/>
    </row>
    <row r="114" spans="94:94">
      <c r="CP114" s="177"/>
    </row>
    <row r="115" spans="94:94">
      <c r="CP115" s="177"/>
    </row>
    <row r="116" spans="94:94">
      <c r="CP116" s="177"/>
    </row>
    <row r="117" spans="94:94">
      <c r="CP117" s="177"/>
    </row>
    <row r="118" spans="94:94">
      <c r="CP118" s="100"/>
    </row>
    <row r="119" spans="94:94">
      <c r="CP119" s="100"/>
    </row>
    <row r="120" spans="94:94">
      <c r="CP120" s="100"/>
    </row>
    <row r="121" spans="94:94">
      <c r="CP121" s="100"/>
    </row>
    <row r="122" spans="94:94">
      <c r="CP122" s="100"/>
    </row>
    <row r="123" spans="94:94">
      <c r="CP123" s="100"/>
    </row>
  </sheetData>
  <phoneticPr fontId="0" type="noConversion"/>
  <pageMargins left="0.15" right="0.15" top="0.3" bottom="0.3" header="0.25" footer="0.25"/>
  <pageSetup scale="10" pageOrder="overThenDown" orientation="portrait" verticalDpi="598" r:id="rId1"/>
  <headerFooter alignWithMargins="0">
    <oddFooter>&amp;R&amp;"Book Antiqua,Regular"&amp;8Daniel Salmon
BMO Capital Markets
 (212) 885-4029</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9" tint="0.79998168889431442"/>
    <pageSetUpPr fitToPage="1"/>
  </sheetPr>
  <dimension ref="A1:ED110"/>
  <sheetViews>
    <sheetView showGridLines="0" workbookViewId="0">
      <pane xSplit="3" ySplit="5" topLeftCell="DH30" activePane="bottomRight" state="frozen"/>
      <selection pane="topRight" activeCell="D1" sqref="D1"/>
      <selection pane="bottomLeft" activeCell="A6" sqref="A6"/>
      <selection pane="bottomRight" activeCell="EC19" sqref="EC19"/>
    </sheetView>
  </sheetViews>
  <sheetFormatPr defaultColWidth="8.85546875" defaultRowHeight="12.75" outlineLevelRow="1" outlineLevelCol="2"/>
  <cols>
    <col min="1" max="1" width="10.7109375" style="139" hidden="1" customWidth="1" outlineLevel="2"/>
    <col min="2" max="2" width="1.7109375" style="139" customWidth="1" collapsed="1"/>
    <col min="3" max="3" width="44.140625" style="139" customWidth="1"/>
    <col min="4" max="63" width="9.140625" style="139" hidden="1" customWidth="1" outlineLevel="1"/>
    <col min="64" max="67" width="7.7109375" style="139" hidden="1" customWidth="1" outlineLevel="1"/>
    <col min="68" max="68" width="9.140625" style="139" hidden="1" customWidth="1" outlineLevel="1"/>
    <col min="69" max="69" width="7.7109375" style="139" hidden="1" customWidth="1" outlineLevel="1" collapsed="1"/>
    <col min="70" max="72" width="7.7109375" style="139" hidden="1" customWidth="1" outlineLevel="1"/>
    <col min="73" max="73" width="9.140625" style="139" hidden="1" customWidth="1" outlineLevel="1"/>
    <col min="74" max="77" width="7.7109375" style="139" hidden="1" customWidth="1" outlineLevel="1"/>
    <col min="78" max="78" width="9.140625" style="139" hidden="1" customWidth="1" outlineLevel="1"/>
    <col min="79" max="82" width="7.7109375" style="139" hidden="1" customWidth="1" outlineLevel="1"/>
    <col min="83" max="83" width="9.140625" style="139" hidden="1" customWidth="1" outlineLevel="1"/>
    <col min="84" max="87" width="7.7109375" style="139" hidden="1" customWidth="1" outlineLevel="1"/>
    <col min="88" max="88" width="9.140625" style="139" hidden="1" customWidth="1" outlineLevel="1"/>
    <col min="89" max="92" width="7.7109375" style="139" hidden="1" customWidth="1" outlineLevel="1"/>
    <col min="93" max="93" width="9.140625" style="139" hidden="1" customWidth="1" outlineLevel="1"/>
    <col min="94" max="95" width="7.7109375" style="139" hidden="1" customWidth="1" outlineLevel="1"/>
    <col min="96" max="96" width="8.140625" style="139" hidden="1" customWidth="1" outlineLevel="1"/>
    <col min="97" max="97" width="7.7109375" style="139" hidden="1" customWidth="1" outlineLevel="1"/>
    <col min="98" max="98" width="9.140625" style="139" hidden="1" customWidth="1" outlineLevel="1"/>
    <col min="99" max="102" width="7.7109375" style="139" hidden="1" customWidth="1" outlineLevel="1"/>
    <col min="103" max="103" width="9.140625" style="139" customWidth="1" collapsed="1"/>
    <col min="104" max="107" width="7.7109375" style="139" hidden="1" customWidth="1" outlineLevel="1"/>
    <col min="108" max="108" width="9.140625" style="139" customWidth="1" collapsed="1"/>
    <col min="109" max="112" width="8.85546875" style="139" customWidth="1" outlineLevel="1"/>
    <col min="113" max="113" width="8.85546875" style="139" customWidth="1"/>
    <col min="114" max="117" width="8.85546875" style="139" customWidth="1" outlineLevel="1"/>
    <col min="118" max="118" width="8.85546875" style="139"/>
    <col min="119" max="122" width="8.85546875" style="139" customWidth="1" outlineLevel="1"/>
    <col min="123" max="123" width="8.85546875" style="139"/>
    <col min="124" max="127" width="8.85546875" style="139" hidden="1" customWidth="1" outlineLevel="2"/>
    <col min="128" max="128" width="8.85546875" style="139" collapsed="1"/>
    <col min="129" max="132" width="8.85546875" style="139" hidden="1" customWidth="1" outlineLevel="2"/>
    <col min="133" max="133" width="8.85546875" style="139" collapsed="1"/>
    <col min="134" max="16384" width="8.85546875" style="139"/>
  </cols>
  <sheetData>
    <row r="1" spans="1:134" ht="12.75" customHeight="1">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383"/>
      <c r="BQ1" s="17"/>
      <c r="BR1" s="17"/>
      <c r="BS1" s="17"/>
      <c r="BT1" s="17"/>
      <c r="BU1" s="383"/>
      <c r="BV1" s="17"/>
      <c r="BW1" s="17"/>
      <c r="BX1" s="17"/>
      <c r="BY1" s="17"/>
      <c r="BZ1" s="17"/>
      <c r="CA1" s="17" t="s">
        <v>173</v>
      </c>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row>
    <row r="2" spans="1:134" ht="12.75" customHeight="1">
      <c r="C2" s="18" t="str">
        <f>Income!C2</f>
        <v>Shopify</v>
      </c>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296"/>
      <c r="BQ2" s="94"/>
      <c r="BR2" s="94"/>
      <c r="BS2" s="94"/>
      <c r="BT2" s="94"/>
      <c r="BU2" s="296"/>
      <c r="BV2" s="94"/>
      <c r="BW2" s="94"/>
      <c r="BX2" s="94"/>
      <c r="BY2" s="94"/>
      <c r="BZ2" s="94"/>
      <c r="CA2" s="480"/>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row>
    <row r="3" spans="1:134">
      <c r="C3" s="1132" t="s">
        <v>614</v>
      </c>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296"/>
      <c r="BQ3" s="94"/>
      <c r="BR3" s="94"/>
      <c r="BS3" s="94"/>
      <c r="BT3" s="94"/>
      <c r="BU3" s="296"/>
      <c r="BV3" s="94"/>
      <c r="BW3" s="94"/>
      <c r="BX3" s="94"/>
      <c r="BY3" s="94"/>
      <c r="BZ3" s="94"/>
      <c r="CA3" s="94"/>
      <c r="CB3" s="94"/>
      <c r="CC3" s="94"/>
      <c r="CD3" s="181"/>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row>
    <row r="4" spans="1:134" ht="12" customHeight="1">
      <c r="C4" s="448"/>
      <c r="D4" s="449" t="str">
        <f>Income!D4</f>
        <v>1998A</v>
      </c>
      <c r="E4" s="449" t="str">
        <f>Income!E4</f>
        <v>1999A</v>
      </c>
      <c r="F4" s="449" t="str">
        <f>Income!F4</f>
        <v>2000A</v>
      </c>
      <c r="G4" s="449" t="str">
        <f>Income!G4</f>
        <v>2001A</v>
      </c>
      <c r="H4" s="449" t="str">
        <f>Income!H4</f>
        <v>2002A</v>
      </c>
      <c r="I4" s="105" t="str">
        <f>Income!I4</f>
        <v>1Q03A</v>
      </c>
      <c r="J4" s="105" t="str">
        <f>Income!J4</f>
        <v>2Q03A</v>
      </c>
      <c r="K4" s="105" t="str">
        <f>Income!K4</f>
        <v>3Q03A</v>
      </c>
      <c r="L4" s="105" t="str">
        <f>Income!L4</f>
        <v>4Q03A</v>
      </c>
      <c r="M4" s="449" t="str">
        <f>Income!M4</f>
        <v>2003A</v>
      </c>
      <c r="N4" s="105" t="str">
        <f>Income!N4</f>
        <v>1Q04A</v>
      </c>
      <c r="O4" s="105" t="str">
        <f>Income!O4</f>
        <v>2Q04A</v>
      </c>
      <c r="P4" s="105" t="str">
        <f>Income!P4</f>
        <v>3Q04A</v>
      </c>
      <c r="Q4" s="105" t="str">
        <f>Income!Q4</f>
        <v>4Q04A</v>
      </c>
      <c r="R4" s="449" t="str">
        <f>Income!R4</f>
        <v>2004A</v>
      </c>
      <c r="S4" s="105" t="str">
        <f>Income!S4</f>
        <v>1Q05A</v>
      </c>
      <c r="T4" s="105" t="str">
        <f>Income!T4</f>
        <v>2Q05A</v>
      </c>
      <c r="U4" s="105" t="str">
        <f>Income!U4</f>
        <v>3Q05A</v>
      </c>
      <c r="V4" s="105" t="str">
        <f>Income!V4</f>
        <v>4Q05A</v>
      </c>
      <c r="W4" s="449" t="str">
        <f>Income!W4</f>
        <v>2005A</v>
      </c>
      <c r="X4" s="105" t="str">
        <f>Income!X4</f>
        <v>1Q06A</v>
      </c>
      <c r="Y4" s="105" t="str">
        <f>Income!Y4</f>
        <v>2Q06A</v>
      </c>
      <c r="Z4" s="105" t="str">
        <f>Income!Z4</f>
        <v>3Q06A</v>
      </c>
      <c r="AA4" s="105" t="str">
        <f>Income!AA4</f>
        <v>4Q06A</v>
      </c>
      <c r="AB4" s="449" t="str">
        <f>Income!AB4</f>
        <v>2006A</v>
      </c>
      <c r="AC4" s="105" t="str">
        <f>Income!AC4</f>
        <v>1Q07A</v>
      </c>
      <c r="AD4" s="105" t="str">
        <f>Income!AD4</f>
        <v>2Q07A</v>
      </c>
      <c r="AE4" s="105" t="str">
        <f>Income!AE4</f>
        <v>3Q07A</v>
      </c>
      <c r="AF4" s="105" t="str">
        <f>Income!AF4</f>
        <v>4Q07A</v>
      </c>
      <c r="AG4" s="449" t="str">
        <f>Income!AG4</f>
        <v>2007A</v>
      </c>
      <c r="AH4" s="105" t="str">
        <f>Income!AH4</f>
        <v>1Q08A</v>
      </c>
      <c r="AI4" s="105" t="str">
        <f>Income!AI4</f>
        <v>2Q08A</v>
      </c>
      <c r="AJ4" s="105" t="str">
        <f>Income!AJ4</f>
        <v>3Q08A</v>
      </c>
      <c r="AK4" s="105" t="str">
        <f>Income!AK4</f>
        <v>4Q08A</v>
      </c>
      <c r="AL4" s="449" t="str">
        <f>Income!AL4</f>
        <v>2008A</v>
      </c>
      <c r="AM4" s="105" t="str">
        <f>Income!AM4</f>
        <v>1Q09A</v>
      </c>
      <c r="AN4" s="105" t="str">
        <f>Income!AN4</f>
        <v>2Q09A</v>
      </c>
      <c r="AO4" s="105" t="str">
        <f>Income!AO4</f>
        <v>3Q09A</v>
      </c>
      <c r="AP4" s="105" t="str">
        <f>Income!AP4</f>
        <v>4Q09A</v>
      </c>
      <c r="AQ4" s="449" t="str">
        <f>Income!AQ4</f>
        <v>2009A</v>
      </c>
      <c r="AR4" s="105" t="str">
        <f>Income!AR4</f>
        <v>1Q10A</v>
      </c>
      <c r="AS4" s="105" t="str">
        <f>Income!AS4</f>
        <v>2Q10A</v>
      </c>
      <c r="AT4" s="105" t="str">
        <f>Income!AT4</f>
        <v>3Q10A</v>
      </c>
      <c r="AU4" s="105" t="str">
        <f>Income!AU4</f>
        <v>4Q10A</v>
      </c>
      <c r="AV4" s="449" t="str">
        <f>Income!AV4</f>
        <v>2010A</v>
      </c>
      <c r="AW4" s="105" t="str">
        <f>Income!AW4</f>
        <v>1Q11A</v>
      </c>
      <c r="AX4" s="105" t="str">
        <f>Income!AX4</f>
        <v>2Q11A</v>
      </c>
      <c r="AY4" s="105" t="str">
        <f>Income!AY4</f>
        <v>3Q11A</v>
      </c>
      <c r="AZ4" s="105" t="str">
        <f>Income!AZ4</f>
        <v>4Q11A</v>
      </c>
      <c r="BA4" s="449" t="str">
        <f>Income!BA4</f>
        <v>2011A</v>
      </c>
      <c r="BB4" s="105" t="str">
        <f>Income!BB4</f>
        <v>1Q12A</v>
      </c>
      <c r="BC4" s="105" t="str">
        <f>Income!BC4</f>
        <v>2Q12A</v>
      </c>
      <c r="BD4" s="105" t="str">
        <f>Income!BD4</f>
        <v>3Q12A</v>
      </c>
      <c r="BE4" s="105" t="str">
        <f>Income!BE4</f>
        <v>4Q12A</v>
      </c>
      <c r="BF4" s="449" t="str">
        <f>Income!BF4</f>
        <v>2012A</v>
      </c>
      <c r="BG4" s="105" t="str">
        <f>Income!BG4</f>
        <v>1Q13A</v>
      </c>
      <c r="BH4" s="105" t="str">
        <f>Income!BH4</f>
        <v>2Q13A</v>
      </c>
      <c r="BI4" s="105" t="str">
        <f>Income!BI4</f>
        <v>3Q13A</v>
      </c>
      <c r="BJ4" s="105" t="str">
        <f>Income!BJ4</f>
        <v>4Q13A</v>
      </c>
      <c r="BK4" s="449" t="str">
        <f>Income!BK4</f>
        <v>2013A</v>
      </c>
      <c r="BL4" s="105" t="str">
        <f>Income!BL4</f>
        <v>1Q14A</v>
      </c>
      <c r="BM4" s="105" t="str">
        <f>Income!BM4</f>
        <v>2Q14A</v>
      </c>
      <c r="BN4" s="105" t="str">
        <f>Income!BN4</f>
        <v>3Q14A</v>
      </c>
      <c r="BO4" s="105" t="str">
        <f>Income!BO4</f>
        <v>4Q14A</v>
      </c>
      <c r="BP4" s="481" t="str">
        <f>Income!BP4</f>
        <v>2014A</v>
      </c>
      <c r="BQ4" s="105" t="str">
        <f>Income!BQ4</f>
        <v>1Q15A</v>
      </c>
      <c r="BR4" s="105" t="str">
        <f>Income!BR4</f>
        <v>2Q15A</v>
      </c>
      <c r="BS4" s="105" t="str">
        <f>Income!BS4</f>
        <v>3Q15A</v>
      </c>
      <c r="BT4" s="105" t="str">
        <f>Income!BT4</f>
        <v>4Q15A</v>
      </c>
      <c r="BU4" s="481" t="str">
        <f>Income!BU4</f>
        <v>2015A</v>
      </c>
      <c r="BV4" s="105" t="str">
        <f>Income!BV4</f>
        <v>1Q16A</v>
      </c>
      <c r="BW4" s="105" t="str">
        <f>Income!BW4</f>
        <v>2Q16A</v>
      </c>
      <c r="BX4" s="105" t="str">
        <f>Income!BX4</f>
        <v>3Q16A</v>
      </c>
      <c r="BY4" s="105" t="str">
        <f>Income!BY4</f>
        <v>4Q16A</v>
      </c>
      <c r="BZ4" s="449" t="str">
        <f>Income!BZ4</f>
        <v>2016A</v>
      </c>
      <c r="CA4" s="105" t="str">
        <f>Income!CA4</f>
        <v>1Q17A</v>
      </c>
      <c r="CB4" s="482" t="str">
        <f>Income!CB4</f>
        <v>2Q17A</v>
      </c>
      <c r="CC4" s="482" t="str">
        <f>Income!CC4</f>
        <v>3Q17A</v>
      </c>
      <c r="CD4" s="105" t="str">
        <f>Income!CD4</f>
        <v>4Q17A</v>
      </c>
      <c r="CE4" s="449" t="str">
        <f>Income!CE4</f>
        <v>2017A</v>
      </c>
      <c r="CF4" s="105" t="str">
        <f>Income!CF4</f>
        <v>1Q18A</v>
      </c>
      <c r="CG4" s="105" t="str">
        <f>Income!CG4</f>
        <v>2Q18A</v>
      </c>
      <c r="CH4" s="105" t="str">
        <f>Income!CH4</f>
        <v>3Q18A</v>
      </c>
      <c r="CI4" s="105" t="str">
        <f>Income!CI4</f>
        <v>4Q18A</v>
      </c>
      <c r="CJ4" s="450" t="str">
        <f>Income!CJ4</f>
        <v>2018A</v>
      </c>
      <c r="CK4" s="121" t="str">
        <f>Income!CK4</f>
        <v>1Q19A</v>
      </c>
      <c r="CL4" s="121" t="str">
        <f>Income!CL4</f>
        <v>2Q19A</v>
      </c>
      <c r="CM4" s="121" t="str">
        <f>Income!CM4</f>
        <v>3Q19A</v>
      </c>
      <c r="CN4" s="121" t="str">
        <f>Income!CN4</f>
        <v>4Q19A</v>
      </c>
      <c r="CO4" s="450" t="str">
        <f>Income!CO4</f>
        <v>2019A</v>
      </c>
      <c r="CP4" s="121" t="str">
        <f>Income!CP4</f>
        <v>1Q20A</v>
      </c>
      <c r="CQ4" s="121" t="str">
        <f>Income!CQ4</f>
        <v>2Q20A</v>
      </c>
      <c r="CR4" s="121" t="str">
        <f>Income!CR4</f>
        <v>3Q20A</v>
      </c>
      <c r="CS4" s="121" t="str">
        <f>Income!CS4</f>
        <v>4Q20A</v>
      </c>
      <c r="CT4" s="450" t="str">
        <f>Income!CT4</f>
        <v>2020A</v>
      </c>
      <c r="CU4" s="121" t="str">
        <f>Income!CU4</f>
        <v>1Q21A</v>
      </c>
      <c r="CV4" s="121" t="str">
        <f>Income!CV4</f>
        <v>2Q21A</v>
      </c>
      <c r="CW4" s="121" t="str">
        <f>Income!CW4</f>
        <v>3Q21A</v>
      </c>
      <c r="CX4" s="121" t="str">
        <f>Income!CX4</f>
        <v>4Q21A</v>
      </c>
      <c r="CY4" s="450" t="str">
        <f>Income!CY4</f>
        <v>2021A</v>
      </c>
      <c r="CZ4" s="121" t="str">
        <f>Income!CZ4</f>
        <v>1Q22A</v>
      </c>
      <c r="DA4" s="121" t="str">
        <f>Income!DA4</f>
        <v>2Q22A</v>
      </c>
      <c r="DB4" s="121" t="str">
        <f>Income!DB4</f>
        <v>3Q22A</v>
      </c>
      <c r="DC4" s="121" t="str">
        <f>Income!DC4</f>
        <v>4Q22A</v>
      </c>
      <c r="DD4" s="450" t="str">
        <f>Income!DD4</f>
        <v>2022A</v>
      </c>
      <c r="DE4" s="121" t="str">
        <f>Income!DE4</f>
        <v>1Q23A</v>
      </c>
      <c r="DF4" s="121" t="str">
        <f>Income!DF4</f>
        <v>2Q23A</v>
      </c>
      <c r="DG4" s="121" t="str">
        <f>Income!DG4</f>
        <v>3Q23A</v>
      </c>
      <c r="DH4" s="121" t="str">
        <f>Income!DH4</f>
        <v>4Q23A</v>
      </c>
      <c r="DI4" s="450" t="str">
        <f>Income!DI4</f>
        <v>2023A</v>
      </c>
      <c r="DJ4" s="121" t="str">
        <f>Income!DJ4</f>
        <v>1Q24A</v>
      </c>
      <c r="DK4" s="121" t="str">
        <f>Income!DK4</f>
        <v>2Q24A</v>
      </c>
      <c r="DL4" s="121" t="str">
        <f>Income!DL4</f>
        <v>3Q24A</v>
      </c>
      <c r="DM4" s="121" t="str">
        <f>Income!DM4</f>
        <v>4Q24E</v>
      </c>
      <c r="DN4" s="450" t="str">
        <f>Income!DN4</f>
        <v>2024E</v>
      </c>
      <c r="DO4" s="121" t="str">
        <f>Income!DO4</f>
        <v>1Q25E</v>
      </c>
      <c r="DP4" s="121" t="str">
        <f>Income!DP4</f>
        <v>2Q25E</v>
      </c>
      <c r="DQ4" s="121" t="str">
        <f>Income!DQ4</f>
        <v>3Q25E</v>
      </c>
      <c r="DR4" s="121" t="str">
        <f>Income!DR4</f>
        <v>4Q25E</v>
      </c>
      <c r="DS4" s="450" t="str">
        <f>Income!DS4</f>
        <v>2025E</v>
      </c>
      <c r="DT4" s="121" t="str">
        <f>Income!DT4</f>
        <v>1Q26E</v>
      </c>
      <c r="DU4" s="121" t="str">
        <f>Income!DU4</f>
        <v>2Q26E</v>
      </c>
      <c r="DV4" s="121" t="str">
        <f>Income!DV4</f>
        <v>3Q26E</v>
      </c>
      <c r="DW4" s="121" t="str">
        <f>Income!DW4</f>
        <v>4Q26E</v>
      </c>
      <c r="DX4" s="450" t="str">
        <f>Income!DX4</f>
        <v>2026E</v>
      </c>
      <c r="DY4" s="121" t="str">
        <f>Income!DY4</f>
        <v>1Q27E</v>
      </c>
      <c r="DZ4" s="121" t="str">
        <f>Income!DZ4</f>
        <v>2Q27E</v>
      </c>
      <c r="EA4" s="121" t="str">
        <f>Income!EA4</f>
        <v>3Q27E</v>
      </c>
      <c r="EB4" s="121" t="str">
        <f>Income!EB4</f>
        <v>4Q27E</v>
      </c>
      <c r="EC4" s="450" t="str">
        <f>Income!EC4</f>
        <v>2027E</v>
      </c>
      <c r="ED4" s="289"/>
    </row>
    <row r="5" spans="1:134" ht="12" customHeight="1">
      <c r="C5" s="268" t="str">
        <f>Income!C5</f>
        <v>$ in millions, except per share figures</v>
      </c>
      <c r="D5" s="806">
        <v>1998</v>
      </c>
      <c r="E5" s="806">
        <f>+D5+1</f>
        <v>1999</v>
      </c>
      <c r="F5" s="806">
        <f t="shared" ref="F5:H5" si="0">+E5+1</f>
        <v>2000</v>
      </c>
      <c r="G5" s="806">
        <f t="shared" si="0"/>
        <v>2001</v>
      </c>
      <c r="H5" s="806">
        <f t="shared" si="0"/>
        <v>2002</v>
      </c>
      <c r="I5" s="807">
        <v>37711</v>
      </c>
      <c r="J5" s="808">
        <f t="shared" ref="J5:L5" si="1">EOMONTH(I5,3)</f>
        <v>37802</v>
      </c>
      <c r="K5" s="808">
        <f t="shared" si="1"/>
        <v>37894</v>
      </c>
      <c r="L5" s="808">
        <f t="shared" si="1"/>
        <v>37986</v>
      </c>
      <c r="M5" s="806">
        <f>+H5+1</f>
        <v>2003</v>
      </c>
      <c r="N5" s="808">
        <f t="shared" ref="N5" si="2">EOMONTH(I5,12)</f>
        <v>38077</v>
      </c>
      <c r="O5" s="808">
        <f t="shared" ref="O5:Q5" si="3">EOMONTH(N5,3)</f>
        <v>38168</v>
      </c>
      <c r="P5" s="808">
        <f t="shared" si="3"/>
        <v>38260</v>
      </c>
      <c r="Q5" s="808">
        <f t="shared" si="3"/>
        <v>38352</v>
      </c>
      <c r="R5" s="806">
        <f t="shared" ref="R5" si="4">+M5+1</f>
        <v>2004</v>
      </c>
      <c r="S5" s="808">
        <f t="shared" ref="S5" si="5">EOMONTH(N5,12)</f>
        <v>38442</v>
      </c>
      <c r="T5" s="808">
        <f t="shared" ref="T5:V5" si="6">EOMONTH(S5,3)</f>
        <v>38533</v>
      </c>
      <c r="U5" s="808">
        <f t="shared" si="6"/>
        <v>38625</v>
      </c>
      <c r="V5" s="808">
        <f t="shared" si="6"/>
        <v>38717</v>
      </c>
      <c r="W5" s="806">
        <f t="shared" ref="W5" si="7">+R5+1</f>
        <v>2005</v>
      </c>
      <c r="X5" s="808">
        <f t="shared" ref="X5" si="8">EOMONTH(S5,12)</f>
        <v>38807</v>
      </c>
      <c r="Y5" s="808">
        <f t="shared" ref="Y5:AA5" si="9">EOMONTH(X5,3)</f>
        <v>38898</v>
      </c>
      <c r="Z5" s="808">
        <f t="shared" si="9"/>
        <v>38990</v>
      </c>
      <c r="AA5" s="808">
        <f t="shared" si="9"/>
        <v>39082</v>
      </c>
      <c r="AB5" s="806">
        <f t="shared" ref="AB5" si="10">+W5+1</f>
        <v>2006</v>
      </c>
      <c r="AC5" s="808">
        <f t="shared" ref="AC5" si="11">EOMONTH(X5,12)</f>
        <v>39172</v>
      </c>
      <c r="AD5" s="808">
        <f t="shared" ref="AD5:AF5" si="12">EOMONTH(AC5,3)</f>
        <v>39263</v>
      </c>
      <c r="AE5" s="808">
        <f t="shared" si="12"/>
        <v>39355</v>
      </c>
      <c r="AF5" s="808">
        <f t="shared" si="12"/>
        <v>39447</v>
      </c>
      <c r="AG5" s="806">
        <f t="shared" ref="AG5" si="13">+AB5+1</f>
        <v>2007</v>
      </c>
      <c r="AH5" s="808">
        <f t="shared" ref="AH5" si="14">EOMONTH(AC5,12)</f>
        <v>39538</v>
      </c>
      <c r="AI5" s="808">
        <f t="shared" ref="AI5:AK5" si="15">EOMONTH(AH5,3)</f>
        <v>39629</v>
      </c>
      <c r="AJ5" s="808">
        <f t="shared" si="15"/>
        <v>39721</v>
      </c>
      <c r="AK5" s="808">
        <f t="shared" si="15"/>
        <v>39813</v>
      </c>
      <c r="AL5" s="806">
        <f t="shared" ref="AL5" si="16">+AG5+1</f>
        <v>2008</v>
      </c>
      <c r="AM5" s="808">
        <f t="shared" ref="AM5" si="17">EOMONTH(AH5,12)</f>
        <v>39903</v>
      </c>
      <c r="AN5" s="808">
        <f t="shared" ref="AN5:AP5" si="18">EOMONTH(AM5,3)</f>
        <v>39994</v>
      </c>
      <c r="AO5" s="808">
        <f t="shared" si="18"/>
        <v>40086</v>
      </c>
      <c r="AP5" s="808">
        <f t="shared" si="18"/>
        <v>40178</v>
      </c>
      <c r="AQ5" s="806">
        <f t="shared" ref="AQ5" si="19">+AL5+1</f>
        <v>2009</v>
      </c>
      <c r="AR5" s="808">
        <f t="shared" ref="AR5" si="20">EOMONTH(AM5,12)</f>
        <v>40268</v>
      </c>
      <c r="AS5" s="808">
        <f t="shared" ref="AS5:AU5" si="21">EOMONTH(AR5,3)</f>
        <v>40359</v>
      </c>
      <c r="AT5" s="808">
        <f t="shared" si="21"/>
        <v>40451</v>
      </c>
      <c r="AU5" s="808">
        <f t="shared" si="21"/>
        <v>40543</v>
      </c>
      <c r="AV5" s="806">
        <f t="shared" ref="AV5" si="22">+AQ5+1</f>
        <v>2010</v>
      </c>
      <c r="AW5" s="808">
        <f t="shared" ref="AW5" si="23">EOMONTH(AR5,12)</f>
        <v>40633</v>
      </c>
      <c r="AX5" s="808">
        <f t="shared" ref="AX5:AZ5" si="24">EOMONTH(AW5,3)</f>
        <v>40724</v>
      </c>
      <c r="AY5" s="808">
        <f t="shared" si="24"/>
        <v>40816</v>
      </c>
      <c r="AZ5" s="808">
        <f t="shared" si="24"/>
        <v>40908</v>
      </c>
      <c r="BA5" s="806">
        <f t="shared" ref="BA5" si="25">+AV5+1</f>
        <v>2011</v>
      </c>
      <c r="BB5" s="808">
        <f t="shared" ref="BB5" si="26">EOMONTH(AW5,12)</f>
        <v>40999</v>
      </c>
      <c r="BC5" s="808">
        <f t="shared" ref="BC5:BE5" si="27">EOMONTH(BB5,3)</f>
        <v>41090</v>
      </c>
      <c r="BD5" s="808">
        <f t="shared" si="27"/>
        <v>41182</v>
      </c>
      <c r="BE5" s="808">
        <f t="shared" si="27"/>
        <v>41274</v>
      </c>
      <c r="BF5" s="806">
        <f t="shared" ref="BF5" si="28">+BA5+1</f>
        <v>2012</v>
      </c>
      <c r="BG5" s="808">
        <f t="shared" ref="BG5" si="29">EOMONTH(BB5,12)</f>
        <v>41364</v>
      </c>
      <c r="BH5" s="808">
        <f t="shared" ref="BH5:BJ5" si="30">EOMONTH(BG5,3)</f>
        <v>41455</v>
      </c>
      <c r="BI5" s="808">
        <f t="shared" si="30"/>
        <v>41547</v>
      </c>
      <c r="BJ5" s="808">
        <f t="shared" si="30"/>
        <v>41639</v>
      </c>
      <c r="BK5" s="806">
        <f t="shared" ref="BK5" si="31">+BF5+1</f>
        <v>2013</v>
      </c>
      <c r="BL5" s="808">
        <f t="shared" ref="BL5" si="32">EOMONTH(BG5,12)</f>
        <v>41729</v>
      </c>
      <c r="BM5" s="808">
        <f t="shared" ref="BM5:BO5" si="33">EOMONTH(BL5,3)</f>
        <v>41820</v>
      </c>
      <c r="BN5" s="808">
        <f t="shared" si="33"/>
        <v>41912</v>
      </c>
      <c r="BO5" s="808">
        <f t="shared" si="33"/>
        <v>42004</v>
      </c>
      <c r="BP5" s="806">
        <f t="shared" ref="BP5" si="34">+BK5+1</f>
        <v>2014</v>
      </c>
      <c r="BQ5" s="808">
        <f t="shared" ref="BQ5" si="35">EOMONTH(BL5,12)</f>
        <v>42094</v>
      </c>
      <c r="BR5" s="808">
        <f t="shared" ref="BR5:BT5" si="36">EOMONTH(BQ5,3)</f>
        <v>42185</v>
      </c>
      <c r="BS5" s="808">
        <f t="shared" si="36"/>
        <v>42277</v>
      </c>
      <c r="BT5" s="808">
        <f t="shared" si="36"/>
        <v>42369</v>
      </c>
      <c r="BU5" s="806">
        <f t="shared" ref="BU5" si="37">+BP5+1</f>
        <v>2015</v>
      </c>
      <c r="BV5" s="808">
        <f t="shared" ref="BV5" si="38">EOMONTH(BQ5,12)</f>
        <v>42460</v>
      </c>
      <c r="BW5" s="808">
        <f t="shared" ref="BW5:BY5" si="39">EOMONTH(BV5,3)</f>
        <v>42551</v>
      </c>
      <c r="BX5" s="808">
        <f t="shared" si="39"/>
        <v>42643</v>
      </c>
      <c r="BY5" s="808">
        <f t="shared" si="39"/>
        <v>42735</v>
      </c>
      <c r="BZ5" s="806">
        <f t="shared" ref="BZ5" si="40">+BU5+1</f>
        <v>2016</v>
      </c>
      <c r="CA5" s="808">
        <f t="shared" ref="CA5" si="41">EOMONTH(BV5,12)</f>
        <v>42825</v>
      </c>
      <c r="CB5" s="808">
        <f t="shared" ref="CB5:CD5" si="42">EOMONTH(CA5,3)</f>
        <v>42916</v>
      </c>
      <c r="CC5" s="808">
        <f t="shared" si="42"/>
        <v>43008</v>
      </c>
      <c r="CD5" s="808">
        <f t="shared" si="42"/>
        <v>43100</v>
      </c>
      <c r="CE5" s="806">
        <f t="shared" ref="CE5" si="43">+BZ5+1</f>
        <v>2017</v>
      </c>
      <c r="CF5" s="808">
        <f t="shared" ref="CF5" si="44">EOMONTH(CA5,12)</f>
        <v>43190</v>
      </c>
      <c r="CG5" s="808">
        <f t="shared" ref="CG5:CI5" si="45">EOMONTH(CF5,3)</f>
        <v>43281</v>
      </c>
      <c r="CH5" s="808">
        <f t="shared" si="45"/>
        <v>43373</v>
      </c>
      <c r="CI5" s="808">
        <f t="shared" si="45"/>
        <v>43465</v>
      </c>
      <c r="CJ5" s="806">
        <f t="shared" ref="CJ5" si="46">+CE5+1</f>
        <v>2018</v>
      </c>
      <c r="CK5" s="808">
        <f t="shared" ref="CK5" si="47">EOMONTH(CF5,12)</f>
        <v>43555</v>
      </c>
      <c r="CL5" s="808">
        <f t="shared" ref="CL5:CN5" si="48">EOMONTH(CK5,3)</f>
        <v>43646</v>
      </c>
      <c r="CM5" s="808">
        <f t="shared" si="48"/>
        <v>43738</v>
      </c>
      <c r="CN5" s="808">
        <f t="shared" si="48"/>
        <v>43830</v>
      </c>
      <c r="CO5" s="806">
        <f t="shared" ref="CO5" si="49">+CJ5+1</f>
        <v>2019</v>
      </c>
      <c r="CP5" s="808">
        <f t="shared" ref="CP5" si="50">EOMONTH(CK5,12)</f>
        <v>43921</v>
      </c>
      <c r="CQ5" s="808">
        <f t="shared" ref="CQ5:CS5" si="51">EOMONTH(CP5,3)</f>
        <v>44012</v>
      </c>
      <c r="CR5" s="808">
        <f t="shared" si="51"/>
        <v>44104</v>
      </c>
      <c r="CS5" s="808">
        <f t="shared" si="51"/>
        <v>44196</v>
      </c>
      <c r="CT5" s="806">
        <f t="shared" ref="CT5" si="52">+CO5+1</f>
        <v>2020</v>
      </c>
      <c r="CU5" s="808">
        <f t="shared" ref="CU5" si="53">EOMONTH(CP5,12)</f>
        <v>44286</v>
      </c>
      <c r="CV5" s="808">
        <f t="shared" ref="CV5:CX5" si="54">EOMONTH(CU5,3)</f>
        <v>44377</v>
      </c>
      <c r="CW5" s="808">
        <f t="shared" si="54"/>
        <v>44469</v>
      </c>
      <c r="CX5" s="808">
        <f t="shared" si="54"/>
        <v>44561</v>
      </c>
      <c r="CY5" s="806">
        <f t="shared" ref="CY5" si="55">+CT5+1</f>
        <v>2021</v>
      </c>
      <c r="CZ5" s="808">
        <f t="shared" ref="CZ5" si="56">EOMONTH(CU5,12)</f>
        <v>44651</v>
      </c>
      <c r="DA5" s="808">
        <f t="shared" ref="DA5:DC5" si="57">EOMONTH(CZ5,3)</f>
        <v>44742</v>
      </c>
      <c r="DB5" s="808">
        <f t="shared" si="57"/>
        <v>44834</v>
      </c>
      <c r="DC5" s="808">
        <f t="shared" si="57"/>
        <v>44926</v>
      </c>
      <c r="DD5" s="806">
        <f t="shared" ref="DD5" si="58">+CY5+1</f>
        <v>2022</v>
      </c>
      <c r="DE5" s="808">
        <f t="shared" ref="DE5" si="59">EOMONTH(CZ5,12)</f>
        <v>45016</v>
      </c>
      <c r="DF5" s="808">
        <f t="shared" ref="DF5:DH5" si="60">EOMONTH(DE5,3)</f>
        <v>45107</v>
      </c>
      <c r="DG5" s="808">
        <f t="shared" si="60"/>
        <v>45199</v>
      </c>
      <c r="DH5" s="808">
        <f t="shared" si="60"/>
        <v>45291</v>
      </c>
      <c r="DI5" s="806">
        <f t="shared" ref="DI5" si="61">+DD5+1</f>
        <v>2023</v>
      </c>
      <c r="DJ5" s="808">
        <f t="shared" ref="DJ5" si="62">EOMONTH(DE5,12)</f>
        <v>45382</v>
      </c>
      <c r="DK5" s="808">
        <f t="shared" ref="DK5:DM5" si="63">EOMONTH(DJ5,3)</f>
        <v>45473</v>
      </c>
      <c r="DL5" s="808">
        <f t="shared" si="63"/>
        <v>45565</v>
      </c>
      <c r="DM5" s="808">
        <f t="shared" si="63"/>
        <v>45657</v>
      </c>
      <c r="DN5" s="806">
        <f t="shared" ref="DN5" si="64">+DI5+1</f>
        <v>2024</v>
      </c>
      <c r="DO5" s="808">
        <f t="shared" ref="DO5" si="65">EOMONTH(DJ5,12)</f>
        <v>45747</v>
      </c>
      <c r="DP5" s="808">
        <f t="shared" ref="DP5:DR5" si="66">EOMONTH(DO5,3)</f>
        <v>45838</v>
      </c>
      <c r="DQ5" s="808">
        <f t="shared" si="66"/>
        <v>45930</v>
      </c>
      <c r="DR5" s="808">
        <f t="shared" si="66"/>
        <v>46022</v>
      </c>
      <c r="DS5" s="806">
        <f t="shared" ref="DS5" si="67">+DN5+1</f>
        <v>2025</v>
      </c>
      <c r="DT5" s="808">
        <f t="shared" ref="DT5" si="68">EOMONTH(DO5,12)</f>
        <v>46112</v>
      </c>
      <c r="DU5" s="808">
        <f t="shared" ref="DU5:DW5" si="69">EOMONTH(DT5,3)</f>
        <v>46203</v>
      </c>
      <c r="DV5" s="808">
        <f t="shared" si="69"/>
        <v>46295</v>
      </c>
      <c r="DW5" s="808">
        <f t="shared" si="69"/>
        <v>46387</v>
      </c>
      <c r="DX5" s="806">
        <f t="shared" ref="DX5" si="70">+DS5+1</f>
        <v>2026</v>
      </c>
      <c r="DY5" s="808">
        <f t="shared" ref="DY5" si="71">EOMONTH(DT5,12)</f>
        <v>46477</v>
      </c>
      <c r="DZ5" s="808">
        <f t="shared" ref="DZ5:EB5" si="72">EOMONTH(DY5,3)</f>
        <v>46568</v>
      </c>
      <c r="EA5" s="808">
        <f t="shared" si="72"/>
        <v>46660</v>
      </c>
      <c r="EB5" s="808">
        <f t="shared" si="72"/>
        <v>46752</v>
      </c>
      <c r="EC5" s="806">
        <f t="shared" ref="EC5" si="73">+DX5+1</f>
        <v>2027</v>
      </c>
      <c r="ED5" s="289"/>
    </row>
    <row r="6" spans="1:134" ht="12" customHeight="1">
      <c r="A6" s="943"/>
      <c r="B6" s="943"/>
      <c r="C6" s="483" t="s">
        <v>9</v>
      </c>
      <c r="D6" s="271"/>
      <c r="E6" s="271"/>
      <c r="F6" s="271"/>
      <c r="G6" s="271"/>
      <c r="H6" s="271"/>
      <c r="I6" s="484"/>
      <c r="J6" s="484"/>
      <c r="K6" s="484"/>
      <c r="L6" s="484"/>
      <c r="M6" s="271"/>
      <c r="N6" s="484"/>
      <c r="O6" s="484"/>
      <c r="P6" s="484"/>
      <c r="Q6" s="484"/>
      <c r="R6" s="271"/>
      <c r="S6" s="484"/>
      <c r="T6" s="484"/>
      <c r="U6" s="484"/>
      <c r="V6" s="484"/>
      <c r="W6" s="271"/>
      <c r="X6" s="484"/>
      <c r="Y6" s="484"/>
      <c r="Z6" s="484"/>
      <c r="AA6" s="484"/>
      <c r="AB6" s="271"/>
      <c r="AC6" s="484"/>
      <c r="AD6" s="484"/>
      <c r="AE6" s="484"/>
      <c r="AF6" s="484"/>
      <c r="AG6" s="271"/>
      <c r="AH6" s="484"/>
      <c r="AI6" s="484"/>
      <c r="AJ6" s="484"/>
      <c r="AK6" s="484"/>
      <c r="AL6" s="271"/>
      <c r="AM6" s="484"/>
      <c r="AN6" s="484"/>
      <c r="AO6" s="484"/>
      <c r="AP6" s="484"/>
      <c r="AQ6" s="271"/>
      <c r="AR6" s="484"/>
      <c r="AS6" s="484"/>
      <c r="AT6" s="484"/>
      <c r="AU6" s="484"/>
      <c r="AV6" s="271"/>
      <c r="AW6" s="484"/>
      <c r="AX6" s="484"/>
      <c r="AY6" s="484"/>
      <c r="AZ6" s="484"/>
      <c r="BA6" s="271"/>
      <c r="BB6" s="484"/>
      <c r="BC6" s="484"/>
      <c r="BD6" s="484"/>
      <c r="BE6" s="484"/>
      <c r="BF6" s="271"/>
      <c r="BG6" s="484"/>
      <c r="BH6" s="484"/>
      <c r="BI6" s="484"/>
      <c r="BJ6" s="484"/>
      <c r="BK6" s="271"/>
      <c r="BL6" s="484"/>
      <c r="BM6" s="484"/>
      <c r="BN6" s="484"/>
      <c r="BO6" s="484"/>
      <c r="BP6" s="485"/>
      <c r="BQ6" s="484"/>
      <c r="BR6" s="484"/>
      <c r="BS6" s="484"/>
      <c r="BT6" s="484"/>
      <c r="BU6" s="485"/>
      <c r="BV6" s="484"/>
      <c r="BW6" s="484"/>
      <c r="BX6" s="484"/>
      <c r="BY6" s="484"/>
      <c r="BZ6" s="271"/>
      <c r="CA6" s="484"/>
      <c r="CB6" s="486"/>
      <c r="CC6" s="486"/>
      <c r="CD6" s="484"/>
      <c r="CE6" s="271"/>
      <c r="CF6" s="484"/>
      <c r="CG6" s="484"/>
      <c r="CH6" s="484"/>
      <c r="CI6" s="484"/>
      <c r="CJ6" s="276"/>
      <c r="CK6" s="277"/>
      <c r="CL6" s="277"/>
      <c r="CM6" s="277"/>
      <c r="CN6" s="277"/>
      <c r="CO6" s="276"/>
      <c r="CP6" s="277"/>
      <c r="CQ6" s="277"/>
      <c r="CR6" s="277"/>
      <c r="CS6" s="277"/>
      <c r="CT6" s="276"/>
      <c r="CU6" s="277"/>
      <c r="CV6" s="277"/>
      <c r="CW6" s="277"/>
      <c r="CX6" s="277"/>
      <c r="CY6" s="276"/>
      <c r="CZ6" s="277"/>
      <c r="DA6" s="277"/>
      <c r="DB6" s="277"/>
      <c r="DC6" s="277"/>
      <c r="DD6" s="276"/>
      <c r="DE6" s="277"/>
      <c r="DF6" s="277"/>
      <c r="DG6" s="277"/>
      <c r="DH6" s="277"/>
      <c r="DI6" s="276"/>
      <c r="DJ6" s="277"/>
      <c r="DK6" s="277"/>
      <c r="DL6" s="277"/>
      <c r="DM6" s="277"/>
      <c r="DN6" s="276"/>
      <c r="DO6" s="277"/>
      <c r="DP6" s="277"/>
      <c r="DQ6" s="277"/>
      <c r="DR6" s="277"/>
      <c r="DS6" s="276"/>
      <c r="DT6" s="277"/>
      <c r="DU6" s="277"/>
      <c r="DV6" s="277"/>
      <c r="DW6" s="277"/>
      <c r="DX6" s="276"/>
      <c r="DY6" s="277"/>
      <c r="DZ6" s="277"/>
      <c r="EA6" s="277"/>
      <c r="EB6" s="277"/>
      <c r="EC6" s="276"/>
      <c r="ED6" s="94"/>
    </row>
    <row r="7" spans="1:134" ht="12" customHeight="1">
      <c r="A7" s="943"/>
      <c r="B7" s="943"/>
      <c r="C7" s="309" t="s">
        <v>33</v>
      </c>
      <c r="D7" s="452"/>
      <c r="E7" s="452"/>
      <c r="F7" s="452"/>
      <c r="G7" s="452"/>
      <c r="H7" s="452"/>
      <c r="I7" s="179"/>
      <c r="J7" s="179"/>
      <c r="K7" s="179"/>
      <c r="L7" s="179"/>
      <c r="M7" s="452"/>
      <c r="N7" s="179"/>
      <c r="O7" s="179"/>
      <c r="P7" s="179"/>
      <c r="Q7" s="179"/>
      <c r="R7" s="452"/>
      <c r="S7" s="179"/>
      <c r="T7" s="179"/>
      <c r="U7" s="179"/>
      <c r="V7" s="179"/>
      <c r="W7" s="452"/>
      <c r="X7" s="179"/>
      <c r="Y7" s="179"/>
      <c r="Z7" s="179"/>
      <c r="AA7" s="179"/>
      <c r="AB7" s="452"/>
      <c r="AC7" s="179"/>
      <c r="AD7" s="179"/>
      <c r="AE7" s="179"/>
      <c r="AF7" s="179"/>
      <c r="AG7" s="452"/>
      <c r="AH7" s="179"/>
      <c r="AI7" s="179"/>
      <c r="AJ7" s="179"/>
      <c r="AK7" s="179"/>
      <c r="AL7" s="452"/>
      <c r="AM7" s="179"/>
      <c r="AN7" s="179"/>
      <c r="AO7" s="179"/>
      <c r="AP7" s="179"/>
      <c r="AQ7" s="452"/>
      <c r="AR7" s="179"/>
      <c r="AS7" s="179"/>
      <c r="AT7" s="179"/>
      <c r="AU7" s="179"/>
      <c r="AV7" s="452"/>
      <c r="AW7" s="179"/>
      <c r="AX7" s="179"/>
      <c r="AY7" s="179"/>
      <c r="AZ7" s="179"/>
      <c r="BA7" s="452"/>
      <c r="BB7" s="179"/>
      <c r="BC7" s="179"/>
      <c r="BD7" s="179"/>
      <c r="BE7" s="179"/>
      <c r="BF7" s="452"/>
      <c r="BG7" s="484"/>
      <c r="BH7" s="484"/>
      <c r="BI7" s="484"/>
      <c r="BJ7" s="484"/>
      <c r="BK7" s="452"/>
      <c r="BL7" s="179"/>
      <c r="BM7" s="179"/>
      <c r="BN7" s="179"/>
      <c r="BO7" s="179"/>
      <c r="BP7" s="452"/>
      <c r="BQ7" s="125">
        <f>Income!BQ63</f>
        <v>-4.5299999999999994</v>
      </c>
      <c r="BR7" s="125">
        <f>Income!BR63</f>
        <v>-3.2959999999999985</v>
      </c>
      <c r="BS7" s="125">
        <f>Income!BS63</f>
        <v>-4.6569999999999974</v>
      </c>
      <c r="BT7" s="125">
        <f>Income!BT63</f>
        <v>-6.3069999999999986</v>
      </c>
      <c r="BU7" s="300">
        <f t="shared" ref="BU7:BU17" si="74">SUM(BQ7:BT7)</f>
        <v>-18.789999999999992</v>
      </c>
      <c r="BV7" s="125">
        <f>Income!BV63</f>
        <v>-8.9289999999999896</v>
      </c>
      <c r="BW7" s="125">
        <f>Income!BW63</f>
        <v>-8.4390000000000054</v>
      </c>
      <c r="BX7" s="125">
        <f>Income!BX63</f>
        <v>-9.1200000000000045</v>
      </c>
      <c r="BY7" s="125">
        <f>Income!BY63</f>
        <v>-8.8670000000000204</v>
      </c>
      <c r="BZ7" s="300">
        <f t="shared" ref="BZ7:BZ17" si="75">SUM(BV7:BY7)</f>
        <v>-35.355000000000018</v>
      </c>
      <c r="CA7" s="125">
        <f>Income!CA63</f>
        <v>-13.597999999999985</v>
      </c>
      <c r="CB7" s="125">
        <f>Income!CB63</f>
        <v>-14.029999999999996</v>
      </c>
      <c r="CC7" s="125">
        <f>Income!CC63</f>
        <v>-9.3799999999999883</v>
      </c>
      <c r="CD7" s="125">
        <f>Income!CD63</f>
        <v>-2.9870000000000285</v>
      </c>
      <c r="CE7" s="300">
        <f t="shared" ref="CE7:CE22" si="76">SUM(CA7:CD7)</f>
        <v>-39.994999999999997</v>
      </c>
      <c r="CF7" s="125">
        <f>Income!CF63</f>
        <v>-15.902000000000026</v>
      </c>
      <c r="CG7" s="125">
        <f>Income!CG63</f>
        <v>-23.953000000000024</v>
      </c>
      <c r="CH7" s="125">
        <f>Income!CH63</f>
        <v>-23.184000000000026</v>
      </c>
      <c r="CI7" s="125">
        <f>Income!CI63</f>
        <v>-1.5140000000000544</v>
      </c>
      <c r="CJ7" s="300">
        <f t="shared" ref="CJ7:CJ22" si="77">SUM(CF7:CI7)</f>
        <v>-64.553000000000125</v>
      </c>
      <c r="CK7" s="125">
        <f>Income!CK63</f>
        <v>-24.15100000000005</v>
      </c>
      <c r="CL7" s="125">
        <f>Income!CL63</f>
        <v>-28.678000000000004</v>
      </c>
      <c r="CM7" s="125">
        <f>Income!CM63</f>
        <v>-72.783999999999963</v>
      </c>
      <c r="CN7" s="125">
        <f>Income!CN63</f>
        <v>0.77100000000005409</v>
      </c>
      <c r="CO7" s="300">
        <f t="shared" ref="CO7:CO22" si="78">SUM(CK7:CN7)</f>
        <v>-124.84199999999996</v>
      </c>
      <c r="CP7" s="125">
        <f>Income!CP63</f>
        <v>-31.429000000000002</v>
      </c>
      <c r="CQ7" s="125">
        <f>Income!CQ63</f>
        <v>35.998000000000047</v>
      </c>
      <c r="CR7" s="125">
        <f>Income!CR63</f>
        <v>191.06800000000004</v>
      </c>
      <c r="CS7" s="125">
        <f>Income!CS63</f>
        <v>123.87199999999994</v>
      </c>
      <c r="CT7" s="300">
        <f t="shared" ref="CT7:CT22" si="79">SUM(CP7:CS7)</f>
        <v>319.50900000000001</v>
      </c>
      <c r="CU7" s="125">
        <f>Income!CU63</f>
        <v>1258.4449999999999</v>
      </c>
      <c r="CV7" s="125">
        <f>Income!CV63</f>
        <v>879.09299999999996</v>
      </c>
      <c r="CW7" s="125">
        <f>Income!CW63</f>
        <v>1148.4320000000002</v>
      </c>
      <c r="CX7" s="125">
        <f>Income!CX63</f>
        <v>-371.31099999999941</v>
      </c>
      <c r="CY7" s="300">
        <f t="shared" ref="CY7:CY17" si="80">SUM(CU7:CX7)</f>
        <v>2914.659000000001</v>
      </c>
      <c r="CZ7" s="125">
        <f>Income!CZ63</f>
        <v>-1474.4079999999997</v>
      </c>
      <c r="DA7" s="125">
        <f>Income!DA63</f>
        <v>-1203.9069999999999</v>
      </c>
      <c r="DB7" s="125">
        <f>Income!DB63</f>
        <v>-158.40899999999996</v>
      </c>
      <c r="DC7" s="125">
        <f>Income!DC63</f>
        <v>-623.69400000000019</v>
      </c>
      <c r="DD7" s="300">
        <f t="shared" ref="DD7:DD17" si="81">SUM(CZ7:DC7)</f>
        <v>-3460.4179999999997</v>
      </c>
      <c r="DE7" s="125">
        <f>Income!DE63</f>
        <v>68</v>
      </c>
      <c r="DF7" s="125">
        <f>Income!DF63</f>
        <v>-1311</v>
      </c>
      <c r="DG7" s="125">
        <f>Income!DG63</f>
        <v>718</v>
      </c>
      <c r="DH7" s="125">
        <f>Income!DH63</f>
        <v>657</v>
      </c>
      <c r="DI7" s="300">
        <f t="shared" ref="DI7:DI17" si="82">SUM(DE7:DH7)</f>
        <v>132</v>
      </c>
      <c r="DJ7" s="125">
        <f>Income!DJ63</f>
        <v>-273</v>
      </c>
      <c r="DK7" s="125">
        <f>Income!DK63</f>
        <v>171</v>
      </c>
      <c r="DL7" s="125">
        <f>Income!DL63</f>
        <v>828</v>
      </c>
      <c r="DM7" s="125">
        <f>Income!DM63</f>
        <v>394.8646892579668</v>
      </c>
      <c r="DN7" s="300">
        <f t="shared" ref="DN7:DN17" si="83">SUM(DJ7:DM7)</f>
        <v>1120.8646892579668</v>
      </c>
      <c r="DO7" s="125">
        <f>Income!DO63</f>
        <v>176.78994364722934</v>
      </c>
      <c r="DP7" s="125">
        <f>Income!DP63</f>
        <v>319.79566296475468</v>
      </c>
      <c r="DQ7" s="125">
        <f>Income!DQ63</f>
        <v>382.25395551576793</v>
      </c>
      <c r="DR7" s="125">
        <f>Income!DR63</f>
        <v>533.63240406928321</v>
      </c>
      <c r="DS7" s="300">
        <f t="shared" ref="DS7:DS17" si="84">SUM(DO7:DR7)</f>
        <v>1412.4719661970353</v>
      </c>
      <c r="DT7" s="125">
        <f>Income!DT63</f>
        <v>235.98534561823149</v>
      </c>
      <c r="DU7" s="125">
        <f>Income!DU63</f>
        <v>409.10508648970711</v>
      </c>
      <c r="DV7" s="125">
        <f>Income!DV63</f>
        <v>485.7327358233369</v>
      </c>
      <c r="DW7" s="125">
        <f>Income!DW63</f>
        <v>679.08795531688145</v>
      </c>
      <c r="DX7" s="300">
        <f t="shared" ref="DX7:DX17" si="85">SUM(DT7:DW7)</f>
        <v>1809.9111232481569</v>
      </c>
      <c r="DY7" s="125">
        <f>Income!DY63</f>
        <v>314.50237512423621</v>
      </c>
      <c r="DZ7" s="125">
        <f>Income!DZ63</f>
        <v>521.38173734471013</v>
      </c>
      <c r="EA7" s="125">
        <f>Income!EA63</f>
        <v>614.12497887339998</v>
      </c>
      <c r="EB7" s="125">
        <f>Income!EB63</f>
        <v>857.57539651158925</v>
      </c>
      <c r="EC7" s="300">
        <f t="shared" ref="EC7:EC17" si="86">SUM(DY7:EB7)</f>
        <v>2307.5844878539356</v>
      </c>
      <c r="ED7" s="730"/>
    </row>
    <row r="8" spans="1:134" ht="12" customHeight="1">
      <c r="A8" s="943"/>
      <c r="B8" s="943"/>
      <c r="C8" s="309" t="s">
        <v>38</v>
      </c>
      <c r="D8" s="369"/>
      <c r="E8" s="369"/>
      <c r="F8" s="369"/>
      <c r="G8" s="369"/>
      <c r="H8" s="369"/>
      <c r="I8" s="370"/>
      <c r="J8" s="370"/>
      <c r="K8" s="370"/>
      <c r="L8" s="370"/>
      <c r="M8" s="452"/>
      <c r="N8" s="370"/>
      <c r="O8" s="370"/>
      <c r="P8" s="370"/>
      <c r="Q8" s="370"/>
      <c r="R8" s="452"/>
      <c r="S8" s="370"/>
      <c r="T8" s="370"/>
      <c r="U8" s="370"/>
      <c r="V8" s="370"/>
      <c r="W8" s="452"/>
      <c r="X8" s="370"/>
      <c r="Y8" s="370"/>
      <c r="Z8" s="370"/>
      <c r="AA8" s="370"/>
      <c r="AB8" s="452"/>
      <c r="AC8" s="370"/>
      <c r="AD8" s="370"/>
      <c r="AE8" s="370"/>
      <c r="AF8" s="370"/>
      <c r="AG8" s="452"/>
      <c r="AH8" s="370"/>
      <c r="AI8" s="370"/>
      <c r="AJ8" s="370"/>
      <c r="AK8" s="370"/>
      <c r="AL8" s="452"/>
      <c r="AM8" s="370"/>
      <c r="AN8" s="370"/>
      <c r="AO8" s="370"/>
      <c r="AP8" s="370"/>
      <c r="AQ8" s="452"/>
      <c r="AR8" s="370"/>
      <c r="AS8" s="370"/>
      <c r="AT8" s="370"/>
      <c r="AU8" s="370"/>
      <c r="AV8" s="452"/>
      <c r="AW8" s="370"/>
      <c r="AX8" s="370"/>
      <c r="AY8" s="370"/>
      <c r="AZ8" s="370"/>
      <c r="BA8" s="452"/>
      <c r="BB8" s="370"/>
      <c r="BC8" s="370"/>
      <c r="BD8" s="370"/>
      <c r="BE8" s="370"/>
      <c r="BF8" s="452"/>
      <c r="BG8" s="484"/>
      <c r="BH8" s="484"/>
      <c r="BI8" s="484"/>
      <c r="BJ8" s="484"/>
      <c r="BK8" s="452"/>
      <c r="BL8" s="179"/>
      <c r="BM8" s="179"/>
      <c r="BN8" s="179"/>
      <c r="BO8" s="179"/>
      <c r="BP8" s="452"/>
      <c r="BQ8" s="125">
        <f>BQ10-BQ9</f>
        <v>1.47</v>
      </c>
      <c r="BR8" s="125">
        <f>BR10-BR9</f>
        <v>1.655</v>
      </c>
      <c r="BS8" s="125">
        <f>BS10-BS9</f>
        <v>1.9089999999999996</v>
      </c>
      <c r="BT8" s="125">
        <f>BT10-BT9</f>
        <v>2.202</v>
      </c>
      <c r="BU8" s="300">
        <f t="shared" si="74"/>
        <v>7.2359999999999998</v>
      </c>
      <c r="BV8" s="125">
        <f>BV10-BV9</f>
        <v>3.0579999999999998</v>
      </c>
      <c r="BW8" s="125">
        <f>BW10-BW9</f>
        <v>2.7759999999999998</v>
      </c>
      <c r="BX8" s="125">
        <f>BX10-BX9</f>
        <v>3.6929999999999996</v>
      </c>
      <c r="BY8" s="125">
        <f>BY10-BY9</f>
        <v>4.4400000000000013</v>
      </c>
      <c r="BZ8" s="300">
        <f t="shared" si="75"/>
        <v>13.967000000000001</v>
      </c>
      <c r="CA8" s="125">
        <f>CA10-CA9</f>
        <v>4.5339999999999998</v>
      </c>
      <c r="CB8" s="125">
        <f>CB10-CB9</f>
        <v>5.3530000000000006</v>
      </c>
      <c r="CC8" s="125">
        <f>CC10-CC9</f>
        <v>5.737000000000001</v>
      </c>
      <c r="CD8" s="125">
        <f>CD10-CD9</f>
        <v>7.7579999999999982</v>
      </c>
      <c r="CE8" s="300">
        <f t="shared" si="76"/>
        <v>23.382000000000001</v>
      </c>
      <c r="CF8" s="125">
        <f>CF10-CF9</f>
        <v>7.5819999999999999</v>
      </c>
      <c r="CG8" s="125">
        <f>CG10-CG9</f>
        <v>7.4259999999999993</v>
      </c>
      <c r="CH8" s="125">
        <f>CH10-CH9</f>
        <v>4.9550000000000018</v>
      </c>
      <c r="CI8" s="125">
        <f>CI10-CI9</f>
        <v>4.4009999999999998</v>
      </c>
      <c r="CJ8" s="300">
        <f t="shared" si="77"/>
        <v>24.364000000000001</v>
      </c>
      <c r="CK8" s="125">
        <f>CK10-CK9</f>
        <v>5.149</v>
      </c>
      <c r="CL8" s="125">
        <f>CL10-CL9</f>
        <v>5.7870000000000008</v>
      </c>
      <c r="CM8" s="125">
        <f>CM10-CM9</f>
        <v>7.0359999999999987</v>
      </c>
      <c r="CN8" s="125">
        <f>CN10-CN9</f>
        <v>7.5400000000000036</v>
      </c>
      <c r="CO8" s="300">
        <f t="shared" si="78"/>
        <v>25.512</v>
      </c>
      <c r="CP8" s="125">
        <f>CP10-CP9</f>
        <v>8.3509999999999991</v>
      </c>
      <c r="CQ8" s="125">
        <f>CQ10-CQ9</f>
        <v>14.628999999999998</v>
      </c>
      <c r="CR8" s="125">
        <f>CR10-CR9</f>
        <v>12.893000000000004</v>
      </c>
      <c r="CS8" s="125">
        <f>CS10-CS9</f>
        <v>12.917999999999999</v>
      </c>
      <c r="CT8" s="300">
        <f t="shared" si="79"/>
        <v>48.791000000000004</v>
      </c>
      <c r="CU8" s="125">
        <f>CU10-CU9</f>
        <v>10.825000000000001</v>
      </c>
      <c r="CV8" s="125">
        <f>CV10-CV9</f>
        <v>9.8470000000000013</v>
      </c>
      <c r="CW8" s="125">
        <f>CW10-CW9</f>
        <v>7.6239999999999997</v>
      </c>
      <c r="CX8" s="125">
        <f>CX10-CX9</f>
        <v>15.863000000000007</v>
      </c>
      <c r="CY8" s="300">
        <f t="shared" si="80"/>
        <v>44.159000000000006</v>
      </c>
      <c r="CZ8" s="125">
        <f>CZ10-CZ9</f>
        <v>9.974000000000002</v>
      </c>
      <c r="DA8" s="125">
        <f>DA10-DA9</f>
        <v>9.0769999999999982</v>
      </c>
      <c r="DB8" s="125">
        <f>DB10-DB9</f>
        <v>8.4670000000000023</v>
      </c>
      <c r="DC8" s="125">
        <f>DC10-DC9</f>
        <v>9.2999999999999936</v>
      </c>
      <c r="DD8" s="300">
        <f t="shared" si="81"/>
        <v>36.817999999999998</v>
      </c>
      <c r="DE8" s="125">
        <f>DE10-DE9</f>
        <v>8</v>
      </c>
      <c r="DF8" s="125">
        <f>DF10-DF9</f>
        <v>8</v>
      </c>
      <c r="DG8" s="125">
        <f>DG10-DG9</f>
        <v>9</v>
      </c>
      <c r="DH8" s="125">
        <f>DH10-DH9</f>
        <v>6</v>
      </c>
      <c r="DI8" s="300">
        <f t="shared" si="82"/>
        <v>31</v>
      </c>
      <c r="DJ8" s="125">
        <f>DJ10-DJ9</f>
        <v>6</v>
      </c>
      <c r="DK8" s="125">
        <f>DK10-DK9</f>
        <v>6</v>
      </c>
      <c r="DL8" s="125">
        <f>DL10-DL9</f>
        <v>4</v>
      </c>
      <c r="DM8" s="125">
        <f t="shared" ref="DM8" si="87">DL8</f>
        <v>4</v>
      </c>
      <c r="DN8" s="300">
        <f t="shared" si="83"/>
        <v>20</v>
      </c>
      <c r="DO8" s="125">
        <f>+DM8</f>
        <v>4</v>
      </c>
      <c r="DP8" s="125">
        <f t="shared" ref="DP8:DR8" si="88">DO8</f>
        <v>4</v>
      </c>
      <c r="DQ8" s="125">
        <f t="shared" si="88"/>
        <v>4</v>
      </c>
      <c r="DR8" s="125">
        <f t="shared" si="88"/>
        <v>4</v>
      </c>
      <c r="DS8" s="300">
        <f t="shared" si="84"/>
        <v>16</v>
      </c>
      <c r="DT8" s="125">
        <f>+DO8</f>
        <v>4</v>
      </c>
      <c r="DU8" s="125">
        <f t="shared" ref="DU8" si="89">DT8</f>
        <v>4</v>
      </c>
      <c r="DV8" s="125">
        <f t="shared" ref="DV8" si="90">DU8</f>
        <v>4</v>
      </c>
      <c r="DW8" s="125">
        <f t="shared" ref="DW8" si="91">DV8</f>
        <v>4</v>
      </c>
      <c r="DX8" s="300">
        <f t="shared" si="85"/>
        <v>16</v>
      </c>
      <c r="DY8" s="125">
        <f>DT8</f>
        <v>4</v>
      </c>
      <c r="DZ8" s="125">
        <f t="shared" ref="DZ8" si="92">DY8</f>
        <v>4</v>
      </c>
      <c r="EA8" s="125">
        <f t="shared" ref="EA8" si="93">DZ8</f>
        <v>4</v>
      </c>
      <c r="EB8" s="125">
        <f t="shared" ref="EB8" si="94">EA8</f>
        <v>4</v>
      </c>
      <c r="EC8" s="300">
        <f t="shared" si="86"/>
        <v>16</v>
      </c>
      <c r="ED8" s="296"/>
    </row>
    <row r="9" spans="1:134" ht="12" customHeight="1">
      <c r="A9" s="943"/>
      <c r="B9" s="943"/>
      <c r="C9" s="387" t="s">
        <v>48</v>
      </c>
      <c r="D9" s="457"/>
      <c r="E9" s="457"/>
      <c r="F9" s="457"/>
      <c r="G9" s="457"/>
      <c r="H9" s="457"/>
      <c r="I9" s="458"/>
      <c r="J9" s="458"/>
      <c r="K9" s="458"/>
      <c r="L9" s="458"/>
      <c r="M9" s="459"/>
      <c r="N9" s="458"/>
      <c r="O9" s="458"/>
      <c r="P9" s="458"/>
      <c r="Q9" s="458"/>
      <c r="R9" s="459"/>
      <c r="S9" s="458"/>
      <c r="T9" s="458"/>
      <c r="U9" s="458"/>
      <c r="V9" s="458"/>
      <c r="W9" s="459"/>
      <c r="X9" s="458"/>
      <c r="Y9" s="458"/>
      <c r="Z9" s="458"/>
      <c r="AA9" s="458"/>
      <c r="AB9" s="459"/>
      <c r="AC9" s="458"/>
      <c r="AD9" s="458"/>
      <c r="AE9" s="458"/>
      <c r="AF9" s="458"/>
      <c r="AG9" s="459"/>
      <c r="AH9" s="458"/>
      <c r="AI9" s="458"/>
      <c r="AJ9" s="458"/>
      <c r="AK9" s="458"/>
      <c r="AL9" s="459"/>
      <c r="AM9" s="458"/>
      <c r="AN9" s="458"/>
      <c r="AO9" s="458"/>
      <c r="AP9" s="458"/>
      <c r="AQ9" s="459"/>
      <c r="AR9" s="458"/>
      <c r="AS9" s="458"/>
      <c r="AT9" s="458"/>
      <c r="AU9" s="458"/>
      <c r="AV9" s="459"/>
      <c r="AW9" s="458"/>
      <c r="AX9" s="458"/>
      <c r="AY9" s="458"/>
      <c r="AZ9" s="458"/>
      <c r="BA9" s="459"/>
      <c r="BB9" s="458"/>
      <c r="BC9" s="458"/>
      <c r="BD9" s="458"/>
      <c r="BE9" s="458"/>
      <c r="BF9" s="459"/>
      <c r="BG9" s="484"/>
      <c r="BH9" s="484"/>
      <c r="BI9" s="484"/>
      <c r="BJ9" s="484"/>
      <c r="BK9" s="459"/>
      <c r="BL9" s="487"/>
      <c r="BM9" s="487"/>
      <c r="BN9" s="487"/>
      <c r="BO9" s="487"/>
      <c r="BP9" s="459"/>
      <c r="BQ9" s="392">
        <f>Income!BQ95</f>
        <v>0</v>
      </c>
      <c r="BR9" s="392">
        <f>Income!BR95</f>
        <v>0</v>
      </c>
      <c r="BS9" s="392">
        <f>Income!BS95</f>
        <v>0</v>
      </c>
      <c r="BT9" s="392">
        <f>Income!BT95</f>
        <v>0</v>
      </c>
      <c r="BU9" s="391">
        <f t="shared" si="74"/>
        <v>0</v>
      </c>
      <c r="BV9" s="392">
        <f>Income!BV95</f>
        <v>0</v>
      </c>
      <c r="BW9" s="392">
        <f>Income!BW95</f>
        <v>0</v>
      </c>
      <c r="BX9" s="392">
        <f>Income!BX95</f>
        <v>0</v>
      </c>
      <c r="BY9" s="392">
        <f>Income!BY95</f>
        <v>0</v>
      </c>
      <c r="BZ9" s="391">
        <f t="shared" si="75"/>
        <v>0</v>
      </c>
      <c r="CA9" s="392">
        <f>Income!CA95</f>
        <v>0</v>
      </c>
      <c r="CB9" s="392">
        <f>Income!CB95</f>
        <v>0</v>
      </c>
      <c r="CC9" s="392">
        <f>Income!CC95</f>
        <v>0</v>
      </c>
      <c r="CD9" s="392">
        <f>Income!CD95</f>
        <v>0</v>
      </c>
      <c r="CE9" s="391">
        <f t="shared" si="76"/>
        <v>0</v>
      </c>
      <c r="CF9" s="392">
        <f>Income!CF95</f>
        <v>0</v>
      </c>
      <c r="CG9" s="392">
        <f>Income!CG95</f>
        <v>0</v>
      </c>
      <c r="CH9" s="392">
        <f>Income!CH95</f>
        <v>1.2410000000000001</v>
      </c>
      <c r="CI9" s="392">
        <f>Income!CI95</f>
        <v>1.4470000000000001</v>
      </c>
      <c r="CJ9" s="391">
        <f t="shared" si="77"/>
        <v>2.6880000000000002</v>
      </c>
      <c r="CK9" s="392">
        <f>Income!CK95</f>
        <v>1.6830000000000001</v>
      </c>
      <c r="CL9" s="392">
        <f>Income!CL95</f>
        <v>1.5880000000000001</v>
      </c>
      <c r="CM9" s="392">
        <f>Income!CM95</f>
        <v>1.7070000000000001</v>
      </c>
      <c r="CN9" s="392">
        <f>Income!CN95</f>
        <v>5.1610000000000005</v>
      </c>
      <c r="CO9" s="391">
        <f t="shared" si="78"/>
        <v>10.138999999999999</v>
      </c>
      <c r="CP9" s="392">
        <f>Income!CP95</f>
        <v>6.0149999999999997</v>
      </c>
      <c r="CQ9" s="392">
        <f>Income!CQ95</f>
        <v>5.3019999999999996</v>
      </c>
      <c r="CR9" s="392">
        <f>Income!CR95</f>
        <v>4.9769999999999994</v>
      </c>
      <c r="CS9" s="392">
        <f>Income!CS95</f>
        <v>4.9750000000000005</v>
      </c>
      <c r="CT9" s="391">
        <f t="shared" si="79"/>
        <v>21.269000000000002</v>
      </c>
      <c r="CU9" s="392">
        <f>Income!CU95</f>
        <v>4.9749999999999996</v>
      </c>
      <c r="CV9" s="392">
        <f>Income!CV95</f>
        <v>4.8159999999999998</v>
      </c>
      <c r="CW9" s="392">
        <f>Income!CW95</f>
        <v>5.9799999999999995</v>
      </c>
      <c r="CX9" s="392">
        <f>Income!CX95</f>
        <v>6.3780000000000001</v>
      </c>
      <c r="CY9" s="391">
        <f t="shared" si="80"/>
        <v>22.149000000000001</v>
      </c>
      <c r="CZ9" s="392">
        <f>Income!CZ95</f>
        <v>6.6959999999999997</v>
      </c>
      <c r="DA9" s="392">
        <f>Income!DA95</f>
        <v>7.3260000000000005</v>
      </c>
      <c r="DB9" s="392">
        <f>Income!DB95</f>
        <v>19.157999999999998</v>
      </c>
      <c r="DC9" s="392">
        <f>Income!DC95</f>
        <v>20.522000000000002</v>
      </c>
      <c r="DD9" s="391">
        <f t="shared" si="81"/>
        <v>53.701999999999998</v>
      </c>
      <c r="DE9" s="392">
        <f>Income!DE95</f>
        <v>21</v>
      </c>
      <c r="DF9" s="392">
        <f>Income!DF95</f>
        <v>9</v>
      </c>
      <c r="DG9" s="392">
        <f>Income!DG95</f>
        <v>4</v>
      </c>
      <c r="DH9" s="392">
        <f>Income!DH95</f>
        <v>4</v>
      </c>
      <c r="DI9" s="391">
        <f t="shared" si="82"/>
        <v>38</v>
      </c>
      <c r="DJ9" s="392">
        <f>Income!DJ95</f>
        <v>4</v>
      </c>
      <c r="DK9" s="392">
        <f>Income!DK95</f>
        <v>4</v>
      </c>
      <c r="DL9" s="392">
        <f>Income!DL95</f>
        <v>4</v>
      </c>
      <c r="DM9" s="392">
        <f>Income!DM95</f>
        <v>2.7035891937011711</v>
      </c>
      <c r="DN9" s="391">
        <f t="shared" si="83"/>
        <v>14.703589193701172</v>
      </c>
      <c r="DO9" s="392">
        <f>Income!DO95</f>
        <v>1.1694417121035157</v>
      </c>
      <c r="DP9" s="392">
        <f>Income!DP95</f>
        <v>1.2540141907572775</v>
      </c>
      <c r="DQ9" s="392">
        <f>Income!DQ95</f>
        <v>1.3159528243645273</v>
      </c>
      <c r="DR9" s="392">
        <f>Income!DR95</f>
        <v>1.658969516842175</v>
      </c>
      <c r="DS9" s="391">
        <f t="shared" si="84"/>
        <v>5.3983782440674952</v>
      </c>
      <c r="DT9" s="392">
        <f>Income!DT95</f>
        <v>1.3996026284287864</v>
      </c>
      <c r="DU9" s="392">
        <f>Income!DU95</f>
        <v>1.5005730569562032</v>
      </c>
      <c r="DV9" s="392">
        <f>Income!DV95</f>
        <v>1.5737823955015644</v>
      </c>
      <c r="DW9" s="392">
        <f>Income!DW95</f>
        <v>1.9877572705046469</v>
      </c>
      <c r="DX9" s="391">
        <f t="shared" si="85"/>
        <v>6.4617153513912005</v>
      </c>
      <c r="DY9" s="392">
        <f>Income!DY95</f>
        <v>1.6501839894518862</v>
      </c>
      <c r="DZ9" s="392">
        <f>Income!DZ95</f>
        <v>1.7689690112668515</v>
      </c>
      <c r="EA9" s="392">
        <f>Income!EA95</f>
        <v>1.8544526191286239</v>
      </c>
      <c r="EB9" s="392">
        <f>Income!EB95</f>
        <v>2.3457785710208299</v>
      </c>
      <c r="EC9" s="391">
        <f t="shared" si="86"/>
        <v>7.6193841908681916</v>
      </c>
      <c r="ED9" s="296"/>
    </row>
    <row r="10" spans="1:134" ht="12" customHeight="1">
      <c r="A10" s="943"/>
      <c r="B10" s="943"/>
      <c r="C10" s="488" t="s">
        <v>29</v>
      </c>
      <c r="D10" s="461"/>
      <c r="E10" s="461"/>
      <c r="F10" s="461"/>
      <c r="G10" s="461"/>
      <c r="H10" s="461"/>
      <c r="I10" s="272"/>
      <c r="J10" s="272"/>
      <c r="K10" s="272"/>
      <c r="L10" s="272"/>
      <c r="M10" s="461"/>
      <c r="N10" s="272"/>
      <c r="O10" s="272"/>
      <c r="P10" s="272"/>
      <c r="Q10" s="272"/>
      <c r="R10" s="461"/>
      <c r="S10" s="272"/>
      <c r="T10" s="272"/>
      <c r="U10" s="272"/>
      <c r="V10" s="272"/>
      <c r="W10" s="461"/>
      <c r="X10" s="272"/>
      <c r="Y10" s="272"/>
      <c r="Z10" s="272"/>
      <c r="AA10" s="272"/>
      <c r="AB10" s="461"/>
      <c r="AC10" s="272"/>
      <c r="AD10" s="272"/>
      <c r="AE10" s="272"/>
      <c r="AF10" s="272"/>
      <c r="AG10" s="461"/>
      <c r="AH10" s="272"/>
      <c r="AI10" s="272"/>
      <c r="AJ10" s="272"/>
      <c r="AK10" s="272"/>
      <c r="AL10" s="461"/>
      <c r="AM10" s="272"/>
      <c r="AN10" s="272"/>
      <c r="AO10" s="272"/>
      <c r="AP10" s="272"/>
      <c r="AQ10" s="461"/>
      <c r="AR10" s="272"/>
      <c r="AS10" s="272"/>
      <c r="AT10" s="272"/>
      <c r="AU10" s="272"/>
      <c r="AV10" s="461"/>
      <c r="AW10" s="272"/>
      <c r="AX10" s="272"/>
      <c r="AY10" s="272"/>
      <c r="AZ10" s="272"/>
      <c r="BA10" s="461"/>
      <c r="BB10" s="272"/>
      <c r="BC10" s="272"/>
      <c r="BD10" s="272"/>
      <c r="BE10" s="272"/>
      <c r="BF10" s="461"/>
      <c r="BG10" s="484"/>
      <c r="BH10" s="484"/>
      <c r="BI10" s="484"/>
      <c r="BJ10" s="484"/>
      <c r="BK10" s="461"/>
      <c r="BL10" s="272"/>
      <c r="BM10" s="272"/>
      <c r="BN10" s="272"/>
      <c r="BO10" s="272"/>
      <c r="BP10" s="461"/>
      <c r="BQ10" s="489">
        <v>1.47</v>
      </c>
      <c r="BR10" s="489">
        <f>3.125-BQ10</f>
        <v>1.655</v>
      </c>
      <c r="BS10" s="489">
        <f>5.034-BR10-BQ10</f>
        <v>1.9089999999999996</v>
      </c>
      <c r="BT10" s="489">
        <f>7.236-SUM(BQ10:BS10)</f>
        <v>2.202</v>
      </c>
      <c r="BU10" s="490">
        <f t="shared" si="74"/>
        <v>7.2359999999999998</v>
      </c>
      <c r="BV10" s="489">
        <v>3.0579999999999998</v>
      </c>
      <c r="BW10" s="489">
        <f>5.834-BV10</f>
        <v>2.7759999999999998</v>
      </c>
      <c r="BX10" s="489">
        <f>9.527-BW10-BV10</f>
        <v>3.6929999999999996</v>
      </c>
      <c r="BY10" s="489">
        <f>13.967-BX10-BW10-BV10</f>
        <v>4.4400000000000013</v>
      </c>
      <c r="BZ10" s="490">
        <f t="shared" si="75"/>
        <v>13.967000000000001</v>
      </c>
      <c r="CA10" s="489">
        <v>4.5339999999999998</v>
      </c>
      <c r="CB10" s="489">
        <f>9.887-CA10</f>
        <v>5.3530000000000006</v>
      </c>
      <c r="CC10" s="489">
        <f>15.624-CB10-CA10</f>
        <v>5.737000000000001</v>
      </c>
      <c r="CD10" s="489">
        <f>23.382-CC10-CB10-CA10</f>
        <v>7.7579999999999982</v>
      </c>
      <c r="CE10" s="490">
        <f t="shared" si="76"/>
        <v>23.382000000000001</v>
      </c>
      <c r="CF10" s="489">
        <v>7.5819999999999999</v>
      </c>
      <c r="CG10" s="489">
        <f>15.008-CF10</f>
        <v>7.4259999999999993</v>
      </c>
      <c r="CH10" s="489">
        <f>21.204-CG10-CF10</f>
        <v>6.1960000000000024</v>
      </c>
      <c r="CI10" s="489">
        <f>27.052-CH10-CG10-CF10</f>
        <v>5.8479999999999999</v>
      </c>
      <c r="CJ10" s="490">
        <f t="shared" si="77"/>
        <v>27.052</v>
      </c>
      <c r="CK10" s="489">
        <v>6.8319999999999999</v>
      </c>
      <c r="CL10" s="489">
        <f>14.207-CK10</f>
        <v>7.3750000000000009</v>
      </c>
      <c r="CM10" s="489">
        <f>22.95-CL10-CK10</f>
        <v>8.7429999999999986</v>
      </c>
      <c r="CN10" s="489">
        <f>35.651-CM10-CL10-CK10</f>
        <v>12.701000000000004</v>
      </c>
      <c r="CO10" s="490">
        <f t="shared" si="78"/>
        <v>35.651000000000003</v>
      </c>
      <c r="CP10" s="489">
        <v>14.366</v>
      </c>
      <c r="CQ10" s="489">
        <f>34.297-CP10</f>
        <v>19.930999999999997</v>
      </c>
      <c r="CR10" s="489">
        <f>52.167-CQ10-CP10</f>
        <v>17.870000000000005</v>
      </c>
      <c r="CS10" s="489">
        <f>70.06-CR10-CQ10-CP10</f>
        <v>17.893000000000001</v>
      </c>
      <c r="CT10" s="490">
        <f t="shared" si="79"/>
        <v>70.06</v>
      </c>
      <c r="CU10" s="489">
        <v>15.8</v>
      </c>
      <c r="CV10" s="489">
        <f>30.463-CU10</f>
        <v>14.663</v>
      </c>
      <c r="CW10" s="489">
        <f>44.067-CV10-CU10</f>
        <v>13.603999999999999</v>
      </c>
      <c r="CX10" s="489">
        <f>66.308-SUM(CU10:CW10)</f>
        <v>22.241000000000007</v>
      </c>
      <c r="CY10" s="490">
        <f t="shared" si="80"/>
        <v>66.308000000000007</v>
      </c>
      <c r="CZ10" s="489">
        <v>16.670000000000002</v>
      </c>
      <c r="DA10" s="489">
        <f>33.073-CZ10</f>
        <v>16.402999999999999</v>
      </c>
      <c r="DB10" s="489">
        <f>60.698-DA10-CZ10</f>
        <v>27.625</v>
      </c>
      <c r="DC10" s="489">
        <f>90.52-DB10-DA10-CZ10</f>
        <v>29.821999999999996</v>
      </c>
      <c r="DD10" s="490">
        <f t="shared" si="81"/>
        <v>90.52</v>
      </c>
      <c r="DE10" s="489">
        <v>29</v>
      </c>
      <c r="DF10" s="489">
        <v>17</v>
      </c>
      <c r="DG10" s="489">
        <v>13</v>
      </c>
      <c r="DH10" s="489">
        <v>10</v>
      </c>
      <c r="DI10" s="490">
        <f t="shared" si="82"/>
        <v>69</v>
      </c>
      <c r="DJ10" s="489">
        <v>10</v>
      </c>
      <c r="DK10" s="489">
        <v>10</v>
      </c>
      <c r="DL10" s="489">
        <v>8</v>
      </c>
      <c r="DM10" s="491">
        <f t="shared" ref="DM10" si="95">SUM(DM8:DM9)</f>
        <v>6.7035891937011716</v>
      </c>
      <c r="DN10" s="490">
        <f t="shared" si="83"/>
        <v>34.70358919370117</v>
      </c>
      <c r="DO10" s="491">
        <f>SUM(DO8:DO9)</f>
        <v>5.1694417121035157</v>
      </c>
      <c r="DP10" s="491">
        <f t="shared" ref="DP10" si="96">SUM(DP8:DP9)</f>
        <v>5.2540141907572773</v>
      </c>
      <c r="DQ10" s="491">
        <f t="shared" ref="DQ10" si="97">SUM(DQ8:DQ9)</f>
        <v>5.3159528243645271</v>
      </c>
      <c r="DR10" s="491">
        <f t="shared" ref="DR10" si="98">SUM(DR8:DR9)</f>
        <v>5.6589695168421752</v>
      </c>
      <c r="DS10" s="490">
        <f t="shared" si="84"/>
        <v>21.398378244067494</v>
      </c>
      <c r="DT10" s="491">
        <f>SUM(DT8:DT9)</f>
        <v>5.3996026284287861</v>
      </c>
      <c r="DU10" s="491">
        <f t="shared" ref="DU10:DW10" si="99">SUM(DU8:DU9)</f>
        <v>5.5005730569562035</v>
      </c>
      <c r="DV10" s="491">
        <f t="shared" si="99"/>
        <v>5.5737823955015644</v>
      </c>
      <c r="DW10" s="491">
        <f t="shared" si="99"/>
        <v>5.9877572705046465</v>
      </c>
      <c r="DX10" s="490">
        <f t="shared" si="85"/>
        <v>22.461715351391199</v>
      </c>
      <c r="DY10" s="491">
        <f>SUM(DY8:DY9)</f>
        <v>5.6501839894518859</v>
      </c>
      <c r="DZ10" s="491">
        <f t="shared" ref="DZ10:EB10" si="100">SUM(DZ8:DZ9)</f>
        <v>5.7689690112668517</v>
      </c>
      <c r="EA10" s="491">
        <f t="shared" si="100"/>
        <v>5.8544526191286241</v>
      </c>
      <c r="EB10" s="491">
        <f t="shared" si="100"/>
        <v>6.3457785710208299</v>
      </c>
      <c r="EC10" s="490">
        <f t="shared" si="86"/>
        <v>23.619384190868189</v>
      </c>
      <c r="ED10" s="320"/>
    </row>
    <row r="11" spans="1:134" ht="12" customHeight="1">
      <c r="A11" s="943"/>
      <c r="B11" s="943"/>
      <c r="C11" s="309" t="s">
        <v>160</v>
      </c>
      <c r="D11" s="452"/>
      <c r="E11" s="452"/>
      <c r="F11" s="452"/>
      <c r="G11" s="452"/>
      <c r="H11" s="452"/>
      <c r="I11" s="179"/>
      <c r="J11" s="179"/>
      <c r="K11" s="179"/>
      <c r="L11" s="179"/>
      <c r="M11" s="452"/>
      <c r="N11" s="179"/>
      <c r="O11" s="179"/>
      <c r="P11" s="179"/>
      <c r="Q11" s="179"/>
      <c r="R11" s="452"/>
      <c r="S11" s="179"/>
      <c r="T11" s="179"/>
      <c r="U11" s="179"/>
      <c r="V11" s="179"/>
      <c r="W11" s="452"/>
      <c r="X11" s="179"/>
      <c r="Y11" s="179"/>
      <c r="Z11" s="179"/>
      <c r="AA11" s="179"/>
      <c r="AB11" s="452"/>
      <c r="AC11" s="179"/>
      <c r="AD11" s="179"/>
      <c r="AE11" s="179"/>
      <c r="AF11" s="179"/>
      <c r="AG11" s="452"/>
      <c r="AH11" s="179"/>
      <c r="AI11" s="179"/>
      <c r="AJ11" s="179"/>
      <c r="AK11" s="179"/>
      <c r="AL11" s="452"/>
      <c r="AM11" s="179"/>
      <c r="AN11" s="179"/>
      <c r="AO11" s="179"/>
      <c r="AP11" s="179"/>
      <c r="AQ11" s="452"/>
      <c r="AR11" s="179"/>
      <c r="AS11" s="179"/>
      <c r="AT11" s="179"/>
      <c r="AU11" s="179"/>
      <c r="AV11" s="452"/>
      <c r="AW11" s="179"/>
      <c r="AX11" s="179"/>
      <c r="AY11" s="179"/>
      <c r="AZ11" s="179"/>
      <c r="BA11" s="452"/>
      <c r="BB11" s="179"/>
      <c r="BC11" s="179"/>
      <c r="BD11" s="179"/>
      <c r="BE11" s="179"/>
      <c r="BF11" s="452"/>
      <c r="BG11" s="484"/>
      <c r="BH11" s="484"/>
      <c r="BI11" s="484"/>
      <c r="BJ11" s="484"/>
      <c r="BK11" s="452"/>
      <c r="BL11" s="179"/>
      <c r="BM11" s="179"/>
      <c r="BN11" s="179"/>
      <c r="BO11" s="179"/>
      <c r="BP11" s="452"/>
      <c r="BQ11" s="125">
        <f>Income!BQ88</f>
        <v>1.44</v>
      </c>
      <c r="BR11" s="125">
        <f>Income!BR88</f>
        <v>1.5710000000000002</v>
      </c>
      <c r="BS11" s="125">
        <f>Income!BS88</f>
        <v>2.2680000000000002</v>
      </c>
      <c r="BT11" s="125">
        <f>Income!BT88</f>
        <v>2.879</v>
      </c>
      <c r="BU11" s="300">
        <f t="shared" si="74"/>
        <v>8.1579999999999995</v>
      </c>
      <c r="BV11" s="125">
        <f>Income!BV88</f>
        <v>3.46</v>
      </c>
      <c r="BW11" s="125">
        <f>Income!BW88</f>
        <v>5.0860000000000003</v>
      </c>
      <c r="BX11" s="125">
        <f>Income!BX88</f>
        <v>6.4870000000000001</v>
      </c>
      <c r="BY11" s="125">
        <f>Income!BY88</f>
        <v>8.0620000000000012</v>
      </c>
      <c r="BZ11" s="300">
        <f t="shared" si="75"/>
        <v>23.094999999999999</v>
      </c>
      <c r="CA11" s="125">
        <f>Income!CA88</f>
        <v>9.2070000000000007</v>
      </c>
      <c r="CB11" s="125">
        <f>Income!CB88</f>
        <v>11.600999999999999</v>
      </c>
      <c r="CC11" s="125">
        <f>Income!CC88</f>
        <v>13.376000000000001</v>
      </c>
      <c r="CD11" s="125">
        <f>Income!CD88</f>
        <v>14.978</v>
      </c>
      <c r="CE11" s="300">
        <f t="shared" si="76"/>
        <v>49.161999999999999</v>
      </c>
      <c r="CF11" s="125">
        <f>Income!CF88</f>
        <v>17.925000000000001</v>
      </c>
      <c r="CG11" s="125">
        <f>Income!CG88</f>
        <v>24.191000000000003</v>
      </c>
      <c r="CH11" s="125">
        <f>Income!CH88</f>
        <v>26.185000000000002</v>
      </c>
      <c r="CI11" s="125">
        <f>Income!CI88</f>
        <v>27.419</v>
      </c>
      <c r="CJ11" s="300">
        <f t="shared" si="77"/>
        <v>95.72</v>
      </c>
      <c r="CK11" s="125">
        <f>Income!CK88</f>
        <v>31.163999999999998</v>
      </c>
      <c r="CL11" s="125">
        <f>Income!CL88</f>
        <v>39.268000000000001</v>
      </c>
      <c r="CM11" s="125">
        <f>Income!CM88</f>
        <v>40.032000000000004</v>
      </c>
      <c r="CN11" s="125">
        <f>Income!CN88</f>
        <v>47.991999999999997</v>
      </c>
      <c r="CO11" s="300">
        <f t="shared" si="78"/>
        <v>158.45599999999999</v>
      </c>
      <c r="CP11" s="125">
        <f>Income!CP88</f>
        <v>53.752000000000002</v>
      </c>
      <c r="CQ11" s="125">
        <f>Income!CQ88</f>
        <v>62.323999999999998</v>
      </c>
      <c r="CR11" s="125">
        <f>Income!CR88</f>
        <v>63.806999999999988</v>
      </c>
      <c r="CS11" s="125">
        <f>Income!CS88</f>
        <v>67.057000000000002</v>
      </c>
      <c r="CT11" s="300">
        <f t="shared" si="79"/>
        <v>246.94</v>
      </c>
      <c r="CU11" s="125">
        <f>Income!CU88</f>
        <v>69.156000000000006</v>
      </c>
      <c r="CV11" s="125">
        <f>Income!CV88</f>
        <v>81.957999999999998</v>
      </c>
      <c r="CW11" s="125">
        <f>Income!CW88</f>
        <v>81.34</v>
      </c>
      <c r="CX11" s="125">
        <f>Income!CX88</f>
        <v>98.314300000000003</v>
      </c>
      <c r="CY11" s="300">
        <f t="shared" si="80"/>
        <v>330.76830000000001</v>
      </c>
      <c r="CZ11" s="125">
        <f>Income!CZ88</f>
        <v>117.98899999999999</v>
      </c>
      <c r="DA11" s="125">
        <f>Income!DA88</f>
        <v>139.41900000000001</v>
      </c>
      <c r="DB11" s="125">
        <f>Income!DB88</f>
        <v>149.98999999999998</v>
      </c>
      <c r="DC11" s="125">
        <f>Income!DC88</f>
        <v>141.744</v>
      </c>
      <c r="DD11" s="300">
        <f t="shared" si="81"/>
        <v>549.14200000000005</v>
      </c>
      <c r="DE11" s="125">
        <f>Income!DE88</f>
        <v>135</v>
      </c>
      <c r="DF11" s="282">
        <v>280</v>
      </c>
      <c r="DG11" s="125">
        <f>Income!DG88-1</f>
        <v>102</v>
      </c>
      <c r="DH11" s="282">
        <v>98</v>
      </c>
      <c r="DI11" s="300">
        <f t="shared" si="82"/>
        <v>615</v>
      </c>
      <c r="DJ11" s="282">
        <v>105</v>
      </c>
      <c r="DK11" s="282">
        <v>106</v>
      </c>
      <c r="DL11" s="282">
        <v>110</v>
      </c>
      <c r="DM11" s="125">
        <f>Income!DM88</f>
        <v>119.74479003445113</v>
      </c>
      <c r="DN11" s="300">
        <f t="shared" si="83"/>
        <v>440.74479003445111</v>
      </c>
      <c r="DO11" s="125">
        <f>Income!DO88</f>
        <v>130.73271219252854</v>
      </c>
      <c r="DP11" s="125">
        <f>Income!DP88</f>
        <v>124.27464593366588</v>
      </c>
      <c r="DQ11" s="125">
        <f>Income!DQ88</f>
        <v>124.0385968145815</v>
      </c>
      <c r="DR11" s="125">
        <f>Income!DR88</f>
        <v>134.51271492903157</v>
      </c>
      <c r="DS11" s="300">
        <f t="shared" si="84"/>
        <v>513.55866986980755</v>
      </c>
      <c r="DT11" s="125">
        <f>Income!DT88</f>
        <v>145.96554333079041</v>
      </c>
      <c r="DU11" s="125">
        <f>Income!DU88</f>
        <v>137.45469334685612</v>
      </c>
      <c r="DV11" s="125">
        <f>Income!DV88</f>
        <v>136.53763363747845</v>
      </c>
      <c r="DW11" s="125">
        <f>Income!DW88</f>
        <v>146.26333348638667</v>
      </c>
      <c r="DX11" s="300">
        <f t="shared" si="85"/>
        <v>566.22120380151159</v>
      </c>
      <c r="DY11" s="125">
        <f>Income!DY88</f>
        <v>159.72246994088908</v>
      </c>
      <c r="DZ11" s="125">
        <f>Income!DZ88</f>
        <v>148.7728889121064</v>
      </c>
      <c r="EA11" s="125">
        <f>Income!EA88</f>
        <v>146.97952291895714</v>
      </c>
      <c r="EB11" s="125">
        <f>Income!EB88</f>
        <v>155.01394959992123</v>
      </c>
      <c r="EC11" s="300">
        <f t="shared" si="86"/>
        <v>610.48883137187386</v>
      </c>
      <c r="ED11" s="296"/>
    </row>
    <row r="12" spans="1:134" ht="12" customHeight="1">
      <c r="A12" s="943"/>
      <c r="B12" s="943"/>
      <c r="C12" s="309" t="s">
        <v>405</v>
      </c>
      <c r="D12" s="452"/>
      <c r="E12" s="452"/>
      <c r="F12" s="452"/>
      <c r="G12" s="452"/>
      <c r="H12" s="452"/>
      <c r="I12" s="179"/>
      <c r="J12" s="179"/>
      <c r="K12" s="179"/>
      <c r="L12" s="179"/>
      <c r="M12" s="452"/>
      <c r="N12" s="179"/>
      <c r="O12" s="179"/>
      <c r="P12" s="179"/>
      <c r="Q12" s="179"/>
      <c r="R12" s="452"/>
      <c r="S12" s="179"/>
      <c r="T12" s="179"/>
      <c r="U12" s="179"/>
      <c r="V12" s="179"/>
      <c r="W12" s="452"/>
      <c r="X12" s="179"/>
      <c r="Y12" s="179"/>
      <c r="Z12" s="179"/>
      <c r="AA12" s="179"/>
      <c r="AB12" s="452"/>
      <c r="AC12" s="179"/>
      <c r="AD12" s="179"/>
      <c r="AE12" s="179"/>
      <c r="AF12" s="179"/>
      <c r="AG12" s="452"/>
      <c r="AH12" s="179"/>
      <c r="AI12" s="179"/>
      <c r="AJ12" s="179"/>
      <c r="AK12" s="179"/>
      <c r="AL12" s="452"/>
      <c r="AM12" s="179"/>
      <c r="AN12" s="179"/>
      <c r="AO12" s="179"/>
      <c r="AP12" s="179"/>
      <c r="AQ12" s="452"/>
      <c r="AR12" s="179"/>
      <c r="AS12" s="179"/>
      <c r="AT12" s="179"/>
      <c r="AU12" s="179"/>
      <c r="AV12" s="452"/>
      <c r="AW12" s="179"/>
      <c r="AX12" s="179"/>
      <c r="AY12" s="179"/>
      <c r="AZ12" s="179"/>
      <c r="BA12" s="452"/>
      <c r="BB12" s="179"/>
      <c r="BC12" s="179"/>
      <c r="BD12" s="179"/>
      <c r="BE12" s="179"/>
      <c r="BF12" s="452"/>
      <c r="BG12" s="484"/>
      <c r="BH12" s="484"/>
      <c r="BI12" s="484"/>
      <c r="BJ12" s="484"/>
      <c r="BK12" s="452"/>
      <c r="BL12" s="179"/>
      <c r="BM12" s="179"/>
      <c r="BN12" s="179"/>
      <c r="BO12" s="179"/>
      <c r="BP12" s="452"/>
      <c r="BQ12" s="125"/>
      <c r="BR12" s="125"/>
      <c r="BS12" s="125"/>
      <c r="BT12" s="125"/>
      <c r="BU12" s="300"/>
      <c r="BV12" s="125"/>
      <c r="BW12" s="125"/>
      <c r="BX12" s="125"/>
      <c r="BY12" s="125"/>
      <c r="BZ12" s="300"/>
      <c r="CA12" s="125"/>
      <c r="CB12" s="125"/>
      <c r="CC12" s="125"/>
      <c r="CD12" s="125"/>
      <c r="CE12" s="300"/>
      <c r="CF12" s="125"/>
      <c r="CG12" s="125"/>
      <c r="CH12" s="125"/>
      <c r="CI12" s="125"/>
      <c r="CJ12" s="300"/>
      <c r="CK12" s="125"/>
      <c r="CL12" s="125"/>
      <c r="CM12" s="125"/>
      <c r="CN12" s="125"/>
      <c r="CO12" s="300"/>
      <c r="CP12" s="125"/>
      <c r="CQ12" s="125"/>
      <c r="CR12" s="125"/>
      <c r="CS12" s="125"/>
      <c r="CT12" s="300"/>
      <c r="CU12" s="125"/>
      <c r="CV12" s="125"/>
      <c r="CW12" s="125"/>
      <c r="CX12" s="125"/>
      <c r="CY12" s="300"/>
      <c r="CZ12" s="125"/>
      <c r="DA12" s="125"/>
      <c r="DB12" s="125"/>
      <c r="DC12" s="125"/>
      <c r="DD12" s="300"/>
      <c r="DE12" s="125"/>
      <c r="DF12" s="282"/>
      <c r="DG12" s="125"/>
      <c r="DH12" s="282"/>
      <c r="DI12" s="300"/>
      <c r="DJ12" s="282"/>
      <c r="DK12" s="282">
        <v>26</v>
      </c>
      <c r="DL12" s="282">
        <v>42</v>
      </c>
      <c r="DM12" s="326">
        <f>DL12*1.1</f>
        <v>46.2</v>
      </c>
      <c r="DN12" s="300">
        <f t="shared" si="83"/>
        <v>114.2</v>
      </c>
      <c r="DO12" s="326">
        <f>DM12*0.98</f>
        <v>45.276000000000003</v>
      </c>
      <c r="DP12" s="326">
        <f>DO12*1.04</f>
        <v>47.087040000000002</v>
      </c>
      <c r="DQ12" s="326">
        <f>DP12*1.04</f>
        <v>48.970521600000005</v>
      </c>
      <c r="DR12" s="326">
        <f>DQ12*1.1</f>
        <v>53.867573760000013</v>
      </c>
      <c r="DS12" s="300">
        <f t="shared" si="84"/>
        <v>195.20113536000002</v>
      </c>
      <c r="DT12" s="326">
        <f>DR12*0.98</f>
        <v>52.790222284800009</v>
      </c>
      <c r="DU12" s="326">
        <f>DT12*1.04</f>
        <v>54.901831176192012</v>
      </c>
      <c r="DV12" s="326">
        <f>DU12*1.04</f>
        <v>57.097904423239697</v>
      </c>
      <c r="DW12" s="326">
        <f>DV12*1.1</f>
        <v>62.807694865563676</v>
      </c>
      <c r="DX12" s="300">
        <f t="shared" si="85"/>
        <v>227.59765274979537</v>
      </c>
      <c r="DY12" s="326">
        <f>DW12*0.98</f>
        <v>61.551540968252404</v>
      </c>
      <c r="DZ12" s="326">
        <f>DY12*1.04</f>
        <v>64.013602606982502</v>
      </c>
      <c r="EA12" s="326">
        <f>DZ12*1.04</f>
        <v>66.574146711261804</v>
      </c>
      <c r="EB12" s="326">
        <f>EA12*1.1</f>
        <v>73.231561382387994</v>
      </c>
      <c r="EC12" s="300">
        <f t="shared" si="86"/>
        <v>265.37085166888471</v>
      </c>
      <c r="ED12" s="296"/>
    </row>
    <row r="13" spans="1:134" ht="12" customHeight="1">
      <c r="A13" s="943"/>
      <c r="B13" s="943"/>
      <c r="C13" s="309" t="s">
        <v>251</v>
      </c>
      <c r="D13" s="452"/>
      <c r="E13" s="452"/>
      <c r="F13" s="452"/>
      <c r="G13" s="452"/>
      <c r="H13" s="452"/>
      <c r="I13" s="179"/>
      <c r="J13" s="179"/>
      <c r="K13" s="179"/>
      <c r="L13" s="179"/>
      <c r="M13" s="452"/>
      <c r="N13" s="179"/>
      <c r="O13" s="179"/>
      <c r="P13" s="179"/>
      <c r="Q13" s="179"/>
      <c r="R13" s="452"/>
      <c r="S13" s="179"/>
      <c r="T13" s="179"/>
      <c r="U13" s="179"/>
      <c r="V13" s="179"/>
      <c r="W13" s="452"/>
      <c r="X13" s="179"/>
      <c r="Y13" s="179"/>
      <c r="Z13" s="179"/>
      <c r="AA13" s="179"/>
      <c r="AB13" s="452"/>
      <c r="AC13" s="179"/>
      <c r="AD13" s="179"/>
      <c r="AE13" s="179"/>
      <c r="AF13" s="179"/>
      <c r="AG13" s="452"/>
      <c r="AH13" s="179"/>
      <c r="AI13" s="179"/>
      <c r="AJ13" s="179"/>
      <c r="AK13" s="179"/>
      <c r="AL13" s="452"/>
      <c r="AM13" s="179"/>
      <c r="AN13" s="179"/>
      <c r="AO13" s="179"/>
      <c r="AP13" s="179"/>
      <c r="AQ13" s="452"/>
      <c r="AR13" s="179"/>
      <c r="AS13" s="179"/>
      <c r="AT13" s="179"/>
      <c r="AU13" s="179"/>
      <c r="AV13" s="452"/>
      <c r="AW13" s="179"/>
      <c r="AX13" s="179"/>
      <c r="AY13" s="179"/>
      <c r="AZ13" s="179"/>
      <c r="BA13" s="452"/>
      <c r="BB13" s="179"/>
      <c r="BC13" s="179"/>
      <c r="BD13" s="179"/>
      <c r="BE13" s="179"/>
      <c r="BF13" s="369"/>
      <c r="BG13" s="484"/>
      <c r="BH13" s="484"/>
      <c r="BI13" s="484"/>
      <c r="BJ13" s="484"/>
      <c r="BK13" s="369"/>
      <c r="BL13" s="370"/>
      <c r="BM13" s="370"/>
      <c r="BN13" s="370"/>
      <c r="BO13" s="370"/>
      <c r="BP13" s="452"/>
      <c r="BQ13" s="370">
        <v>0</v>
      </c>
      <c r="BR13" s="370">
        <v>0</v>
      </c>
      <c r="BS13" s="282">
        <v>0</v>
      </c>
      <c r="BT13" s="282">
        <v>0</v>
      </c>
      <c r="BU13" s="300">
        <f t="shared" si="74"/>
        <v>0</v>
      </c>
      <c r="BV13" s="370">
        <v>0</v>
      </c>
      <c r="BW13" s="370">
        <v>0</v>
      </c>
      <c r="BX13" s="282">
        <f>0-BW13-BV13</f>
        <v>0</v>
      </c>
      <c r="BY13" s="282">
        <v>0</v>
      </c>
      <c r="BZ13" s="300">
        <f t="shared" si="75"/>
        <v>0</v>
      </c>
      <c r="CA13" s="370">
        <v>0</v>
      </c>
      <c r="CB13" s="370">
        <f>0-CA13</f>
        <v>0</v>
      </c>
      <c r="CC13" s="282">
        <f>0-CB13-CA13</f>
        <v>0</v>
      </c>
      <c r="CD13" s="282">
        <v>0</v>
      </c>
      <c r="CE13" s="300">
        <f t="shared" si="76"/>
        <v>0</v>
      </c>
      <c r="CF13" s="370">
        <v>0</v>
      </c>
      <c r="CG13" s="370">
        <v>0</v>
      </c>
      <c r="CH13" s="282">
        <f>0-CG13-CF13</f>
        <v>0</v>
      </c>
      <c r="CI13" s="282">
        <v>0</v>
      </c>
      <c r="CJ13" s="300">
        <f t="shared" si="77"/>
        <v>0</v>
      </c>
      <c r="CK13" s="282">
        <v>0</v>
      </c>
      <c r="CL13" s="282">
        <f>0-CK13</f>
        <v>0</v>
      </c>
      <c r="CM13" s="282">
        <f>-15.295-CL13-CK13</f>
        <v>-15.295</v>
      </c>
      <c r="CN13" s="282">
        <f>-37.918-CM13-CL13-CK13</f>
        <v>-22.622999999999998</v>
      </c>
      <c r="CO13" s="300">
        <f t="shared" si="78"/>
        <v>-37.917999999999999</v>
      </c>
      <c r="CP13" s="282">
        <v>-6.6429999999999998</v>
      </c>
      <c r="CQ13" s="282">
        <f>-13.728-CP13</f>
        <v>-7.085</v>
      </c>
      <c r="CR13" s="282">
        <f>5.598-CQ13-CP13</f>
        <v>19.326000000000001</v>
      </c>
      <c r="CS13" s="282">
        <f>-41.998-CR13-CQ13-CP13</f>
        <v>-47.595999999999997</v>
      </c>
      <c r="CT13" s="300">
        <f t="shared" si="79"/>
        <v>-41.997999999999998</v>
      </c>
      <c r="CU13" s="282">
        <v>100.95399999999999</v>
      </c>
      <c r="CV13" s="282">
        <f>128.344-CU13</f>
        <v>27.39</v>
      </c>
      <c r="CW13" s="282">
        <f>306.849-CV13-CU13</f>
        <v>178.505</v>
      </c>
      <c r="CX13" s="282">
        <f>190.963-SUM(CU13:CW13)</f>
        <v>-115.886</v>
      </c>
      <c r="CY13" s="300">
        <f t="shared" si="80"/>
        <v>190.96299999999999</v>
      </c>
      <c r="CZ13" s="282">
        <v>-184.214</v>
      </c>
      <c r="DA13" s="282">
        <f>-180.405-CZ13</f>
        <v>3.8089999999999975</v>
      </c>
      <c r="DB13" s="282">
        <f>-181.23-DA13-CZ13</f>
        <v>-0.82499999999998863</v>
      </c>
      <c r="DC13" s="282">
        <f>-186.571-DB13-DA13-CZ13</f>
        <v>-5.3410000000000082</v>
      </c>
      <c r="DD13" s="300">
        <f t="shared" si="81"/>
        <v>-186.571</v>
      </c>
      <c r="DE13" s="282">
        <v>1</v>
      </c>
      <c r="DF13" s="282">
        <v>2</v>
      </c>
      <c r="DG13" s="282">
        <v>-1</v>
      </c>
      <c r="DH13" s="302">
        <v>-3</v>
      </c>
      <c r="DI13" s="300">
        <f t="shared" si="82"/>
        <v>-1</v>
      </c>
      <c r="DJ13" s="302">
        <v>1</v>
      </c>
      <c r="DK13" s="302">
        <v>2</v>
      </c>
      <c r="DL13" s="302">
        <v>3</v>
      </c>
      <c r="DM13" s="326">
        <v>0</v>
      </c>
      <c r="DN13" s="300">
        <f t="shared" si="83"/>
        <v>6</v>
      </c>
      <c r="DO13" s="326">
        <v>0</v>
      </c>
      <c r="DP13" s="326">
        <v>0</v>
      </c>
      <c r="DQ13" s="326">
        <v>0</v>
      </c>
      <c r="DR13" s="326">
        <v>0</v>
      </c>
      <c r="DS13" s="300">
        <f t="shared" si="84"/>
        <v>0</v>
      </c>
      <c r="DT13" s="326">
        <v>0</v>
      </c>
      <c r="DU13" s="326">
        <v>0</v>
      </c>
      <c r="DV13" s="326">
        <v>0</v>
      </c>
      <c r="DW13" s="326">
        <v>0</v>
      </c>
      <c r="DX13" s="300">
        <f t="shared" si="85"/>
        <v>0</v>
      </c>
      <c r="DY13" s="326">
        <v>0</v>
      </c>
      <c r="DZ13" s="326">
        <v>0</v>
      </c>
      <c r="EA13" s="326">
        <v>0</v>
      </c>
      <c r="EB13" s="326">
        <v>0</v>
      </c>
      <c r="EC13" s="300">
        <f t="shared" si="86"/>
        <v>0</v>
      </c>
      <c r="ED13" s="296"/>
    </row>
    <row r="14" spans="1:134" ht="12" customHeight="1">
      <c r="A14" s="943"/>
      <c r="B14" s="943"/>
      <c r="C14" s="309" t="s">
        <v>406</v>
      </c>
      <c r="D14" s="452"/>
      <c r="E14" s="452"/>
      <c r="F14" s="452"/>
      <c r="G14" s="452"/>
      <c r="H14" s="452"/>
      <c r="I14" s="179"/>
      <c r="J14" s="179"/>
      <c r="K14" s="179"/>
      <c r="L14" s="179"/>
      <c r="M14" s="452"/>
      <c r="N14" s="179"/>
      <c r="O14" s="179"/>
      <c r="P14" s="179"/>
      <c r="Q14" s="179"/>
      <c r="R14" s="452"/>
      <c r="S14" s="179"/>
      <c r="T14" s="179"/>
      <c r="U14" s="179"/>
      <c r="V14" s="179"/>
      <c r="W14" s="452"/>
      <c r="X14" s="179"/>
      <c r="Y14" s="179"/>
      <c r="Z14" s="179"/>
      <c r="AA14" s="179"/>
      <c r="AB14" s="452"/>
      <c r="AC14" s="179"/>
      <c r="AD14" s="179"/>
      <c r="AE14" s="179"/>
      <c r="AF14" s="179"/>
      <c r="AG14" s="452"/>
      <c r="AH14" s="179"/>
      <c r="AI14" s="179"/>
      <c r="AJ14" s="179"/>
      <c r="AK14" s="179"/>
      <c r="AL14" s="452"/>
      <c r="AM14" s="179"/>
      <c r="AN14" s="179"/>
      <c r="AO14" s="179"/>
      <c r="AP14" s="179"/>
      <c r="AQ14" s="452"/>
      <c r="AR14" s="179"/>
      <c r="AS14" s="179"/>
      <c r="AT14" s="179"/>
      <c r="AU14" s="179"/>
      <c r="AV14" s="452"/>
      <c r="AW14" s="179"/>
      <c r="AX14" s="179"/>
      <c r="AY14" s="179"/>
      <c r="AZ14" s="179"/>
      <c r="BA14" s="452"/>
      <c r="BB14" s="179"/>
      <c r="BC14" s="179"/>
      <c r="BD14" s="179"/>
      <c r="BE14" s="179"/>
      <c r="BF14" s="369"/>
      <c r="BG14" s="484"/>
      <c r="BH14" s="484"/>
      <c r="BI14" s="484"/>
      <c r="BJ14" s="484"/>
      <c r="BK14" s="369"/>
      <c r="BL14" s="370"/>
      <c r="BM14" s="370"/>
      <c r="BN14" s="370"/>
      <c r="BO14" s="370"/>
      <c r="BP14" s="452"/>
      <c r="BQ14" s="370"/>
      <c r="BR14" s="370"/>
      <c r="BS14" s="282"/>
      <c r="BT14" s="282"/>
      <c r="BU14" s="300"/>
      <c r="BV14" s="370"/>
      <c r="BW14" s="370"/>
      <c r="BX14" s="282"/>
      <c r="BY14" s="282"/>
      <c r="BZ14" s="300"/>
      <c r="CA14" s="370"/>
      <c r="CB14" s="370"/>
      <c r="CC14" s="282"/>
      <c r="CD14" s="282"/>
      <c r="CE14" s="300"/>
      <c r="CF14" s="370"/>
      <c r="CG14" s="370"/>
      <c r="CH14" s="282"/>
      <c r="CI14" s="282"/>
      <c r="CJ14" s="300"/>
      <c r="CK14" s="282"/>
      <c r="CL14" s="282"/>
      <c r="CM14" s="282"/>
      <c r="CN14" s="282"/>
      <c r="CO14" s="300"/>
      <c r="CP14" s="282"/>
      <c r="CQ14" s="282"/>
      <c r="CR14" s="282"/>
      <c r="CS14" s="282"/>
      <c r="CT14" s="300"/>
      <c r="CU14" s="282"/>
      <c r="CV14" s="282"/>
      <c r="CW14" s="282"/>
      <c r="CX14" s="282"/>
      <c r="CY14" s="300"/>
      <c r="CZ14" s="282"/>
      <c r="DA14" s="282"/>
      <c r="DB14" s="282"/>
      <c r="DC14" s="282"/>
      <c r="DD14" s="300"/>
      <c r="DE14" s="282"/>
      <c r="DF14" s="282"/>
      <c r="DG14" s="282"/>
      <c r="DH14" s="302"/>
      <c r="DI14" s="300"/>
      <c r="DJ14" s="302"/>
      <c r="DK14" s="302">
        <v>-21</v>
      </c>
      <c r="DL14" s="302">
        <v>-19</v>
      </c>
      <c r="DM14" s="326">
        <v>0</v>
      </c>
      <c r="DN14" s="300">
        <f t="shared" si="83"/>
        <v>-40</v>
      </c>
      <c r="DO14" s="326">
        <v>0</v>
      </c>
      <c r="DP14" s="326">
        <v>0</v>
      </c>
      <c r="DQ14" s="326">
        <v>0</v>
      </c>
      <c r="DR14" s="326">
        <v>0</v>
      </c>
      <c r="DS14" s="300">
        <f t="shared" si="84"/>
        <v>0</v>
      </c>
      <c r="DT14" s="326">
        <v>0</v>
      </c>
      <c r="DU14" s="326">
        <v>0</v>
      </c>
      <c r="DV14" s="326">
        <v>0</v>
      </c>
      <c r="DW14" s="326">
        <v>0</v>
      </c>
      <c r="DX14" s="300">
        <f t="shared" si="85"/>
        <v>0</v>
      </c>
      <c r="DY14" s="326">
        <v>0</v>
      </c>
      <c r="DZ14" s="326">
        <v>0</v>
      </c>
      <c r="EA14" s="326">
        <v>0</v>
      </c>
      <c r="EB14" s="326">
        <v>0</v>
      </c>
      <c r="EC14" s="300">
        <f t="shared" si="86"/>
        <v>0</v>
      </c>
      <c r="ED14" s="296"/>
    </row>
    <row r="15" spans="1:134" ht="12" customHeight="1">
      <c r="A15" s="943"/>
      <c r="B15" s="943"/>
      <c r="C15" s="309" t="s">
        <v>351</v>
      </c>
      <c r="D15" s="452"/>
      <c r="E15" s="452"/>
      <c r="F15" s="452"/>
      <c r="G15" s="452"/>
      <c r="H15" s="452"/>
      <c r="I15" s="179"/>
      <c r="J15" s="179"/>
      <c r="K15" s="179"/>
      <c r="L15" s="179"/>
      <c r="M15" s="452"/>
      <c r="N15" s="179"/>
      <c r="O15" s="179"/>
      <c r="P15" s="179"/>
      <c r="Q15" s="179"/>
      <c r="R15" s="452"/>
      <c r="S15" s="179"/>
      <c r="T15" s="179"/>
      <c r="U15" s="179"/>
      <c r="V15" s="179"/>
      <c r="W15" s="452"/>
      <c r="X15" s="179"/>
      <c r="Y15" s="179"/>
      <c r="Z15" s="179"/>
      <c r="AA15" s="179"/>
      <c r="AB15" s="452"/>
      <c r="AC15" s="179"/>
      <c r="AD15" s="179"/>
      <c r="AE15" s="179"/>
      <c r="AF15" s="179"/>
      <c r="AG15" s="452"/>
      <c r="AH15" s="179"/>
      <c r="AI15" s="179"/>
      <c r="AJ15" s="179"/>
      <c r="AK15" s="179"/>
      <c r="AL15" s="452"/>
      <c r="AM15" s="179"/>
      <c r="AN15" s="179"/>
      <c r="AO15" s="179"/>
      <c r="AP15" s="179"/>
      <c r="AQ15" s="452"/>
      <c r="AR15" s="179"/>
      <c r="AS15" s="179"/>
      <c r="AT15" s="179"/>
      <c r="AU15" s="179"/>
      <c r="AV15" s="452"/>
      <c r="AW15" s="179"/>
      <c r="AX15" s="179"/>
      <c r="AY15" s="179"/>
      <c r="AZ15" s="179"/>
      <c r="BA15" s="452"/>
      <c r="BB15" s="179"/>
      <c r="BC15" s="179"/>
      <c r="BD15" s="179"/>
      <c r="BE15" s="179"/>
      <c r="BF15" s="369"/>
      <c r="BG15" s="484"/>
      <c r="BH15" s="484"/>
      <c r="BI15" s="484"/>
      <c r="BJ15" s="484"/>
      <c r="BK15" s="369"/>
      <c r="BL15" s="370"/>
      <c r="BM15" s="370"/>
      <c r="BN15" s="370"/>
      <c r="BO15" s="370"/>
      <c r="BP15" s="452"/>
      <c r="BQ15" s="370">
        <v>0</v>
      </c>
      <c r="BR15" s="370">
        <v>0</v>
      </c>
      <c r="BS15" s="282">
        <v>0</v>
      </c>
      <c r="BT15" s="282">
        <v>0</v>
      </c>
      <c r="BU15" s="300">
        <f t="shared" si="74"/>
        <v>0</v>
      </c>
      <c r="BV15" s="370">
        <v>0</v>
      </c>
      <c r="BW15" s="370">
        <v>0</v>
      </c>
      <c r="BX15" s="282">
        <v>0</v>
      </c>
      <c r="BY15" s="282">
        <v>0</v>
      </c>
      <c r="BZ15" s="300">
        <f t="shared" si="75"/>
        <v>0</v>
      </c>
      <c r="CA15" s="370">
        <v>0</v>
      </c>
      <c r="CB15" s="370">
        <f>0-CA15</f>
        <v>0</v>
      </c>
      <c r="CC15" s="282">
        <v>0</v>
      </c>
      <c r="CD15" s="282">
        <v>0</v>
      </c>
      <c r="CE15" s="300">
        <f t="shared" si="76"/>
        <v>0</v>
      </c>
      <c r="CF15" s="370">
        <v>0</v>
      </c>
      <c r="CG15" s="370">
        <v>0</v>
      </c>
      <c r="CH15" s="282">
        <v>0</v>
      </c>
      <c r="CI15" s="282">
        <v>0</v>
      </c>
      <c r="CJ15" s="300">
        <f t="shared" si="77"/>
        <v>0</v>
      </c>
      <c r="CK15" s="282">
        <v>0.06</v>
      </c>
      <c r="CL15" s="282">
        <f>1.917-CK15</f>
        <v>1.857</v>
      </c>
      <c r="CM15" s="282">
        <f>2.404-CL15-CK15</f>
        <v>0.48699999999999993</v>
      </c>
      <c r="CN15" s="282">
        <f>0-CM15-CL15-CK15</f>
        <v>-2.4039999999999999</v>
      </c>
      <c r="CO15" s="300">
        <f t="shared" si="78"/>
        <v>0</v>
      </c>
      <c r="CP15" s="282">
        <v>0</v>
      </c>
      <c r="CQ15" s="282">
        <f>0-CP15</f>
        <v>0</v>
      </c>
      <c r="CR15" s="282">
        <f>-133.239-CQ15-CP15</f>
        <v>-133.239</v>
      </c>
      <c r="CS15" s="282">
        <f>-135.193-CR15-CQ15-CP15</f>
        <v>-1.9540000000000077</v>
      </c>
      <c r="CT15" s="300">
        <f t="shared" si="79"/>
        <v>-135.19300000000001</v>
      </c>
      <c r="CU15" s="282">
        <v>-1250.944</v>
      </c>
      <c r="CV15" s="282">
        <f>-2028.693-CU15</f>
        <v>-777.74900000000002</v>
      </c>
      <c r="CW15" s="282">
        <f>-3369.535-CV15-CU15</f>
        <v>-1340.8420000000001</v>
      </c>
      <c r="CX15" s="282">
        <f>-2859.8-SUM(CU15:CW15)</f>
        <v>509.73499999999967</v>
      </c>
      <c r="CY15" s="300">
        <f t="shared" si="80"/>
        <v>-2859.8</v>
      </c>
      <c r="CZ15" s="282">
        <v>1593.655</v>
      </c>
      <c r="DA15" s="282">
        <f>2612.133-CZ15</f>
        <v>1018.4779999999998</v>
      </c>
      <c r="DB15" s="282">
        <f>2443.295-DA15-CZ15</f>
        <v>-168.83799999999974</v>
      </c>
      <c r="DC15" s="282">
        <f>2918.684-DB15-DA15-CZ15</f>
        <v>475.3889999999999</v>
      </c>
      <c r="DD15" s="300">
        <f t="shared" si="81"/>
        <v>2918.6840000000002</v>
      </c>
      <c r="DE15" s="282">
        <v>-215</v>
      </c>
      <c r="DF15" s="282">
        <v>-281</v>
      </c>
      <c r="DG15" s="282">
        <v>-555</v>
      </c>
      <c r="DH15" s="302">
        <v>-368</v>
      </c>
      <c r="DI15" s="300">
        <f t="shared" si="82"/>
        <v>-1419</v>
      </c>
      <c r="DJ15" s="302">
        <v>373</v>
      </c>
      <c r="DK15" s="302">
        <f>76+44</f>
        <v>120</v>
      </c>
      <c r="DL15" s="302">
        <f>-512+28</f>
        <v>-484</v>
      </c>
      <c r="DM15" s="326">
        <v>0</v>
      </c>
      <c r="DN15" s="300">
        <f t="shared" si="83"/>
        <v>9</v>
      </c>
      <c r="DO15" s="326">
        <v>0</v>
      </c>
      <c r="DP15" s="326">
        <v>0</v>
      </c>
      <c r="DQ15" s="326">
        <v>0</v>
      </c>
      <c r="DR15" s="326">
        <v>0</v>
      </c>
      <c r="DS15" s="300">
        <f t="shared" si="84"/>
        <v>0</v>
      </c>
      <c r="DT15" s="326">
        <v>0</v>
      </c>
      <c r="DU15" s="326">
        <v>0</v>
      </c>
      <c r="DV15" s="326">
        <v>0</v>
      </c>
      <c r="DW15" s="326">
        <v>0</v>
      </c>
      <c r="DX15" s="300">
        <f t="shared" si="85"/>
        <v>0</v>
      </c>
      <c r="DY15" s="326">
        <v>0</v>
      </c>
      <c r="DZ15" s="326">
        <v>0</v>
      </c>
      <c r="EA15" s="326">
        <v>0</v>
      </c>
      <c r="EB15" s="326">
        <v>0</v>
      </c>
      <c r="EC15" s="300">
        <f t="shared" si="86"/>
        <v>0</v>
      </c>
      <c r="ED15" s="296"/>
    </row>
    <row r="16" spans="1:134" ht="12" customHeight="1">
      <c r="A16" s="943"/>
      <c r="B16" s="943"/>
      <c r="C16" s="309" t="s">
        <v>407</v>
      </c>
      <c r="D16" s="452"/>
      <c r="E16" s="452"/>
      <c r="F16" s="452"/>
      <c r="G16" s="452"/>
      <c r="H16" s="452"/>
      <c r="I16" s="179"/>
      <c r="J16" s="179"/>
      <c r="K16" s="179"/>
      <c r="L16" s="179"/>
      <c r="M16" s="452"/>
      <c r="N16" s="179"/>
      <c r="O16" s="179"/>
      <c r="P16" s="179"/>
      <c r="Q16" s="179"/>
      <c r="R16" s="452"/>
      <c r="S16" s="179"/>
      <c r="T16" s="179"/>
      <c r="U16" s="179"/>
      <c r="V16" s="179"/>
      <c r="W16" s="452"/>
      <c r="X16" s="179"/>
      <c r="Y16" s="179"/>
      <c r="Z16" s="179"/>
      <c r="AA16" s="179"/>
      <c r="AB16" s="452"/>
      <c r="AC16" s="179"/>
      <c r="AD16" s="179"/>
      <c r="AE16" s="179"/>
      <c r="AF16" s="179"/>
      <c r="AG16" s="452"/>
      <c r="AH16" s="179"/>
      <c r="AI16" s="179"/>
      <c r="AJ16" s="179"/>
      <c r="AK16" s="179"/>
      <c r="AL16" s="452"/>
      <c r="AM16" s="179"/>
      <c r="AN16" s="179"/>
      <c r="AO16" s="179"/>
      <c r="AP16" s="179"/>
      <c r="AQ16" s="452"/>
      <c r="AR16" s="179"/>
      <c r="AS16" s="179"/>
      <c r="AT16" s="179"/>
      <c r="AU16" s="179"/>
      <c r="AV16" s="452"/>
      <c r="AW16" s="179"/>
      <c r="AX16" s="179"/>
      <c r="AY16" s="179"/>
      <c r="AZ16" s="179"/>
      <c r="BA16" s="452"/>
      <c r="BB16" s="179"/>
      <c r="BC16" s="179"/>
      <c r="BD16" s="179"/>
      <c r="BE16" s="179"/>
      <c r="BF16" s="369"/>
      <c r="BG16" s="484"/>
      <c r="BH16" s="484"/>
      <c r="BI16" s="484"/>
      <c r="BJ16" s="484"/>
      <c r="BK16" s="369"/>
      <c r="BL16" s="370"/>
      <c r="BM16" s="370"/>
      <c r="BN16" s="370"/>
      <c r="BO16" s="370"/>
      <c r="BP16" s="452"/>
      <c r="BQ16" s="370"/>
      <c r="BR16" s="370"/>
      <c r="BS16" s="282"/>
      <c r="BT16" s="282"/>
      <c r="BU16" s="300"/>
      <c r="BV16" s="370"/>
      <c r="BW16" s="370"/>
      <c r="BX16" s="282"/>
      <c r="BY16" s="282"/>
      <c r="BZ16" s="300"/>
      <c r="CA16" s="370"/>
      <c r="CB16" s="370"/>
      <c r="CC16" s="282"/>
      <c r="CD16" s="282"/>
      <c r="CE16" s="300"/>
      <c r="CF16" s="370"/>
      <c r="CG16" s="370"/>
      <c r="CH16" s="282"/>
      <c r="CI16" s="282"/>
      <c r="CJ16" s="300"/>
      <c r="CK16" s="282"/>
      <c r="CL16" s="282"/>
      <c r="CM16" s="282"/>
      <c r="CN16" s="282"/>
      <c r="CO16" s="300"/>
      <c r="CP16" s="282"/>
      <c r="CQ16" s="282"/>
      <c r="CR16" s="282"/>
      <c r="CS16" s="282"/>
      <c r="CT16" s="300"/>
      <c r="CU16" s="282"/>
      <c r="CV16" s="282"/>
      <c r="CW16" s="282"/>
      <c r="CX16" s="282"/>
      <c r="CY16" s="300"/>
      <c r="CZ16" s="282"/>
      <c r="DA16" s="282"/>
      <c r="DB16" s="282"/>
      <c r="DC16" s="282"/>
      <c r="DD16" s="300"/>
      <c r="DE16" s="282"/>
      <c r="DF16" s="282"/>
      <c r="DG16" s="282"/>
      <c r="DH16" s="302"/>
      <c r="DI16" s="300"/>
      <c r="DJ16" s="302"/>
      <c r="DK16" s="302">
        <v>-2</v>
      </c>
      <c r="DL16" s="302">
        <v>-19</v>
      </c>
      <c r="DM16" s="326">
        <v>0</v>
      </c>
      <c r="DN16" s="300">
        <f t="shared" si="83"/>
        <v>-21</v>
      </c>
      <c r="DO16" s="326">
        <v>0</v>
      </c>
      <c r="DP16" s="326">
        <v>0</v>
      </c>
      <c r="DQ16" s="326">
        <v>0</v>
      </c>
      <c r="DR16" s="326">
        <v>0</v>
      </c>
      <c r="DS16" s="300">
        <f t="shared" si="84"/>
        <v>0</v>
      </c>
      <c r="DT16" s="326">
        <v>0</v>
      </c>
      <c r="DU16" s="326">
        <v>0</v>
      </c>
      <c r="DV16" s="326">
        <v>0</v>
      </c>
      <c r="DW16" s="326">
        <v>0</v>
      </c>
      <c r="DX16" s="300">
        <f t="shared" si="85"/>
        <v>0</v>
      </c>
      <c r="DY16" s="326">
        <v>0</v>
      </c>
      <c r="DZ16" s="326">
        <v>0</v>
      </c>
      <c r="EA16" s="326">
        <v>0</v>
      </c>
      <c r="EB16" s="326">
        <v>0</v>
      </c>
      <c r="EC16" s="300">
        <f t="shared" si="86"/>
        <v>0</v>
      </c>
      <c r="ED16" s="296"/>
    </row>
    <row r="17" spans="1:134" ht="12" customHeight="1">
      <c r="A17" s="943"/>
      <c r="B17" s="943"/>
      <c r="C17" s="309" t="s">
        <v>156</v>
      </c>
      <c r="D17" s="452"/>
      <c r="E17" s="452"/>
      <c r="F17" s="452"/>
      <c r="G17" s="452"/>
      <c r="H17" s="452"/>
      <c r="I17" s="179"/>
      <c r="J17" s="179"/>
      <c r="K17" s="179"/>
      <c r="L17" s="179"/>
      <c r="M17" s="452"/>
      <c r="N17" s="179"/>
      <c r="O17" s="179"/>
      <c r="P17" s="179"/>
      <c r="Q17" s="179"/>
      <c r="R17" s="452"/>
      <c r="S17" s="179"/>
      <c r="T17" s="179"/>
      <c r="U17" s="179"/>
      <c r="V17" s="179"/>
      <c r="W17" s="452"/>
      <c r="X17" s="179"/>
      <c r="Y17" s="179"/>
      <c r="Z17" s="179"/>
      <c r="AA17" s="179"/>
      <c r="AB17" s="452"/>
      <c r="AC17" s="179"/>
      <c r="AD17" s="179"/>
      <c r="AE17" s="179"/>
      <c r="AF17" s="179"/>
      <c r="AG17" s="452"/>
      <c r="AH17" s="179"/>
      <c r="AI17" s="179"/>
      <c r="AJ17" s="179"/>
      <c r="AK17" s="179"/>
      <c r="AL17" s="452"/>
      <c r="AM17" s="179"/>
      <c r="AN17" s="179"/>
      <c r="AO17" s="179"/>
      <c r="AP17" s="179"/>
      <c r="AQ17" s="452"/>
      <c r="AR17" s="179"/>
      <c r="AS17" s="179"/>
      <c r="AT17" s="179"/>
      <c r="AU17" s="179"/>
      <c r="AV17" s="452"/>
      <c r="AW17" s="179"/>
      <c r="AX17" s="179"/>
      <c r="AY17" s="179"/>
      <c r="AZ17" s="179"/>
      <c r="BA17" s="452"/>
      <c r="BB17" s="179"/>
      <c r="BC17" s="179"/>
      <c r="BD17" s="179"/>
      <c r="BE17" s="179"/>
      <c r="BF17" s="369"/>
      <c r="BG17" s="137"/>
      <c r="BH17" s="137"/>
      <c r="BI17" s="137"/>
      <c r="BJ17" s="137"/>
      <c r="BK17" s="369"/>
      <c r="BL17" s="370"/>
      <c r="BM17" s="370"/>
      <c r="BN17" s="370"/>
      <c r="BO17" s="370"/>
      <c r="BP17" s="452"/>
      <c r="BQ17" s="370">
        <f>0.095+1.191</f>
        <v>1.286</v>
      </c>
      <c r="BR17" s="370">
        <f>0.181+1.036</f>
        <v>1.2170000000000001</v>
      </c>
      <c r="BS17" s="492">
        <f>0.267+1.507-BR17-BQ17</f>
        <v>-0.72900000000000009</v>
      </c>
      <c r="BT17" s="492">
        <f>0.353+1.828-SUM(BQ17:BS17)</f>
        <v>0.40700000000000003</v>
      </c>
      <c r="BU17" s="300">
        <f t="shared" si="74"/>
        <v>2.181</v>
      </c>
      <c r="BV17" s="370">
        <f>0.086-0.978</f>
        <v>-0.89200000000000002</v>
      </c>
      <c r="BW17" s="370">
        <f>0.441+0.172-1.161-BV17</f>
        <v>0.34399999999999997</v>
      </c>
      <c r="BX17" s="492">
        <f>0.918+0.202-1.087-BW17-BV17</f>
        <v>0.58100000000000018</v>
      </c>
      <c r="BY17" s="492">
        <f>1.028+0.202-0.969-BX17-BW17-BV17</f>
        <v>0.22799999999999987</v>
      </c>
      <c r="BZ17" s="300">
        <f t="shared" si="75"/>
        <v>0.26100000000000001</v>
      </c>
      <c r="CA17" s="370">
        <f>0.592-0.111</f>
        <v>0.48099999999999998</v>
      </c>
      <c r="CB17" s="370">
        <f>1.922-0.901-CA17</f>
        <v>0.53999999999999992</v>
      </c>
      <c r="CC17" s="492">
        <f>2.473-1.502-CB17-CA17</f>
        <v>-5.0000000000000044E-2</v>
      </c>
      <c r="CD17" s="492">
        <f>2.606-1.604-CC17-CB17-CA17</f>
        <v>3.0999999999999917E-2</v>
      </c>
      <c r="CE17" s="300">
        <f t="shared" si="76"/>
        <v>1.0019999999999998</v>
      </c>
      <c r="CF17" s="282">
        <f>1.582-0.128</f>
        <v>1.4540000000000002</v>
      </c>
      <c r="CG17" s="370">
        <f>4.072+0.369-CF17</f>
        <v>2.9869999999999997</v>
      </c>
      <c r="CH17" s="492">
        <f>5.043+0.637-CG17-CF17</f>
        <v>1.2389999999999999</v>
      </c>
      <c r="CI17" s="492">
        <f>5.922+1.272-CH17-CG17-CF17</f>
        <v>1.5140000000000002</v>
      </c>
      <c r="CJ17" s="300">
        <f t="shared" si="77"/>
        <v>7.194</v>
      </c>
      <c r="CK17" s="282">
        <v>2.7469999999999999</v>
      </c>
      <c r="CL17" s="492">
        <v>7.3979999999999997</v>
      </c>
      <c r="CM17" s="492">
        <f>11.186+2.404-CL17-CK17</f>
        <v>3.4450000000000003</v>
      </c>
      <c r="CN17" s="492">
        <f>31.623+27.282-1.689-CM17-CL17-CK17</f>
        <v>43.626000000000005</v>
      </c>
      <c r="CO17" s="300">
        <f t="shared" si="78"/>
        <v>57.216000000000008</v>
      </c>
      <c r="CP17" s="282">
        <f>6.103-3.779</f>
        <v>2.3239999999999998</v>
      </c>
      <c r="CQ17" s="492">
        <f>31.623+12.04-1.231-CP17</f>
        <v>40.107999999999997</v>
      </c>
      <c r="CR17" s="492">
        <f>31.623+19.954-1.186-1.738-CQ17-CP17</f>
        <v>6.2210000000000019</v>
      </c>
      <c r="CS17" s="492">
        <f>31.623+27.282-1.689-CR17-CQ17-CP17</f>
        <v>8.5630000000000006</v>
      </c>
      <c r="CT17" s="300">
        <f t="shared" si="79"/>
        <v>57.216000000000001</v>
      </c>
      <c r="CU17" s="492">
        <f>4.236+1.734</f>
        <v>5.97</v>
      </c>
      <c r="CV17" s="492">
        <f>0+14.855-18.121+1.451-CU17</f>
        <v>-7.7849999999999984</v>
      </c>
      <c r="CW17" s="492">
        <f>30.145+25.723-37.425+3.741-CV17-CU17</f>
        <v>23.998999999999995</v>
      </c>
      <c r="CX17" s="492">
        <f>2.343+30.145+43.781-58.38+4.57-SUM(CU17:CW17)</f>
        <v>0.27500000000000568</v>
      </c>
      <c r="CY17" s="300">
        <f t="shared" si="80"/>
        <v>22.459000000000003</v>
      </c>
      <c r="CZ17" s="492">
        <v>6.3220000000000001</v>
      </c>
      <c r="DA17" s="492">
        <f>15.94-53.665-CZ17</f>
        <v>-44.047000000000004</v>
      </c>
      <c r="DB17" s="492">
        <f>25.948-86.547+53.562+1.761-DA17-CZ17</f>
        <v>32.449000000000005</v>
      </c>
      <c r="DC17" s="282">
        <f>2.349+84.314-121.503+11.702-DB17-DA17-CZ17</f>
        <v>-17.862000000000005</v>
      </c>
      <c r="DD17" s="300">
        <f t="shared" si="81"/>
        <v>-23.138000000000002</v>
      </c>
      <c r="DE17" s="493">
        <f>1+28-48-3</f>
        <v>-22</v>
      </c>
      <c r="DF17" s="492">
        <f>15-39+1340+1</f>
        <v>1317</v>
      </c>
      <c r="DG17" s="492">
        <f>38+8-36+10+8</f>
        <v>28</v>
      </c>
      <c r="DH17" s="492">
        <f>29-35+48-12</f>
        <v>30</v>
      </c>
      <c r="DI17" s="300">
        <f t="shared" si="82"/>
        <v>1353</v>
      </c>
      <c r="DJ17" s="492">
        <f>28-35+44+6</f>
        <v>43</v>
      </c>
      <c r="DK17" s="492">
        <v>0</v>
      </c>
      <c r="DL17" s="492">
        <v>0</v>
      </c>
      <c r="DM17" s="494">
        <f>+'Balance Sheet'!DL22-'Balance Sheet'!DM22+'Balance Sheet'!DM34-'Balance Sheet'!DL34</f>
        <v>0</v>
      </c>
      <c r="DN17" s="300">
        <f t="shared" si="83"/>
        <v>43</v>
      </c>
      <c r="DO17" s="494">
        <f>+'Balance Sheet'!DN22-'Balance Sheet'!DO22+'Balance Sheet'!DO34-'Balance Sheet'!DN34</f>
        <v>0</v>
      </c>
      <c r="DP17" s="494">
        <f>+'Balance Sheet'!DO22-'Balance Sheet'!DP22+'Balance Sheet'!DP34-'Balance Sheet'!DO34</f>
        <v>0</v>
      </c>
      <c r="DQ17" s="494">
        <f>+'Balance Sheet'!DP22-'Balance Sheet'!DQ22+'Balance Sheet'!DQ34-'Balance Sheet'!DP34</f>
        <v>0</v>
      </c>
      <c r="DR17" s="494">
        <f>+'Balance Sheet'!DQ22-'Balance Sheet'!DR22+'Balance Sheet'!DR34-'Balance Sheet'!DQ34</f>
        <v>0</v>
      </c>
      <c r="DS17" s="300">
        <f t="shared" si="84"/>
        <v>0</v>
      </c>
      <c r="DT17" s="494">
        <f>+'Balance Sheet'!DS22-'Balance Sheet'!DT22+'Balance Sheet'!DT34-'Balance Sheet'!DS34</f>
        <v>0</v>
      </c>
      <c r="DU17" s="494">
        <f>+'Balance Sheet'!DT22-'Balance Sheet'!DU22+'Balance Sheet'!DU34-'Balance Sheet'!DT34</f>
        <v>0</v>
      </c>
      <c r="DV17" s="494">
        <f>+'Balance Sheet'!DU22-'Balance Sheet'!DV22+'Balance Sheet'!DV34-'Balance Sheet'!DU34</f>
        <v>0</v>
      </c>
      <c r="DW17" s="494">
        <f>+'Balance Sheet'!DV22-'Balance Sheet'!DW22+'Balance Sheet'!DW34-'Balance Sheet'!DV34</f>
        <v>0</v>
      </c>
      <c r="DX17" s="300">
        <f t="shared" si="85"/>
        <v>0</v>
      </c>
      <c r="DY17" s="494">
        <f>+'Balance Sheet'!DX22-'Balance Sheet'!DY22+'Balance Sheet'!DY34-'Balance Sheet'!DX34</f>
        <v>0</v>
      </c>
      <c r="DZ17" s="494">
        <f>+'Balance Sheet'!DY22-'Balance Sheet'!DZ22+'Balance Sheet'!DZ34-'Balance Sheet'!DY34</f>
        <v>0</v>
      </c>
      <c r="EA17" s="494">
        <f>+'Balance Sheet'!DZ22-'Balance Sheet'!EA22+'Balance Sheet'!EA34-'Balance Sheet'!DZ34</f>
        <v>0</v>
      </c>
      <c r="EB17" s="494">
        <f>+'Balance Sheet'!EA22-'Balance Sheet'!EB22+'Balance Sheet'!EB34-'Balance Sheet'!EA34</f>
        <v>0</v>
      </c>
      <c r="EC17" s="300">
        <f t="shared" si="86"/>
        <v>0</v>
      </c>
      <c r="ED17" s="338"/>
    </row>
    <row r="18" spans="1:134" ht="12" customHeight="1" outlineLevel="1">
      <c r="A18" s="943"/>
      <c r="B18" s="943"/>
      <c r="C18" s="451" t="s">
        <v>49</v>
      </c>
      <c r="D18" s="495"/>
      <c r="E18" s="452"/>
      <c r="F18" s="452"/>
      <c r="G18" s="452"/>
      <c r="H18" s="452"/>
      <c r="I18" s="496"/>
      <c r="J18" s="179"/>
      <c r="K18" s="179"/>
      <c r="L18" s="179"/>
      <c r="M18" s="452"/>
      <c r="N18" s="179"/>
      <c r="O18" s="179"/>
      <c r="P18" s="179"/>
      <c r="Q18" s="179"/>
      <c r="R18" s="452"/>
      <c r="S18" s="179"/>
      <c r="T18" s="179"/>
      <c r="U18" s="179"/>
      <c r="V18" s="179"/>
      <c r="W18" s="452"/>
      <c r="X18" s="179"/>
      <c r="Y18" s="179"/>
      <c r="Z18" s="179"/>
      <c r="AA18" s="179"/>
      <c r="AB18" s="452"/>
      <c r="AC18" s="179"/>
      <c r="AD18" s="179"/>
      <c r="AE18" s="179"/>
      <c r="AF18" s="179"/>
      <c r="AG18" s="452"/>
      <c r="AH18" s="179"/>
      <c r="AI18" s="179"/>
      <c r="AJ18" s="179"/>
      <c r="AK18" s="179"/>
      <c r="AL18" s="452"/>
      <c r="AM18" s="179"/>
      <c r="AN18" s="179"/>
      <c r="AO18" s="179"/>
      <c r="AP18" s="179"/>
      <c r="AQ18" s="452"/>
      <c r="AR18" s="179"/>
      <c r="AS18" s="179"/>
      <c r="AT18" s="179"/>
      <c r="AU18" s="179"/>
      <c r="AV18" s="452"/>
      <c r="AW18" s="179"/>
      <c r="AX18" s="179"/>
      <c r="AY18" s="179"/>
      <c r="AZ18" s="179"/>
      <c r="BA18" s="452"/>
      <c r="BB18" s="179"/>
      <c r="BC18" s="179"/>
      <c r="BD18" s="179"/>
      <c r="BE18" s="179"/>
      <c r="BF18" s="369"/>
      <c r="BG18" s="484"/>
      <c r="BH18" s="484"/>
      <c r="BI18" s="484"/>
      <c r="BJ18" s="484"/>
      <c r="BK18" s="369"/>
      <c r="BL18" s="370"/>
      <c r="BM18" s="370"/>
      <c r="BN18" s="370"/>
      <c r="BO18" s="370"/>
      <c r="BP18" s="452"/>
      <c r="BQ18" s="370">
        <v>1.538</v>
      </c>
      <c r="BR18" s="370">
        <f>3.716-BQ18</f>
        <v>2.1779999999999999</v>
      </c>
      <c r="BS18" s="282">
        <f>3.463-BR18-BQ18</f>
        <v>-0.25299999999999989</v>
      </c>
      <c r="BT18" s="282">
        <f>1.176-SUM(BQ18:BS18)</f>
        <v>-2.2869999999999999</v>
      </c>
      <c r="BU18" s="300">
        <f t="shared" ref="BU18:BU22" si="101">SUM(BQ18:BT18)</f>
        <v>1.1760000000000002</v>
      </c>
      <c r="BV18" s="370">
        <v>-5.2999999999999999E-2</v>
      </c>
      <c r="BW18" s="370">
        <f>1.779-BV18</f>
        <v>1.8319999999999999</v>
      </c>
      <c r="BX18" s="282">
        <f>-0.688-BW18-BV18</f>
        <v>-2.4669999999999996</v>
      </c>
      <c r="BY18" s="282">
        <f>-2.356-BX18-BW18-BV18</f>
        <v>-1.6680000000000001</v>
      </c>
      <c r="BZ18" s="300">
        <f t="shared" ref="BZ18:BZ22" si="102">SUM(BV18:BY18)</f>
        <v>-2.3559999999999999</v>
      </c>
      <c r="CA18" s="370">
        <v>0.55700000000000005</v>
      </c>
      <c r="CB18" s="370">
        <f>-2.978-CA18</f>
        <v>-3.5350000000000001</v>
      </c>
      <c r="CC18" s="282">
        <f>-8.701-CB18-CA18</f>
        <v>-5.7230000000000008</v>
      </c>
      <c r="CD18" s="282">
        <f>-13.037-CC18-CB18-CA18</f>
        <v>-4.3360000000000003</v>
      </c>
      <c r="CE18" s="300">
        <f t="shared" si="76"/>
        <v>-13.037000000000001</v>
      </c>
      <c r="CF18" s="370">
        <v>-8.1609999999999996</v>
      </c>
      <c r="CG18" s="370">
        <f>-16.426-CF18</f>
        <v>-8.2649999999999988</v>
      </c>
      <c r="CH18" s="282">
        <f>-22.524-CG18-CF18</f>
        <v>-6.0980000000000025</v>
      </c>
      <c r="CI18" s="282">
        <f>-32.649-CH18-CG18-CF18</f>
        <v>-10.125000000000002</v>
      </c>
      <c r="CJ18" s="300">
        <f t="shared" si="77"/>
        <v>-32.649000000000001</v>
      </c>
      <c r="CK18" s="282">
        <v>-10.551</v>
      </c>
      <c r="CL18" s="282">
        <f>-20.54-CK18</f>
        <v>-9.988999999999999</v>
      </c>
      <c r="CM18" s="282">
        <f>-25.153-CL18-CK18</f>
        <v>-4.6129999999999995</v>
      </c>
      <c r="CN18" s="282">
        <f>-56.181-CM18-CL18-CK18</f>
        <v>-31.027999999999999</v>
      </c>
      <c r="CO18" s="300">
        <f t="shared" si="78"/>
        <v>-56.180999999999997</v>
      </c>
      <c r="CP18" s="282">
        <v>-2.3780000000000001</v>
      </c>
      <c r="CQ18" s="282">
        <f>-18.98-CP18</f>
        <v>-16.602</v>
      </c>
      <c r="CR18" s="282">
        <f>-21.053-CQ18-CP18</f>
        <v>-2.0730000000000004</v>
      </c>
      <c r="CS18" s="282">
        <v>19.933</v>
      </c>
      <c r="CT18" s="300">
        <f t="shared" si="79"/>
        <v>-1.120000000000001</v>
      </c>
      <c r="CU18" s="282">
        <v>-39.063000000000002</v>
      </c>
      <c r="CV18" s="282">
        <f>-27.406-CU18</f>
        <v>11.657000000000004</v>
      </c>
      <c r="CW18" s="282">
        <f>-30.267-CV18-CU18</f>
        <v>-2.8610000000000042</v>
      </c>
      <c r="CX18" s="282">
        <v>-72.3</v>
      </c>
      <c r="CY18" s="300">
        <f t="shared" ref="CY18:CY24" si="103">SUM(CU18:CX18)</f>
        <v>-102.56700000000001</v>
      </c>
      <c r="CZ18" s="282">
        <v>-31.291</v>
      </c>
      <c r="DA18" s="282">
        <f>-55.657-CZ18</f>
        <v>-24.365999999999996</v>
      </c>
      <c r="DB18" s="282">
        <f>-75.388-DA18-CZ18</f>
        <v>-19.731000000000005</v>
      </c>
      <c r="DC18" s="489">
        <f>-104.523-DB18-DA18-CZ18</f>
        <v>-29.134999999999987</v>
      </c>
      <c r="DD18" s="300">
        <f t="shared" ref="DD18:DD24" si="104">SUM(CZ18:DC18)</f>
        <v>-104.523</v>
      </c>
      <c r="DE18" s="125">
        <f>'Balance Sheet'!DD10-'Balance Sheet'!DE10</f>
        <v>-2.9449999999999932</v>
      </c>
      <c r="DF18" s="125">
        <f>'Balance Sheet'!DE10-'Balance Sheet'!DF10</f>
        <v>14</v>
      </c>
      <c r="DG18" s="125">
        <f>'Balance Sheet'!DF10-'Balance Sheet'!DG10</f>
        <v>14</v>
      </c>
      <c r="DH18" s="125">
        <f>'Balance Sheet'!DG10-'Balance Sheet'!DH10</f>
        <v>-34</v>
      </c>
      <c r="DI18" s="300">
        <f t="shared" ref="DI18:DI24" si="105">SUM(DE18:DH18)</f>
        <v>-8.9449999999999932</v>
      </c>
      <c r="DJ18" s="125">
        <f>'Balance Sheet'!DI10-'Balance Sheet'!DJ10</f>
        <v>17</v>
      </c>
      <c r="DK18" s="125">
        <f>'Balance Sheet'!DJ10-'Balance Sheet'!DK10</f>
        <v>-10</v>
      </c>
      <c r="DL18" s="125">
        <f>'Balance Sheet'!DK10-'Balance Sheet'!DL10</f>
        <v>-6</v>
      </c>
      <c r="DM18" s="125">
        <f>'Balance Sheet'!DL10-'Balance Sheet'!DM10</f>
        <v>-71.642068743631</v>
      </c>
      <c r="DN18" s="300">
        <f t="shared" ref="DN18:DN24" si="106">SUM(DJ18:DM18)</f>
        <v>-70.642068743631</v>
      </c>
      <c r="DO18" s="125">
        <f>'Balance Sheet'!DN10-'Balance Sheet'!DO10</f>
        <v>40.790945516026852</v>
      </c>
      <c r="DP18" s="125">
        <f>'Balance Sheet'!DO10-'Balance Sheet'!DP10</f>
        <v>-18.877894114974538</v>
      </c>
      <c r="DQ18" s="125">
        <f>'Balance Sheet'!DP10-'Balance Sheet'!DQ10</f>
        <v>-12.563023795993615</v>
      </c>
      <c r="DR18" s="125">
        <f>'Balance Sheet'!DQ10-'Balance Sheet'!DR10</f>
        <v>-89.48261542895159</v>
      </c>
      <c r="DS18" s="300">
        <f t="shared" ref="DS18:DS24" si="107">SUM(DO18:DR18)</f>
        <v>-80.132587823892891</v>
      </c>
      <c r="DT18" s="125">
        <f>'Balance Sheet'!DS10-'Balance Sheet'!DT10</f>
        <v>59.547288986514218</v>
      </c>
      <c r="DU18" s="125">
        <f>'Balance Sheet'!DT10-'Balance Sheet'!DU10</f>
        <v>-22.528163923923046</v>
      </c>
      <c r="DV18" s="125">
        <f>'Balance Sheet'!DU10-'Balance Sheet'!DV10</f>
        <v>-14.796397756344959</v>
      </c>
      <c r="DW18" s="125">
        <f>'Balance Sheet'!DV10-'Balance Sheet'!DW10</f>
        <v>-107.99344565297804</v>
      </c>
      <c r="DX18" s="300">
        <f t="shared" ref="DX18:DX22" si="108">SUM(DT18:DW18)</f>
        <v>-85.770718346731826</v>
      </c>
      <c r="DY18" s="125">
        <f>'Balance Sheet'!DX10-'Balance Sheet'!DY10</f>
        <v>78.496311060419373</v>
      </c>
      <c r="DZ18" s="125">
        <f>'Balance Sheet'!DY10-'Balance Sheet'!DZ10</f>
        <v>-26.492213842915646</v>
      </c>
      <c r="EA18" s="125">
        <f>'Balance Sheet'!DZ10-'Balance Sheet'!EA10</f>
        <v>-17.22897077158467</v>
      </c>
      <c r="EB18" s="125">
        <f>'Balance Sheet'!EA10-'Balance Sheet'!EB10</f>
        <v>-128.17198745014076</v>
      </c>
      <c r="EC18" s="300">
        <f t="shared" ref="EC18:EC22" si="109">SUM(DY18:EB18)</f>
        <v>-93.396861004221705</v>
      </c>
      <c r="ED18" s="296"/>
    </row>
    <row r="19" spans="1:134" ht="12" customHeight="1" outlineLevel="1">
      <c r="A19" s="943"/>
      <c r="B19" s="943"/>
      <c r="C19" s="451" t="s">
        <v>282</v>
      </c>
      <c r="D19" s="495"/>
      <c r="E19" s="452"/>
      <c r="F19" s="452"/>
      <c r="G19" s="452"/>
      <c r="H19" s="452"/>
      <c r="I19" s="496"/>
      <c r="J19" s="179"/>
      <c r="K19" s="179"/>
      <c r="L19" s="179"/>
      <c r="M19" s="452"/>
      <c r="N19" s="179"/>
      <c r="O19" s="179"/>
      <c r="P19" s="179"/>
      <c r="Q19" s="179"/>
      <c r="R19" s="452"/>
      <c r="S19" s="179"/>
      <c r="T19" s="179"/>
      <c r="U19" s="179"/>
      <c r="V19" s="179"/>
      <c r="W19" s="452"/>
      <c r="X19" s="179"/>
      <c r="Y19" s="179"/>
      <c r="Z19" s="179"/>
      <c r="AA19" s="179"/>
      <c r="AB19" s="452"/>
      <c r="AC19" s="179"/>
      <c r="AD19" s="179"/>
      <c r="AE19" s="179"/>
      <c r="AF19" s="179"/>
      <c r="AG19" s="452"/>
      <c r="AH19" s="179"/>
      <c r="AI19" s="179"/>
      <c r="AJ19" s="179"/>
      <c r="AK19" s="179"/>
      <c r="AL19" s="452"/>
      <c r="AM19" s="179"/>
      <c r="AN19" s="179"/>
      <c r="AO19" s="179"/>
      <c r="AP19" s="179"/>
      <c r="AQ19" s="452"/>
      <c r="AR19" s="179"/>
      <c r="AS19" s="179"/>
      <c r="AT19" s="179"/>
      <c r="AU19" s="179"/>
      <c r="AV19" s="452"/>
      <c r="AW19" s="179"/>
      <c r="AX19" s="179"/>
      <c r="AY19" s="179"/>
      <c r="AZ19" s="179"/>
      <c r="BA19" s="452"/>
      <c r="BB19" s="179"/>
      <c r="BC19" s="179"/>
      <c r="BD19" s="179"/>
      <c r="BE19" s="179"/>
      <c r="BF19" s="369"/>
      <c r="BG19" s="484"/>
      <c r="BH19" s="484"/>
      <c r="BI19" s="484"/>
      <c r="BJ19" s="484"/>
      <c r="BK19" s="369"/>
      <c r="BL19" s="370"/>
      <c r="BM19" s="370"/>
      <c r="BN19" s="370"/>
      <c r="BO19" s="370"/>
      <c r="BP19" s="452"/>
      <c r="BQ19" s="370">
        <v>0</v>
      </c>
      <c r="BR19" s="370">
        <f>0-BQ19</f>
        <v>0</v>
      </c>
      <c r="BS19" s="282">
        <v>0</v>
      </c>
      <c r="BT19" s="282">
        <v>0</v>
      </c>
      <c r="BU19" s="300">
        <f t="shared" si="101"/>
        <v>0</v>
      </c>
      <c r="BV19" s="370">
        <v>0</v>
      </c>
      <c r="BW19" s="370">
        <f>-4.494-BV19</f>
        <v>-4.4939999999999998</v>
      </c>
      <c r="BX19" s="282">
        <f>-10.017-BW19-BV19</f>
        <v>-5.5229999999999997</v>
      </c>
      <c r="BY19" s="282">
        <f>-12.924-BX19-BW19-BV19</f>
        <v>-2.907</v>
      </c>
      <c r="BZ19" s="300">
        <f t="shared" si="102"/>
        <v>-12.923999999999999</v>
      </c>
      <c r="CA19" s="370">
        <v>-6.0330000000000004</v>
      </c>
      <c r="CB19" s="370">
        <f>-22.865-CA19</f>
        <v>-16.831999999999997</v>
      </c>
      <c r="CC19" s="282">
        <f>-40.853-CA19-CB19</f>
        <v>-17.988000000000003</v>
      </c>
      <c r="CD19" s="282">
        <f>-37.811-CC19-CB19-CA19</f>
        <v>3.0420000000000007</v>
      </c>
      <c r="CE19" s="300">
        <f t="shared" si="76"/>
        <v>-37.811</v>
      </c>
      <c r="CF19" s="370">
        <v>-18.009</v>
      </c>
      <c r="CG19" s="370">
        <f>-36.952-CF19</f>
        <v>-18.942999999999998</v>
      </c>
      <c r="CH19" s="282">
        <f>-57.46-CG19-CF19</f>
        <v>-20.508000000000003</v>
      </c>
      <c r="CI19" s="282">
        <f>-50.694-CH19-CG19-CF19</f>
        <v>6.7659999999999982</v>
      </c>
      <c r="CJ19" s="300">
        <f t="shared" si="77"/>
        <v>-50.694000000000003</v>
      </c>
      <c r="CK19" s="282">
        <v>-18.117000000000001</v>
      </c>
      <c r="CL19" s="282">
        <f>-31.222-CK19</f>
        <v>-13.105</v>
      </c>
      <c r="CM19" s="282">
        <f>-84.869-CL19-CK19</f>
        <v>-53.646999999999991</v>
      </c>
      <c r="CN19" s="282">
        <f>-74.211-CM19-CL19-CK19</f>
        <v>10.657999999999994</v>
      </c>
      <c r="CO19" s="300">
        <f t="shared" si="78"/>
        <v>-74.211000000000013</v>
      </c>
      <c r="CP19" s="282">
        <v>-46.478000000000002</v>
      </c>
      <c r="CQ19" s="282">
        <f>-22.349-CP19</f>
        <v>24.129000000000001</v>
      </c>
      <c r="CR19" s="282">
        <f>-112.447-CQ19-CP19</f>
        <v>-90.097999999999985</v>
      </c>
      <c r="CS19" s="282">
        <f>-112.721-CR19-CQ19-CP19</f>
        <v>-0.27400000000002223</v>
      </c>
      <c r="CT19" s="300">
        <f t="shared" si="79"/>
        <v>-112.721</v>
      </c>
      <c r="CU19" s="282">
        <v>-74.561000000000007</v>
      </c>
      <c r="CV19" s="282">
        <f>-188.083-CU19</f>
        <v>-113.52199999999999</v>
      </c>
      <c r="CW19" s="282">
        <f>-307.245-CV19-CU19</f>
        <v>-119.16200000000001</v>
      </c>
      <c r="CX19" s="282">
        <v>-266.077</v>
      </c>
      <c r="CY19" s="300">
        <f t="shared" si="103"/>
        <v>-573.322</v>
      </c>
      <c r="CZ19" s="282">
        <v>-27.283000000000001</v>
      </c>
      <c r="DA19" s="282">
        <f>-97.29-CZ19</f>
        <v>-70.007000000000005</v>
      </c>
      <c r="DB19" s="282">
        <f>-247.976-DA19-CZ19</f>
        <v>-150.68599999999998</v>
      </c>
      <c r="DC19" s="489">
        <f>-23.385-273.201-DB19-DA19-CZ19</f>
        <v>-48.610000000000028</v>
      </c>
      <c r="DD19" s="300">
        <f t="shared" si="104"/>
        <v>-296.58600000000001</v>
      </c>
      <c r="DE19" s="125">
        <f>'Balance Sheet'!DD11-'Balance Sheet'!DE11</f>
        <v>-48.885999999999967</v>
      </c>
      <c r="DF19" s="125">
        <f>+'Balance Sheet'!DE11-'Balance Sheet'!DF11</f>
        <v>-90</v>
      </c>
      <c r="DG19" s="125">
        <f>+'Balance Sheet'!DF11-'Balance Sheet'!DG11</f>
        <v>-114</v>
      </c>
      <c r="DH19" s="125">
        <f>+'Balance Sheet'!DG11-'Balance Sheet'!DH11</f>
        <v>17</v>
      </c>
      <c r="DI19" s="300">
        <f t="shared" si="105"/>
        <v>-235.88599999999997</v>
      </c>
      <c r="DJ19" s="125">
        <f>+'Balance Sheet'!DI11-'Balance Sheet'!DJ11</f>
        <v>1</v>
      </c>
      <c r="DK19" s="125">
        <f>+'Balance Sheet'!DJ11-'Balance Sheet'!DK11</f>
        <v>-103</v>
      </c>
      <c r="DL19" s="125">
        <f>+'Balance Sheet'!DK11-'Balance Sheet'!DL11</f>
        <v>-236</v>
      </c>
      <c r="DM19" s="125">
        <f>+'Balance Sheet'!DL11-'Balance Sheet'!DM11-DM12-DM32-DM31</f>
        <v>-151.40450817254805</v>
      </c>
      <c r="DN19" s="300">
        <f t="shared" si="106"/>
        <v>-489.40450817254805</v>
      </c>
      <c r="DO19" s="125">
        <f>+'Balance Sheet'!DN11-'Balance Sheet'!DO11-DO12-DO32-DO31</f>
        <v>68.034703656568581</v>
      </c>
      <c r="DP19" s="125">
        <f>+'Balance Sheet'!DO11-'Balance Sheet'!DP11-DP12-DP32-DP31</f>
        <v>-191.34127892088554</v>
      </c>
      <c r="DQ19" s="125">
        <f>+'Balance Sheet'!DP11-'Balance Sheet'!DQ11-DQ12-DQ32-DQ31</f>
        <v>-168.44762548404469</v>
      </c>
      <c r="DR19" s="125">
        <f>+'Balance Sheet'!DQ11-'Balance Sheet'!DR11-DR12-DR32-DR31</f>
        <v>-189.80427330625025</v>
      </c>
      <c r="DS19" s="300">
        <f t="shared" si="107"/>
        <v>-481.55847405461191</v>
      </c>
      <c r="DT19" s="125">
        <f>+'Balance Sheet'!DS11-'Balance Sheet'!DT11-DT12-DT32-DT31</f>
        <v>110.50631578134835</v>
      </c>
      <c r="DU19" s="125">
        <f>+'Balance Sheet'!DT11-'Balance Sheet'!DU11-DU12-DU32-DU31</f>
        <v>-227.67110685565535</v>
      </c>
      <c r="DV19" s="125">
        <f>+'Balance Sheet'!DU11-'Balance Sheet'!DV11-DV12-DV32-DV31</f>
        <v>-189.20329670254046</v>
      </c>
      <c r="DW19" s="125">
        <f>+'Balance Sheet'!DV11-'Balance Sheet'!DW11-DW12-DW32-DW31</f>
        <v>-227.00029817838913</v>
      </c>
      <c r="DX19" s="300">
        <f t="shared" ref="DX19" si="110">SUM(DT19:DW19)</f>
        <v>-533.36838595523659</v>
      </c>
      <c r="DY19" s="125">
        <f>+'Balance Sheet'!DX11-'Balance Sheet'!DY11-DY12-DY32-DY31</f>
        <v>146.8464193867901</v>
      </c>
      <c r="DZ19" s="125">
        <f>+'Balance Sheet'!DY11-'Balance Sheet'!DZ11-DZ12-DZ32-DZ31</f>
        <v>-269.05004300727046</v>
      </c>
      <c r="EA19" s="125">
        <f>+'Balance Sheet'!DZ11-'Balance Sheet'!EA11-EA12-EA32-EA31</f>
        <v>-205.6839165288909</v>
      </c>
      <c r="EB19" s="125">
        <f>+'Balance Sheet'!EA11-'Balance Sheet'!EB11-EB12-EB32-EB31</f>
        <v>-270.95622959370985</v>
      </c>
      <c r="EC19" s="300">
        <f t="shared" ref="EC19" si="111">SUM(DY19:EB19)</f>
        <v>-598.84376974308111</v>
      </c>
      <c r="ED19" s="296"/>
    </row>
    <row r="20" spans="1:134" ht="12" customHeight="1" outlineLevel="1">
      <c r="A20" s="943"/>
      <c r="B20" s="943"/>
      <c r="C20" s="451" t="s">
        <v>159</v>
      </c>
      <c r="D20" s="495"/>
      <c r="E20" s="452"/>
      <c r="F20" s="452"/>
      <c r="G20" s="452"/>
      <c r="H20" s="452"/>
      <c r="I20" s="496"/>
      <c r="J20" s="179"/>
      <c r="K20" s="179"/>
      <c r="L20" s="179"/>
      <c r="M20" s="452"/>
      <c r="N20" s="179"/>
      <c r="O20" s="179"/>
      <c r="P20" s="179"/>
      <c r="Q20" s="179"/>
      <c r="R20" s="452"/>
      <c r="S20" s="179"/>
      <c r="T20" s="179"/>
      <c r="U20" s="179"/>
      <c r="V20" s="179"/>
      <c r="W20" s="452"/>
      <c r="X20" s="179"/>
      <c r="Y20" s="179"/>
      <c r="Z20" s="179"/>
      <c r="AA20" s="179"/>
      <c r="AB20" s="452"/>
      <c r="AC20" s="179"/>
      <c r="AD20" s="179"/>
      <c r="AE20" s="179"/>
      <c r="AF20" s="179"/>
      <c r="AG20" s="452"/>
      <c r="AH20" s="179"/>
      <c r="AI20" s="179"/>
      <c r="AJ20" s="179"/>
      <c r="AK20" s="179"/>
      <c r="AL20" s="452"/>
      <c r="AM20" s="179"/>
      <c r="AN20" s="179"/>
      <c r="AO20" s="179"/>
      <c r="AP20" s="179"/>
      <c r="AQ20" s="452"/>
      <c r="AR20" s="179"/>
      <c r="AS20" s="179"/>
      <c r="AT20" s="179"/>
      <c r="AU20" s="179"/>
      <c r="AV20" s="452"/>
      <c r="AW20" s="179"/>
      <c r="AX20" s="179"/>
      <c r="AY20" s="179"/>
      <c r="AZ20" s="179"/>
      <c r="BA20" s="452"/>
      <c r="BB20" s="179"/>
      <c r="BC20" s="179"/>
      <c r="BD20" s="179"/>
      <c r="BE20" s="179"/>
      <c r="BF20" s="369"/>
      <c r="BG20" s="484"/>
      <c r="BH20" s="484"/>
      <c r="BI20" s="484"/>
      <c r="BJ20" s="484"/>
      <c r="BK20" s="369"/>
      <c r="BL20" s="370"/>
      <c r="BM20" s="370"/>
      <c r="BN20" s="370"/>
      <c r="BO20" s="370"/>
      <c r="BP20" s="452"/>
      <c r="BQ20" s="370">
        <v>3.1629999999999998</v>
      </c>
      <c r="BR20" s="370">
        <f>8.02-BQ20</f>
        <v>4.8569999999999993</v>
      </c>
      <c r="BS20" s="282">
        <f>4.534-BR20-BQ20</f>
        <v>-3.4859999999999993</v>
      </c>
      <c r="BT20" s="282">
        <f>11.097-SUM(BQ20:BS20)</f>
        <v>6.5629999999999988</v>
      </c>
      <c r="BU20" s="300">
        <f t="shared" si="101"/>
        <v>11.097</v>
      </c>
      <c r="BV20" s="370">
        <v>2.3010000000000002</v>
      </c>
      <c r="BW20" s="370">
        <f>8.02-BV20</f>
        <v>5.7189999999999994</v>
      </c>
      <c r="BX20" s="282">
        <f>16.416-BW20-BV20</f>
        <v>8.3960000000000008</v>
      </c>
      <c r="BY20" s="282">
        <f>19.813-BX20-BW20-BV20</f>
        <v>3.3969999999999985</v>
      </c>
      <c r="BZ20" s="300">
        <f t="shared" si="102"/>
        <v>19.812999999999999</v>
      </c>
      <c r="CA20" s="370">
        <v>8.8360000000000003</v>
      </c>
      <c r="CB20" s="370">
        <f>10.595-CA20</f>
        <v>1.7590000000000003</v>
      </c>
      <c r="CC20" s="282">
        <f>15.193-CB20-CA20</f>
        <v>4.597999999999999</v>
      </c>
      <c r="CD20" s="282">
        <f>15.428-CC20-CB20-CA20</f>
        <v>0.23500000000000121</v>
      </c>
      <c r="CE20" s="300">
        <f t="shared" si="76"/>
        <v>15.428000000000001</v>
      </c>
      <c r="CF20" s="370">
        <v>11.571</v>
      </c>
      <c r="CG20" s="370">
        <f>27.285-CF20</f>
        <v>15.714</v>
      </c>
      <c r="CH20" s="282">
        <f>44.203-CG20-CF20</f>
        <v>16.918000000000006</v>
      </c>
      <c r="CI20" s="282">
        <f>20.641-CH20-CG20-CF20</f>
        <v>-23.562000000000008</v>
      </c>
      <c r="CJ20" s="300">
        <f t="shared" si="77"/>
        <v>20.640999999999995</v>
      </c>
      <c r="CK20" s="282">
        <v>34.320999999999998</v>
      </c>
      <c r="CL20" s="282">
        <f>56.049-CK20</f>
        <v>21.728000000000002</v>
      </c>
      <c r="CM20" s="282">
        <f>53.666-CL20-CK20</f>
        <v>-2.3830000000000027</v>
      </c>
      <c r="CN20" s="282">
        <f>82.529-CM20-CL20-CK20</f>
        <v>28.863000000000007</v>
      </c>
      <c r="CO20" s="300">
        <f t="shared" si="78"/>
        <v>82.528999999999996</v>
      </c>
      <c r="CP20" s="282">
        <v>30.620999999999999</v>
      </c>
      <c r="CQ20" s="282">
        <f>61.659-CP20</f>
        <v>31.038</v>
      </c>
      <c r="CR20" s="282">
        <f>86.067-CQ20-CP20</f>
        <v>24.407999999999998</v>
      </c>
      <c r="CS20" s="282">
        <f>118.588-CR20-CQ20-CP20</f>
        <v>32.521000000000001</v>
      </c>
      <c r="CT20" s="300">
        <f t="shared" si="79"/>
        <v>118.58799999999999</v>
      </c>
      <c r="CU20" s="282">
        <v>39.756</v>
      </c>
      <c r="CV20" s="282">
        <f>-10.162-CU20</f>
        <v>-49.917999999999999</v>
      </c>
      <c r="CW20" s="282">
        <f>39.392-CV20-CU20</f>
        <v>49.554000000000002</v>
      </c>
      <c r="CX20" s="282">
        <v>138.17500000000001</v>
      </c>
      <c r="CY20" s="300">
        <f t="shared" si="103"/>
        <v>177.56700000000001</v>
      </c>
      <c r="CZ20" s="282">
        <v>-44.024000000000001</v>
      </c>
      <c r="DA20" s="282">
        <f>-39.095-CZ20</f>
        <v>4.929000000000002</v>
      </c>
      <c r="DB20" s="282">
        <f>96.947-DA20-CZ20</f>
        <v>136.042</v>
      </c>
      <c r="DC20" s="489">
        <f>36.541-DB20-DA20-CZ20</f>
        <v>-60.406000000000006</v>
      </c>
      <c r="DD20" s="300">
        <f t="shared" si="104"/>
        <v>36.540999999999997</v>
      </c>
      <c r="DE20" s="125">
        <f>'Balance Sheet'!DE25-'Balance Sheet'!DD25</f>
        <v>2.43100000000004</v>
      </c>
      <c r="DF20" s="125">
        <f>+'Balance Sheet'!DF25-'Balance Sheet'!DE25</f>
        <v>19</v>
      </c>
      <c r="DG20" s="125">
        <f>+'Balance Sheet'!DG25-'Balance Sheet'!DF25</f>
        <v>-21</v>
      </c>
      <c r="DH20" s="125">
        <f>+'Balance Sheet'!DH25-'Balance Sheet'!DG25</f>
        <v>46</v>
      </c>
      <c r="DI20" s="300">
        <f t="shared" si="105"/>
        <v>46.43100000000004</v>
      </c>
      <c r="DJ20" s="125">
        <f>+'Balance Sheet'!DJ25-'Balance Sheet'!DI25</f>
        <v>10</v>
      </c>
      <c r="DK20" s="125">
        <f>+'Balance Sheet'!DK25-'Balance Sheet'!DJ25</f>
        <v>-30</v>
      </c>
      <c r="DL20" s="125">
        <f>+'Balance Sheet'!DL25-'Balance Sheet'!DK25</f>
        <v>54</v>
      </c>
      <c r="DM20" s="125">
        <f>+'Balance Sheet'!DM25-'Balance Sheet'!DL25</f>
        <v>80.851010520010277</v>
      </c>
      <c r="DN20" s="300">
        <f t="shared" si="106"/>
        <v>114.85101052001028</v>
      </c>
      <c r="DO20" s="125">
        <f>+'Balance Sheet'!DO25-'Balance Sheet'!DN25</f>
        <v>31.498805359634048</v>
      </c>
      <c r="DP20" s="125">
        <f>+'Balance Sheet'!DP25-'Balance Sheet'!DO25</f>
        <v>16.306370081751197</v>
      </c>
      <c r="DQ20" s="125">
        <f>+'Balance Sheet'!DQ25-'Balance Sheet'!DP25</f>
        <v>33.897844240826544</v>
      </c>
      <c r="DR20" s="125">
        <f>+'Balance Sheet'!DR25-'Balance Sheet'!DQ25</f>
        <v>74.333504279605904</v>
      </c>
      <c r="DS20" s="300">
        <f t="shared" si="107"/>
        <v>156.03652396181769</v>
      </c>
      <c r="DT20" s="125">
        <f>+'Balance Sheet'!DT25-'Balance Sheet'!DS25</f>
        <v>7.3093433346696202</v>
      </c>
      <c r="DU20" s="125">
        <f>+'Balance Sheet'!DU25-'Balance Sheet'!DT25</f>
        <v>35.33459617378162</v>
      </c>
      <c r="DV20" s="125">
        <f>+'Balance Sheet'!DV25-'Balance Sheet'!DU25</f>
        <v>40.188835327275569</v>
      </c>
      <c r="DW20" s="125">
        <f>+'Balance Sheet'!DW25-'Balance Sheet'!DV25</f>
        <v>67.876914395863764</v>
      </c>
      <c r="DX20" s="300">
        <f t="shared" si="108"/>
        <v>150.70968923159057</v>
      </c>
      <c r="DY20" s="125">
        <f>+'Balance Sheet'!DY25-'Balance Sheet'!DX25</f>
        <v>-4.2612264340351658</v>
      </c>
      <c r="DZ20" s="125">
        <f>+'Balance Sheet'!DZ25-'Balance Sheet'!DY25</f>
        <v>40.76104954584855</v>
      </c>
      <c r="EA20" s="125">
        <f>+'Balance Sheet'!EA25-'Balance Sheet'!DZ25</f>
        <v>46.529171572849236</v>
      </c>
      <c r="EB20" s="125">
        <f>+'Balance Sheet'!EB25-'Balance Sheet'!EA25</f>
        <v>74.585786580044896</v>
      </c>
      <c r="EC20" s="300">
        <f t="shared" si="109"/>
        <v>157.61478126470752</v>
      </c>
      <c r="ED20" s="296"/>
    </row>
    <row r="21" spans="1:134" ht="12" customHeight="1" outlineLevel="1">
      <c r="A21" s="943"/>
      <c r="B21" s="943"/>
      <c r="C21" s="451" t="s">
        <v>255</v>
      </c>
      <c r="D21" s="495"/>
      <c r="E21" s="452"/>
      <c r="F21" s="452"/>
      <c r="G21" s="452"/>
      <c r="H21" s="452"/>
      <c r="I21" s="496"/>
      <c r="J21" s="179"/>
      <c r="K21" s="179"/>
      <c r="L21" s="179"/>
      <c r="M21" s="452"/>
      <c r="N21" s="179"/>
      <c r="O21" s="179"/>
      <c r="P21" s="179"/>
      <c r="Q21" s="179"/>
      <c r="R21" s="452"/>
      <c r="S21" s="179"/>
      <c r="T21" s="179"/>
      <c r="U21" s="179"/>
      <c r="V21" s="179"/>
      <c r="W21" s="452"/>
      <c r="X21" s="179"/>
      <c r="Y21" s="179"/>
      <c r="Z21" s="179"/>
      <c r="AA21" s="179"/>
      <c r="AB21" s="452"/>
      <c r="AC21" s="179"/>
      <c r="AD21" s="179"/>
      <c r="AE21" s="179"/>
      <c r="AF21" s="179"/>
      <c r="AG21" s="452"/>
      <c r="AH21" s="179"/>
      <c r="AI21" s="179"/>
      <c r="AJ21" s="179"/>
      <c r="AK21" s="179"/>
      <c r="AL21" s="452"/>
      <c r="AM21" s="179"/>
      <c r="AN21" s="179"/>
      <c r="AO21" s="179"/>
      <c r="AP21" s="179"/>
      <c r="AQ21" s="452"/>
      <c r="AR21" s="179"/>
      <c r="AS21" s="179"/>
      <c r="AT21" s="179"/>
      <c r="AU21" s="179"/>
      <c r="AV21" s="452"/>
      <c r="AW21" s="179"/>
      <c r="AX21" s="179"/>
      <c r="AY21" s="179"/>
      <c r="AZ21" s="179"/>
      <c r="BA21" s="452"/>
      <c r="BB21" s="179"/>
      <c r="BC21" s="179"/>
      <c r="BD21" s="179"/>
      <c r="BE21" s="179"/>
      <c r="BF21" s="369"/>
      <c r="BG21" s="484"/>
      <c r="BH21" s="484"/>
      <c r="BI21" s="484"/>
      <c r="BJ21" s="484"/>
      <c r="BK21" s="369"/>
      <c r="BL21" s="370"/>
      <c r="BM21" s="370"/>
      <c r="BN21" s="370"/>
      <c r="BO21" s="370"/>
      <c r="BP21" s="452"/>
      <c r="BQ21" s="497">
        <v>0</v>
      </c>
      <c r="BR21" s="497">
        <v>0</v>
      </c>
      <c r="BS21" s="465">
        <f>0-BR21-BQ21</f>
        <v>0</v>
      </c>
      <c r="BT21" s="465">
        <v>0</v>
      </c>
      <c r="BU21" s="331">
        <f t="shared" si="101"/>
        <v>0</v>
      </c>
      <c r="BV21" s="497">
        <v>0</v>
      </c>
      <c r="BW21" s="497">
        <v>0</v>
      </c>
      <c r="BX21" s="465">
        <f>0-BW21-BV21</f>
        <v>0</v>
      </c>
      <c r="BY21" s="465">
        <v>0</v>
      </c>
      <c r="BZ21" s="331">
        <f t="shared" si="102"/>
        <v>0</v>
      </c>
      <c r="CA21" s="497">
        <v>0</v>
      </c>
      <c r="CB21" s="497">
        <v>0</v>
      </c>
      <c r="CC21" s="465">
        <f>0-CB21-CA21</f>
        <v>0</v>
      </c>
      <c r="CD21" s="465">
        <v>0</v>
      </c>
      <c r="CE21" s="331">
        <f t="shared" si="76"/>
        <v>0</v>
      </c>
      <c r="CF21" s="497">
        <v>0</v>
      </c>
      <c r="CG21" s="497">
        <f>0-CF21</f>
        <v>0</v>
      </c>
      <c r="CH21" s="465">
        <f>0-CG21-CF21</f>
        <v>0</v>
      </c>
      <c r="CI21" s="465">
        <v>0</v>
      </c>
      <c r="CJ21" s="331">
        <f t="shared" si="77"/>
        <v>0</v>
      </c>
      <c r="CK21" s="465">
        <v>0</v>
      </c>
      <c r="CL21" s="465">
        <f>0-CK21</f>
        <v>0</v>
      </c>
      <c r="CM21" s="465">
        <f>61.485-CK21-CL21</f>
        <v>61.484999999999999</v>
      </c>
      <c r="CN21" s="465">
        <f>64.648-CM21-CL21-CK21</f>
        <v>3.1629999999999967</v>
      </c>
      <c r="CO21" s="331">
        <f t="shared" si="78"/>
        <v>64.647999999999996</v>
      </c>
      <c r="CP21" s="465">
        <v>-90.375</v>
      </c>
      <c r="CQ21" s="465">
        <f>-115.387-CP21</f>
        <v>-25.012</v>
      </c>
      <c r="CR21" s="465">
        <f>-139.936-CQ21-CP21</f>
        <v>-24.549000000000007</v>
      </c>
      <c r="CS21" s="465">
        <f>-105.89-CR21-CQ21-CP21</f>
        <v>34.046000000000006</v>
      </c>
      <c r="CT21" s="331">
        <f t="shared" si="79"/>
        <v>-105.89</v>
      </c>
      <c r="CU21" s="465">
        <v>9.5250000000000004</v>
      </c>
      <c r="CV21" s="465">
        <f>6.753-CU21</f>
        <v>-2.7720000000000002</v>
      </c>
      <c r="CW21" s="465">
        <f>13.593-CV21-CU21</f>
        <v>6.8400000000000016</v>
      </c>
      <c r="CX21" s="465">
        <v>45.262999999999998</v>
      </c>
      <c r="CY21" s="352">
        <f t="shared" si="103"/>
        <v>58.856000000000002</v>
      </c>
      <c r="CZ21" s="465">
        <v>-4.8979999999999997</v>
      </c>
      <c r="DA21" s="465">
        <f>-19.049-CZ21</f>
        <v>-14.151</v>
      </c>
      <c r="DB21" s="465">
        <f>-17.671-DA21-CZ21</f>
        <v>1.3780000000000001</v>
      </c>
      <c r="DC21" s="498">
        <f>-3.941-DB21-DA21-CZ21</f>
        <v>13.73</v>
      </c>
      <c r="DD21" s="352">
        <f t="shared" si="104"/>
        <v>-3.9409999999999989</v>
      </c>
      <c r="DE21" s="499">
        <f>+'Balance Sheet'!DD12+'Balance Sheet'!DD18+'Balance Sheet'!DE26+'Balance Sheet'!DE34-'Balance Sheet'!DE12-'Balance Sheet'!DE18-'Balance Sheet'!DD26-'Balance Sheet'!DD34</f>
        <v>-163.167</v>
      </c>
      <c r="DF21" s="499">
        <f>+'Balance Sheet'!DE12+'Balance Sheet'!DE18+'Balance Sheet'!DF26+'Balance Sheet'!DF34-'Balance Sheet'!DF12-'Balance Sheet'!DF18-'Balance Sheet'!DE26-'Balance Sheet'!DE34</f>
        <v>2</v>
      </c>
      <c r="DG21" s="499">
        <f>+'Balance Sheet'!DF12+'Balance Sheet'!DF18+'Balance Sheet'!DG26+'Balance Sheet'!DG34-'Balance Sheet'!DG12-'Balance Sheet'!DG18-'Balance Sheet'!DF26-'Balance Sheet'!DF34</f>
        <v>-15</v>
      </c>
      <c r="DH21" s="499">
        <f>+'Balance Sheet'!DG12+'Balance Sheet'!DG18+'Balance Sheet'!DH26+'Balance Sheet'!DH34-'Balance Sheet'!DH12-'Balance Sheet'!DH18-'Balance Sheet'!DG26-'Balance Sheet'!DG34</f>
        <v>158</v>
      </c>
      <c r="DI21" s="352">
        <f t="shared" si="105"/>
        <v>-18.167000000000002</v>
      </c>
      <c r="DJ21" s="499">
        <f>+'Balance Sheet'!DI12+'Balance Sheet'!DI18+'Balance Sheet'!DJ26+'Balance Sheet'!DJ34-'Balance Sheet'!DJ12-'Balance Sheet'!DJ18-'Balance Sheet'!DI26-'Balance Sheet'!DI34</f>
        <v>1</v>
      </c>
      <c r="DK21" s="499">
        <f>+'Balance Sheet'!DJ12+'Balance Sheet'!DJ18+'Balance Sheet'!DK26+'Balance Sheet'!DK34-'Balance Sheet'!DK12-'Balance Sheet'!DK18-'Balance Sheet'!DJ26-'Balance Sheet'!DJ34</f>
        <v>3</v>
      </c>
      <c r="DL21" s="499">
        <f>+'Balance Sheet'!DK12+'Balance Sheet'!DK18+'Balance Sheet'!DL26+'Balance Sheet'!DL34-'Balance Sheet'!DL12-'Balance Sheet'!DL18-'Balance Sheet'!DK26-'Balance Sheet'!DK34</f>
        <v>3</v>
      </c>
      <c r="DM21" s="499">
        <f>+'Balance Sheet'!DL12+'Balance Sheet'!DL18+'Balance Sheet'!DM26+'Balance Sheet'!DM34-'Balance Sheet'!DM12-'Balance Sheet'!DM18-'Balance Sheet'!DL26-'Balance Sheet'!DL34</f>
        <v>0</v>
      </c>
      <c r="DN21" s="352">
        <f t="shared" si="106"/>
        <v>7</v>
      </c>
      <c r="DO21" s="499">
        <f>+'Balance Sheet'!DN12+'Balance Sheet'!DN18+'Balance Sheet'!DO26+'Balance Sheet'!DO34-'Balance Sheet'!DO12-'Balance Sheet'!DO18-'Balance Sheet'!DN26-'Balance Sheet'!DN34</f>
        <v>0</v>
      </c>
      <c r="DP21" s="499">
        <f>+'Balance Sheet'!DO12+'Balance Sheet'!DO18+'Balance Sheet'!DP26+'Balance Sheet'!DP34-'Balance Sheet'!DP12-'Balance Sheet'!DP18-'Balance Sheet'!DO26-'Balance Sheet'!DO34</f>
        <v>0</v>
      </c>
      <c r="DQ21" s="499">
        <f>+'Balance Sheet'!DP12+'Balance Sheet'!DP18+'Balance Sheet'!DQ26+'Balance Sheet'!DQ34-'Balance Sheet'!DQ12-'Balance Sheet'!DQ18-'Balance Sheet'!DP26-'Balance Sheet'!DP34</f>
        <v>0</v>
      </c>
      <c r="DR21" s="499">
        <f>+'Balance Sheet'!DQ12+'Balance Sheet'!DQ18+'Balance Sheet'!DR26+'Balance Sheet'!DR34-'Balance Sheet'!DR12-'Balance Sheet'!DR18-'Balance Sheet'!DQ26-'Balance Sheet'!DQ34</f>
        <v>0</v>
      </c>
      <c r="DS21" s="352">
        <f t="shared" si="107"/>
        <v>0</v>
      </c>
      <c r="DT21" s="499">
        <f>+'Balance Sheet'!DS12+'Balance Sheet'!DS18+'Balance Sheet'!DT26+'Balance Sheet'!DT34-'Balance Sheet'!DT12-'Balance Sheet'!DT18-'Balance Sheet'!DS26-'Balance Sheet'!DS34</f>
        <v>0</v>
      </c>
      <c r="DU21" s="499">
        <f>+'Balance Sheet'!DT12+'Balance Sheet'!DT18+'Balance Sheet'!DU26+'Balance Sheet'!DU34-'Balance Sheet'!DU12-'Balance Sheet'!DU18-'Balance Sheet'!DT26-'Balance Sheet'!DT34</f>
        <v>0</v>
      </c>
      <c r="DV21" s="499">
        <f>+'Balance Sheet'!DU12+'Balance Sheet'!DU18+'Balance Sheet'!DV26+'Balance Sheet'!DV34-'Balance Sheet'!DV12-'Balance Sheet'!DV18-'Balance Sheet'!DU26-'Balance Sheet'!DU34</f>
        <v>0</v>
      </c>
      <c r="DW21" s="499">
        <f>+'Balance Sheet'!DV12+'Balance Sheet'!DV18+'Balance Sheet'!DW26+'Balance Sheet'!DW34-'Balance Sheet'!DW12-'Balance Sheet'!DW18-'Balance Sheet'!DV26-'Balance Sheet'!DV34</f>
        <v>0</v>
      </c>
      <c r="DX21" s="352">
        <f t="shared" si="108"/>
        <v>0</v>
      </c>
      <c r="DY21" s="499">
        <f>+'Balance Sheet'!DX12+'Balance Sheet'!DX18+'Balance Sheet'!DY26+'Balance Sheet'!DY34-'Balance Sheet'!DY12-'Balance Sheet'!DY18-'Balance Sheet'!DX26-'Balance Sheet'!DX34</f>
        <v>0</v>
      </c>
      <c r="DZ21" s="499">
        <f>+'Balance Sheet'!DY12+'Balance Sheet'!DY18+'Balance Sheet'!DZ26+'Balance Sheet'!DZ34-'Balance Sheet'!DZ12-'Balance Sheet'!DZ18-'Balance Sheet'!DY26-'Balance Sheet'!DY34</f>
        <v>0</v>
      </c>
      <c r="EA21" s="499">
        <f>+'Balance Sheet'!DZ12+'Balance Sheet'!DZ18+'Balance Sheet'!EA26+'Balance Sheet'!EA34-'Balance Sheet'!EA12-'Balance Sheet'!EA18-'Balance Sheet'!DZ26-'Balance Sheet'!DZ34</f>
        <v>0</v>
      </c>
      <c r="EB21" s="499">
        <f>+'Balance Sheet'!EA12+'Balance Sheet'!EA18+'Balance Sheet'!EB26+'Balance Sheet'!EB34-'Balance Sheet'!EB12-'Balance Sheet'!EB18-'Balance Sheet'!EA26-'Balance Sheet'!EA34</f>
        <v>0</v>
      </c>
      <c r="EC21" s="352">
        <f t="shared" si="109"/>
        <v>0</v>
      </c>
      <c r="ED21" s="296"/>
    </row>
    <row r="22" spans="1:134" ht="12" customHeight="1" outlineLevel="1">
      <c r="A22" s="943"/>
      <c r="B22" s="943"/>
      <c r="C22" s="451" t="s">
        <v>157</v>
      </c>
      <c r="D22" s="369"/>
      <c r="E22" s="369"/>
      <c r="F22" s="369"/>
      <c r="G22" s="369"/>
      <c r="H22" s="369"/>
      <c r="I22" s="370"/>
      <c r="J22" s="370"/>
      <c r="K22" s="370"/>
      <c r="L22" s="370"/>
      <c r="M22" s="452"/>
      <c r="N22" s="370"/>
      <c r="O22" s="370"/>
      <c r="P22" s="370"/>
      <c r="Q22" s="370"/>
      <c r="R22" s="452"/>
      <c r="S22" s="370"/>
      <c r="T22" s="370"/>
      <c r="U22" s="370"/>
      <c r="V22" s="370"/>
      <c r="W22" s="452"/>
      <c r="X22" s="370"/>
      <c r="Y22" s="370"/>
      <c r="Z22" s="370"/>
      <c r="AA22" s="370"/>
      <c r="AB22" s="452"/>
      <c r="AC22" s="370"/>
      <c r="AD22" s="370"/>
      <c r="AE22" s="370"/>
      <c r="AF22" s="370"/>
      <c r="AG22" s="452"/>
      <c r="AH22" s="370"/>
      <c r="AI22" s="370"/>
      <c r="AJ22" s="370"/>
      <c r="AK22" s="370"/>
      <c r="AL22" s="452"/>
      <c r="AM22" s="370"/>
      <c r="AN22" s="370"/>
      <c r="AO22" s="370"/>
      <c r="AP22" s="370"/>
      <c r="AQ22" s="452"/>
      <c r="AR22" s="370"/>
      <c r="AS22" s="370"/>
      <c r="AT22" s="370"/>
      <c r="AU22" s="370"/>
      <c r="AV22" s="452"/>
      <c r="AW22" s="370"/>
      <c r="AX22" s="370"/>
      <c r="AY22" s="370"/>
      <c r="AZ22" s="370"/>
      <c r="BA22" s="452"/>
      <c r="BB22" s="370"/>
      <c r="BC22" s="370"/>
      <c r="BD22" s="370"/>
      <c r="BE22" s="370"/>
      <c r="BF22" s="369"/>
      <c r="BG22" s="137"/>
      <c r="BH22" s="137"/>
      <c r="BI22" s="137"/>
      <c r="BJ22" s="137"/>
      <c r="BK22" s="369"/>
      <c r="BL22" s="370"/>
      <c r="BM22" s="370"/>
      <c r="BN22" s="370"/>
      <c r="BO22" s="370"/>
      <c r="BP22" s="452"/>
      <c r="BQ22" s="282">
        <f>3.966-SUM(BQ10:BQ21,BQ7)</f>
        <v>-0.40100000000000069</v>
      </c>
      <c r="BR22" s="282">
        <f>10.666-BQ24-SUM(BR10:BR21,BR7)</f>
        <v>-1.4819999999999975</v>
      </c>
      <c r="BS22" s="282">
        <f>10.799-BR24-BQ24-SUM(BS10:BS21,BS7)</f>
        <v>5.0809999999999924</v>
      </c>
      <c r="BT22" s="282">
        <f>15.756-BS24-BR24-BQ24-SUM(BT10:BT21,BT7)</f>
        <v>1.5</v>
      </c>
      <c r="BU22" s="300">
        <f t="shared" si="101"/>
        <v>4.6979999999999942</v>
      </c>
      <c r="BV22" s="282">
        <f>0.655-SUM(BV10:BV21,BV7)</f>
        <v>1.70999999999999</v>
      </c>
      <c r="BW22" s="282">
        <f>6.205-BV24-SUM(BW10:BW21,BW7)</f>
        <v>2.7260000000000053</v>
      </c>
      <c r="BX22" s="282">
        <f>7.302-BW24-BV24-SUM(BX10:BX21,BX7)</f>
        <v>-0.94999999999999685</v>
      </c>
      <c r="BY22" s="282">
        <f>14.017-BX24-BW24-BV24-SUM(BY10:BY21,BY7)</f>
        <v>4.0300000000000216</v>
      </c>
      <c r="BZ22" s="300">
        <f t="shared" si="102"/>
        <v>7.5160000000000204</v>
      </c>
      <c r="CA22" s="282">
        <f>3.999-SUM(CA10:CA21,CA7)</f>
        <v>1.4999999999984137E-2</v>
      </c>
      <c r="CB22" s="282">
        <f>-4.859-CA24-SUM(CB10:CB21,CB7)</f>
        <v>6.2859999999999943</v>
      </c>
      <c r="CC22" s="282">
        <f>-11.094-CB24-CA24-SUM(CC10:CC21,CC7)</f>
        <v>3.1949999999999932</v>
      </c>
      <c r="CD22" s="282">
        <f>7.901-CC24-CB24-CA24-SUM(CD10:CD21,CD7)</f>
        <v>0.27400000000003288</v>
      </c>
      <c r="CE22" s="300">
        <f t="shared" si="76"/>
        <v>9.7700000000000049</v>
      </c>
      <c r="CF22" s="282">
        <f>-1.875-SUM(CF10:CF21,CF7)</f>
        <v>1.6650000000000222</v>
      </c>
      <c r="CG22" s="282">
        <f>-2.797-CF24-SUM(CG10:CG21,CG7)</f>
        <v>-7.8999999999973536E-2</v>
      </c>
      <c r="CH22" s="282">
        <f>0.067-CG24-CF24-SUM(CH10:CH21,CH7)</f>
        <v>2.1160000000000148</v>
      </c>
      <c r="CI22" s="282">
        <f>9.324-CH24-CG24-CF24-SUM(CI10:CI21,CI7)</f>
        <v>2.9110000000000582</v>
      </c>
      <c r="CJ22" s="300">
        <f t="shared" si="77"/>
        <v>6.6130000000001221</v>
      </c>
      <c r="CK22" s="282">
        <f>24.344-SUM(CK10:CK21,CK7)</f>
        <v>2.0390000000000619</v>
      </c>
      <c r="CL22" s="282">
        <f>47.402-CK24-SUM(CL10:CL21,CL7)</f>
        <v>-2.79600000000001</v>
      </c>
      <c r="CM22" s="282">
        <f>17.727-CL24-CK24-SUM(CM10:CM21,CM7)</f>
        <v>4.8549999999999542</v>
      </c>
      <c r="CN22" s="282">
        <f>70.615-CM24-CL24-CK24-SUM(CN10:CN21,CN7)</f>
        <v>-38.83100000000006</v>
      </c>
      <c r="CO22" s="300">
        <f t="shared" si="78"/>
        <v>-34.733000000000054</v>
      </c>
      <c r="CP22" s="282">
        <f>-84.955-SUM(CP10:CP21,CP7)</f>
        <v>-8.7149999999999892</v>
      </c>
      <c r="CQ22" s="282">
        <f>90.235-CP24-SUM(CQ10:CQ21,CQ7)</f>
        <v>10.360999999999962</v>
      </c>
      <c r="CR22" s="282">
        <f>179.592-CQ24-CP24-SUM(CR10:CR21,CR7)</f>
        <v>16.615999999999985</v>
      </c>
      <c r="CS22" s="282">
        <f>424.958-CR24-CQ24-CP24-SUM(CS10:CS21,CS7)</f>
        <v>-8.6949999999999363</v>
      </c>
      <c r="CT22" s="300">
        <f t="shared" si="79"/>
        <v>9.5670000000000215</v>
      </c>
      <c r="CU22" s="282">
        <f>135.683-SUM(CU10:CU21,CU7)</f>
        <v>0.64499999999975444</v>
      </c>
      <c r="CV22" s="282">
        <f>202.104-CU24-SUM(CV10:CV21,CV7)</f>
        <v>3.4060000000004607</v>
      </c>
      <c r="CW22" s="282">
        <f>243.97-CV24-CU24-SUM(CW10:CW21,CW7)</f>
        <v>2.4569999999999368</v>
      </c>
      <c r="CX22" s="282">
        <f>504.428-CW24-CV24-CU24-SUM(CX10:CX21,CX7)</f>
        <v>272.02869999999962</v>
      </c>
      <c r="CY22" s="300">
        <f t="shared" si="103"/>
        <v>278.53669999999977</v>
      </c>
      <c r="CZ22" s="179">
        <f>+CZ24-SUM(CZ10:CZ17,CZ18:CZ21,CZ7)</f>
        <v>-22.079000000000484</v>
      </c>
      <c r="DA22" s="179">
        <f>+DA24-SUM(DA10:DA17,DA18:DA21,DA7)</f>
        <v>49.274000000000058</v>
      </c>
      <c r="DB22" s="179">
        <f>+DB24-SUM(DB10:DB17,DB18:DB21,DB7)</f>
        <v>-63.101000000000312</v>
      </c>
      <c r="DC22" s="179">
        <f>+DC24-SUM(DC10:DC17,DC18:DC21,DC7)</f>
        <v>379.74800000000027</v>
      </c>
      <c r="DD22" s="300">
        <f t="shared" si="104"/>
        <v>343.84199999999953</v>
      </c>
      <c r="DE22" s="125">
        <f>+DE23-SUM(DE18:DE21)</f>
        <v>316.56699999999989</v>
      </c>
      <c r="DF22" s="125">
        <f>+DF23-SUM(DF18:DF21)</f>
        <v>149</v>
      </c>
      <c r="DG22" s="125">
        <f>+DG23-SUM(DG18:DG21)</f>
        <v>109</v>
      </c>
      <c r="DH22" s="125">
        <f>+DH23-SUM(DH18:DH21)</f>
        <v>-163</v>
      </c>
      <c r="DI22" s="300">
        <f t="shared" si="105"/>
        <v>411.56699999999989</v>
      </c>
      <c r="DJ22" s="125">
        <f>+DJ23-SUM(DJ18:DJ21)</f>
        <v>-50</v>
      </c>
      <c r="DK22" s="125">
        <f>+DK23-SUM(DK18:DK21)</f>
        <v>68</v>
      </c>
      <c r="DL22" s="125">
        <f>+DL23-SUM(DL18:DL21)</f>
        <v>139</v>
      </c>
      <c r="DM22" s="125">
        <f>('Balance Sheet'!DM27-'Balance Sheet'!DL27)+('Balance Sheet'!DM31-'Balance Sheet'!DL31)+'Balance Sheet'!DL13-'Balance Sheet'!DM13</f>
        <v>102.65223840634755</v>
      </c>
      <c r="DN22" s="300">
        <f t="shared" si="106"/>
        <v>259.65223840634758</v>
      </c>
      <c r="DO22" s="125">
        <f>('Balance Sheet'!DO27-'Balance Sheet'!DN27)+('Balance Sheet'!DO31-'Balance Sheet'!DN31)+'Balance Sheet'!DN13-'Balance Sheet'!DO13</f>
        <v>54.745995924535805</v>
      </c>
      <c r="DP22" s="125">
        <f>('Balance Sheet'!DP27-'Balance Sheet'!DO27)+('Balance Sheet'!DP31-'Balance Sheet'!DO31)+'Balance Sheet'!DO13-'Balance Sheet'!DP13</f>
        <v>-26.920421506410094</v>
      </c>
      <c r="DQ22" s="125">
        <f>('Balance Sheet'!DQ27-'Balance Sheet'!DP27)+('Balance Sheet'!DQ31-'Balance Sheet'!DP31)+'Balance Sheet'!DP13-'Balance Sheet'!DQ13</f>
        <v>-52.430012397536615</v>
      </c>
      <c r="DR22" s="125">
        <f>('Balance Sheet'!DR27-'Balance Sheet'!DQ27)+('Balance Sheet'!DR31-'Balance Sheet'!DQ31)+'Balance Sheet'!DQ13-'Balance Sheet'!DR13</f>
        <v>135.19190815413498</v>
      </c>
      <c r="DS22" s="300">
        <f t="shared" si="107"/>
        <v>110.58747017472407</v>
      </c>
      <c r="DT22" s="125">
        <f>('Balance Sheet'!DT27-'Balance Sheet'!DS27)+('Balance Sheet'!DT31-'Balance Sheet'!DS31)+'Balance Sheet'!DS13-'Balance Sheet'!DT13</f>
        <v>21.977898006763297</v>
      </c>
      <c r="DU22" s="125">
        <f>('Balance Sheet'!DU27-'Balance Sheet'!DT27)+('Balance Sheet'!DU31-'Balance Sheet'!DT31)+'Balance Sheet'!DT13-'Balance Sheet'!DU13</f>
        <v>-32.291274106181049</v>
      </c>
      <c r="DV22" s="125">
        <f>('Balance Sheet'!DV27-'Balance Sheet'!DU27)+('Balance Sheet'!DV31-'Balance Sheet'!DU31)+'Balance Sheet'!DU13-'Balance Sheet'!DV13</f>
        <v>-62.95650313834571</v>
      </c>
      <c r="DW22" s="125">
        <f>('Balance Sheet'!DW27-'Balance Sheet'!DV27)+('Balance Sheet'!DW31-'Balance Sheet'!DV31)+'Balance Sheet'!DV13-'Balance Sheet'!DW13</f>
        <v>162.70014823395587</v>
      </c>
      <c r="DX22" s="300">
        <f t="shared" si="108"/>
        <v>89.43026899619241</v>
      </c>
      <c r="DY22" s="125">
        <f>('Balance Sheet'!DY27-'Balance Sheet'!DX27)+('Balance Sheet'!DY31-'Balance Sheet'!DX31)+'Balance Sheet'!DX13-'Balance Sheet'!DY13</f>
        <v>17.271328087924473</v>
      </c>
      <c r="DZ22" s="125">
        <f>('Balance Sheet'!DZ27-'Balance Sheet'!DY27)+('Balance Sheet'!DZ31-'Balance Sheet'!DY31)+'Balance Sheet'!DY13-'Balance Sheet'!DZ13</f>
        <v>-38.149873454796932</v>
      </c>
      <c r="EA22" s="125">
        <f>('Balance Sheet'!EA27-'Balance Sheet'!DZ27)+('Balance Sheet'!EA31-'Balance Sheet'!DZ31)+'Balance Sheet'!DZ13-'Balance Sheet'!EA13</f>
        <v>-74.414014099222982</v>
      </c>
      <c r="EB22" s="125">
        <f>('Balance Sheet'!EB27-'Balance Sheet'!EA27)+('Balance Sheet'!EB31-'Balance Sheet'!EA31)+'Balance Sheet'!EA13-'Balance Sheet'!EB13</f>
        <v>192.67435320649719</v>
      </c>
      <c r="EC22" s="300">
        <f t="shared" si="109"/>
        <v>97.381793740401747</v>
      </c>
      <c r="ED22" s="338"/>
    </row>
    <row r="23" spans="1:134" ht="12" customHeight="1">
      <c r="A23" s="943"/>
      <c r="B23" s="943"/>
      <c r="C23" s="500" t="s">
        <v>354</v>
      </c>
      <c r="D23" s="501"/>
      <c r="E23" s="501"/>
      <c r="F23" s="501"/>
      <c r="G23" s="501"/>
      <c r="H23" s="501"/>
      <c r="I23" s="502"/>
      <c r="J23" s="502"/>
      <c r="K23" s="502"/>
      <c r="L23" s="502"/>
      <c r="M23" s="503"/>
      <c r="N23" s="502"/>
      <c r="O23" s="502"/>
      <c r="P23" s="502"/>
      <c r="Q23" s="502"/>
      <c r="R23" s="503"/>
      <c r="S23" s="502"/>
      <c r="T23" s="502"/>
      <c r="U23" s="502"/>
      <c r="V23" s="502"/>
      <c r="W23" s="503"/>
      <c r="X23" s="502"/>
      <c r="Y23" s="502"/>
      <c r="Z23" s="502"/>
      <c r="AA23" s="502"/>
      <c r="AB23" s="503"/>
      <c r="AC23" s="502"/>
      <c r="AD23" s="502"/>
      <c r="AE23" s="502"/>
      <c r="AF23" s="502"/>
      <c r="AG23" s="503"/>
      <c r="AH23" s="502"/>
      <c r="AI23" s="502"/>
      <c r="AJ23" s="502"/>
      <c r="AK23" s="502"/>
      <c r="AL23" s="503"/>
      <c r="AM23" s="502"/>
      <c r="AN23" s="502"/>
      <c r="AO23" s="502"/>
      <c r="AP23" s="502"/>
      <c r="AQ23" s="503"/>
      <c r="AR23" s="502"/>
      <c r="AS23" s="502"/>
      <c r="AT23" s="502"/>
      <c r="AU23" s="502"/>
      <c r="AV23" s="503"/>
      <c r="AW23" s="502"/>
      <c r="AX23" s="502"/>
      <c r="AY23" s="502"/>
      <c r="AZ23" s="502"/>
      <c r="BA23" s="503"/>
      <c r="BB23" s="502"/>
      <c r="BC23" s="502"/>
      <c r="BD23" s="502"/>
      <c r="BE23" s="502"/>
      <c r="BF23" s="501"/>
      <c r="BG23" s="504"/>
      <c r="BH23" s="504"/>
      <c r="BI23" s="504"/>
      <c r="BJ23" s="504"/>
      <c r="BK23" s="501"/>
      <c r="BL23" s="502"/>
      <c r="BM23" s="502"/>
      <c r="BN23" s="502"/>
      <c r="BO23" s="502"/>
      <c r="BP23" s="503"/>
      <c r="BQ23" s="329">
        <f t="shared" ref="BQ23:BZ23" si="112">+SUM(BQ18:BQ22)</f>
        <v>4.2999999999999989</v>
      </c>
      <c r="BR23" s="329">
        <f t="shared" si="112"/>
        <v>5.5530000000000017</v>
      </c>
      <c r="BS23" s="329">
        <f t="shared" si="112"/>
        <v>1.3419999999999934</v>
      </c>
      <c r="BT23" s="329">
        <f t="shared" si="112"/>
        <v>5.7759999999999989</v>
      </c>
      <c r="BU23" s="317">
        <f t="shared" si="112"/>
        <v>16.970999999999993</v>
      </c>
      <c r="BV23" s="329">
        <f t="shared" si="112"/>
        <v>3.9579999999999904</v>
      </c>
      <c r="BW23" s="329">
        <f t="shared" si="112"/>
        <v>5.7830000000000048</v>
      </c>
      <c r="BX23" s="329">
        <f t="shared" si="112"/>
        <v>-0.54399999999999538</v>
      </c>
      <c r="BY23" s="329">
        <f t="shared" si="112"/>
        <v>2.8520000000000199</v>
      </c>
      <c r="BZ23" s="317">
        <f t="shared" si="112"/>
        <v>12.049000000000021</v>
      </c>
      <c r="CA23" s="329">
        <f t="shared" ref="CA23:DD23" si="113">+SUM(CA18:CA22)</f>
        <v>3.3749999999999845</v>
      </c>
      <c r="CB23" s="329">
        <f t="shared" si="113"/>
        <v>-12.322000000000003</v>
      </c>
      <c r="CC23" s="329">
        <f t="shared" si="113"/>
        <v>-15.918000000000013</v>
      </c>
      <c r="CD23" s="329">
        <f t="shared" si="113"/>
        <v>-0.7849999999999655</v>
      </c>
      <c r="CE23" s="317">
        <f t="shared" si="113"/>
        <v>-25.65</v>
      </c>
      <c r="CF23" s="329">
        <f t="shared" si="113"/>
        <v>-12.93399999999998</v>
      </c>
      <c r="CG23" s="329">
        <f t="shared" si="113"/>
        <v>-11.572999999999972</v>
      </c>
      <c r="CH23" s="329">
        <f t="shared" si="113"/>
        <v>-7.5719999999999841</v>
      </c>
      <c r="CI23" s="329">
        <f t="shared" si="113"/>
        <v>-24.009999999999955</v>
      </c>
      <c r="CJ23" s="317">
        <f t="shared" si="113"/>
        <v>-56.088999999999892</v>
      </c>
      <c r="CK23" s="329">
        <f t="shared" si="113"/>
        <v>7.6920000000000606</v>
      </c>
      <c r="CL23" s="329">
        <f t="shared" si="113"/>
        <v>-4.1620000000000097</v>
      </c>
      <c r="CM23" s="329">
        <f t="shared" si="113"/>
        <v>5.6969999999999601</v>
      </c>
      <c r="CN23" s="329">
        <f t="shared" si="113"/>
        <v>-27.175000000000061</v>
      </c>
      <c r="CO23" s="317">
        <f t="shared" si="113"/>
        <v>-17.948000000000057</v>
      </c>
      <c r="CP23" s="329">
        <f t="shared" si="113"/>
        <v>-117.32499999999999</v>
      </c>
      <c r="CQ23" s="329">
        <f t="shared" si="113"/>
        <v>23.913999999999959</v>
      </c>
      <c r="CR23" s="329">
        <f t="shared" si="113"/>
        <v>-75.696000000000012</v>
      </c>
      <c r="CS23" s="329">
        <f t="shared" si="113"/>
        <v>77.531000000000049</v>
      </c>
      <c r="CT23" s="317">
        <f t="shared" si="113"/>
        <v>-91.575999999999993</v>
      </c>
      <c r="CU23" s="329">
        <f t="shared" si="113"/>
        <v>-63.698000000000249</v>
      </c>
      <c r="CV23" s="329">
        <f t="shared" si="113"/>
        <v>-151.14899999999952</v>
      </c>
      <c r="CW23" s="329">
        <f t="shared" si="113"/>
        <v>-63.172000000000068</v>
      </c>
      <c r="CX23" s="329">
        <f t="shared" si="113"/>
        <v>117.08969999999962</v>
      </c>
      <c r="CY23" s="317">
        <f t="shared" si="113"/>
        <v>-160.92930000000024</v>
      </c>
      <c r="CZ23" s="329">
        <f t="shared" si="113"/>
        <v>-129.57500000000047</v>
      </c>
      <c r="DA23" s="329">
        <f t="shared" si="113"/>
        <v>-54.320999999999941</v>
      </c>
      <c r="DB23" s="329">
        <f t="shared" si="113"/>
        <v>-96.098000000000283</v>
      </c>
      <c r="DC23" s="329">
        <f t="shared" si="113"/>
        <v>255.32700000000028</v>
      </c>
      <c r="DD23" s="317">
        <f t="shared" si="113"/>
        <v>-24.667000000000485</v>
      </c>
      <c r="DE23" s="505">
        <v>104</v>
      </c>
      <c r="DF23" s="505">
        <v>94</v>
      </c>
      <c r="DG23" s="505">
        <v>-27</v>
      </c>
      <c r="DH23" s="506">
        <v>24</v>
      </c>
      <c r="DI23" s="317">
        <f>+SUM(DI18:DI22)</f>
        <v>194.99999999999997</v>
      </c>
      <c r="DJ23" s="506">
        <v>-21</v>
      </c>
      <c r="DK23" s="506">
        <v>-72</v>
      </c>
      <c r="DL23" s="506">
        <v>-46</v>
      </c>
      <c r="DM23" s="329">
        <f t="shared" ref="DM23" si="114">+SUM(DM18:DM22)</f>
        <v>-39.543327989821222</v>
      </c>
      <c r="DN23" s="317">
        <f>+SUM(DN18:DN22)</f>
        <v>-178.54332798982114</v>
      </c>
      <c r="DO23" s="329">
        <f>+SUM(DO18:DO22)</f>
        <v>195.07045045676529</v>
      </c>
      <c r="DP23" s="329">
        <f t="shared" ref="DP23" si="115">+SUM(DP18:DP22)</f>
        <v>-220.83322446051898</v>
      </c>
      <c r="DQ23" s="329">
        <f t="shared" ref="DQ23" si="116">+SUM(DQ18:DQ22)</f>
        <v>-199.54281743674838</v>
      </c>
      <c r="DR23" s="329">
        <f t="shared" ref="DR23" si="117">+SUM(DR18:DR22)</f>
        <v>-69.761476301460959</v>
      </c>
      <c r="DS23" s="317">
        <f>+SUM(DS18:DS22)</f>
        <v>-295.067067741963</v>
      </c>
      <c r="DT23" s="329">
        <f>+SUM(DT18:DT22)</f>
        <v>199.34084610929548</v>
      </c>
      <c r="DU23" s="329">
        <f t="shared" ref="DU23:DW23" si="118">+SUM(DU18:DU22)</f>
        <v>-247.15594871197783</v>
      </c>
      <c r="DV23" s="329">
        <f t="shared" si="118"/>
        <v>-226.76736226995556</v>
      </c>
      <c r="DW23" s="329">
        <f t="shared" si="118"/>
        <v>-104.41668120154753</v>
      </c>
      <c r="DX23" s="317">
        <f>+SUM(DX18:DX22)</f>
        <v>-378.99914607418549</v>
      </c>
      <c r="DY23" s="329">
        <f>+SUM(DY18:DY22)</f>
        <v>238.35283210109878</v>
      </c>
      <c r="DZ23" s="329">
        <f t="shared" ref="DZ23:EB23" si="119">+SUM(DZ18:DZ22)</f>
        <v>-292.93108075913449</v>
      </c>
      <c r="EA23" s="329">
        <f t="shared" si="119"/>
        <v>-250.79772982684932</v>
      </c>
      <c r="EB23" s="329">
        <f t="shared" si="119"/>
        <v>-131.86807725730853</v>
      </c>
      <c r="EC23" s="317">
        <f>+SUM(EC18:EC22)</f>
        <v>-437.24405574219355</v>
      </c>
      <c r="ED23" s="338"/>
    </row>
    <row r="24" spans="1:134" ht="12" customHeight="1">
      <c r="A24" s="943" t="s">
        <v>445</v>
      </c>
      <c r="B24" s="943"/>
      <c r="C24" s="507" t="s">
        <v>44</v>
      </c>
      <c r="D24" s="508"/>
      <c r="E24" s="508"/>
      <c r="F24" s="508"/>
      <c r="G24" s="508"/>
      <c r="H24" s="508"/>
      <c r="I24" s="509"/>
      <c r="J24" s="509"/>
      <c r="K24" s="509"/>
      <c r="L24" s="509"/>
      <c r="M24" s="508"/>
      <c r="N24" s="509"/>
      <c r="O24" s="509"/>
      <c r="P24" s="509"/>
      <c r="Q24" s="509"/>
      <c r="R24" s="508"/>
      <c r="S24" s="509"/>
      <c r="T24" s="509"/>
      <c r="U24" s="509"/>
      <c r="V24" s="509"/>
      <c r="W24" s="508"/>
      <c r="X24" s="509"/>
      <c r="Y24" s="509"/>
      <c r="Z24" s="509"/>
      <c r="AA24" s="509"/>
      <c r="AB24" s="508"/>
      <c r="AC24" s="509"/>
      <c r="AD24" s="509"/>
      <c r="AE24" s="509"/>
      <c r="AF24" s="509"/>
      <c r="AG24" s="508"/>
      <c r="AH24" s="509"/>
      <c r="AI24" s="509"/>
      <c r="AJ24" s="509"/>
      <c r="AK24" s="509"/>
      <c r="AL24" s="508"/>
      <c r="AM24" s="509"/>
      <c r="AN24" s="509"/>
      <c r="AO24" s="509"/>
      <c r="AP24" s="509"/>
      <c r="AQ24" s="508"/>
      <c r="AR24" s="509"/>
      <c r="AS24" s="509"/>
      <c r="AT24" s="509"/>
      <c r="AU24" s="509"/>
      <c r="AV24" s="508"/>
      <c r="AW24" s="509"/>
      <c r="AX24" s="509"/>
      <c r="AY24" s="509"/>
      <c r="AZ24" s="509"/>
      <c r="BA24" s="508"/>
      <c r="BB24" s="509"/>
      <c r="BC24" s="509"/>
      <c r="BD24" s="509"/>
      <c r="BE24" s="509"/>
      <c r="BF24" s="508"/>
      <c r="BG24" s="509"/>
      <c r="BH24" s="509"/>
      <c r="BI24" s="509"/>
      <c r="BJ24" s="509"/>
      <c r="BK24" s="508"/>
      <c r="BL24" s="509"/>
      <c r="BM24" s="509"/>
      <c r="BN24" s="509"/>
      <c r="BO24" s="509"/>
      <c r="BP24" s="508"/>
      <c r="BQ24" s="294">
        <f>+SUM(BQ7,BQ10:BQ17,BQ18:BQ22)</f>
        <v>3.9659999999999993</v>
      </c>
      <c r="BR24" s="294">
        <f>+SUM(BR7,BR10:BR17,BR18:BR22)</f>
        <v>6.7000000000000046</v>
      </c>
      <c r="BS24" s="294">
        <f>+SUM(BS7,BS10:BS17,BS18:BS22)</f>
        <v>0.13299999999999557</v>
      </c>
      <c r="BT24" s="294">
        <f>+SUM(BT7,BT10:BT17,BT18:BT22)</f>
        <v>4.9570000000000007</v>
      </c>
      <c r="BU24" s="295">
        <f t="shared" ref="BU24" si="120">SUM(BQ24:BT24)</f>
        <v>15.756</v>
      </c>
      <c r="BV24" s="294">
        <f>+SUM(BV7,BV10:BV17,BV18:BV22)</f>
        <v>0.65500000000000047</v>
      </c>
      <c r="BW24" s="294">
        <f>+SUM(BW7,BW10:BW17,BW18:BW22)</f>
        <v>5.5499999999999989</v>
      </c>
      <c r="BX24" s="294">
        <f>+SUM(BX7,BX10:BX17,BX18:BX22)</f>
        <v>1.0970000000000002</v>
      </c>
      <c r="BY24" s="294">
        <f>+SUM(BY7,BY10:BY17,BY18:BY22)</f>
        <v>6.7150000000000016</v>
      </c>
      <c r="BZ24" s="295">
        <f t="shared" ref="BZ24" si="121">SUM(BV24:BY24)</f>
        <v>14.017000000000001</v>
      </c>
      <c r="CA24" s="294">
        <f>+SUM(CA7,CA10:CA17,CA18:CA22)</f>
        <v>3.9989999999999992</v>
      </c>
      <c r="CB24" s="294">
        <f>+SUM(CB7,CB10:CB17,CB18:CB22)</f>
        <v>-8.8580000000000005</v>
      </c>
      <c r="CC24" s="294">
        <f>+SUM(CC7,CC10:CC17,CC18:CC22)</f>
        <v>-6.2349999999999977</v>
      </c>
      <c r="CD24" s="294">
        <f>+SUM(CD7,CD10:CD17,CD18:CD22)</f>
        <v>18.995000000000001</v>
      </c>
      <c r="CE24" s="295">
        <f t="shared" ref="CE24" si="122">SUM(CA24:CD24)</f>
        <v>7.9010000000000016</v>
      </c>
      <c r="CF24" s="294">
        <f>+SUM(CF7,CF10:CF17,CF18:CF22)</f>
        <v>-1.8750000000000018</v>
      </c>
      <c r="CG24" s="294">
        <f>+SUM(CG7,CG10:CG17,CG18:CG22)</f>
        <v>-0.92199999999999305</v>
      </c>
      <c r="CH24" s="294">
        <f>+SUM(CH7,CH10:CH17,CH18:CH22)</f>
        <v>2.8639999999999946</v>
      </c>
      <c r="CI24" s="294">
        <f>+SUM(CI7,CI10:CI17,CI18:CI22)</f>
        <v>9.2569999999999943</v>
      </c>
      <c r="CJ24" s="295">
        <f t="shared" ref="CJ24" si="123">SUM(CF24:CI24)</f>
        <v>9.3239999999999945</v>
      </c>
      <c r="CK24" s="294">
        <f>+SUM(CK7,CK10:CK17,CK18:CK22)</f>
        <v>24.344000000000012</v>
      </c>
      <c r="CL24" s="294">
        <f>+SUM(CL7,CL10:CL17,CL18:CL22)</f>
        <v>23.057999999999986</v>
      </c>
      <c r="CM24" s="294">
        <f>+SUM(CM7,CM10:CM17,CM18:CM22)</f>
        <v>-29.675000000000004</v>
      </c>
      <c r="CN24" s="294">
        <f>+SUM(CN7,CN10:CN17,CN18:CN22)</f>
        <v>52.888000000000005</v>
      </c>
      <c r="CO24" s="295">
        <f t="shared" ref="CO24" si="124">SUM(CK24:CN24)</f>
        <v>70.615000000000009</v>
      </c>
      <c r="CP24" s="294">
        <f>+SUM(CP7,CP10:CP17,CP18:CP22)</f>
        <v>-84.954999999999998</v>
      </c>
      <c r="CQ24" s="294">
        <f>+SUM(CQ7,CQ10:CQ17,CQ18:CQ22)</f>
        <v>175.19</v>
      </c>
      <c r="CR24" s="294">
        <f>+SUM(CR7,CR10:CR17,CR18:CR22)</f>
        <v>89.357000000000014</v>
      </c>
      <c r="CS24" s="294">
        <f>+SUM(CS7,CS10:CS17,CS18:CS22)</f>
        <v>245.36599999999993</v>
      </c>
      <c r="CT24" s="295">
        <f t="shared" ref="CT24" si="125">SUM(CP24:CS24)</f>
        <v>424.95799999999997</v>
      </c>
      <c r="CU24" s="294">
        <f>+SUM(CU7,CU10:CU17,CU18:CU22)</f>
        <v>135.68299999999957</v>
      </c>
      <c r="CV24" s="294">
        <f>+SUM(CV7,CV10:CV17,CV18:CV22)</f>
        <v>66.42100000000039</v>
      </c>
      <c r="CW24" s="294">
        <f>+SUM(CW7,CW10:CW17,CW18:CW22)</f>
        <v>41.866000000000142</v>
      </c>
      <c r="CX24" s="294">
        <f>+SUM(CX7,CX10:CX17,CX18:CX22)</f>
        <v>260.45799999999986</v>
      </c>
      <c r="CY24" s="295">
        <f t="shared" si="103"/>
        <v>504.42799999999994</v>
      </c>
      <c r="CZ24" s="510">
        <v>-53.561</v>
      </c>
      <c r="DA24" s="510">
        <f>-177.727-CZ24</f>
        <v>-124.166</v>
      </c>
      <c r="DB24" s="510">
        <f>-391.833-DA24-CZ24</f>
        <v>-214.10600000000002</v>
      </c>
      <c r="DC24" s="510">
        <f>-136.448-DB24-DA24-CZ24</f>
        <v>255.38500000000002</v>
      </c>
      <c r="DD24" s="295">
        <f t="shared" si="104"/>
        <v>-136.44800000000001</v>
      </c>
      <c r="DE24" s="510">
        <v>100</v>
      </c>
      <c r="DF24" s="510">
        <v>118</v>
      </c>
      <c r="DG24" s="510">
        <v>278</v>
      </c>
      <c r="DH24" s="510">
        <v>448</v>
      </c>
      <c r="DI24" s="295">
        <f t="shared" si="105"/>
        <v>944</v>
      </c>
      <c r="DJ24" s="510">
        <v>238</v>
      </c>
      <c r="DK24" s="510">
        <v>340</v>
      </c>
      <c r="DL24" s="510">
        <v>423</v>
      </c>
      <c r="DM24" s="294">
        <f>+SUM(DM7,DM10:DM17,DM18:DM22)</f>
        <v>527.96974049629796</v>
      </c>
      <c r="DN24" s="295">
        <f t="shared" si="106"/>
        <v>1528.9697404962981</v>
      </c>
      <c r="DO24" s="294">
        <f>+SUM(DO7,DO10:DO17,DO18:DO22)</f>
        <v>553.03854800862666</v>
      </c>
      <c r="DP24" s="294">
        <f>+SUM(DP7,DP10:DP17,DP18:DP22)</f>
        <v>275.57813862865885</v>
      </c>
      <c r="DQ24" s="294">
        <f>+SUM(DQ7,DQ10:DQ17,DQ18:DQ22)</f>
        <v>361.03620931796547</v>
      </c>
      <c r="DR24" s="294">
        <f>+SUM(DR7,DR10:DR17,DR18:DR22)</f>
        <v>657.91018597369612</v>
      </c>
      <c r="DS24" s="295">
        <f t="shared" si="107"/>
        <v>1847.5630819289472</v>
      </c>
      <c r="DT24" s="294">
        <f>+SUM(DT7,DT10:DT17,DT18:DT22)</f>
        <v>639.48155997154618</v>
      </c>
      <c r="DU24" s="294">
        <f>+SUM(DU7,DU10:DU17,DU18:DU22)</f>
        <v>359.8062353577335</v>
      </c>
      <c r="DV24" s="294">
        <f>+SUM(DV7,DV10:DV17,DV18:DV22)</f>
        <v>458.17469400960101</v>
      </c>
      <c r="DW24" s="294">
        <f>+SUM(DW7,DW10:DW17,DW18:DW22)</f>
        <v>789.73005973778891</v>
      </c>
      <c r="DX24" s="295">
        <f t="shared" ref="DX24" si="126">SUM(DT24:DW24)</f>
        <v>2247.1925490766698</v>
      </c>
      <c r="DY24" s="294">
        <f>+SUM(DY7,DY10:DY17,DY18:DY22)</f>
        <v>779.77940212392832</v>
      </c>
      <c r="DZ24" s="294">
        <f>+SUM(DZ7,DZ10:DZ17,DZ18:DZ22)</f>
        <v>447.00611711593154</v>
      </c>
      <c r="EA24" s="294">
        <f>+SUM(EA7,EA10:EA17,EA18:EA22)</f>
        <v>582.73537129589829</v>
      </c>
      <c r="EB24" s="294">
        <f>+SUM(EB7,EB10:EB17,EB18:EB22)</f>
        <v>960.29860880761089</v>
      </c>
      <c r="EC24" s="295">
        <f t="shared" ref="EC24" si="127">SUM(DY24:EB24)</f>
        <v>2769.819499343369</v>
      </c>
      <c r="ED24" s="297"/>
    </row>
    <row r="25" spans="1:134" ht="12" hidden="1" customHeight="1" outlineLevel="1">
      <c r="A25" s="943"/>
      <c r="B25" s="943"/>
      <c r="C25" s="320" t="s">
        <v>359</v>
      </c>
      <c r="D25" s="511"/>
      <c r="E25" s="511"/>
      <c r="F25" s="511"/>
      <c r="G25" s="511"/>
      <c r="H25" s="511"/>
      <c r="I25" s="512"/>
      <c r="J25" s="512"/>
      <c r="K25" s="512"/>
      <c r="L25" s="512"/>
      <c r="M25" s="513"/>
      <c r="N25" s="512"/>
      <c r="O25" s="512"/>
      <c r="P25" s="512"/>
      <c r="Q25" s="512"/>
      <c r="R25" s="513"/>
      <c r="S25" s="512"/>
      <c r="T25" s="512"/>
      <c r="U25" s="512"/>
      <c r="V25" s="512"/>
      <c r="W25" s="513"/>
      <c r="X25" s="512"/>
      <c r="Y25" s="512"/>
      <c r="Z25" s="512"/>
      <c r="AA25" s="512"/>
      <c r="AB25" s="513"/>
      <c r="AC25" s="512"/>
      <c r="AD25" s="512"/>
      <c r="AE25" s="512"/>
      <c r="AF25" s="512"/>
      <c r="AG25" s="513"/>
      <c r="AH25" s="512"/>
      <c r="AI25" s="512"/>
      <c r="AJ25" s="512"/>
      <c r="AK25" s="512"/>
      <c r="AL25" s="513"/>
      <c r="AM25" s="512"/>
      <c r="AN25" s="512"/>
      <c r="AO25" s="512"/>
      <c r="AP25" s="512"/>
      <c r="AQ25" s="513"/>
      <c r="AR25" s="512"/>
      <c r="AS25" s="512"/>
      <c r="AT25" s="512"/>
      <c r="AU25" s="512"/>
      <c r="AV25" s="513"/>
      <c r="AW25" s="512"/>
      <c r="AX25" s="512"/>
      <c r="AY25" s="512"/>
      <c r="AZ25" s="512"/>
      <c r="BA25" s="513"/>
      <c r="BB25" s="512"/>
      <c r="BC25" s="512"/>
      <c r="BD25" s="512"/>
      <c r="BE25" s="512"/>
      <c r="BF25" s="511"/>
      <c r="BG25" s="514"/>
      <c r="BH25" s="514"/>
      <c r="BI25" s="514"/>
      <c r="BJ25" s="514"/>
      <c r="BK25" s="511"/>
      <c r="BL25" s="512"/>
      <c r="BM25" s="512"/>
      <c r="BN25" s="512"/>
      <c r="BO25" s="512"/>
      <c r="BP25" s="513"/>
      <c r="BQ25" s="272">
        <f t="shared" ref="BQ25:CV25" si="128">+SUM(BQ10:BQ17,BQ7)</f>
        <v>-0.33399999999999963</v>
      </c>
      <c r="BR25" s="272">
        <f t="shared" si="128"/>
        <v>1.1470000000000011</v>
      </c>
      <c r="BS25" s="272">
        <f t="shared" si="128"/>
        <v>-1.2089999999999979</v>
      </c>
      <c r="BT25" s="272">
        <f t="shared" si="128"/>
        <v>-0.81899999999999906</v>
      </c>
      <c r="BU25" s="490">
        <f t="shared" si="128"/>
        <v>-1.2149999999999928</v>
      </c>
      <c r="BV25" s="272">
        <f t="shared" si="128"/>
        <v>-3.3029999999999902</v>
      </c>
      <c r="BW25" s="272">
        <f t="shared" si="128"/>
        <v>-0.23300000000000587</v>
      </c>
      <c r="BX25" s="272">
        <f t="shared" si="128"/>
        <v>1.6409999999999947</v>
      </c>
      <c r="BY25" s="272">
        <f t="shared" si="128"/>
        <v>3.8629999999999818</v>
      </c>
      <c r="BZ25" s="490">
        <f t="shared" si="128"/>
        <v>1.9679999999999822</v>
      </c>
      <c r="CA25" s="272">
        <f t="shared" si="128"/>
        <v>0.62400000000001477</v>
      </c>
      <c r="CB25" s="272">
        <f t="shared" si="128"/>
        <v>3.464000000000004</v>
      </c>
      <c r="CC25" s="272">
        <f t="shared" si="128"/>
        <v>9.683000000000014</v>
      </c>
      <c r="CD25" s="272">
        <f t="shared" si="128"/>
        <v>19.779999999999966</v>
      </c>
      <c r="CE25" s="490">
        <f t="shared" si="128"/>
        <v>33.550999999999995</v>
      </c>
      <c r="CF25" s="272">
        <f t="shared" si="128"/>
        <v>11.058999999999976</v>
      </c>
      <c r="CG25" s="272">
        <f t="shared" si="128"/>
        <v>10.650999999999975</v>
      </c>
      <c r="CH25" s="272">
        <f t="shared" si="128"/>
        <v>10.435999999999979</v>
      </c>
      <c r="CI25" s="272">
        <f t="shared" si="128"/>
        <v>33.266999999999953</v>
      </c>
      <c r="CJ25" s="490">
        <f t="shared" si="128"/>
        <v>65.412999999999855</v>
      </c>
      <c r="CK25" s="272">
        <f t="shared" si="128"/>
        <v>16.651999999999948</v>
      </c>
      <c r="CL25" s="272">
        <f t="shared" si="128"/>
        <v>27.219999999999992</v>
      </c>
      <c r="CM25" s="272">
        <f t="shared" si="128"/>
        <v>-35.371999999999957</v>
      </c>
      <c r="CN25" s="272">
        <f t="shared" si="128"/>
        <v>80.063000000000059</v>
      </c>
      <c r="CO25" s="490">
        <f t="shared" si="128"/>
        <v>88.563000000000045</v>
      </c>
      <c r="CP25" s="272">
        <f t="shared" si="128"/>
        <v>32.36999999999999</v>
      </c>
      <c r="CQ25" s="272">
        <f t="shared" si="128"/>
        <v>151.27600000000004</v>
      </c>
      <c r="CR25" s="272">
        <f t="shared" si="128"/>
        <v>165.05300000000003</v>
      </c>
      <c r="CS25" s="272">
        <f t="shared" si="128"/>
        <v>167.83499999999995</v>
      </c>
      <c r="CT25" s="490">
        <f t="shared" si="128"/>
        <v>516.53399999999999</v>
      </c>
      <c r="CU25" s="272">
        <f t="shared" si="128"/>
        <v>199.38100000000009</v>
      </c>
      <c r="CV25" s="272">
        <f t="shared" si="128"/>
        <v>217.56999999999994</v>
      </c>
      <c r="CW25" s="272">
        <f t="shared" ref="CW25:DS25" si="129">+SUM(CW10:CW17,CW7)</f>
        <v>105.03800000000024</v>
      </c>
      <c r="CX25" s="272">
        <f t="shared" si="129"/>
        <v>143.36830000000026</v>
      </c>
      <c r="CY25" s="490">
        <f t="shared" si="129"/>
        <v>665.35730000000058</v>
      </c>
      <c r="CZ25" s="272">
        <f t="shared" si="129"/>
        <v>76.014000000000124</v>
      </c>
      <c r="DA25" s="272">
        <f t="shared" si="129"/>
        <v>-69.845000000000027</v>
      </c>
      <c r="DB25" s="272">
        <f t="shared" si="129"/>
        <v>-118.0079999999997</v>
      </c>
      <c r="DC25" s="272">
        <f t="shared" si="129"/>
        <v>5.799999999976535E-2</v>
      </c>
      <c r="DD25" s="490">
        <f t="shared" si="129"/>
        <v>-111.78099999999949</v>
      </c>
      <c r="DE25" s="272">
        <f t="shared" si="129"/>
        <v>-4</v>
      </c>
      <c r="DF25" s="272">
        <f t="shared" si="129"/>
        <v>24</v>
      </c>
      <c r="DG25" s="272">
        <f t="shared" si="129"/>
        <v>305</v>
      </c>
      <c r="DH25" s="272">
        <f t="shared" si="129"/>
        <v>424</v>
      </c>
      <c r="DI25" s="490">
        <f t="shared" si="129"/>
        <v>749</v>
      </c>
      <c r="DJ25" s="272">
        <f t="shared" si="129"/>
        <v>259</v>
      </c>
      <c r="DK25" s="272">
        <f t="shared" ref="DK25:DL25" si="130">+SUM(DK10:DK17,DK7)</f>
        <v>412</v>
      </c>
      <c r="DL25" s="272">
        <f t="shared" si="130"/>
        <v>469</v>
      </c>
      <c r="DM25" s="272">
        <f t="shared" si="129"/>
        <v>567.5130684861191</v>
      </c>
      <c r="DN25" s="490">
        <f t="shared" si="129"/>
        <v>1707.5130684861192</v>
      </c>
      <c r="DO25" s="272">
        <f t="shared" si="129"/>
        <v>357.96809755186143</v>
      </c>
      <c r="DP25" s="272">
        <f t="shared" si="129"/>
        <v>496.41136308917783</v>
      </c>
      <c r="DQ25" s="272">
        <f t="shared" si="129"/>
        <v>560.57902675471394</v>
      </c>
      <c r="DR25" s="272">
        <f t="shared" si="129"/>
        <v>727.6716622751569</v>
      </c>
      <c r="DS25" s="490">
        <f t="shared" si="129"/>
        <v>2142.6301496709102</v>
      </c>
      <c r="DT25" s="272">
        <f t="shared" ref="DT25:EC25" si="131">+SUM(DT10:DT17,DT7)</f>
        <v>440.14071386225066</v>
      </c>
      <c r="DU25" s="272">
        <f t="shared" si="131"/>
        <v>606.96218406971138</v>
      </c>
      <c r="DV25" s="272">
        <f t="shared" si="131"/>
        <v>684.9420562795566</v>
      </c>
      <c r="DW25" s="272">
        <f t="shared" si="131"/>
        <v>894.1467409393365</v>
      </c>
      <c r="DX25" s="490">
        <f t="shared" si="131"/>
        <v>2626.1916951508547</v>
      </c>
      <c r="DY25" s="272">
        <f t="shared" si="131"/>
        <v>541.42657002282954</v>
      </c>
      <c r="DZ25" s="272">
        <f t="shared" si="131"/>
        <v>739.93719787506586</v>
      </c>
      <c r="EA25" s="272">
        <f t="shared" si="131"/>
        <v>833.53310112274755</v>
      </c>
      <c r="EB25" s="272">
        <f t="shared" si="131"/>
        <v>1092.1666860649193</v>
      </c>
      <c r="EC25" s="490">
        <f t="shared" si="131"/>
        <v>3207.0635550855623</v>
      </c>
      <c r="ED25" s="320"/>
    </row>
    <row r="26" spans="1:134" ht="12" hidden="1" customHeight="1" outlineLevel="1">
      <c r="A26" s="943"/>
      <c r="B26" s="943"/>
      <c r="C26" s="475" t="s">
        <v>116</v>
      </c>
      <c r="D26" s="452"/>
      <c r="E26" s="452"/>
      <c r="F26" s="452"/>
      <c r="G26" s="452"/>
      <c r="H26" s="452"/>
      <c r="I26" s="179"/>
      <c r="J26" s="179"/>
      <c r="K26" s="179"/>
      <c r="L26" s="179"/>
      <c r="M26" s="452"/>
      <c r="N26" s="179"/>
      <c r="O26" s="179"/>
      <c r="P26" s="179"/>
      <c r="Q26" s="179"/>
      <c r="R26" s="452"/>
      <c r="S26" s="179"/>
      <c r="T26" s="179"/>
      <c r="U26" s="179"/>
      <c r="V26" s="179"/>
      <c r="W26" s="452"/>
      <c r="X26" s="179"/>
      <c r="Y26" s="179"/>
      <c r="Z26" s="179"/>
      <c r="AA26" s="179"/>
      <c r="AB26" s="452"/>
      <c r="AC26" s="179"/>
      <c r="AD26" s="179"/>
      <c r="AE26" s="179"/>
      <c r="AF26" s="179"/>
      <c r="AG26" s="452"/>
      <c r="AH26" s="179"/>
      <c r="AI26" s="179"/>
      <c r="AJ26" s="179"/>
      <c r="AK26" s="179"/>
      <c r="AL26" s="452"/>
      <c r="AM26" s="179"/>
      <c r="AN26" s="179"/>
      <c r="AO26" s="179"/>
      <c r="AP26" s="179"/>
      <c r="AQ26" s="452"/>
      <c r="AR26" s="179"/>
      <c r="AS26" s="179"/>
      <c r="AT26" s="179"/>
      <c r="AU26" s="179"/>
      <c r="AV26" s="452"/>
      <c r="AW26" s="179"/>
      <c r="AX26" s="179"/>
      <c r="AY26" s="179"/>
      <c r="AZ26" s="179"/>
      <c r="BA26" s="452"/>
      <c r="BB26" s="179"/>
      <c r="BC26" s="179"/>
      <c r="BD26" s="179"/>
      <c r="BE26" s="179"/>
      <c r="BF26" s="452"/>
      <c r="BG26" s="484"/>
      <c r="BH26" s="484"/>
      <c r="BI26" s="484"/>
      <c r="BJ26" s="484"/>
      <c r="BK26" s="452"/>
      <c r="BL26" s="179"/>
      <c r="BM26" s="179"/>
      <c r="BN26" s="179"/>
      <c r="BO26" s="179"/>
      <c r="BP26" s="452"/>
      <c r="BQ26" s="515">
        <f>ROUND(+BQ23+BQ25-BQ24,1)</f>
        <v>0</v>
      </c>
      <c r="BR26" s="515">
        <f t="shared" ref="BR26:BT26" si="132">ROUND(+BR23+BR25-BR24,1)</f>
        <v>0</v>
      </c>
      <c r="BS26" s="515">
        <f t="shared" si="132"/>
        <v>0</v>
      </c>
      <c r="BT26" s="515">
        <f t="shared" si="132"/>
        <v>0</v>
      </c>
      <c r="BU26" s="516">
        <f>ROUND(+BU23+BU25-BU24,1)</f>
        <v>0</v>
      </c>
      <c r="BV26" s="515">
        <f t="shared" ref="BV26" si="133">ROUND(+BV23+BV25-BV24,1)</f>
        <v>0</v>
      </c>
      <c r="BW26" s="515">
        <f t="shared" ref="BW26" si="134">ROUND(+BW23+BW25-BW24,1)</f>
        <v>0</v>
      </c>
      <c r="BX26" s="515">
        <f t="shared" ref="BX26" si="135">ROUND(+BX23+BX25-BX24,1)</f>
        <v>0</v>
      </c>
      <c r="BY26" s="515">
        <f t="shared" ref="BY26:CA26" si="136">ROUND(+BY23+BY25-BY24,1)</f>
        <v>0</v>
      </c>
      <c r="BZ26" s="516">
        <f t="shared" si="136"/>
        <v>0</v>
      </c>
      <c r="CA26" s="515">
        <f t="shared" si="136"/>
        <v>0</v>
      </c>
      <c r="CB26" s="515">
        <f t="shared" ref="CB26" si="137">ROUND(+CB23+CB25-CB24,1)</f>
        <v>0</v>
      </c>
      <c r="CC26" s="515">
        <f t="shared" ref="CC26" si="138">ROUND(+CC23+CC25-CC24,1)</f>
        <v>0</v>
      </c>
      <c r="CD26" s="515">
        <f t="shared" ref="CD26:CF26" si="139">ROUND(+CD23+CD25-CD24,1)</f>
        <v>0</v>
      </c>
      <c r="CE26" s="516">
        <f t="shared" si="139"/>
        <v>0</v>
      </c>
      <c r="CF26" s="515">
        <f t="shared" si="139"/>
        <v>0</v>
      </c>
      <c r="CG26" s="515">
        <f t="shared" ref="CG26" si="140">ROUND(+CG23+CG25-CG24,1)</f>
        <v>0</v>
      </c>
      <c r="CH26" s="515">
        <f t="shared" ref="CH26" si="141">ROUND(+CH23+CH25-CH24,1)</f>
        <v>0</v>
      </c>
      <c r="CI26" s="515">
        <f t="shared" ref="CI26:CK26" si="142">ROUND(+CI23+CI25-CI24,1)</f>
        <v>0</v>
      </c>
      <c r="CJ26" s="516">
        <f t="shared" si="142"/>
        <v>0</v>
      </c>
      <c r="CK26" s="515">
        <f t="shared" si="142"/>
        <v>0</v>
      </c>
      <c r="CL26" s="515">
        <f t="shared" ref="CL26" si="143">ROUND(+CL23+CL25-CL24,1)</f>
        <v>0</v>
      </c>
      <c r="CM26" s="515">
        <f t="shared" ref="CM26" si="144">ROUND(+CM23+CM25-CM24,1)</f>
        <v>0</v>
      </c>
      <c r="CN26" s="515">
        <f t="shared" ref="CN26:CP26" si="145">ROUND(+CN23+CN25-CN24,1)</f>
        <v>0</v>
      </c>
      <c r="CO26" s="516">
        <f t="shared" si="145"/>
        <v>0</v>
      </c>
      <c r="CP26" s="515">
        <f t="shared" si="145"/>
        <v>0</v>
      </c>
      <c r="CQ26" s="515">
        <f t="shared" ref="CQ26" si="146">ROUND(+CQ23+CQ25-CQ24,1)</f>
        <v>0</v>
      </c>
      <c r="CR26" s="515">
        <f t="shared" ref="CR26" si="147">ROUND(+CR23+CR25-CR24,1)</f>
        <v>0</v>
      </c>
      <c r="CS26" s="515">
        <f t="shared" ref="CS26:CU26" si="148">ROUND(+CS23+CS25-CS24,1)</f>
        <v>0</v>
      </c>
      <c r="CT26" s="516">
        <f t="shared" si="148"/>
        <v>0</v>
      </c>
      <c r="CU26" s="515">
        <f t="shared" si="148"/>
        <v>0</v>
      </c>
      <c r="CV26" s="515">
        <f t="shared" ref="CV26" si="149">ROUND(+CV23+CV25-CV24,1)</f>
        <v>0</v>
      </c>
      <c r="CW26" s="515">
        <f t="shared" ref="CW26" si="150">ROUND(+CW23+CW25-CW24,1)</f>
        <v>0</v>
      </c>
      <c r="CX26" s="515">
        <f t="shared" ref="CX26:CZ26" si="151">ROUND(+CX23+CX25-CX24,1)</f>
        <v>0</v>
      </c>
      <c r="CY26" s="516">
        <f t="shared" si="151"/>
        <v>0</v>
      </c>
      <c r="CZ26" s="515">
        <f t="shared" si="151"/>
        <v>0</v>
      </c>
      <c r="DA26" s="515">
        <f t="shared" ref="DA26" si="152">ROUND(+DA23+DA25-DA24,1)</f>
        <v>0</v>
      </c>
      <c r="DB26" s="515">
        <f t="shared" ref="DB26" si="153">ROUND(+DB23+DB25-DB24,1)</f>
        <v>0</v>
      </c>
      <c r="DC26" s="515">
        <f t="shared" ref="DC26:DE26" si="154">ROUND(+DC23+DC25-DC24,1)</f>
        <v>0</v>
      </c>
      <c r="DD26" s="516">
        <f t="shared" si="154"/>
        <v>0</v>
      </c>
      <c r="DE26" s="515">
        <f t="shared" si="154"/>
        <v>0</v>
      </c>
      <c r="DF26" s="515">
        <f t="shared" ref="DF26" si="155">ROUND(+DF23+DF25-DF24,1)</f>
        <v>0</v>
      </c>
      <c r="DG26" s="515">
        <f t="shared" ref="DG26:DH26" si="156">ROUND(+DG23+DG25-DG24,1)</f>
        <v>0</v>
      </c>
      <c r="DH26" s="515">
        <f t="shared" si="156"/>
        <v>0</v>
      </c>
      <c r="DI26" s="516">
        <f t="shared" ref="DI26:DJ26" si="157">ROUND(+DI23+DI25-DI24,1)</f>
        <v>0</v>
      </c>
      <c r="DJ26" s="515">
        <f t="shared" si="157"/>
        <v>0</v>
      </c>
      <c r="DK26" s="515">
        <f t="shared" ref="DK26:DL26" si="158">ROUND(+DK23+DK25-DK24,1)</f>
        <v>0</v>
      </c>
      <c r="DL26" s="515">
        <f t="shared" si="158"/>
        <v>0</v>
      </c>
      <c r="DM26" s="515">
        <f t="shared" ref="DM26:DN26" si="159">ROUND(+DM23+DM25-DM24,1)</f>
        <v>0</v>
      </c>
      <c r="DN26" s="516">
        <f t="shared" si="159"/>
        <v>0</v>
      </c>
      <c r="DO26" s="515">
        <f t="shared" ref="DO26" si="160">ROUND(+DO23+DO25-DO24,1)</f>
        <v>0</v>
      </c>
      <c r="DP26" s="515">
        <f t="shared" ref="DP26" si="161">ROUND(+DP23+DP25-DP24,1)</f>
        <v>0</v>
      </c>
      <c r="DQ26" s="515">
        <f t="shared" ref="DQ26" si="162">ROUND(+DQ23+DQ25-DQ24,1)</f>
        <v>0</v>
      </c>
      <c r="DR26" s="515">
        <f t="shared" ref="DR26:DV26" si="163">ROUND(+DR23+DR25-DR24,1)</f>
        <v>0</v>
      </c>
      <c r="DS26" s="516">
        <f t="shared" si="163"/>
        <v>0</v>
      </c>
      <c r="DT26" s="515">
        <f t="shared" si="163"/>
        <v>0</v>
      </c>
      <c r="DU26" s="515">
        <f t="shared" si="163"/>
        <v>0</v>
      </c>
      <c r="DV26" s="515">
        <f t="shared" si="163"/>
        <v>0</v>
      </c>
      <c r="DW26" s="515">
        <f t="shared" ref="DW26:EC26" si="164">ROUND(+DW23+DW25-DW24,1)</f>
        <v>0</v>
      </c>
      <c r="DX26" s="516">
        <f t="shared" si="164"/>
        <v>0</v>
      </c>
      <c r="DY26" s="515">
        <f t="shared" si="164"/>
        <v>0</v>
      </c>
      <c r="DZ26" s="515">
        <f t="shared" si="164"/>
        <v>0</v>
      </c>
      <c r="EA26" s="515">
        <f t="shared" si="164"/>
        <v>0</v>
      </c>
      <c r="EB26" s="515">
        <f t="shared" si="164"/>
        <v>0</v>
      </c>
      <c r="EC26" s="516">
        <f t="shared" si="164"/>
        <v>0</v>
      </c>
      <c r="ED26" s="297"/>
    </row>
    <row r="27" spans="1:134" ht="12" customHeight="1" collapsed="1">
      <c r="A27" s="943"/>
      <c r="B27" s="943"/>
      <c r="C27" s="460" t="s">
        <v>45</v>
      </c>
      <c r="D27" s="517"/>
      <c r="E27" s="517"/>
      <c r="F27" s="517"/>
      <c r="G27" s="517"/>
      <c r="H27" s="517"/>
      <c r="I27" s="472"/>
      <c r="J27" s="472"/>
      <c r="K27" s="472"/>
      <c r="L27" s="472"/>
      <c r="M27" s="467"/>
      <c r="N27" s="472"/>
      <c r="O27" s="472"/>
      <c r="P27" s="472"/>
      <c r="Q27" s="472"/>
      <c r="R27" s="467"/>
      <c r="S27" s="472"/>
      <c r="T27" s="472"/>
      <c r="U27" s="472"/>
      <c r="V27" s="472"/>
      <c r="W27" s="467"/>
      <c r="X27" s="472"/>
      <c r="Y27" s="472"/>
      <c r="Z27" s="472"/>
      <c r="AA27" s="472"/>
      <c r="AB27" s="467"/>
      <c r="AC27" s="472"/>
      <c r="AD27" s="472"/>
      <c r="AE27" s="472"/>
      <c r="AF27" s="472"/>
      <c r="AG27" s="467"/>
      <c r="AH27" s="472"/>
      <c r="AI27" s="472"/>
      <c r="AJ27" s="472"/>
      <c r="AK27" s="472"/>
      <c r="AL27" s="467"/>
      <c r="AM27" s="472"/>
      <c r="AN27" s="472"/>
      <c r="AO27" s="472"/>
      <c r="AP27" s="472"/>
      <c r="AQ27" s="467"/>
      <c r="AR27" s="472"/>
      <c r="AS27" s="472"/>
      <c r="AT27" s="472"/>
      <c r="AU27" s="472"/>
      <c r="AV27" s="467"/>
      <c r="AW27" s="472"/>
      <c r="AX27" s="472"/>
      <c r="AY27" s="472"/>
      <c r="AZ27" s="472"/>
      <c r="BA27" s="467"/>
      <c r="BB27" s="472"/>
      <c r="BC27" s="472"/>
      <c r="BD27" s="472"/>
      <c r="BE27" s="472"/>
      <c r="BF27" s="517"/>
      <c r="BG27" s="484"/>
      <c r="BH27" s="484"/>
      <c r="BI27" s="484"/>
      <c r="BJ27" s="484"/>
      <c r="BK27" s="517"/>
      <c r="BL27" s="472"/>
      <c r="BM27" s="472"/>
      <c r="BN27" s="472"/>
      <c r="BO27" s="472"/>
      <c r="BP27" s="467"/>
      <c r="BQ27" s="473"/>
      <c r="BR27" s="473"/>
      <c r="BS27" s="473"/>
      <c r="BT27" s="473"/>
      <c r="BU27" s="470"/>
      <c r="BV27" s="473"/>
      <c r="BW27" s="473"/>
      <c r="BX27" s="473"/>
      <c r="BY27" s="473"/>
      <c r="BZ27" s="470"/>
      <c r="CA27" s="473"/>
      <c r="CB27" s="473"/>
      <c r="CC27" s="473"/>
      <c r="CD27" s="473"/>
      <c r="CE27" s="470"/>
      <c r="CF27" s="473"/>
      <c r="CG27" s="473"/>
      <c r="CH27" s="473"/>
      <c r="CI27" s="473"/>
      <c r="CJ27" s="470"/>
      <c r="CK27" s="473"/>
      <c r="CL27" s="473"/>
      <c r="CM27" s="473"/>
      <c r="CN27" s="473"/>
      <c r="CO27" s="470"/>
      <c r="CP27" s="473"/>
      <c r="CQ27" s="473"/>
      <c r="CR27" s="473"/>
      <c r="CS27" s="473"/>
      <c r="CT27" s="470"/>
      <c r="CU27" s="473"/>
      <c r="CV27" s="473"/>
      <c r="CW27" s="473"/>
      <c r="CX27" s="473"/>
      <c r="CY27" s="470"/>
      <c r="CZ27" s="473"/>
      <c r="DA27" s="473"/>
      <c r="DB27" s="473"/>
      <c r="DC27" s="489"/>
      <c r="DD27" s="470"/>
      <c r="DE27" s="473"/>
      <c r="DF27" s="473"/>
      <c r="DG27" s="473"/>
      <c r="DH27" s="473"/>
      <c r="DI27" s="470"/>
      <c r="DJ27" s="518"/>
      <c r="DK27" s="518"/>
      <c r="DL27" s="518"/>
      <c r="DM27" s="519"/>
      <c r="DN27" s="470"/>
      <c r="DO27" s="519"/>
      <c r="DP27" s="519"/>
      <c r="DQ27" s="519"/>
      <c r="DR27" s="519"/>
      <c r="DS27" s="470"/>
      <c r="DT27" s="519"/>
      <c r="DU27" s="519"/>
      <c r="DV27" s="519"/>
      <c r="DW27" s="519"/>
      <c r="DX27" s="470"/>
      <c r="DY27" s="519"/>
      <c r="DZ27" s="519"/>
      <c r="EA27" s="519"/>
      <c r="EB27" s="519"/>
      <c r="EC27" s="470"/>
      <c r="ED27" s="296"/>
    </row>
    <row r="28" spans="1:134" ht="12" customHeight="1">
      <c r="A28" s="943" t="s">
        <v>182</v>
      </c>
      <c r="B28" s="943"/>
      <c r="C28" s="309" t="s">
        <v>50</v>
      </c>
      <c r="D28" s="369"/>
      <c r="E28" s="369"/>
      <c r="F28" s="369"/>
      <c r="G28" s="369"/>
      <c r="H28" s="369"/>
      <c r="I28" s="370"/>
      <c r="J28" s="370"/>
      <c r="K28" s="370"/>
      <c r="L28" s="370"/>
      <c r="M28" s="452"/>
      <c r="N28" s="370"/>
      <c r="O28" s="370"/>
      <c r="P28" s="370"/>
      <c r="Q28" s="370"/>
      <c r="R28" s="452"/>
      <c r="S28" s="370"/>
      <c r="T28" s="370"/>
      <c r="U28" s="370"/>
      <c r="V28" s="370"/>
      <c r="W28" s="452"/>
      <c r="X28" s="370"/>
      <c r="Y28" s="370"/>
      <c r="Z28" s="370"/>
      <c r="AA28" s="370"/>
      <c r="AB28" s="452"/>
      <c r="AC28" s="370"/>
      <c r="AD28" s="370"/>
      <c r="AE28" s="370"/>
      <c r="AF28" s="370"/>
      <c r="AG28" s="452"/>
      <c r="AH28" s="370"/>
      <c r="AI28" s="370"/>
      <c r="AJ28" s="370"/>
      <c r="AK28" s="370"/>
      <c r="AL28" s="452"/>
      <c r="AM28" s="370"/>
      <c r="AN28" s="370"/>
      <c r="AO28" s="370"/>
      <c r="AP28" s="370"/>
      <c r="AQ28" s="452"/>
      <c r="AR28" s="370"/>
      <c r="AS28" s="370"/>
      <c r="AT28" s="370"/>
      <c r="AU28" s="370"/>
      <c r="AV28" s="452"/>
      <c r="AW28" s="370"/>
      <c r="AX28" s="370"/>
      <c r="AY28" s="370"/>
      <c r="AZ28" s="370"/>
      <c r="BA28" s="452"/>
      <c r="BB28" s="370"/>
      <c r="BC28" s="370"/>
      <c r="BD28" s="370"/>
      <c r="BE28" s="370"/>
      <c r="BF28" s="369"/>
      <c r="BG28" s="521"/>
      <c r="BH28" s="521"/>
      <c r="BI28" s="521"/>
      <c r="BJ28" s="521"/>
      <c r="BK28" s="369"/>
      <c r="BL28" s="370"/>
      <c r="BM28" s="370"/>
      <c r="BN28" s="370"/>
      <c r="BO28" s="370"/>
      <c r="BP28" s="452"/>
      <c r="BQ28" s="465">
        <v>-2.5274000000000001</v>
      </c>
      <c r="BR28" s="465">
        <f>-5.219-BQ28</f>
        <v>-2.6916000000000002</v>
      </c>
      <c r="BS28" s="465">
        <f>-11.367-BR28-BQ28</f>
        <v>-6.1479999999999997</v>
      </c>
      <c r="BT28" s="465">
        <f>-16.525-SUM(BQ28:BS28)</f>
        <v>-5.1579999999999977</v>
      </c>
      <c r="BU28" s="331">
        <f>SUM(BQ28:BT28)</f>
        <v>-16.524999999999999</v>
      </c>
      <c r="BV28" s="465">
        <v>-2.7149999999999999</v>
      </c>
      <c r="BW28" s="465">
        <f>-10.057-BV28</f>
        <v>-7.3420000000000005</v>
      </c>
      <c r="BX28" s="465">
        <f>-15.286-BW28-BV28</f>
        <v>-5.2289999999999992</v>
      </c>
      <c r="BY28" s="465">
        <f>-23.773-BX28-BW28-BV28</f>
        <v>-8.4870000000000001</v>
      </c>
      <c r="BZ28" s="331">
        <f>SUM(BV28:BY28)</f>
        <v>-23.773</v>
      </c>
      <c r="CA28" s="465">
        <v>-2.633</v>
      </c>
      <c r="CB28" s="465">
        <f>-5.29-CA28</f>
        <v>-2.657</v>
      </c>
      <c r="CC28" s="465">
        <f>-9.258-CB28-CA28</f>
        <v>-3.9679999999999991</v>
      </c>
      <c r="CD28" s="465">
        <f>-20.043-CC28-CB28-CA28</f>
        <v>-10.785</v>
      </c>
      <c r="CE28" s="331">
        <f>SUM(CA28:CD28)</f>
        <v>-20.042999999999999</v>
      </c>
      <c r="CF28" s="465">
        <v>-5.4050000000000002</v>
      </c>
      <c r="CG28" s="465">
        <f>-15.107-CF28</f>
        <v>-9.7019999999999982</v>
      </c>
      <c r="CH28" s="465">
        <f>-20.432-CG28-CF28</f>
        <v>-5.3250000000000002</v>
      </c>
      <c r="CI28" s="465">
        <f>-27.95-CH28-CG28-CF28</f>
        <v>-7.5180000000000016</v>
      </c>
      <c r="CJ28" s="331">
        <f>SUM(CF28:CI28)</f>
        <v>-27.95</v>
      </c>
      <c r="CK28" s="465">
        <v>-9.5519999999999996</v>
      </c>
      <c r="CL28" s="465">
        <f>-30.437-CK28</f>
        <v>-20.885000000000002</v>
      </c>
      <c r="CM28" s="465">
        <f>-43.357-CL28-CK28</f>
        <v>-12.919999999999998</v>
      </c>
      <c r="CN28" s="465">
        <f>-56.759-CM28-CL28-CK28</f>
        <v>-13.401999999999997</v>
      </c>
      <c r="CO28" s="331">
        <f>SUM(CK28:CN28)</f>
        <v>-56.759</v>
      </c>
      <c r="CP28" s="465">
        <v>-16.739999999999998</v>
      </c>
      <c r="CQ28" s="465">
        <f>-25.329-CP28</f>
        <v>-8.5890000000000022</v>
      </c>
      <c r="CR28" s="465">
        <f>-35.377-CQ28-CP28</f>
        <v>-10.048000000000002</v>
      </c>
      <c r="CS28" s="465">
        <f>-41.733-CR28-CQ28-CP28</f>
        <v>-6.3559999999999945</v>
      </c>
      <c r="CT28" s="331">
        <f>SUM(CP28:CS28)</f>
        <v>-41.732999999999997</v>
      </c>
      <c r="CU28" s="465">
        <v>-5.1879999999999997</v>
      </c>
      <c r="CV28" s="465">
        <f>-13.451-CU28</f>
        <v>-8.2630000000000017</v>
      </c>
      <c r="CW28" s="465">
        <f>-24.813-CV28-CU28</f>
        <v>-11.361999999999998</v>
      </c>
      <c r="CX28" s="465">
        <f>-50.788-SUM(CU28:CW28)</f>
        <v>-25.974999999999998</v>
      </c>
      <c r="CY28" s="331">
        <f>SUM(CU28:CX28)</f>
        <v>-50.787999999999997</v>
      </c>
      <c r="CZ28" s="465">
        <v>-15.94</v>
      </c>
      <c r="DA28" s="465">
        <f>-28.489-CZ28</f>
        <v>-12.549000000000001</v>
      </c>
      <c r="DB28" s="465">
        <f>-42.394-DA28-CZ28</f>
        <v>-13.904999999999999</v>
      </c>
      <c r="DC28" s="498">
        <f>-50.018-DB28-DA28-CZ28</f>
        <v>-7.6240000000000006</v>
      </c>
      <c r="DD28" s="331">
        <f>SUM(CZ28:DC28)</f>
        <v>-50.018000000000001</v>
      </c>
      <c r="DE28" s="465">
        <v>-14</v>
      </c>
      <c r="DF28" s="465">
        <v>-21</v>
      </c>
      <c r="DG28" s="465">
        <v>-2</v>
      </c>
      <c r="DH28" s="520">
        <v>-2</v>
      </c>
      <c r="DI28" s="331">
        <f>SUM(DE28:DH28)</f>
        <v>-39</v>
      </c>
      <c r="DJ28" s="520">
        <v>-6</v>
      </c>
      <c r="DK28" s="520">
        <v>-7</v>
      </c>
      <c r="DL28" s="520">
        <v>-2</v>
      </c>
      <c r="DM28" s="456">
        <v>-7</v>
      </c>
      <c r="DN28" s="331">
        <f>SUM(DJ28:DM28)</f>
        <v>-22</v>
      </c>
      <c r="DO28" s="456">
        <v>-7.5</v>
      </c>
      <c r="DP28" s="456">
        <v>-7.5</v>
      </c>
      <c r="DQ28" s="456">
        <v>-7.5</v>
      </c>
      <c r="DR28" s="456">
        <v>-7.5</v>
      </c>
      <c r="DS28" s="331">
        <f>SUM(DO28:DR28)</f>
        <v>-30</v>
      </c>
      <c r="DT28" s="456">
        <f>+DO28*1.2</f>
        <v>-9</v>
      </c>
      <c r="DU28" s="456">
        <f t="shared" ref="DU28:DW28" si="165">+DP28*1.2</f>
        <v>-9</v>
      </c>
      <c r="DV28" s="456">
        <f t="shared" si="165"/>
        <v>-9</v>
      </c>
      <c r="DW28" s="456">
        <f t="shared" si="165"/>
        <v>-9</v>
      </c>
      <c r="DX28" s="331">
        <f>SUM(DT28:DW28)</f>
        <v>-36</v>
      </c>
      <c r="DY28" s="456">
        <f>+DT28*1.2</f>
        <v>-10.799999999999999</v>
      </c>
      <c r="DZ28" s="456">
        <f t="shared" ref="DZ28" si="166">+DU28*1.2</f>
        <v>-10.799999999999999</v>
      </c>
      <c r="EA28" s="456">
        <f t="shared" ref="EA28" si="167">+DV28*1.2</f>
        <v>-10.799999999999999</v>
      </c>
      <c r="EB28" s="456">
        <f t="shared" ref="EB28" si="168">+DW28*1.2</f>
        <v>-10.799999999999999</v>
      </c>
      <c r="EC28" s="331">
        <f>SUM(DY28:EB28)</f>
        <v>-43.199999999999996</v>
      </c>
      <c r="ED28" s="296"/>
    </row>
    <row r="29" spans="1:134" ht="12" customHeight="1">
      <c r="A29" s="943"/>
      <c r="B29" s="943"/>
      <c r="C29" s="309" t="s">
        <v>258</v>
      </c>
      <c r="D29" s="452"/>
      <c r="E29" s="452"/>
      <c r="F29" s="452"/>
      <c r="G29" s="452"/>
      <c r="H29" s="452"/>
      <c r="I29" s="179"/>
      <c r="J29" s="179"/>
      <c r="K29" s="179"/>
      <c r="L29" s="179"/>
      <c r="M29" s="452"/>
      <c r="N29" s="179"/>
      <c r="O29" s="179"/>
      <c r="P29" s="179"/>
      <c r="Q29" s="179"/>
      <c r="R29" s="452"/>
      <c r="S29" s="179"/>
      <c r="T29" s="179"/>
      <c r="U29" s="179"/>
      <c r="V29" s="179"/>
      <c r="W29" s="452"/>
      <c r="X29" s="179"/>
      <c r="Y29" s="179"/>
      <c r="Z29" s="179"/>
      <c r="AA29" s="179"/>
      <c r="AB29" s="452"/>
      <c r="AC29" s="179"/>
      <c r="AD29" s="179"/>
      <c r="AE29" s="179"/>
      <c r="AF29" s="179"/>
      <c r="AG29" s="452"/>
      <c r="AH29" s="179"/>
      <c r="AI29" s="179"/>
      <c r="AJ29" s="179"/>
      <c r="AK29" s="179"/>
      <c r="AL29" s="452"/>
      <c r="AM29" s="179"/>
      <c r="AN29" s="179"/>
      <c r="AO29" s="179"/>
      <c r="AP29" s="179"/>
      <c r="AQ29" s="452"/>
      <c r="AR29" s="179"/>
      <c r="AS29" s="179"/>
      <c r="AT29" s="179"/>
      <c r="AU29" s="179"/>
      <c r="AV29" s="452"/>
      <c r="AW29" s="179"/>
      <c r="AX29" s="179"/>
      <c r="AY29" s="179"/>
      <c r="AZ29" s="179"/>
      <c r="BA29" s="452"/>
      <c r="BB29" s="179"/>
      <c r="BC29" s="179"/>
      <c r="BD29" s="179"/>
      <c r="BE29" s="179"/>
      <c r="BF29" s="452"/>
      <c r="BG29" s="484"/>
      <c r="BH29" s="484"/>
      <c r="BI29" s="484"/>
      <c r="BJ29" s="484"/>
      <c r="BK29" s="452"/>
      <c r="BL29" s="179"/>
      <c r="BM29" s="179"/>
      <c r="BN29" s="179"/>
      <c r="BO29" s="179"/>
      <c r="BP29" s="452"/>
      <c r="BQ29" s="465">
        <v>0</v>
      </c>
      <c r="BR29" s="465">
        <f>-45.686-BQ29</f>
        <v>-45.686</v>
      </c>
      <c r="BS29" s="465">
        <f>-82.812-BR29-BQ29</f>
        <v>-37.125999999999998</v>
      </c>
      <c r="BT29" s="465">
        <f>-111.154-SUM(BQ29:BS29)</f>
        <v>-28.341999999999999</v>
      </c>
      <c r="BU29" s="331">
        <f t="shared" ref="BU29:BU36" si="169">SUM(BQ29:BT29)</f>
        <v>-111.154</v>
      </c>
      <c r="BV29" s="465">
        <v>-46.439</v>
      </c>
      <c r="BW29" s="465">
        <f>-81.393-BV29</f>
        <v>-34.954000000000001</v>
      </c>
      <c r="BX29" s="465">
        <f>-223.65-BW29-BV29</f>
        <v>-142.25700000000001</v>
      </c>
      <c r="BY29" s="465">
        <f>-369.208-BX29-BW29-BV29</f>
        <v>-145.55800000000002</v>
      </c>
      <c r="BZ29" s="331">
        <f t="shared" ref="BZ29:BZ35" si="170">SUM(BV29:BY29)</f>
        <v>-369.20800000000003</v>
      </c>
      <c r="CA29" s="465">
        <v>-97.674999999999997</v>
      </c>
      <c r="CB29" s="465">
        <f>-638.212-CA29</f>
        <v>-540.53700000000003</v>
      </c>
      <c r="CC29" s="465">
        <f>-949.202-CB29-CA29</f>
        <v>-310.98999999999995</v>
      </c>
      <c r="CD29" s="465">
        <f>-1129.263-CC29-CB29-CA29</f>
        <v>-180.06099999999986</v>
      </c>
      <c r="CE29" s="331">
        <f t="shared" ref="CE29:CE36" si="171">SUM(CA29:CD29)</f>
        <v>-1129.2629999999999</v>
      </c>
      <c r="CF29" s="465">
        <v>-933.30700000000002</v>
      </c>
      <c r="CG29" s="465">
        <f>-1297.346-CF29</f>
        <v>-364.03899999999999</v>
      </c>
      <c r="CH29" s="465">
        <f>-1689.553-CG29-CF29</f>
        <v>-392.20700000000011</v>
      </c>
      <c r="CI29" s="465">
        <f>-2447.955-CH29-CG29-CF29</f>
        <v>-758.40199999999959</v>
      </c>
      <c r="CJ29" s="331">
        <f t="shared" ref="CJ29:CJ36" si="172">SUM(CF29:CI29)</f>
        <v>-2447.9549999999999</v>
      </c>
      <c r="CK29" s="465">
        <v>-700.05200000000002</v>
      </c>
      <c r="CL29" s="465">
        <f>-1022.814-CK29</f>
        <v>-322.76199999999994</v>
      </c>
      <c r="CM29" s="465">
        <f>-2003.102-CL29-CK29</f>
        <v>-980.28800000000012</v>
      </c>
      <c r="CN29" s="465">
        <f>-2718.604-CM29-CL29-CK29</f>
        <v>-715.50199999999984</v>
      </c>
      <c r="CO29" s="331">
        <f t="shared" ref="CO29:CO36" si="173">SUM(CK29:CN29)</f>
        <v>-2718.6039999999998</v>
      </c>
      <c r="CP29" s="465">
        <v>-496.24400000000003</v>
      </c>
      <c r="CQ29" s="465">
        <f>-1970.693-CP29</f>
        <v>-1474.4490000000001</v>
      </c>
      <c r="CR29" s="465">
        <f>-3661.092-CQ29-CP29</f>
        <v>-1690.3989999999999</v>
      </c>
      <c r="CS29" s="465">
        <f>-5600.207-CR29-CQ29-CP29</f>
        <v>-1939.1150000000002</v>
      </c>
      <c r="CT29" s="331">
        <f t="shared" ref="CT29:CT36" si="174">SUM(CP29:CS29)</f>
        <v>-5600.2070000000003</v>
      </c>
      <c r="CU29" s="465">
        <v>-2444.9549999999999</v>
      </c>
      <c r="CV29" s="465">
        <f>-4149.857-CU29</f>
        <v>-1704.902</v>
      </c>
      <c r="CW29" s="465">
        <f>-5616.479-CV29-CU29</f>
        <v>-1466.6220000000003</v>
      </c>
      <c r="CX29" s="465">
        <f>-7337.366-SUM(CU29:CW29)</f>
        <v>-1720.8869999999997</v>
      </c>
      <c r="CY29" s="331">
        <f t="shared" ref="CY29:CY36" si="175">SUM(CU29:CX29)</f>
        <v>-7337.366</v>
      </c>
      <c r="CZ29" s="465">
        <v>-1463.7049999999999</v>
      </c>
      <c r="DA29" s="465">
        <f>-2033.099-CZ29</f>
        <v>-569.39400000000001</v>
      </c>
      <c r="DB29" s="465">
        <f>-3568.229-DA29-CZ29</f>
        <v>-1535.13</v>
      </c>
      <c r="DC29" s="498">
        <f>-5011.129-DB29-DA29-CZ29</f>
        <v>-1442.8999999999996</v>
      </c>
      <c r="DD29" s="331">
        <f t="shared" ref="DD29:DD36" si="176">SUM(CZ29:DC29)</f>
        <v>-5011.1289999999999</v>
      </c>
      <c r="DE29" s="465">
        <v>-1098</v>
      </c>
      <c r="DF29" s="465">
        <v>-1279</v>
      </c>
      <c r="DG29" s="465">
        <v>-1781</v>
      </c>
      <c r="DH29" s="520">
        <v>-1683</v>
      </c>
      <c r="DI29" s="331">
        <f t="shared" ref="DI29:DI37" si="177">SUM(DE29:DH29)</f>
        <v>-5841</v>
      </c>
      <c r="DJ29" s="520">
        <v>-2137</v>
      </c>
      <c r="DK29" s="520">
        <v>-1834</v>
      </c>
      <c r="DL29" s="520">
        <v>-2086</v>
      </c>
      <c r="DM29" s="456">
        <v>0</v>
      </c>
      <c r="DN29" s="331">
        <f t="shared" ref="DN29:DN37" si="178">SUM(DJ29:DM29)</f>
        <v>-6057</v>
      </c>
      <c r="DO29" s="456">
        <v>0</v>
      </c>
      <c r="DP29" s="456">
        <v>0</v>
      </c>
      <c r="DQ29" s="456">
        <v>0</v>
      </c>
      <c r="DR29" s="456">
        <v>0</v>
      </c>
      <c r="DS29" s="331">
        <f t="shared" ref="DS29:DS37" si="179">SUM(DO29:DR29)</f>
        <v>0</v>
      </c>
      <c r="DT29" s="456">
        <v>0</v>
      </c>
      <c r="DU29" s="456">
        <v>0</v>
      </c>
      <c r="DV29" s="456">
        <v>0</v>
      </c>
      <c r="DW29" s="456">
        <v>0</v>
      </c>
      <c r="DX29" s="331">
        <f t="shared" ref="DX29:DX37" si="180">SUM(DT29:DW29)</f>
        <v>0</v>
      </c>
      <c r="DY29" s="456">
        <v>0</v>
      </c>
      <c r="DZ29" s="456">
        <v>0</v>
      </c>
      <c r="EA29" s="456">
        <v>0</v>
      </c>
      <c r="EB29" s="456">
        <v>0</v>
      </c>
      <c r="EC29" s="331">
        <f t="shared" ref="EC29:EC37" si="181">SUM(DY29:EB29)</f>
        <v>0</v>
      </c>
      <c r="ED29" s="296"/>
    </row>
    <row r="30" spans="1:134" ht="12" customHeight="1">
      <c r="A30" s="943"/>
      <c r="B30" s="943"/>
      <c r="C30" s="309" t="s">
        <v>259</v>
      </c>
      <c r="D30" s="452"/>
      <c r="E30" s="452"/>
      <c r="F30" s="452"/>
      <c r="G30" s="452"/>
      <c r="H30" s="452"/>
      <c r="I30" s="179"/>
      <c r="J30" s="179"/>
      <c r="K30" s="179"/>
      <c r="L30" s="179"/>
      <c r="M30" s="452"/>
      <c r="N30" s="179"/>
      <c r="O30" s="179"/>
      <c r="P30" s="179"/>
      <c r="Q30" s="179"/>
      <c r="R30" s="452"/>
      <c r="S30" s="179"/>
      <c r="T30" s="179"/>
      <c r="U30" s="179"/>
      <c r="V30" s="179"/>
      <c r="W30" s="452"/>
      <c r="X30" s="179"/>
      <c r="Y30" s="179"/>
      <c r="Z30" s="179"/>
      <c r="AA30" s="179"/>
      <c r="AB30" s="452"/>
      <c r="AC30" s="179"/>
      <c r="AD30" s="179"/>
      <c r="AE30" s="179"/>
      <c r="AF30" s="179"/>
      <c r="AG30" s="452"/>
      <c r="AH30" s="179"/>
      <c r="AI30" s="179"/>
      <c r="AJ30" s="179"/>
      <c r="AK30" s="179"/>
      <c r="AL30" s="452"/>
      <c r="AM30" s="179"/>
      <c r="AN30" s="179"/>
      <c r="AO30" s="179"/>
      <c r="AP30" s="179"/>
      <c r="AQ30" s="452"/>
      <c r="AR30" s="179"/>
      <c r="AS30" s="179"/>
      <c r="AT30" s="179"/>
      <c r="AU30" s="179"/>
      <c r="AV30" s="452"/>
      <c r="AW30" s="179"/>
      <c r="AX30" s="179"/>
      <c r="AY30" s="179"/>
      <c r="AZ30" s="179"/>
      <c r="BA30" s="452"/>
      <c r="BB30" s="179"/>
      <c r="BC30" s="179"/>
      <c r="BD30" s="179"/>
      <c r="BE30" s="179"/>
      <c r="BF30" s="452"/>
      <c r="BG30" s="484"/>
      <c r="BH30" s="484"/>
      <c r="BI30" s="484"/>
      <c r="BJ30" s="484"/>
      <c r="BK30" s="452"/>
      <c r="BL30" s="179"/>
      <c r="BM30" s="179"/>
      <c r="BN30" s="179"/>
      <c r="BO30" s="179"/>
      <c r="BP30" s="452"/>
      <c r="BQ30" s="465">
        <v>4.6959999999999997</v>
      </c>
      <c r="BR30" s="465">
        <f>11.196-BQ30</f>
        <v>6.5</v>
      </c>
      <c r="BS30" s="465">
        <f>23.972-BR30-BQ30</f>
        <v>12.776000000000002</v>
      </c>
      <c r="BT30" s="465">
        <f>48.35-SUM(BQ30:BS30)</f>
        <v>24.378</v>
      </c>
      <c r="BU30" s="331">
        <f t="shared" si="169"/>
        <v>48.35</v>
      </c>
      <c r="BV30" s="465">
        <v>20.7</v>
      </c>
      <c r="BW30" s="465">
        <f>49.457-BV30</f>
        <v>28.757000000000001</v>
      </c>
      <c r="BX30" s="465">
        <f>90.083-BW30-BV30</f>
        <v>40.625999999999991</v>
      </c>
      <c r="BY30" s="465">
        <f>139.872-BX30-BW30-BV30</f>
        <v>49.789000000000016</v>
      </c>
      <c r="BZ30" s="331">
        <f t="shared" si="170"/>
        <v>139.87200000000001</v>
      </c>
      <c r="CA30" s="465">
        <v>111.535</v>
      </c>
      <c r="CB30" s="465">
        <f>213.609-CA30</f>
        <v>102.07400000000001</v>
      </c>
      <c r="CC30" s="465">
        <f>451.509-CB30-CA30</f>
        <v>237.9</v>
      </c>
      <c r="CD30" s="465">
        <f>642.073-CC30-CB30-CA30</f>
        <v>190.56399999999999</v>
      </c>
      <c r="CE30" s="331">
        <f t="shared" si="171"/>
        <v>642.07299999999998</v>
      </c>
      <c r="CF30" s="465">
        <v>347.90199999999999</v>
      </c>
      <c r="CG30" s="465">
        <f>744.406-CF30</f>
        <v>396.50399999999996</v>
      </c>
      <c r="CH30" s="465">
        <f>1160.003-CG30-CF30</f>
        <v>415.59700000000004</v>
      </c>
      <c r="CI30" s="465">
        <f>1698.264-CH30-CG30-CF30</f>
        <v>538.26099999999997</v>
      </c>
      <c r="CJ30" s="331">
        <f t="shared" si="172"/>
        <v>1698.2639999999999</v>
      </c>
      <c r="CK30" s="465">
        <v>679.46699999999998</v>
      </c>
      <c r="CL30" s="465">
        <f>1249.319-CK30</f>
        <v>569.85199999999998</v>
      </c>
      <c r="CM30" s="465">
        <f>2034.933-CL30-CK30</f>
        <v>785.61400000000015</v>
      </c>
      <c r="CN30" s="465">
        <f>2477.038-CM30-CL30-CK30</f>
        <v>442.10500000000013</v>
      </c>
      <c r="CO30" s="331">
        <f t="shared" si="173"/>
        <v>2477.038</v>
      </c>
      <c r="CP30" s="465">
        <v>913.178</v>
      </c>
      <c r="CQ30" s="465">
        <f>1659.159-CP30</f>
        <v>745.98100000000011</v>
      </c>
      <c r="CR30" s="465">
        <f>2436.216-CQ30-CP30</f>
        <v>777.05699999999968</v>
      </c>
      <c r="CS30" s="465">
        <f>3721.405-CR30-CQ30-CP30</f>
        <v>1285.1890000000003</v>
      </c>
      <c r="CT30" s="331">
        <f t="shared" si="174"/>
        <v>3721.4050000000002</v>
      </c>
      <c r="CU30" s="465">
        <v>1038.316</v>
      </c>
      <c r="CV30" s="465">
        <f>2437.951-CU30</f>
        <v>1399.635</v>
      </c>
      <c r="CW30" s="465">
        <f>3965.755-CV30-CU30</f>
        <v>1527.8039999999999</v>
      </c>
      <c r="CX30" s="465">
        <f>5750.224-SUM(CU30:CW30)</f>
        <v>1784.4690000000001</v>
      </c>
      <c r="CY30" s="331">
        <f t="shared" si="175"/>
        <v>5750.2240000000002</v>
      </c>
      <c r="CZ30" s="465">
        <v>1929.395</v>
      </c>
      <c r="DA30" s="465">
        <f>3689.564-CZ30</f>
        <v>1760.1689999999999</v>
      </c>
      <c r="DB30" s="465">
        <f>5273.944-DA30-CZ30</f>
        <v>1584.3800000000006</v>
      </c>
      <c r="DC30" s="498">
        <f>6890.167-DB30-DA30-CZ30</f>
        <v>1616.2230000000004</v>
      </c>
      <c r="DD30" s="331">
        <f t="shared" si="176"/>
        <v>6890.1670000000013</v>
      </c>
      <c r="DE30" s="465">
        <v>1397</v>
      </c>
      <c r="DF30" s="465">
        <v>1245</v>
      </c>
      <c r="DG30" s="465">
        <v>1336</v>
      </c>
      <c r="DH30" s="465">
        <v>1612</v>
      </c>
      <c r="DI30" s="331">
        <f t="shared" si="177"/>
        <v>5590</v>
      </c>
      <c r="DJ30" s="465">
        <v>2147</v>
      </c>
      <c r="DK30" s="465">
        <v>1663</v>
      </c>
      <c r="DL30" s="465">
        <v>1837</v>
      </c>
      <c r="DM30" s="464">
        <f>DM29*-1</f>
        <v>0</v>
      </c>
      <c r="DN30" s="331">
        <f t="shared" si="178"/>
        <v>5647</v>
      </c>
      <c r="DO30" s="464">
        <f t="shared" ref="DO30:DR30" si="182">DO29*-1</f>
        <v>0</v>
      </c>
      <c r="DP30" s="464">
        <f t="shared" si="182"/>
        <v>0</v>
      </c>
      <c r="DQ30" s="464">
        <f t="shared" si="182"/>
        <v>0</v>
      </c>
      <c r="DR30" s="464">
        <f t="shared" si="182"/>
        <v>0</v>
      </c>
      <c r="DS30" s="331">
        <f t="shared" si="179"/>
        <v>0</v>
      </c>
      <c r="DT30" s="464">
        <f t="shared" ref="DT30:DW30" si="183">DT29*-1</f>
        <v>0</v>
      </c>
      <c r="DU30" s="464">
        <f t="shared" si="183"/>
        <v>0</v>
      </c>
      <c r="DV30" s="464">
        <f t="shared" si="183"/>
        <v>0</v>
      </c>
      <c r="DW30" s="464">
        <f t="shared" si="183"/>
        <v>0</v>
      </c>
      <c r="DX30" s="331">
        <f t="shared" si="180"/>
        <v>0</v>
      </c>
      <c r="DY30" s="464">
        <f t="shared" ref="DY30:EB30" si="184">DY29*-1</f>
        <v>0</v>
      </c>
      <c r="DZ30" s="464">
        <f t="shared" si="184"/>
        <v>0</v>
      </c>
      <c r="EA30" s="464">
        <f t="shared" si="184"/>
        <v>0</v>
      </c>
      <c r="EB30" s="464">
        <f t="shared" si="184"/>
        <v>0</v>
      </c>
      <c r="EC30" s="331">
        <f t="shared" si="181"/>
        <v>0</v>
      </c>
      <c r="ED30" s="296"/>
    </row>
    <row r="31" spans="1:134" ht="12" customHeight="1">
      <c r="A31" s="943"/>
      <c r="B31" s="943"/>
      <c r="C31" s="309" t="s">
        <v>408</v>
      </c>
      <c r="D31" s="452"/>
      <c r="E31" s="452"/>
      <c r="F31" s="452"/>
      <c r="G31" s="452"/>
      <c r="H31" s="452"/>
      <c r="I31" s="179"/>
      <c r="J31" s="179"/>
      <c r="K31" s="179"/>
      <c r="L31" s="179"/>
      <c r="M31" s="452"/>
      <c r="N31" s="179"/>
      <c r="O31" s="179"/>
      <c r="P31" s="179"/>
      <c r="Q31" s="179"/>
      <c r="R31" s="452"/>
      <c r="S31" s="179"/>
      <c r="T31" s="179"/>
      <c r="U31" s="179"/>
      <c r="V31" s="179"/>
      <c r="W31" s="452"/>
      <c r="X31" s="179"/>
      <c r="Y31" s="179"/>
      <c r="Z31" s="179"/>
      <c r="AA31" s="179"/>
      <c r="AB31" s="452"/>
      <c r="AC31" s="179"/>
      <c r="AD31" s="179"/>
      <c r="AE31" s="179"/>
      <c r="AF31" s="179"/>
      <c r="AG31" s="452"/>
      <c r="AH31" s="179"/>
      <c r="AI31" s="179"/>
      <c r="AJ31" s="179"/>
      <c r="AK31" s="179"/>
      <c r="AL31" s="452"/>
      <c r="AM31" s="179"/>
      <c r="AN31" s="179"/>
      <c r="AO31" s="179"/>
      <c r="AP31" s="179"/>
      <c r="AQ31" s="452"/>
      <c r="AR31" s="179"/>
      <c r="AS31" s="179"/>
      <c r="AT31" s="179"/>
      <c r="AU31" s="179"/>
      <c r="AV31" s="452"/>
      <c r="AW31" s="179"/>
      <c r="AX31" s="179"/>
      <c r="AY31" s="179"/>
      <c r="AZ31" s="179"/>
      <c r="BA31" s="452"/>
      <c r="BB31" s="179"/>
      <c r="BC31" s="179"/>
      <c r="BD31" s="179"/>
      <c r="BE31" s="179"/>
      <c r="BF31" s="452"/>
      <c r="BG31" s="484"/>
      <c r="BH31" s="484"/>
      <c r="BI31" s="484"/>
      <c r="BJ31" s="484"/>
      <c r="BK31" s="452"/>
      <c r="BL31" s="179"/>
      <c r="BM31" s="179"/>
      <c r="BN31" s="179"/>
      <c r="BO31" s="179"/>
      <c r="BP31" s="452"/>
      <c r="BQ31" s="465"/>
      <c r="BR31" s="465"/>
      <c r="BS31" s="465"/>
      <c r="BT31" s="465"/>
      <c r="BU31" s="331"/>
      <c r="BV31" s="465"/>
      <c r="BW31" s="465"/>
      <c r="BX31" s="465"/>
      <c r="BY31" s="465"/>
      <c r="BZ31" s="331"/>
      <c r="CA31" s="465"/>
      <c r="CB31" s="465"/>
      <c r="CC31" s="465"/>
      <c r="CD31" s="465"/>
      <c r="CE31" s="331"/>
      <c r="CF31" s="465"/>
      <c r="CG31" s="465"/>
      <c r="CH31" s="465"/>
      <c r="CI31" s="465"/>
      <c r="CJ31" s="331"/>
      <c r="CK31" s="465"/>
      <c r="CL31" s="465"/>
      <c r="CM31" s="465"/>
      <c r="CN31" s="465"/>
      <c r="CO31" s="331"/>
      <c r="CP31" s="465"/>
      <c r="CQ31" s="465"/>
      <c r="CR31" s="465"/>
      <c r="CS31" s="465"/>
      <c r="CT31" s="331"/>
      <c r="CU31" s="465"/>
      <c r="CV31" s="465"/>
      <c r="CW31" s="465"/>
      <c r="CX31" s="465"/>
      <c r="CY31" s="331"/>
      <c r="CZ31" s="465"/>
      <c r="DA31" s="465"/>
      <c r="DB31" s="465"/>
      <c r="DC31" s="498"/>
      <c r="DD31" s="331"/>
      <c r="DE31" s="465"/>
      <c r="DF31" s="465"/>
      <c r="DG31" s="465"/>
      <c r="DH31" s="465"/>
      <c r="DI31" s="331"/>
      <c r="DJ31" s="465"/>
      <c r="DK31" s="465">
        <v>-710</v>
      </c>
      <c r="DL31" s="520">
        <v>-844</v>
      </c>
      <c r="DM31" s="456">
        <v>-1000</v>
      </c>
      <c r="DN31" s="300">
        <f t="shared" ref="DN31:DN33" si="185">SUM(DJ31:DM31)</f>
        <v>-2554</v>
      </c>
      <c r="DO31" s="456">
        <f>DM31*0.9</f>
        <v>-900</v>
      </c>
      <c r="DP31" s="456">
        <f>DK31*1.25</f>
        <v>-887.5</v>
      </c>
      <c r="DQ31" s="456">
        <f t="shared" ref="DQ31:DR31" si="186">DL31*1.25</f>
        <v>-1055</v>
      </c>
      <c r="DR31" s="456">
        <f t="shared" si="186"/>
        <v>-1250</v>
      </c>
      <c r="DS31" s="300">
        <f t="shared" ref="DS31:DS33" si="187">SUM(DO31:DR31)</f>
        <v>-4092.5</v>
      </c>
      <c r="DT31" s="456">
        <f>DR31*0.9</f>
        <v>-1125</v>
      </c>
      <c r="DU31" s="456">
        <f>DP31*1.25</f>
        <v>-1109.375</v>
      </c>
      <c r="DV31" s="456">
        <f t="shared" ref="DV31" si="188">DQ31*1.25</f>
        <v>-1318.75</v>
      </c>
      <c r="DW31" s="456">
        <f t="shared" ref="DW31" si="189">DR31*1.25</f>
        <v>-1562.5</v>
      </c>
      <c r="DX31" s="300">
        <f t="shared" si="180"/>
        <v>-5115.625</v>
      </c>
      <c r="DY31" s="456">
        <f>DW31*0.9</f>
        <v>-1406.25</v>
      </c>
      <c r="DZ31" s="456">
        <f>DU31*1.25</f>
        <v>-1386.71875</v>
      </c>
      <c r="EA31" s="456">
        <f t="shared" ref="EA31" si="190">DV31*1.25</f>
        <v>-1648.4375</v>
      </c>
      <c r="EB31" s="456">
        <f t="shared" ref="EB31" si="191">DW31*1.25</f>
        <v>-1953.125</v>
      </c>
      <c r="EC31" s="300">
        <f t="shared" si="181"/>
        <v>-6394.53125</v>
      </c>
      <c r="ED31" s="296"/>
    </row>
    <row r="32" spans="1:134" ht="12" customHeight="1">
      <c r="A32" s="943"/>
      <c r="B32" s="943"/>
      <c r="C32" s="309" t="s">
        <v>409</v>
      </c>
      <c r="D32" s="452"/>
      <c r="E32" s="452"/>
      <c r="F32" s="452"/>
      <c r="G32" s="452"/>
      <c r="H32" s="452"/>
      <c r="I32" s="179"/>
      <c r="J32" s="179"/>
      <c r="K32" s="179"/>
      <c r="L32" s="179"/>
      <c r="M32" s="452"/>
      <c r="N32" s="179"/>
      <c r="O32" s="179"/>
      <c r="P32" s="179"/>
      <c r="Q32" s="179"/>
      <c r="R32" s="452"/>
      <c r="S32" s="179"/>
      <c r="T32" s="179"/>
      <c r="U32" s="179"/>
      <c r="V32" s="179"/>
      <c r="W32" s="452"/>
      <c r="X32" s="179"/>
      <c r="Y32" s="179"/>
      <c r="Z32" s="179"/>
      <c r="AA32" s="179"/>
      <c r="AB32" s="452"/>
      <c r="AC32" s="179"/>
      <c r="AD32" s="179"/>
      <c r="AE32" s="179"/>
      <c r="AF32" s="179"/>
      <c r="AG32" s="452"/>
      <c r="AH32" s="179"/>
      <c r="AI32" s="179"/>
      <c r="AJ32" s="179"/>
      <c r="AK32" s="179"/>
      <c r="AL32" s="452"/>
      <c r="AM32" s="179"/>
      <c r="AN32" s="179"/>
      <c r="AO32" s="179"/>
      <c r="AP32" s="179"/>
      <c r="AQ32" s="452"/>
      <c r="AR32" s="179"/>
      <c r="AS32" s="179"/>
      <c r="AT32" s="179"/>
      <c r="AU32" s="179"/>
      <c r="AV32" s="452"/>
      <c r="AW32" s="179"/>
      <c r="AX32" s="179"/>
      <c r="AY32" s="179"/>
      <c r="AZ32" s="179"/>
      <c r="BA32" s="452"/>
      <c r="BB32" s="179"/>
      <c r="BC32" s="179"/>
      <c r="BD32" s="179"/>
      <c r="BE32" s="179"/>
      <c r="BF32" s="452"/>
      <c r="BG32" s="484"/>
      <c r="BH32" s="484"/>
      <c r="BI32" s="484"/>
      <c r="BJ32" s="484"/>
      <c r="BK32" s="452"/>
      <c r="BL32" s="179"/>
      <c r="BM32" s="179"/>
      <c r="BN32" s="179"/>
      <c r="BO32" s="179"/>
      <c r="BP32" s="452"/>
      <c r="BQ32" s="465"/>
      <c r="BR32" s="465"/>
      <c r="BS32" s="465"/>
      <c r="BT32" s="465"/>
      <c r="BU32" s="331"/>
      <c r="BV32" s="465"/>
      <c r="BW32" s="465"/>
      <c r="BX32" s="465"/>
      <c r="BY32" s="465"/>
      <c r="BZ32" s="331"/>
      <c r="CA32" s="465"/>
      <c r="CB32" s="465"/>
      <c r="CC32" s="465"/>
      <c r="CD32" s="465"/>
      <c r="CE32" s="331"/>
      <c r="CF32" s="465"/>
      <c r="CG32" s="465"/>
      <c r="CH32" s="465"/>
      <c r="CI32" s="465"/>
      <c r="CJ32" s="331"/>
      <c r="CK32" s="465"/>
      <c r="CL32" s="465"/>
      <c r="CM32" s="465"/>
      <c r="CN32" s="465"/>
      <c r="CO32" s="331"/>
      <c r="CP32" s="465"/>
      <c r="CQ32" s="465"/>
      <c r="CR32" s="465"/>
      <c r="CS32" s="465"/>
      <c r="CT32" s="331"/>
      <c r="CU32" s="465"/>
      <c r="CV32" s="465"/>
      <c r="CW32" s="465"/>
      <c r="CX32" s="465"/>
      <c r="CY32" s="331"/>
      <c r="CZ32" s="465"/>
      <c r="DA32" s="465"/>
      <c r="DB32" s="465"/>
      <c r="DC32" s="498"/>
      <c r="DD32" s="331"/>
      <c r="DE32" s="465"/>
      <c r="DF32" s="465"/>
      <c r="DG32" s="465"/>
      <c r="DH32" s="465"/>
      <c r="DI32" s="331"/>
      <c r="DJ32" s="465"/>
      <c r="DK32" s="465">
        <v>594</v>
      </c>
      <c r="DL32" s="465">
        <v>628</v>
      </c>
      <c r="DM32" s="464">
        <f>DM31*-1.1</f>
        <v>1100</v>
      </c>
      <c r="DN32" s="300">
        <f t="shared" si="185"/>
        <v>2322</v>
      </c>
      <c r="DO32" s="464">
        <f>-DO31*1.05</f>
        <v>945</v>
      </c>
      <c r="DP32" s="464">
        <f t="shared" ref="DP32" si="192">-DP31*1.05</f>
        <v>931.875</v>
      </c>
      <c r="DQ32" s="464">
        <f>-DQ31*0.85</f>
        <v>896.75</v>
      </c>
      <c r="DR32" s="464">
        <f>DR31*-1.1</f>
        <v>1375</v>
      </c>
      <c r="DS32" s="300">
        <f t="shared" si="187"/>
        <v>4148.625</v>
      </c>
      <c r="DT32" s="464">
        <f>-DT31*1.05</f>
        <v>1181.25</v>
      </c>
      <c r="DU32" s="464">
        <f t="shared" ref="DU32" si="193">-DU31*1.05</f>
        <v>1164.84375</v>
      </c>
      <c r="DV32" s="464">
        <f>-DV31*0.85</f>
        <v>1120.9375</v>
      </c>
      <c r="DW32" s="464">
        <f>DW31*-1.1</f>
        <v>1718.7500000000002</v>
      </c>
      <c r="DX32" s="300">
        <f t="shared" si="180"/>
        <v>5185.78125</v>
      </c>
      <c r="DY32" s="464">
        <f>-DY31*1.05</f>
        <v>1476.5625</v>
      </c>
      <c r="DZ32" s="464">
        <f t="shared" ref="DZ32" si="194">-DZ31*1.05</f>
        <v>1456.0546875</v>
      </c>
      <c r="EA32" s="464">
        <f>-EA31*0.85</f>
        <v>1401.171875</v>
      </c>
      <c r="EB32" s="464">
        <f>EB31*-1.1</f>
        <v>2148.4375</v>
      </c>
      <c r="EC32" s="300">
        <f t="shared" si="181"/>
        <v>6482.2265625</v>
      </c>
      <c r="ED32" s="296"/>
    </row>
    <row r="33" spans="1:134" ht="12" customHeight="1">
      <c r="A33" s="943"/>
      <c r="B33" s="943"/>
      <c r="C33" s="309" t="s">
        <v>410</v>
      </c>
      <c r="D33" s="452"/>
      <c r="E33" s="452"/>
      <c r="F33" s="452"/>
      <c r="G33" s="452"/>
      <c r="H33" s="452"/>
      <c r="I33" s="179"/>
      <c r="J33" s="179"/>
      <c r="K33" s="179"/>
      <c r="L33" s="179"/>
      <c r="M33" s="452"/>
      <c r="N33" s="179"/>
      <c r="O33" s="179"/>
      <c r="P33" s="179"/>
      <c r="Q33" s="179"/>
      <c r="R33" s="452"/>
      <c r="S33" s="179"/>
      <c r="T33" s="179"/>
      <c r="U33" s="179"/>
      <c r="V33" s="179"/>
      <c r="W33" s="452"/>
      <c r="X33" s="179"/>
      <c r="Y33" s="179"/>
      <c r="Z33" s="179"/>
      <c r="AA33" s="179"/>
      <c r="AB33" s="452"/>
      <c r="AC33" s="179"/>
      <c r="AD33" s="179"/>
      <c r="AE33" s="179"/>
      <c r="AF33" s="179"/>
      <c r="AG33" s="452"/>
      <c r="AH33" s="179"/>
      <c r="AI33" s="179"/>
      <c r="AJ33" s="179"/>
      <c r="AK33" s="179"/>
      <c r="AL33" s="452"/>
      <c r="AM33" s="179"/>
      <c r="AN33" s="179"/>
      <c r="AO33" s="179"/>
      <c r="AP33" s="179"/>
      <c r="AQ33" s="452"/>
      <c r="AR33" s="179"/>
      <c r="AS33" s="179"/>
      <c r="AT33" s="179"/>
      <c r="AU33" s="179"/>
      <c r="AV33" s="452"/>
      <c r="AW33" s="179"/>
      <c r="AX33" s="179"/>
      <c r="AY33" s="179"/>
      <c r="AZ33" s="179"/>
      <c r="BA33" s="452"/>
      <c r="BB33" s="179"/>
      <c r="BC33" s="179"/>
      <c r="BD33" s="179"/>
      <c r="BE33" s="179"/>
      <c r="BF33" s="452"/>
      <c r="BG33" s="484"/>
      <c r="BH33" s="484"/>
      <c r="BI33" s="484"/>
      <c r="BJ33" s="484"/>
      <c r="BK33" s="452"/>
      <c r="BL33" s="179"/>
      <c r="BM33" s="179"/>
      <c r="BN33" s="179"/>
      <c r="BO33" s="179"/>
      <c r="BP33" s="452"/>
      <c r="BQ33" s="465"/>
      <c r="BR33" s="465"/>
      <c r="BS33" s="465"/>
      <c r="BT33" s="465"/>
      <c r="BU33" s="331"/>
      <c r="BV33" s="465"/>
      <c r="BW33" s="465"/>
      <c r="BX33" s="465"/>
      <c r="BY33" s="465"/>
      <c r="BZ33" s="331"/>
      <c r="CA33" s="465"/>
      <c r="CB33" s="465"/>
      <c r="CC33" s="465"/>
      <c r="CD33" s="465"/>
      <c r="CE33" s="331"/>
      <c r="CF33" s="465"/>
      <c r="CG33" s="465"/>
      <c r="CH33" s="465"/>
      <c r="CI33" s="465"/>
      <c r="CJ33" s="331"/>
      <c r="CK33" s="465"/>
      <c r="CL33" s="465"/>
      <c r="CM33" s="465"/>
      <c r="CN33" s="465"/>
      <c r="CO33" s="331"/>
      <c r="CP33" s="465"/>
      <c r="CQ33" s="465"/>
      <c r="CR33" s="465"/>
      <c r="CS33" s="465"/>
      <c r="CT33" s="331"/>
      <c r="CU33" s="465"/>
      <c r="CV33" s="465"/>
      <c r="CW33" s="465"/>
      <c r="CX33" s="465"/>
      <c r="CY33" s="331"/>
      <c r="CZ33" s="465"/>
      <c r="DA33" s="465"/>
      <c r="DB33" s="465"/>
      <c r="DC33" s="498"/>
      <c r="DD33" s="331"/>
      <c r="DE33" s="465"/>
      <c r="DF33" s="465"/>
      <c r="DG33" s="465"/>
      <c r="DH33" s="465"/>
      <c r="DI33" s="331"/>
      <c r="DJ33" s="465"/>
      <c r="DK33" s="465">
        <v>-106</v>
      </c>
      <c r="DL33" s="520">
        <v>-4</v>
      </c>
      <c r="DM33" s="456">
        <v>0</v>
      </c>
      <c r="DN33" s="300">
        <f t="shared" si="185"/>
        <v>-110</v>
      </c>
      <c r="DO33" s="456">
        <v>0</v>
      </c>
      <c r="DP33" s="456">
        <v>0</v>
      </c>
      <c r="DQ33" s="456">
        <v>0</v>
      </c>
      <c r="DR33" s="456">
        <v>0</v>
      </c>
      <c r="DS33" s="300">
        <f t="shared" si="187"/>
        <v>0</v>
      </c>
      <c r="DT33" s="456">
        <v>0</v>
      </c>
      <c r="DU33" s="456">
        <v>0</v>
      </c>
      <c r="DV33" s="456">
        <v>0</v>
      </c>
      <c r="DW33" s="456">
        <v>0</v>
      </c>
      <c r="DX33" s="300">
        <f t="shared" si="180"/>
        <v>0</v>
      </c>
      <c r="DY33" s="456">
        <v>0</v>
      </c>
      <c r="DZ33" s="456">
        <v>0</v>
      </c>
      <c r="EA33" s="456">
        <v>0</v>
      </c>
      <c r="EB33" s="456">
        <v>0</v>
      </c>
      <c r="EC33" s="300">
        <f t="shared" si="181"/>
        <v>0</v>
      </c>
      <c r="ED33" s="296"/>
    </row>
    <row r="34" spans="1:134" ht="12" customHeight="1">
      <c r="A34" s="943"/>
      <c r="B34" s="943"/>
      <c r="C34" s="309" t="s">
        <v>256</v>
      </c>
      <c r="D34" s="369"/>
      <c r="E34" s="369"/>
      <c r="F34" s="369"/>
      <c r="G34" s="369"/>
      <c r="H34" s="369"/>
      <c r="I34" s="370"/>
      <c r="J34" s="370"/>
      <c r="K34" s="370"/>
      <c r="L34" s="370"/>
      <c r="M34" s="452"/>
      <c r="N34" s="370"/>
      <c r="O34" s="370"/>
      <c r="P34" s="370"/>
      <c r="Q34" s="370"/>
      <c r="R34" s="452"/>
      <c r="S34" s="370"/>
      <c r="T34" s="370"/>
      <c r="U34" s="370"/>
      <c r="V34" s="370"/>
      <c r="W34" s="452"/>
      <c r="X34" s="370"/>
      <c r="Y34" s="370"/>
      <c r="Z34" s="370"/>
      <c r="AA34" s="370"/>
      <c r="AB34" s="452"/>
      <c r="AC34" s="370"/>
      <c r="AD34" s="370"/>
      <c r="AE34" s="370"/>
      <c r="AF34" s="370"/>
      <c r="AG34" s="452"/>
      <c r="AH34" s="370"/>
      <c r="AI34" s="370"/>
      <c r="AJ34" s="370"/>
      <c r="AK34" s="370"/>
      <c r="AL34" s="452"/>
      <c r="AM34" s="370"/>
      <c r="AN34" s="370"/>
      <c r="AO34" s="370"/>
      <c r="AP34" s="370"/>
      <c r="AQ34" s="452"/>
      <c r="AR34" s="370"/>
      <c r="AS34" s="370"/>
      <c r="AT34" s="370"/>
      <c r="AU34" s="370"/>
      <c r="AV34" s="452"/>
      <c r="AW34" s="370"/>
      <c r="AX34" s="370"/>
      <c r="AY34" s="370"/>
      <c r="AZ34" s="370"/>
      <c r="BA34" s="452"/>
      <c r="BB34" s="370"/>
      <c r="BC34" s="370"/>
      <c r="BD34" s="370"/>
      <c r="BE34" s="370"/>
      <c r="BF34" s="369"/>
      <c r="BG34" s="521"/>
      <c r="BH34" s="521"/>
      <c r="BI34" s="521"/>
      <c r="BJ34" s="521"/>
      <c r="BK34" s="369"/>
      <c r="BL34" s="370"/>
      <c r="BM34" s="370"/>
      <c r="BN34" s="370"/>
      <c r="BO34" s="370"/>
      <c r="BP34" s="452"/>
      <c r="BQ34" s="282">
        <v>-1.02</v>
      </c>
      <c r="BR34" s="282">
        <f>-1.813-BQ34</f>
        <v>-0.79299999999999993</v>
      </c>
      <c r="BS34" s="282">
        <f>-2.397-BR34-BQ34</f>
        <v>-0.58399999999999985</v>
      </c>
      <c r="BT34" s="282">
        <f>-4.511-SUM(BQ34:BS34)</f>
        <v>-2.1140000000000003</v>
      </c>
      <c r="BU34" s="300">
        <f t="shared" si="169"/>
        <v>-4.5110000000000001</v>
      </c>
      <c r="BV34" s="282">
        <v>-0.33</v>
      </c>
      <c r="BW34" s="282">
        <f>-1.256-BV34</f>
        <v>-0.92599999999999993</v>
      </c>
      <c r="BX34" s="282">
        <f>-2.004-BW34-BV34</f>
        <v>-0.748</v>
      </c>
      <c r="BY34" s="282">
        <f>-2.463-BX34-BW34-BV34</f>
        <v>-0.45900000000000013</v>
      </c>
      <c r="BZ34" s="300">
        <f t="shared" si="170"/>
        <v>-2.4630000000000001</v>
      </c>
      <c r="CA34" s="282">
        <v>-0.92400000000000004</v>
      </c>
      <c r="CB34" s="282">
        <f>-2.024-CA34</f>
        <v>-1.1000000000000001</v>
      </c>
      <c r="CC34" s="282">
        <f>-2.882-CB34-CA34</f>
        <v>-0.85799999999999998</v>
      </c>
      <c r="CD34" s="282">
        <f>-4.219-CC34-CB34-CA34</f>
        <v>-1.3370000000000002</v>
      </c>
      <c r="CE34" s="300">
        <f t="shared" si="171"/>
        <v>-4.2190000000000003</v>
      </c>
      <c r="CF34" s="282">
        <v>-5.4470000000000001</v>
      </c>
      <c r="CG34" s="282">
        <f>-9.353-CF34</f>
        <v>-3.9059999999999997</v>
      </c>
      <c r="CH34" s="282">
        <f>-12.328-CG34-CF34</f>
        <v>-2.9750000000000005</v>
      </c>
      <c r="CI34" s="282">
        <f>-13.595-CH34-CG34-CF34</f>
        <v>-1.2670000000000012</v>
      </c>
      <c r="CJ34" s="300">
        <f t="shared" si="172"/>
        <v>-13.595000000000001</v>
      </c>
      <c r="CK34" s="282">
        <v>-1.44</v>
      </c>
      <c r="CL34" s="282">
        <f>-1.935-CK34</f>
        <v>-0.49500000000000011</v>
      </c>
      <c r="CM34" s="282">
        <f>-5.484-CL34-CK34</f>
        <v>-3.5489999999999999</v>
      </c>
      <c r="CN34" s="282">
        <f>-5.638-CM34-CL34-CK34</f>
        <v>-0.15399999999999991</v>
      </c>
      <c r="CO34" s="300">
        <f t="shared" si="173"/>
        <v>-5.6379999999999999</v>
      </c>
      <c r="CP34" s="282">
        <v>-0.219</v>
      </c>
      <c r="CQ34" s="282">
        <f>-0.262-CP34</f>
        <v>-4.300000000000001E-2</v>
      </c>
      <c r="CR34" s="282">
        <f>-0.262-CQ34-CP34</f>
        <v>0</v>
      </c>
      <c r="CS34" s="282">
        <f>-0.262-CR34-CQ34-CP34</f>
        <v>0</v>
      </c>
      <c r="CT34" s="300">
        <f t="shared" si="174"/>
        <v>-0.26200000000000001</v>
      </c>
      <c r="CU34" s="282">
        <v>0</v>
      </c>
      <c r="CV34" s="282">
        <f>0-CU34</f>
        <v>0</v>
      </c>
      <c r="CW34" s="282">
        <v>0</v>
      </c>
      <c r="CX34" s="282">
        <v>0</v>
      </c>
      <c r="CY34" s="300">
        <f t="shared" si="175"/>
        <v>0</v>
      </c>
      <c r="CZ34" s="282">
        <v>0</v>
      </c>
      <c r="DA34" s="282">
        <v>0</v>
      </c>
      <c r="DB34" s="282">
        <v>0</v>
      </c>
      <c r="DC34" s="282">
        <v>0</v>
      </c>
      <c r="DD34" s="300">
        <f t="shared" si="176"/>
        <v>0</v>
      </c>
      <c r="DE34" s="282">
        <v>0</v>
      </c>
      <c r="DF34" s="282">
        <v>0</v>
      </c>
      <c r="DG34" s="282">
        <v>0</v>
      </c>
      <c r="DH34" s="282">
        <v>0</v>
      </c>
      <c r="DI34" s="300">
        <f t="shared" si="177"/>
        <v>0</v>
      </c>
      <c r="DJ34" s="282">
        <v>0</v>
      </c>
      <c r="DK34" s="282">
        <v>0</v>
      </c>
      <c r="DL34" s="282">
        <v>0</v>
      </c>
      <c r="DM34" s="326">
        <v>0</v>
      </c>
      <c r="DN34" s="300">
        <f t="shared" si="178"/>
        <v>0</v>
      </c>
      <c r="DO34" s="326">
        <v>0</v>
      </c>
      <c r="DP34" s="326">
        <v>0</v>
      </c>
      <c r="DQ34" s="326">
        <v>0</v>
      </c>
      <c r="DR34" s="326">
        <v>0</v>
      </c>
      <c r="DS34" s="300">
        <f t="shared" si="179"/>
        <v>0</v>
      </c>
      <c r="DT34" s="326">
        <v>0</v>
      </c>
      <c r="DU34" s="326">
        <v>0</v>
      </c>
      <c r="DV34" s="326">
        <v>0</v>
      </c>
      <c r="DW34" s="326">
        <v>0</v>
      </c>
      <c r="DX34" s="300">
        <f t="shared" si="180"/>
        <v>0</v>
      </c>
      <c r="DY34" s="326">
        <v>0</v>
      </c>
      <c r="DZ34" s="326">
        <v>0</v>
      </c>
      <c r="EA34" s="326">
        <v>0</v>
      </c>
      <c r="EB34" s="326">
        <v>0</v>
      </c>
      <c r="EC34" s="300">
        <f t="shared" si="181"/>
        <v>0</v>
      </c>
      <c r="ED34" s="296"/>
    </row>
    <row r="35" spans="1:134" ht="12" customHeight="1">
      <c r="A35" s="943"/>
      <c r="B35" s="943"/>
      <c r="C35" s="309" t="s">
        <v>257</v>
      </c>
      <c r="D35" s="369"/>
      <c r="E35" s="369"/>
      <c r="F35" s="369"/>
      <c r="G35" s="369"/>
      <c r="H35" s="369"/>
      <c r="I35" s="370"/>
      <c r="J35" s="370"/>
      <c r="K35" s="370"/>
      <c r="L35" s="370"/>
      <c r="M35" s="452"/>
      <c r="N35" s="370"/>
      <c r="O35" s="370"/>
      <c r="P35" s="370"/>
      <c r="Q35" s="370"/>
      <c r="R35" s="452"/>
      <c r="S35" s="370"/>
      <c r="T35" s="370"/>
      <c r="U35" s="370"/>
      <c r="V35" s="370"/>
      <c r="W35" s="452"/>
      <c r="X35" s="370"/>
      <c r="Y35" s="370"/>
      <c r="Z35" s="370"/>
      <c r="AA35" s="370"/>
      <c r="AB35" s="452"/>
      <c r="AC35" s="370"/>
      <c r="AD35" s="370"/>
      <c r="AE35" s="370"/>
      <c r="AF35" s="370"/>
      <c r="AG35" s="452"/>
      <c r="AH35" s="370"/>
      <c r="AI35" s="370"/>
      <c r="AJ35" s="370"/>
      <c r="AK35" s="370"/>
      <c r="AL35" s="452"/>
      <c r="AM35" s="370"/>
      <c r="AN35" s="370"/>
      <c r="AO35" s="370"/>
      <c r="AP35" s="370"/>
      <c r="AQ35" s="452"/>
      <c r="AR35" s="370"/>
      <c r="AS35" s="370"/>
      <c r="AT35" s="370"/>
      <c r="AU35" s="370"/>
      <c r="AV35" s="452"/>
      <c r="AW35" s="370"/>
      <c r="AX35" s="370"/>
      <c r="AY35" s="370"/>
      <c r="AZ35" s="370"/>
      <c r="BA35" s="452"/>
      <c r="BB35" s="370"/>
      <c r="BC35" s="370"/>
      <c r="BD35" s="370"/>
      <c r="BE35" s="370"/>
      <c r="BF35" s="369"/>
      <c r="BG35" s="484"/>
      <c r="BH35" s="484"/>
      <c r="BI35" s="484"/>
      <c r="BJ35" s="484"/>
      <c r="BK35" s="369"/>
      <c r="BL35" s="370"/>
      <c r="BM35" s="370"/>
      <c r="BN35" s="370"/>
      <c r="BO35" s="370"/>
      <c r="BP35" s="452"/>
      <c r="BQ35" s="282">
        <v>0</v>
      </c>
      <c r="BR35" s="282">
        <v>0</v>
      </c>
      <c r="BS35" s="282">
        <f>0-BR35-BQ35</f>
        <v>0</v>
      </c>
      <c r="BT35" s="282">
        <f>0-BS35-BR35-BQ35</f>
        <v>0</v>
      </c>
      <c r="BU35" s="300">
        <f t="shared" si="169"/>
        <v>0</v>
      </c>
      <c r="BV35" s="282">
        <v>0</v>
      </c>
      <c r="BW35" s="282">
        <f>-7.969-BV35</f>
        <v>-7.9690000000000003</v>
      </c>
      <c r="BX35" s="282">
        <f>-7.969-BW35-BV35</f>
        <v>0</v>
      </c>
      <c r="BY35" s="282">
        <f>-14.114-BX35-BW35-BV35</f>
        <v>-6.1450000000000005</v>
      </c>
      <c r="BZ35" s="300">
        <f t="shared" si="170"/>
        <v>-14.114000000000001</v>
      </c>
      <c r="CA35" s="282">
        <v>0</v>
      </c>
      <c r="CB35" s="282">
        <f>-15.718-CA35</f>
        <v>-15.718</v>
      </c>
      <c r="CC35" s="282">
        <f>-15.718-CB35-CA35</f>
        <v>0</v>
      </c>
      <c r="CD35" s="282">
        <f>-15.718-CC35-CB35-CA35</f>
        <v>0</v>
      </c>
      <c r="CE35" s="300">
        <f t="shared" si="171"/>
        <v>-15.718</v>
      </c>
      <c r="CF35" s="282">
        <v>0</v>
      </c>
      <c r="CG35" s="282">
        <f>-3.718-CF35</f>
        <v>-3.718</v>
      </c>
      <c r="CH35" s="282">
        <f>-3.718-CG35-CF35</f>
        <v>0</v>
      </c>
      <c r="CI35" s="282">
        <f>-19.397-CH35-CG35-CF35</f>
        <v>-15.678999999999998</v>
      </c>
      <c r="CJ35" s="300">
        <f t="shared" si="172"/>
        <v>-19.396999999999998</v>
      </c>
      <c r="CK35" s="282">
        <v>-5.7140000000000004</v>
      </c>
      <c r="CL35" s="282">
        <f>-12.476-CK35</f>
        <v>-6.7620000000000005</v>
      </c>
      <c r="CM35" s="282">
        <f>-12.476-CL35-CK35</f>
        <v>0</v>
      </c>
      <c r="CN35" s="282">
        <f>-265.512-CM35-CL35-CK35</f>
        <v>-253.036</v>
      </c>
      <c r="CO35" s="300">
        <f t="shared" si="173"/>
        <v>-265.512</v>
      </c>
      <c r="CP35" s="282">
        <v>0</v>
      </c>
      <c r="CQ35" s="282">
        <v>0</v>
      </c>
      <c r="CR35" s="282">
        <v>0</v>
      </c>
      <c r="CS35" s="282">
        <f>0-CR35-CQ35-CP35</f>
        <v>0</v>
      </c>
      <c r="CT35" s="300">
        <f t="shared" si="174"/>
        <v>0</v>
      </c>
      <c r="CU35" s="282">
        <v>0</v>
      </c>
      <c r="CV35" s="282">
        <v>0</v>
      </c>
      <c r="CW35" s="282">
        <f>-49.8-CV35-CU35</f>
        <v>-49.8</v>
      </c>
      <c r="CX35" s="282">
        <f>-59.627-SUM(CU35:CW35)</f>
        <v>-9.8270000000000053</v>
      </c>
      <c r="CY35" s="300">
        <f t="shared" si="175"/>
        <v>-59.627000000000002</v>
      </c>
      <c r="CZ35" s="282">
        <v>-453.94499999999999</v>
      </c>
      <c r="DA35" s="282">
        <f>-569.649-CZ35-30.008</f>
        <v>-145.71200000000002</v>
      </c>
      <c r="DB35" s="282">
        <f>-1753.748-DA35-CZ35-630.135</f>
        <v>-1784.2260000000001</v>
      </c>
      <c r="DC35" s="489">
        <f>-1753.748-DB35-DA35-CZ35-635.156</f>
        <v>-5.0209999999998445</v>
      </c>
      <c r="DD35" s="300">
        <f t="shared" si="176"/>
        <v>-2388.904</v>
      </c>
      <c r="DE35" s="282">
        <f>-90-31</f>
        <v>-121</v>
      </c>
      <c r="DF35" s="282">
        <v>-14</v>
      </c>
      <c r="DG35" s="282">
        <v>0</v>
      </c>
      <c r="DH35" s="282">
        <v>0</v>
      </c>
      <c r="DI35" s="300">
        <f t="shared" si="177"/>
        <v>-135</v>
      </c>
      <c r="DJ35" s="282">
        <v>0</v>
      </c>
      <c r="DK35" s="282">
        <v>-26</v>
      </c>
      <c r="DL35" s="302">
        <v>-4</v>
      </c>
      <c r="DM35" s="326">
        <v>0</v>
      </c>
      <c r="DN35" s="300">
        <f t="shared" si="178"/>
        <v>-30</v>
      </c>
      <c r="DO35" s="326">
        <v>0</v>
      </c>
      <c r="DP35" s="326">
        <v>0</v>
      </c>
      <c r="DQ35" s="326">
        <v>0</v>
      </c>
      <c r="DR35" s="326">
        <v>0</v>
      </c>
      <c r="DS35" s="300">
        <f t="shared" si="179"/>
        <v>0</v>
      </c>
      <c r="DT35" s="326">
        <v>0</v>
      </c>
      <c r="DU35" s="326">
        <v>0</v>
      </c>
      <c r="DV35" s="326">
        <v>0</v>
      </c>
      <c r="DW35" s="326">
        <v>0</v>
      </c>
      <c r="DX35" s="300">
        <f t="shared" si="180"/>
        <v>0</v>
      </c>
      <c r="DY35" s="326">
        <v>0</v>
      </c>
      <c r="DZ35" s="326">
        <v>0</v>
      </c>
      <c r="EA35" s="326">
        <v>0</v>
      </c>
      <c r="EB35" s="326">
        <v>0</v>
      </c>
      <c r="EC35" s="300">
        <f t="shared" si="181"/>
        <v>0</v>
      </c>
      <c r="ED35" s="296"/>
    </row>
    <row r="36" spans="1:134" ht="12" customHeight="1">
      <c r="A36" s="943"/>
      <c r="B36" s="943"/>
      <c r="C36" s="309" t="s">
        <v>74</v>
      </c>
      <c r="D36" s="369"/>
      <c r="E36" s="369"/>
      <c r="F36" s="369"/>
      <c r="G36" s="369"/>
      <c r="H36" s="369"/>
      <c r="I36" s="370"/>
      <c r="J36" s="370"/>
      <c r="K36" s="370"/>
      <c r="L36" s="370"/>
      <c r="M36" s="452"/>
      <c r="N36" s="370"/>
      <c r="O36" s="370"/>
      <c r="P36" s="370"/>
      <c r="Q36" s="370"/>
      <c r="R36" s="452"/>
      <c r="S36" s="370"/>
      <c r="T36" s="370"/>
      <c r="U36" s="370"/>
      <c r="V36" s="370"/>
      <c r="W36" s="452"/>
      <c r="X36" s="370"/>
      <c r="Y36" s="370"/>
      <c r="Z36" s="370"/>
      <c r="AA36" s="370"/>
      <c r="AB36" s="452"/>
      <c r="AC36" s="370"/>
      <c r="AD36" s="370"/>
      <c r="AE36" s="370"/>
      <c r="AF36" s="370"/>
      <c r="AG36" s="452"/>
      <c r="AH36" s="370"/>
      <c r="AI36" s="370"/>
      <c r="AJ36" s="370"/>
      <c r="AK36" s="370"/>
      <c r="AL36" s="452"/>
      <c r="AM36" s="370"/>
      <c r="AN36" s="370"/>
      <c r="AO36" s="370"/>
      <c r="AP36" s="370"/>
      <c r="AQ36" s="452"/>
      <c r="AR36" s="370"/>
      <c r="AS36" s="370"/>
      <c r="AT36" s="370"/>
      <c r="AU36" s="370"/>
      <c r="AV36" s="452"/>
      <c r="AW36" s="370"/>
      <c r="AX36" s="370"/>
      <c r="AY36" s="370"/>
      <c r="AZ36" s="370"/>
      <c r="BA36" s="452"/>
      <c r="BB36" s="370"/>
      <c r="BC36" s="370"/>
      <c r="BD36" s="370"/>
      <c r="BE36" s="370"/>
      <c r="BF36" s="369"/>
      <c r="BG36" s="137"/>
      <c r="BH36" s="137"/>
      <c r="BI36" s="137"/>
      <c r="BJ36" s="137"/>
      <c r="BK36" s="369"/>
      <c r="BL36" s="370"/>
      <c r="BM36" s="370"/>
      <c r="BN36" s="370"/>
      <c r="BO36" s="370"/>
      <c r="BP36" s="452"/>
      <c r="BQ36" s="282">
        <f>1.152-SUM(BQ28:BQ35)</f>
        <v>3.4000000000002917E-3</v>
      </c>
      <c r="BR36" s="282">
        <f>-41.522-BQ37-SUM(BR28:BR35)</f>
        <v>-3.3999999999991815E-3</v>
      </c>
      <c r="BS36" s="282">
        <f>-72.601-BR37-BQ37-SUM(BS28:BS35)</f>
        <v>2.999999999996561E-3</v>
      </c>
      <c r="BT36" s="282">
        <f>-83.84-BS37-BR37-BQ37-SUM(BT28:BT35)</f>
        <v>-3.00000000000189E-3</v>
      </c>
      <c r="BU36" s="300">
        <f t="shared" si="169"/>
        <v>-4.2188474935755949E-15</v>
      </c>
      <c r="BV36" s="282"/>
      <c r="BW36" s="282"/>
      <c r="BX36" s="282"/>
      <c r="BY36" s="282"/>
      <c r="BZ36" s="300"/>
      <c r="CA36" s="282">
        <f>10.303-SUM(CA28:CA35)</f>
        <v>0</v>
      </c>
      <c r="CB36" s="282">
        <f>-447.635-CA37-SUM(CB28:CB35)</f>
        <v>0</v>
      </c>
      <c r="CC36" s="282">
        <f>-525.551-CB37-CA37-SUM(CC28:CC35)</f>
        <v>0</v>
      </c>
      <c r="CD36" s="282">
        <f>-527.17-CC37-CB37-CA37-SUM(CD28:CD35)</f>
        <v>-5.2846615972157451E-14</v>
      </c>
      <c r="CE36" s="300">
        <f t="shared" si="171"/>
        <v>-5.2846615972157451E-14</v>
      </c>
      <c r="CF36" s="282">
        <f>-596.257-SUM(CF28:CF35)</f>
        <v>0</v>
      </c>
      <c r="CG36" s="282">
        <f>-581.118-CF37-SUM(CG28:CG35)</f>
        <v>-8.1712414612411521E-14</v>
      </c>
      <c r="CH36" s="282">
        <f>-566.028-CG37-CF37-SUM(CH28:CH35)</f>
        <v>9.2370555648813024E-14</v>
      </c>
      <c r="CI36" s="282">
        <f>-810.633-CH37-CG37-CF37-SUM(CI28:CI35)</f>
        <v>-3.694822225952521E-13</v>
      </c>
      <c r="CJ36" s="300">
        <f t="shared" si="172"/>
        <v>-3.5882408155885059E-13</v>
      </c>
      <c r="CK36" s="282">
        <f>-37.292-SUM(CK28:CK35)</f>
        <v>-9.99999999940826E-4</v>
      </c>
      <c r="CL36" s="282">
        <f>181.657-CK37-SUM(CL28:CL35)</f>
        <v>9.9999999997635314E-4</v>
      </c>
      <c r="CM36" s="282">
        <f>-29.486-CL37-CK37-SUM(CM28:CM35)</f>
        <v>0</v>
      </c>
      <c r="CN36" s="282">
        <f>-569.475-CM37-CL37-CK37-SUM(CN28:CN35)</f>
        <v>0</v>
      </c>
      <c r="CO36" s="300">
        <f t="shared" si="173"/>
        <v>3.5527136788005009E-14</v>
      </c>
      <c r="CP36" s="282">
        <f>399.995-SUM(CP28:CP35)</f>
        <v>2.0000000000038654E-2</v>
      </c>
      <c r="CQ36" s="282">
        <f>-347.125-CP37-SUM(CQ28:CQ35)</f>
        <v>-10.020000000000095</v>
      </c>
      <c r="CR36" s="282">
        <f>-1270.566-CQ37-CP37-SUM(CR28:CR35)</f>
        <v>-5.0999999999817192E-2</v>
      </c>
      <c r="CS36" s="282">
        <f>-1931.848-CR37-CQ37-CP37-SUM(CS28:CS35)</f>
        <v>-1</v>
      </c>
      <c r="CT36" s="300">
        <f t="shared" si="174"/>
        <v>-11.050999999999874</v>
      </c>
      <c r="CU36" s="282">
        <f>-1618.379-SUM(CU28:CU35)</f>
        <v>-206.55199999999991</v>
      </c>
      <c r="CV36" s="282">
        <f>-2127.231-CU37-SUM(CV28:CV35)</f>
        <v>-195.32200000000034</v>
      </c>
      <c r="CW36" s="282">
        <f>-2367.903-CV37-CU37-SUM(CW28:CW35)</f>
        <v>-240.69199999999904</v>
      </c>
      <c r="CX36" s="282">
        <f>-2347.79-CW37-CV37-CU37-SUM(CX28:CX35)</f>
        <v>-7.6670000000005913</v>
      </c>
      <c r="CY36" s="300">
        <f t="shared" si="175"/>
        <v>-650.23299999999995</v>
      </c>
      <c r="CZ36" s="282">
        <v>0</v>
      </c>
      <c r="DA36" s="282">
        <v>0</v>
      </c>
      <c r="DB36" s="282">
        <v>0</v>
      </c>
      <c r="DC36" s="282">
        <f>-525.538+366.855</f>
        <v>-158.68299999999999</v>
      </c>
      <c r="DD36" s="300">
        <f t="shared" si="176"/>
        <v>-158.68299999999999</v>
      </c>
      <c r="DE36" s="282">
        <f>166-349</f>
        <v>-183</v>
      </c>
      <c r="DF36" s="282">
        <f>-457+279-26</f>
        <v>-204</v>
      </c>
      <c r="DG36" s="282">
        <f>-528+379-10</f>
        <v>-159</v>
      </c>
      <c r="DH36" s="302">
        <f>-527+514-260</f>
        <v>-273</v>
      </c>
      <c r="DI36" s="300">
        <f t="shared" si="177"/>
        <v>-819</v>
      </c>
      <c r="DJ36" s="302">
        <f>-575+545-1</f>
        <v>-31</v>
      </c>
      <c r="DK36" s="302">
        <v>2</v>
      </c>
      <c r="DL36" s="302">
        <v>1</v>
      </c>
      <c r="DM36" s="326">
        <v>0</v>
      </c>
      <c r="DN36" s="300">
        <f t="shared" si="178"/>
        <v>-28</v>
      </c>
      <c r="DO36" s="326">
        <v>0</v>
      </c>
      <c r="DP36" s="326">
        <v>0</v>
      </c>
      <c r="DQ36" s="326">
        <v>0</v>
      </c>
      <c r="DR36" s="326">
        <v>0</v>
      </c>
      <c r="DS36" s="300">
        <f t="shared" si="179"/>
        <v>0</v>
      </c>
      <c r="DT36" s="326">
        <v>0</v>
      </c>
      <c r="DU36" s="326">
        <v>0</v>
      </c>
      <c r="DV36" s="326">
        <v>0</v>
      </c>
      <c r="DW36" s="326">
        <v>0</v>
      </c>
      <c r="DX36" s="300">
        <f t="shared" si="180"/>
        <v>0</v>
      </c>
      <c r="DY36" s="326">
        <v>0</v>
      </c>
      <c r="DZ36" s="326">
        <v>0</v>
      </c>
      <c r="EA36" s="326">
        <v>0</v>
      </c>
      <c r="EB36" s="326">
        <v>0</v>
      </c>
      <c r="EC36" s="300">
        <f t="shared" si="181"/>
        <v>0</v>
      </c>
      <c r="ED36" s="338"/>
    </row>
    <row r="37" spans="1:134" ht="12" customHeight="1">
      <c r="A37" s="943"/>
      <c r="B37" s="943"/>
      <c r="C37" s="507" t="s">
        <v>45</v>
      </c>
      <c r="D37" s="508"/>
      <c r="E37" s="508"/>
      <c r="F37" s="508"/>
      <c r="G37" s="508"/>
      <c r="H37" s="508"/>
      <c r="I37" s="509"/>
      <c r="J37" s="509"/>
      <c r="K37" s="509"/>
      <c r="L37" s="509"/>
      <c r="M37" s="508"/>
      <c r="N37" s="509"/>
      <c r="O37" s="509"/>
      <c r="P37" s="509"/>
      <c r="Q37" s="509"/>
      <c r="R37" s="508"/>
      <c r="S37" s="509"/>
      <c r="T37" s="509"/>
      <c r="U37" s="509"/>
      <c r="V37" s="509"/>
      <c r="W37" s="508"/>
      <c r="X37" s="509"/>
      <c r="Y37" s="509"/>
      <c r="Z37" s="509"/>
      <c r="AA37" s="509"/>
      <c r="AB37" s="508"/>
      <c r="AC37" s="509"/>
      <c r="AD37" s="509"/>
      <c r="AE37" s="509"/>
      <c r="AF37" s="509"/>
      <c r="AG37" s="508"/>
      <c r="AH37" s="509"/>
      <c r="AI37" s="509"/>
      <c r="AJ37" s="509"/>
      <c r="AK37" s="509"/>
      <c r="AL37" s="508"/>
      <c r="AM37" s="509"/>
      <c r="AN37" s="509"/>
      <c r="AO37" s="509"/>
      <c r="AP37" s="509"/>
      <c r="AQ37" s="508"/>
      <c r="AR37" s="509"/>
      <c r="AS37" s="509"/>
      <c r="AT37" s="509"/>
      <c r="AU37" s="509"/>
      <c r="AV37" s="508"/>
      <c r="AW37" s="509"/>
      <c r="AX37" s="509"/>
      <c r="AY37" s="509"/>
      <c r="AZ37" s="509"/>
      <c r="BA37" s="508"/>
      <c r="BB37" s="509"/>
      <c r="BC37" s="509"/>
      <c r="BD37" s="509"/>
      <c r="BE37" s="509"/>
      <c r="BF37" s="508"/>
      <c r="BG37" s="509"/>
      <c r="BH37" s="509"/>
      <c r="BI37" s="509"/>
      <c r="BJ37" s="509"/>
      <c r="BK37" s="508"/>
      <c r="BL37" s="509"/>
      <c r="BM37" s="509"/>
      <c r="BN37" s="509"/>
      <c r="BO37" s="509"/>
      <c r="BP37" s="508"/>
      <c r="BQ37" s="341">
        <f t="shared" ref="BQ37:BT37" si="195">SUM(BQ28:BQ36)</f>
        <v>1.1519999999999999</v>
      </c>
      <c r="BR37" s="294">
        <f t="shared" si="195"/>
        <v>-42.673999999999999</v>
      </c>
      <c r="BS37" s="294">
        <f t="shared" si="195"/>
        <v>-31.079000000000001</v>
      </c>
      <c r="BT37" s="294">
        <f t="shared" si="195"/>
        <v>-11.239000000000003</v>
      </c>
      <c r="BU37" s="295">
        <f t="shared" ref="BU37" si="196">SUM(BQ37:BT37)</f>
        <v>-83.84</v>
      </c>
      <c r="BV37" s="294">
        <f t="shared" ref="BV37:BY37" si="197">SUM(BV28:BV36)</f>
        <v>-28.783999999999995</v>
      </c>
      <c r="BW37" s="294">
        <f t="shared" si="197"/>
        <v>-22.433999999999997</v>
      </c>
      <c r="BX37" s="294">
        <f t="shared" si="197"/>
        <v>-107.608</v>
      </c>
      <c r="BY37" s="294">
        <f t="shared" si="197"/>
        <v>-110.86</v>
      </c>
      <c r="BZ37" s="295">
        <f t="shared" ref="BZ37" si="198">SUM(BV37:BY37)</f>
        <v>-269.68599999999998</v>
      </c>
      <c r="CA37" s="294">
        <f t="shared" ref="CA37:CD37" si="199">SUM(CA28:CA36)</f>
        <v>10.303000000000004</v>
      </c>
      <c r="CB37" s="294">
        <f t="shared" si="199"/>
        <v>-457.9380000000001</v>
      </c>
      <c r="CC37" s="294">
        <f t="shared" si="199"/>
        <v>-77.915999999999968</v>
      </c>
      <c r="CD37" s="294">
        <f t="shared" si="199"/>
        <v>-1.6189999999999216</v>
      </c>
      <c r="CE37" s="295">
        <f t="shared" ref="CE37" si="200">SUM(CA37:CD37)</f>
        <v>-527.16999999999996</v>
      </c>
      <c r="CF37" s="294">
        <f t="shared" ref="CF37:CI37" si="201">SUM(CF28:CF36)</f>
        <v>-596.25699999999995</v>
      </c>
      <c r="CG37" s="294">
        <f t="shared" si="201"/>
        <v>15.138999999999896</v>
      </c>
      <c r="CH37" s="294">
        <f t="shared" si="201"/>
        <v>15.090000000000032</v>
      </c>
      <c r="CI37" s="294">
        <f t="shared" si="201"/>
        <v>-244.60500000000002</v>
      </c>
      <c r="CJ37" s="295">
        <f t="shared" ref="CJ37" si="202">SUM(CF37:CI37)</f>
        <v>-810.63300000000004</v>
      </c>
      <c r="CK37" s="294">
        <f t="shared" ref="CK37:CN37" si="203">SUM(CK28:CK36)</f>
        <v>-37.292000000000002</v>
      </c>
      <c r="CL37" s="294">
        <f t="shared" si="203"/>
        <v>218.94900000000001</v>
      </c>
      <c r="CM37" s="294">
        <f t="shared" si="203"/>
        <v>-211.14299999999994</v>
      </c>
      <c r="CN37" s="294">
        <f t="shared" si="203"/>
        <v>-539.98899999999981</v>
      </c>
      <c r="CO37" s="295">
        <f t="shared" ref="CO37" si="204">SUM(CK37:CN37)</f>
        <v>-569.47499999999968</v>
      </c>
      <c r="CP37" s="294">
        <f t="shared" ref="CP37:CS37" si="205">SUM(CP28:CP36)</f>
        <v>399.995</v>
      </c>
      <c r="CQ37" s="294">
        <f t="shared" si="205"/>
        <v>-747.12</v>
      </c>
      <c r="CR37" s="294">
        <f t="shared" si="205"/>
        <v>-923.44100000000003</v>
      </c>
      <c r="CS37" s="294">
        <f t="shared" si="205"/>
        <v>-661.28199999999993</v>
      </c>
      <c r="CT37" s="295">
        <f t="shared" ref="CT37" si="206">SUM(CP37:CS37)</f>
        <v>-1931.848</v>
      </c>
      <c r="CU37" s="294">
        <f t="shared" ref="CU37:CX37" si="207">SUM(CU28:CU36)</f>
        <v>-1618.3789999999999</v>
      </c>
      <c r="CV37" s="294">
        <f t="shared" si="207"/>
        <v>-508.85200000000032</v>
      </c>
      <c r="CW37" s="294">
        <f t="shared" si="207"/>
        <v>-240.67199999999957</v>
      </c>
      <c r="CX37" s="294">
        <f t="shared" si="207"/>
        <v>20.112999999999829</v>
      </c>
      <c r="CY37" s="295">
        <f t="shared" ref="CY37" si="208">SUM(CU37:CX37)</f>
        <v>-2347.79</v>
      </c>
      <c r="CZ37" s="294">
        <f t="shared" ref="CZ37:DC37" si="209">SUM(CZ28:CZ36)</f>
        <v>-4.1949999999999932</v>
      </c>
      <c r="DA37" s="294">
        <f t="shared" si="209"/>
        <v>1032.5139999999999</v>
      </c>
      <c r="DB37" s="294">
        <f t="shared" si="209"/>
        <v>-1748.8809999999996</v>
      </c>
      <c r="DC37" s="294">
        <f t="shared" si="209"/>
        <v>1.995000000000914</v>
      </c>
      <c r="DD37" s="295">
        <f t="shared" ref="DD37" si="210">SUM(CZ37:DC37)</f>
        <v>-718.56699999999876</v>
      </c>
      <c r="DE37" s="294">
        <f>SUM(DE28:DE36)</f>
        <v>-19</v>
      </c>
      <c r="DF37" s="294">
        <f>SUM(DF28:DF36)</f>
        <v>-273</v>
      </c>
      <c r="DG37" s="294">
        <f>SUM(DG28:DG36)</f>
        <v>-606</v>
      </c>
      <c r="DH37" s="294">
        <f>SUM(DH28:DH36)</f>
        <v>-346</v>
      </c>
      <c r="DI37" s="295">
        <f t="shared" si="177"/>
        <v>-1244</v>
      </c>
      <c r="DJ37" s="294">
        <f>SUM(DJ28:DJ36)</f>
        <v>-27</v>
      </c>
      <c r="DK37" s="294">
        <f>SUM(DK28:DK36)</f>
        <v>-424</v>
      </c>
      <c r="DL37" s="294">
        <f>SUM(DL28:DL36)</f>
        <v>-474</v>
      </c>
      <c r="DM37" s="294">
        <f>SUM(DM28:DM36)</f>
        <v>93</v>
      </c>
      <c r="DN37" s="295">
        <f t="shared" si="178"/>
        <v>-832</v>
      </c>
      <c r="DO37" s="294">
        <f>SUM(DO28:DO36)</f>
        <v>37.5</v>
      </c>
      <c r="DP37" s="294">
        <f>SUM(DP28:DP36)</f>
        <v>36.875</v>
      </c>
      <c r="DQ37" s="294">
        <f>SUM(DQ28:DQ36)</f>
        <v>-165.75</v>
      </c>
      <c r="DR37" s="294">
        <f>SUM(DR28:DR36)</f>
        <v>117.5</v>
      </c>
      <c r="DS37" s="295">
        <f t="shared" si="179"/>
        <v>26.125</v>
      </c>
      <c r="DT37" s="294">
        <f>SUM(DT28:DT36)</f>
        <v>47.25</v>
      </c>
      <c r="DU37" s="294">
        <f>SUM(DU28:DU36)</f>
        <v>46.46875</v>
      </c>
      <c r="DV37" s="294">
        <f>SUM(DV28:DV36)</f>
        <v>-206.8125</v>
      </c>
      <c r="DW37" s="294">
        <f>SUM(DW28:DW36)</f>
        <v>147.25000000000023</v>
      </c>
      <c r="DX37" s="295">
        <f t="shared" si="180"/>
        <v>34.156250000000227</v>
      </c>
      <c r="DY37" s="294">
        <f>SUM(DY28:DY36)</f>
        <v>59.512500000000045</v>
      </c>
      <c r="DZ37" s="294">
        <f>SUM(DZ28:DZ36)</f>
        <v>58.535937500000045</v>
      </c>
      <c r="EA37" s="294">
        <f>SUM(EA28:EA36)</f>
        <v>-258.06562499999995</v>
      </c>
      <c r="EB37" s="294">
        <f>SUM(EB28:EB36)</f>
        <v>184.51250000000005</v>
      </c>
      <c r="EC37" s="295">
        <f t="shared" si="181"/>
        <v>44.495312500000182</v>
      </c>
      <c r="ED37" s="297"/>
    </row>
    <row r="38" spans="1:134" ht="12" customHeight="1">
      <c r="A38" s="943"/>
      <c r="B38" s="943"/>
      <c r="C38" s="460" t="s">
        <v>10</v>
      </c>
      <c r="D38" s="452"/>
      <c r="E38" s="452"/>
      <c r="F38" s="452"/>
      <c r="G38" s="452"/>
      <c r="H38" s="452"/>
      <c r="I38" s="179"/>
      <c r="J38" s="179"/>
      <c r="K38" s="179"/>
      <c r="L38" s="179"/>
      <c r="M38" s="452"/>
      <c r="N38" s="179"/>
      <c r="O38" s="179"/>
      <c r="P38" s="179"/>
      <c r="Q38" s="179"/>
      <c r="R38" s="452"/>
      <c r="S38" s="179"/>
      <c r="T38" s="179"/>
      <c r="U38" s="179"/>
      <c r="V38" s="179"/>
      <c r="W38" s="452"/>
      <c r="X38" s="179"/>
      <c r="Y38" s="179"/>
      <c r="Z38" s="179"/>
      <c r="AA38" s="179"/>
      <c r="AB38" s="452"/>
      <c r="AC38" s="179"/>
      <c r="AD38" s="179"/>
      <c r="AE38" s="179"/>
      <c r="AF38" s="179"/>
      <c r="AG38" s="452"/>
      <c r="AH38" s="179"/>
      <c r="AI38" s="179"/>
      <c r="AJ38" s="179"/>
      <c r="AK38" s="179"/>
      <c r="AL38" s="452"/>
      <c r="AM38" s="179"/>
      <c r="AN38" s="179"/>
      <c r="AO38" s="179"/>
      <c r="AP38" s="179"/>
      <c r="AQ38" s="452"/>
      <c r="AR38" s="179"/>
      <c r="AS38" s="179"/>
      <c r="AT38" s="179"/>
      <c r="AU38" s="179"/>
      <c r="AV38" s="452"/>
      <c r="AW38" s="179"/>
      <c r="AX38" s="179"/>
      <c r="AY38" s="179"/>
      <c r="AZ38" s="179"/>
      <c r="BA38" s="452"/>
      <c r="BB38" s="179"/>
      <c r="BC38" s="179"/>
      <c r="BD38" s="179"/>
      <c r="BE38" s="179"/>
      <c r="BF38" s="452"/>
      <c r="BG38" s="484"/>
      <c r="BH38" s="484"/>
      <c r="BI38" s="484"/>
      <c r="BJ38" s="484"/>
      <c r="BK38" s="452"/>
      <c r="BL38" s="179"/>
      <c r="BM38" s="179"/>
      <c r="BN38" s="179"/>
      <c r="BO38" s="179"/>
      <c r="BP38" s="452"/>
      <c r="BQ38" s="125"/>
      <c r="BR38" s="125"/>
      <c r="BS38" s="125"/>
      <c r="BT38" s="125"/>
      <c r="BU38" s="300"/>
      <c r="BV38" s="125"/>
      <c r="BW38" s="125"/>
      <c r="BX38" s="125"/>
      <c r="BY38" s="125"/>
      <c r="BZ38" s="300"/>
      <c r="CA38" s="125"/>
      <c r="CB38" s="125"/>
      <c r="CC38" s="125"/>
      <c r="CD38" s="125"/>
      <c r="CE38" s="300"/>
      <c r="CF38" s="125"/>
      <c r="CG38" s="125"/>
      <c r="CH38" s="125"/>
      <c r="CI38" s="125"/>
      <c r="CJ38" s="300"/>
      <c r="CK38" s="125"/>
      <c r="CL38" s="125"/>
      <c r="CM38" s="125"/>
      <c r="CN38" s="125"/>
      <c r="CO38" s="300"/>
      <c r="CP38" s="125"/>
      <c r="CQ38" s="125"/>
      <c r="CR38" s="125"/>
      <c r="CS38" s="125"/>
      <c r="CT38" s="300"/>
      <c r="CU38" s="125"/>
      <c r="CV38" s="125"/>
      <c r="CW38" s="125"/>
      <c r="CX38" s="125"/>
      <c r="CY38" s="300"/>
      <c r="CZ38" s="125"/>
      <c r="DA38" s="125"/>
      <c r="DB38" s="125"/>
      <c r="DC38" s="125"/>
      <c r="DD38" s="300"/>
      <c r="DE38" s="125"/>
      <c r="DF38" s="125"/>
      <c r="DG38" s="125"/>
      <c r="DH38" s="125"/>
      <c r="DI38" s="300"/>
      <c r="DJ38" s="125"/>
      <c r="DK38" s="125"/>
      <c r="DL38" s="125"/>
      <c r="DM38" s="125"/>
      <c r="DN38" s="300"/>
      <c r="DO38" s="125"/>
      <c r="DP38" s="125"/>
      <c r="DQ38" s="125"/>
      <c r="DR38" s="125"/>
      <c r="DS38" s="300"/>
      <c r="DT38" s="125"/>
      <c r="DU38" s="125"/>
      <c r="DV38" s="125"/>
      <c r="DW38" s="125"/>
      <c r="DX38" s="300"/>
      <c r="DY38" s="125"/>
      <c r="DZ38" s="125"/>
      <c r="EA38" s="125"/>
      <c r="EB38" s="125"/>
      <c r="EC38" s="300"/>
      <c r="ED38" s="296"/>
    </row>
    <row r="39" spans="1:134" ht="12" customHeight="1">
      <c r="A39" s="943"/>
      <c r="B39" s="943"/>
      <c r="C39" s="309" t="s">
        <v>51</v>
      </c>
      <c r="D39" s="369"/>
      <c r="E39" s="369"/>
      <c r="F39" s="369"/>
      <c r="G39" s="369"/>
      <c r="H39" s="369"/>
      <c r="I39" s="370"/>
      <c r="J39" s="370"/>
      <c r="K39" s="370"/>
      <c r="L39" s="370"/>
      <c r="M39" s="452"/>
      <c r="N39" s="370"/>
      <c r="O39" s="370"/>
      <c r="P39" s="370"/>
      <c r="Q39" s="370"/>
      <c r="R39" s="452"/>
      <c r="S39" s="370"/>
      <c r="T39" s="370"/>
      <c r="U39" s="370"/>
      <c r="V39" s="370"/>
      <c r="W39" s="452"/>
      <c r="X39" s="370"/>
      <c r="Y39" s="370"/>
      <c r="Z39" s="370"/>
      <c r="AA39" s="370"/>
      <c r="AB39" s="452"/>
      <c r="AC39" s="370"/>
      <c r="AD39" s="370"/>
      <c r="AE39" s="370"/>
      <c r="AF39" s="370"/>
      <c r="AG39" s="452"/>
      <c r="AH39" s="370"/>
      <c r="AI39" s="370"/>
      <c r="AJ39" s="370"/>
      <c r="AK39" s="370"/>
      <c r="AL39" s="452"/>
      <c r="AM39" s="370"/>
      <c r="AN39" s="370"/>
      <c r="AO39" s="370"/>
      <c r="AP39" s="370"/>
      <c r="AQ39" s="452"/>
      <c r="AR39" s="370"/>
      <c r="AS39" s="370"/>
      <c r="AT39" s="370"/>
      <c r="AU39" s="370"/>
      <c r="AV39" s="452"/>
      <c r="AW39" s="370"/>
      <c r="AX39" s="370"/>
      <c r="AY39" s="370"/>
      <c r="AZ39" s="370"/>
      <c r="BA39" s="452"/>
      <c r="BB39" s="370"/>
      <c r="BC39" s="370"/>
      <c r="BD39" s="370"/>
      <c r="BE39" s="370"/>
      <c r="BF39" s="369"/>
      <c r="BG39" s="484"/>
      <c r="BH39" s="484"/>
      <c r="BI39" s="484"/>
      <c r="BJ39" s="484"/>
      <c r="BK39" s="522"/>
      <c r="BL39" s="523"/>
      <c r="BM39" s="370"/>
      <c r="BN39" s="523"/>
      <c r="BO39" s="370"/>
      <c r="BP39" s="452"/>
      <c r="BQ39" s="282">
        <v>0</v>
      </c>
      <c r="BR39" s="282">
        <v>0</v>
      </c>
      <c r="BS39" s="282">
        <v>0</v>
      </c>
      <c r="BT39" s="282">
        <v>0</v>
      </c>
      <c r="BU39" s="300">
        <f t="shared" ref="BU39:BU45" si="211">SUM(BQ39:BT39)</f>
        <v>0</v>
      </c>
      <c r="BV39" s="282">
        <v>0</v>
      </c>
      <c r="BW39" s="282">
        <v>0</v>
      </c>
      <c r="BX39" s="282">
        <v>0</v>
      </c>
      <c r="BY39" s="282">
        <v>0</v>
      </c>
      <c r="BZ39" s="300">
        <f t="shared" ref="BZ39:BZ45" si="212">SUM(BV39:BY39)</f>
        <v>0</v>
      </c>
      <c r="CA39" s="282">
        <v>0</v>
      </c>
      <c r="CB39" s="282">
        <v>0</v>
      </c>
      <c r="CC39" s="282">
        <v>0</v>
      </c>
      <c r="CD39" s="282">
        <v>0</v>
      </c>
      <c r="CE39" s="300">
        <f t="shared" ref="CE39:CE45" si="213">SUM(CA39:CD39)</f>
        <v>0</v>
      </c>
      <c r="CF39" s="282">
        <v>0</v>
      </c>
      <c r="CG39" s="282">
        <v>0</v>
      </c>
      <c r="CH39" s="282">
        <v>0</v>
      </c>
      <c r="CI39" s="282">
        <v>0</v>
      </c>
      <c r="CJ39" s="300">
        <f t="shared" ref="CJ39:CJ45" si="214">SUM(CF39:CI39)</f>
        <v>0</v>
      </c>
      <c r="CK39" s="282">
        <v>0</v>
      </c>
      <c r="CL39" s="282">
        <f>0-CK39</f>
        <v>0</v>
      </c>
      <c r="CM39" s="282">
        <v>0</v>
      </c>
      <c r="CN39" s="282">
        <v>0</v>
      </c>
      <c r="CO39" s="300">
        <f t="shared" ref="CO39:CO45" si="215">SUM(CK39:CN39)</f>
        <v>0</v>
      </c>
      <c r="CP39" s="282">
        <v>0</v>
      </c>
      <c r="CQ39" s="282">
        <v>0</v>
      </c>
      <c r="CR39" s="282">
        <f>907.95-CQ39-CP39</f>
        <v>907.95</v>
      </c>
      <c r="CS39" s="282">
        <f>907.95-CR39-CQ39-CP39</f>
        <v>0</v>
      </c>
      <c r="CT39" s="300">
        <f t="shared" ref="CT39:CT45" si="216">SUM(CP39:CS39)</f>
        <v>907.95</v>
      </c>
      <c r="CU39" s="282">
        <v>0</v>
      </c>
      <c r="CV39" s="282">
        <f>0-CU39</f>
        <v>0</v>
      </c>
      <c r="CW39" s="282">
        <v>0</v>
      </c>
      <c r="CX39" s="282">
        <v>0</v>
      </c>
      <c r="CY39" s="331">
        <f t="shared" ref="CY39:CY40" si="217">SUM(CU39:CX39)</f>
        <v>0</v>
      </c>
      <c r="CZ39" s="282">
        <v>0</v>
      </c>
      <c r="DA39" s="282">
        <v>0</v>
      </c>
      <c r="DB39" s="282">
        <v>0</v>
      </c>
      <c r="DC39" s="282">
        <v>0</v>
      </c>
      <c r="DD39" s="331">
        <f t="shared" ref="DD39:DD40" si="218">SUM(CZ39:DC39)</f>
        <v>0</v>
      </c>
      <c r="DE39" s="282">
        <v>0</v>
      </c>
      <c r="DF39" s="282">
        <v>0</v>
      </c>
      <c r="DG39" s="282">
        <v>0</v>
      </c>
      <c r="DH39" s="282">
        <v>0</v>
      </c>
      <c r="DI39" s="331">
        <f t="shared" ref="DI39" si="219">SUM(DE39:DH39)</f>
        <v>0</v>
      </c>
      <c r="DJ39" s="282">
        <v>0</v>
      </c>
      <c r="DK39" s="282">
        <v>0</v>
      </c>
      <c r="DL39" s="282">
        <v>0</v>
      </c>
      <c r="DM39" s="326">
        <v>0</v>
      </c>
      <c r="DN39" s="331">
        <f t="shared" ref="DN39:DN45" si="220">SUM(DJ39:DM39)</f>
        <v>0</v>
      </c>
      <c r="DO39" s="326">
        <v>0</v>
      </c>
      <c r="DP39" s="326">
        <v>0</v>
      </c>
      <c r="DQ39" s="326">
        <v>-917</v>
      </c>
      <c r="DR39" s="326">
        <v>0</v>
      </c>
      <c r="DS39" s="331">
        <f t="shared" ref="DS39:DS40" si="221">SUM(DO39:DR39)</f>
        <v>-917</v>
      </c>
      <c r="DT39" s="326">
        <v>0</v>
      </c>
      <c r="DU39" s="326">
        <v>0</v>
      </c>
      <c r="DV39" s="326">
        <v>0</v>
      </c>
      <c r="DW39" s="326">
        <v>0</v>
      </c>
      <c r="DX39" s="331">
        <f t="shared" ref="DX39:DX45" si="222">SUM(DT39:DW39)</f>
        <v>0</v>
      </c>
      <c r="DY39" s="326">
        <v>0</v>
      </c>
      <c r="DZ39" s="326">
        <v>0</v>
      </c>
      <c r="EA39" s="326">
        <v>0</v>
      </c>
      <c r="EB39" s="326">
        <v>0</v>
      </c>
      <c r="EC39" s="331">
        <f t="shared" ref="EC39:EC45" si="223">SUM(DY39:EB39)</f>
        <v>0</v>
      </c>
      <c r="ED39" s="296"/>
    </row>
    <row r="40" spans="1:134" ht="12" customHeight="1">
      <c r="A40" s="943"/>
      <c r="B40" s="943"/>
      <c r="C40" s="309" t="s">
        <v>253</v>
      </c>
      <c r="D40" s="369"/>
      <c r="E40" s="369"/>
      <c r="F40" s="369"/>
      <c r="G40" s="369"/>
      <c r="H40" s="369"/>
      <c r="I40" s="370"/>
      <c r="J40" s="370"/>
      <c r="K40" s="370"/>
      <c r="L40" s="370"/>
      <c r="M40" s="452"/>
      <c r="N40" s="370"/>
      <c r="O40" s="370"/>
      <c r="P40" s="370"/>
      <c r="Q40" s="370"/>
      <c r="R40" s="452"/>
      <c r="S40" s="370"/>
      <c r="T40" s="370"/>
      <c r="U40" s="370"/>
      <c r="V40" s="370"/>
      <c r="W40" s="452"/>
      <c r="X40" s="370"/>
      <c r="Y40" s="370"/>
      <c r="Z40" s="370"/>
      <c r="AA40" s="370"/>
      <c r="AB40" s="452"/>
      <c r="AC40" s="370"/>
      <c r="AD40" s="370"/>
      <c r="AE40" s="370"/>
      <c r="AF40" s="370"/>
      <c r="AG40" s="452"/>
      <c r="AH40" s="370"/>
      <c r="AI40" s="370"/>
      <c r="AJ40" s="370"/>
      <c r="AK40" s="370"/>
      <c r="AL40" s="452"/>
      <c r="AM40" s="370"/>
      <c r="AN40" s="370"/>
      <c r="AO40" s="370"/>
      <c r="AP40" s="370"/>
      <c r="AQ40" s="452"/>
      <c r="AR40" s="370"/>
      <c r="AS40" s="370"/>
      <c r="AT40" s="370"/>
      <c r="AU40" s="370"/>
      <c r="AV40" s="452"/>
      <c r="AW40" s="370"/>
      <c r="AX40" s="370"/>
      <c r="AY40" s="370"/>
      <c r="AZ40" s="370"/>
      <c r="BA40" s="452"/>
      <c r="BB40" s="370"/>
      <c r="BC40" s="370"/>
      <c r="BD40" s="370"/>
      <c r="BE40" s="370"/>
      <c r="BF40" s="369"/>
      <c r="BG40" s="484"/>
      <c r="BH40" s="484"/>
      <c r="BI40" s="484"/>
      <c r="BJ40" s="484"/>
      <c r="BK40" s="522"/>
      <c r="BL40" s="523"/>
      <c r="BM40" s="370"/>
      <c r="BN40" s="523"/>
      <c r="BO40" s="523"/>
      <c r="BP40" s="452"/>
      <c r="BQ40" s="282">
        <v>0</v>
      </c>
      <c r="BR40" s="282">
        <f>136.251-BQ40</f>
        <v>136.251</v>
      </c>
      <c r="BS40" s="282">
        <f>136.251-BR40-BQ40</f>
        <v>0</v>
      </c>
      <c r="BT40" s="282">
        <f>136.251-SUM(BQ40:BS40)</f>
        <v>0</v>
      </c>
      <c r="BU40" s="300">
        <f t="shared" si="211"/>
        <v>136.251</v>
      </c>
      <c r="BV40" s="282">
        <v>0</v>
      </c>
      <c r="BW40" s="282">
        <v>0</v>
      </c>
      <c r="BX40" s="282">
        <f>224.423-BW40-BV40</f>
        <v>224.423</v>
      </c>
      <c r="BY40" s="282">
        <f>224.423-BX40-BW40-BV40</f>
        <v>0</v>
      </c>
      <c r="BZ40" s="300">
        <f t="shared" si="212"/>
        <v>224.423</v>
      </c>
      <c r="CA40" s="282">
        <v>0</v>
      </c>
      <c r="CB40" s="282">
        <f>560.057-CA40</f>
        <v>560.05700000000002</v>
      </c>
      <c r="CC40" s="282">
        <f>560.057-CB40-CA40</f>
        <v>0</v>
      </c>
      <c r="CD40" s="282">
        <f>560.057-CC40-CB40-CA40</f>
        <v>0</v>
      </c>
      <c r="CE40" s="300">
        <f t="shared" si="213"/>
        <v>560.05700000000002</v>
      </c>
      <c r="CF40" s="282">
        <v>646.98400000000004</v>
      </c>
      <c r="CG40" s="282">
        <f>646.984-CF40</f>
        <v>0</v>
      </c>
      <c r="CH40" s="282">
        <f>646.984-CG40-CF40</f>
        <v>0</v>
      </c>
      <c r="CI40" s="282">
        <f>1041.688-CH40-CG40-CF40</f>
        <v>394.70400000000006</v>
      </c>
      <c r="CJ40" s="300">
        <f t="shared" si="214"/>
        <v>1041.6880000000001</v>
      </c>
      <c r="CK40" s="282">
        <v>0</v>
      </c>
      <c r="CL40" s="282">
        <f>0-CK40</f>
        <v>0</v>
      </c>
      <c r="CM40" s="474">
        <f>688.014-CL40-CK40</f>
        <v>688.01400000000001</v>
      </c>
      <c r="CN40" s="282">
        <f>688.014-CM40-CL40-CK40</f>
        <v>0</v>
      </c>
      <c r="CO40" s="300">
        <f t="shared" si="215"/>
        <v>688.01400000000001</v>
      </c>
      <c r="CP40" s="282">
        <v>0</v>
      </c>
      <c r="CQ40" s="282">
        <f>1460.945-CP40</f>
        <v>1460.9449999999999</v>
      </c>
      <c r="CR40" s="474">
        <f>2578.591-CQ40-CP40</f>
        <v>1117.646</v>
      </c>
      <c r="CS40" s="282">
        <f>2578.591-CR40-CQ40-CP40</f>
        <v>0</v>
      </c>
      <c r="CT40" s="300">
        <f t="shared" si="216"/>
        <v>2578.5909999999999</v>
      </c>
      <c r="CU40" s="282">
        <v>1541.1679999999999</v>
      </c>
      <c r="CV40" s="282">
        <f>1541.168-CU40</f>
        <v>0</v>
      </c>
      <c r="CW40" s="282">
        <f>1541.168-CV40-CU40</f>
        <v>0</v>
      </c>
      <c r="CX40" s="282">
        <f>1541.168-SUM(CU40:CW40)</f>
        <v>0</v>
      </c>
      <c r="CY40" s="331">
        <f t="shared" si="217"/>
        <v>1541.1679999999999</v>
      </c>
      <c r="CZ40" s="282">
        <v>0</v>
      </c>
      <c r="DA40" s="282">
        <v>0</v>
      </c>
      <c r="DB40" s="282">
        <v>0</v>
      </c>
      <c r="DC40" s="282">
        <v>0</v>
      </c>
      <c r="DD40" s="331">
        <f t="shared" si="218"/>
        <v>0</v>
      </c>
      <c r="DE40" s="282">
        <v>0</v>
      </c>
      <c r="DF40" s="282">
        <v>0</v>
      </c>
      <c r="DG40" s="282">
        <v>0</v>
      </c>
      <c r="DH40" s="282">
        <v>0</v>
      </c>
      <c r="DI40" s="331">
        <f t="shared" ref="DI40:DI45" si="224">SUM(DE40:DH40)</f>
        <v>0</v>
      </c>
      <c r="DJ40" s="282">
        <v>0</v>
      </c>
      <c r="DK40" s="282">
        <v>0</v>
      </c>
      <c r="DL40" s="282">
        <v>0</v>
      </c>
      <c r="DM40" s="326">
        <v>0</v>
      </c>
      <c r="DN40" s="331">
        <f t="shared" si="220"/>
        <v>0</v>
      </c>
      <c r="DO40" s="326">
        <v>0</v>
      </c>
      <c r="DP40" s="326">
        <v>0</v>
      </c>
      <c r="DQ40" s="326">
        <v>0</v>
      </c>
      <c r="DR40" s="326">
        <v>0</v>
      </c>
      <c r="DS40" s="331">
        <f t="shared" si="221"/>
        <v>0</v>
      </c>
      <c r="DT40" s="326">
        <v>0</v>
      </c>
      <c r="DU40" s="326">
        <v>0</v>
      </c>
      <c r="DV40" s="326">
        <v>0</v>
      </c>
      <c r="DW40" s="326">
        <v>0</v>
      </c>
      <c r="DX40" s="331">
        <f t="shared" si="222"/>
        <v>0</v>
      </c>
      <c r="DY40" s="326">
        <v>0</v>
      </c>
      <c r="DZ40" s="326">
        <v>0</v>
      </c>
      <c r="EA40" s="326">
        <v>0</v>
      </c>
      <c r="EB40" s="326">
        <v>0</v>
      </c>
      <c r="EC40" s="331">
        <f t="shared" si="223"/>
        <v>0</v>
      </c>
      <c r="ED40" s="296"/>
    </row>
    <row r="41" spans="1:134" ht="12" customHeight="1">
      <c r="A41" s="943"/>
      <c r="B41" s="943"/>
      <c r="C41" s="309" t="s">
        <v>254</v>
      </c>
      <c r="D41" s="522"/>
      <c r="E41" s="522"/>
      <c r="F41" s="522"/>
      <c r="G41" s="522"/>
      <c r="H41" s="522"/>
      <c r="I41" s="523"/>
      <c r="J41" s="523"/>
      <c r="K41" s="523"/>
      <c r="L41" s="523"/>
      <c r="M41" s="524"/>
      <c r="N41" s="523"/>
      <c r="O41" s="523"/>
      <c r="P41" s="523"/>
      <c r="Q41" s="523"/>
      <c r="R41" s="524"/>
      <c r="S41" s="523"/>
      <c r="T41" s="523"/>
      <c r="U41" s="523"/>
      <c r="V41" s="523"/>
      <c r="W41" s="524"/>
      <c r="X41" s="523"/>
      <c r="Y41" s="523"/>
      <c r="Z41" s="523"/>
      <c r="AA41" s="523"/>
      <c r="AB41" s="524"/>
      <c r="AC41" s="523"/>
      <c r="AD41" s="523"/>
      <c r="AE41" s="523"/>
      <c r="AF41" s="523"/>
      <c r="AG41" s="524"/>
      <c r="AH41" s="523"/>
      <c r="AI41" s="523"/>
      <c r="AJ41" s="523"/>
      <c r="AK41" s="523"/>
      <c r="AL41" s="524"/>
      <c r="AM41" s="523"/>
      <c r="AN41" s="523"/>
      <c r="AO41" s="523"/>
      <c r="AP41" s="523"/>
      <c r="AQ41" s="524"/>
      <c r="AR41" s="523"/>
      <c r="AS41" s="523"/>
      <c r="AT41" s="523"/>
      <c r="AU41" s="523"/>
      <c r="AV41" s="524"/>
      <c r="AW41" s="523"/>
      <c r="AX41" s="523"/>
      <c r="AY41" s="523"/>
      <c r="AZ41" s="523"/>
      <c r="BA41" s="524"/>
      <c r="BB41" s="523"/>
      <c r="BC41" s="523"/>
      <c r="BD41" s="523"/>
      <c r="BE41" s="523"/>
      <c r="BF41" s="522"/>
      <c r="BG41" s="525"/>
      <c r="BH41" s="525"/>
      <c r="BI41" s="525"/>
      <c r="BJ41" s="525"/>
      <c r="BK41" s="522"/>
      <c r="BL41" s="523"/>
      <c r="BM41" s="523"/>
      <c r="BN41" s="523"/>
      <c r="BO41" s="523"/>
      <c r="BP41" s="524"/>
      <c r="BQ41" s="463">
        <v>5.5E-2</v>
      </c>
      <c r="BR41" s="463">
        <f>0.164-BQ41</f>
        <v>0.10900000000000001</v>
      </c>
      <c r="BS41" s="463">
        <f>0.241-BR41-BQ41</f>
        <v>7.6999999999999985E-2</v>
      </c>
      <c r="BT41" s="465">
        <f>1.604-SUM(BQ41:BS41)</f>
        <v>1.363</v>
      </c>
      <c r="BU41" s="331">
        <f t="shared" si="211"/>
        <v>1.6040000000000001</v>
      </c>
      <c r="BV41" s="463">
        <v>0.84399999999999997</v>
      </c>
      <c r="BW41" s="463">
        <f>1.832-BV41</f>
        <v>0.9880000000000001</v>
      </c>
      <c r="BX41" s="463">
        <f>3.23-BW41-BV41</f>
        <v>1.3980000000000001</v>
      </c>
      <c r="BY41" s="465">
        <f>4.162-BX41-BW41-BV41</f>
        <v>0.93199999999999983</v>
      </c>
      <c r="BZ41" s="331">
        <f t="shared" si="212"/>
        <v>4.1619999999999999</v>
      </c>
      <c r="CA41" s="463">
        <v>2.98</v>
      </c>
      <c r="CB41" s="463">
        <f>6.932-CA41</f>
        <v>3.9520000000000004</v>
      </c>
      <c r="CC41" s="463">
        <f>10.5-CB41-CA41</f>
        <v>3.5680000000000001</v>
      </c>
      <c r="CD41" s="465">
        <f>14.774-CC41-CB41-CA41</f>
        <v>4.2739999999999991</v>
      </c>
      <c r="CE41" s="331">
        <f t="shared" si="213"/>
        <v>14.773999999999999</v>
      </c>
      <c r="CF41" s="463">
        <v>6.2939999999999996</v>
      </c>
      <c r="CG41" s="463">
        <f>16.14-CF41</f>
        <v>9.8460000000000001</v>
      </c>
      <c r="CH41" s="463">
        <f>22.273-CG41-CF41</f>
        <v>6.133</v>
      </c>
      <c r="CI41" s="465">
        <f>30.494-CH41-CG41-CF41</f>
        <v>8.2210000000000001</v>
      </c>
      <c r="CJ41" s="331">
        <f t="shared" si="214"/>
        <v>30.494</v>
      </c>
      <c r="CK41" s="463">
        <v>12.055999999999999</v>
      </c>
      <c r="CL41" s="463">
        <f>27.624-CK41</f>
        <v>15.568</v>
      </c>
      <c r="CM41" s="463">
        <f>37.301-CL41-CK41</f>
        <v>9.6770000000000049</v>
      </c>
      <c r="CN41" s="465">
        <f>48.337-CM41-CL41-CK41</f>
        <v>11.036</v>
      </c>
      <c r="CO41" s="331">
        <f t="shared" si="215"/>
        <v>48.337000000000003</v>
      </c>
      <c r="CP41" s="463">
        <v>19.427</v>
      </c>
      <c r="CQ41" s="463">
        <f>37.595-CP41</f>
        <v>18.167999999999999</v>
      </c>
      <c r="CR41" s="463">
        <f>50.076-CQ41-CP41</f>
        <v>12.481000000000002</v>
      </c>
      <c r="CS41" s="465">
        <f>70.809-CR41-CQ41-CP41</f>
        <v>20.732999999999997</v>
      </c>
      <c r="CT41" s="331">
        <f t="shared" si="216"/>
        <v>70.808999999999997</v>
      </c>
      <c r="CU41" s="465">
        <v>22.925000000000001</v>
      </c>
      <c r="CV41" s="465">
        <f>43.29-CU41</f>
        <v>20.364999999999998</v>
      </c>
      <c r="CW41" s="465">
        <f>72.444-CV41-CU41</f>
        <v>29.154000000000007</v>
      </c>
      <c r="CX41" s="465">
        <f>108.594-SUM(CU41:CW41)</f>
        <v>36.149999999999991</v>
      </c>
      <c r="CY41" s="352">
        <f t="shared" ref="CY41:CY45" si="225">SUM(CU41:CX41)</f>
        <v>108.59399999999999</v>
      </c>
      <c r="CZ41" s="465">
        <v>6.282</v>
      </c>
      <c r="DA41" s="465">
        <f>7.837-CZ41</f>
        <v>1.5549999999999997</v>
      </c>
      <c r="DB41" s="465">
        <f>11.257-DA41-CZ41</f>
        <v>3.42</v>
      </c>
      <c r="DC41" s="498">
        <f>17.549-DB41-DA41-CZ41</f>
        <v>6.2919999999999998</v>
      </c>
      <c r="DD41" s="352">
        <f t="shared" ref="DD41:DD45" si="226">SUM(CZ41:DC41)</f>
        <v>17.548999999999999</v>
      </c>
      <c r="DE41" s="465">
        <v>6</v>
      </c>
      <c r="DF41" s="465">
        <v>26</v>
      </c>
      <c r="DG41" s="465">
        <v>11</v>
      </c>
      <c r="DH41" s="465">
        <v>17</v>
      </c>
      <c r="DI41" s="352">
        <f t="shared" si="224"/>
        <v>60</v>
      </c>
      <c r="DJ41" s="465">
        <v>3</v>
      </c>
      <c r="DK41" s="465">
        <v>3</v>
      </c>
      <c r="DL41" s="465">
        <v>6</v>
      </c>
      <c r="DM41" s="456">
        <f>DL41</f>
        <v>6</v>
      </c>
      <c r="DN41" s="352">
        <f t="shared" si="220"/>
        <v>18</v>
      </c>
      <c r="DO41" s="456">
        <f>DM41</f>
        <v>6</v>
      </c>
      <c r="DP41" s="456">
        <f>DO41</f>
        <v>6</v>
      </c>
      <c r="DQ41" s="456">
        <f>DP41</f>
        <v>6</v>
      </c>
      <c r="DR41" s="456">
        <f>DQ41</f>
        <v>6</v>
      </c>
      <c r="DS41" s="352">
        <f t="shared" ref="DS41:DS45" si="227">SUM(DO41:DR41)</f>
        <v>24</v>
      </c>
      <c r="DT41" s="456">
        <f>DR41</f>
        <v>6</v>
      </c>
      <c r="DU41" s="456">
        <f>DT41</f>
        <v>6</v>
      </c>
      <c r="DV41" s="456">
        <f>DU41</f>
        <v>6</v>
      </c>
      <c r="DW41" s="456">
        <f>DV41</f>
        <v>6</v>
      </c>
      <c r="DX41" s="352">
        <f t="shared" si="222"/>
        <v>24</v>
      </c>
      <c r="DY41" s="456">
        <f>DW41</f>
        <v>6</v>
      </c>
      <c r="DZ41" s="456">
        <f>DY41</f>
        <v>6</v>
      </c>
      <c r="EA41" s="456">
        <f>DZ41</f>
        <v>6</v>
      </c>
      <c r="EB41" s="456">
        <f>EA41</f>
        <v>6</v>
      </c>
      <c r="EC41" s="352">
        <f t="shared" si="223"/>
        <v>24</v>
      </c>
      <c r="ED41" s="526"/>
    </row>
    <row r="42" spans="1:134" ht="12" customHeight="1">
      <c r="A42" s="943"/>
      <c r="B42" s="943"/>
      <c r="C42" s="309" t="s">
        <v>218</v>
      </c>
      <c r="D42" s="369"/>
      <c r="E42" s="369"/>
      <c r="F42" s="369"/>
      <c r="G42" s="369"/>
      <c r="H42" s="369"/>
      <c r="I42" s="370"/>
      <c r="J42" s="370"/>
      <c r="K42" s="370"/>
      <c r="L42" s="370"/>
      <c r="M42" s="452"/>
      <c r="N42" s="370"/>
      <c r="O42" s="370"/>
      <c r="P42" s="370"/>
      <c r="Q42" s="370"/>
      <c r="R42" s="452"/>
      <c r="S42" s="370"/>
      <c r="T42" s="370"/>
      <c r="U42" s="370"/>
      <c r="V42" s="370"/>
      <c r="W42" s="452"/>
      <c r="X42" s="370"/>
      <c r="Y42" s="370"/>
      <c r="Z42" s="370"/>
      <c r="AA42" s="370"/>
      <c r="AB42" s="452"/>
      <c r="AC42" s="370"/>
      <c r="AD42" s="370"/>
      <c r="AE42" s="370"/>
      <c r="AF42" s="370"/>
      <c r="AG42" s="452"/>
      <c r="AH42" s="370"/>
      <c r="AI42" s="370"/>
      <c r="AJ42" s="370"/>
      <c r="AK42" s="370"/>
      <c r="AL42" s="452"/>
      <c r="AM42" s="370"/>
      <c r="AN42" s="370"/>
      <c r="AO42" s="370"/>
      <c r="AP42" s="370"/>
      <c r="AQ42" s="452"/>
      <c r="AR42" s="370"/>
      <c r="AS42" s="370"/>
      <c r="AT42" s="370"/>
      <c r="AU42" s="370"/>
      <c r="AV42" s="452"/>
      <c r="AW42" s="370"/>
      <c r="AX42" s="370"/>
      <c r="AY42" s="370"/>
      <c r="AZ42" s="370"/>
      <c r="BA42" s="452"/>
      <c r="BB42" s="370"/>
      <c r="BC42" s="370"/>
      <c r="BD42" s="370"/>
      <c r="BE42" s="370"/>
      <c r="BF42" s="369"/>
      <c r="BG42" s="137"/>
      <c r="BH42" s="137"/>
      <c r="BI42" s="137"/>
      <c r="BJ42" s="137"/>
      <c r="BK42" s="369"/>
      <c r="BL42" s="370"/>
      <c r="BM42" s="370"/>
      <c r="BN42" s="370"/>
      <c r="BO42" s="370"/>
      <c r="BP42" s="452"/>
      <c r="BQ42" s="463">
        <f>0.055-SUM(BQ39:BQ41)</f>
        <v>0</v>
      </c>
      <c r="BR42" s="463">
        <f>136.415-BQ43-SUM(BR39:BR41)</f>
        <v>0</v>
      </c>
      <c r="BS42" s="463">
        <f>136.492-BR43-BQ43-SUM(BS39:BS41)</f>
        <v>-2.3397950243975174E-14</v>
      </c>
      <c r="BT42" s="463">
        <f>137.855-BS43-BR43-BQ43-SUM(BT39:BT41)</f>
        <v>6.4392935428259079E-15</v>
      </c>
      <c r="BU42" s="331">
        <f t="shared" si="211"/>
        <v>-1.6958656701149266E-14</v>
      </c>
      <c r="BV42" s="463">
        <f>0.844-SUM(BV39:BV41)</f>
        <v>0</v>
      </c>
      <c r="BW42" s="463">
        <f>1.832-BV43-SUM(BW39:BW41)</f>
        <v>0</v>
      </c>
      <c r="BX42" s="463">
        <f>227.653-BW43-BV43-SUM(BX39:BX41)</f>
        <v>0</v>
      </c>
      <c r="BY42" s="463">
        <f>228.585-BX43-BW43-BV43-SUM(BY39:BY41)</f>
        <v>1.021405182655144E-14</v>
      </c>
      <c r="BZ42" s="331">
        <f t="shared" si="212"/>
        <v>1.021405182655144E-14</v>
      </c>
      <c r="CA42" s="463">
        <f>2.98-SUM(CA39:CA41)</f>
        <v>0</v>
      </c>
      <c r="CB42" s="463">
        <f>566.989-CA43-SUM(CB39:CB41)</f>
        <v>0</v>
      </c>
      <c r="CC42" s="463">
        <f>570.557-CB43-CA43-SUM(CC39:CC41)</f>
        <v>0</v>
      </c>
      <c r="CD42" s="463">
        <f>574.831-CC43-CB43-CA43-SUM(CD39:CD41)</f>
        <v>1.9539925233402755E-14</v>
      </c>
      <c r="CE42" s="331">
        <f t="shared" si="213"/>
        <v>1.9539925233402755E-14</v>
      </c>
      <c r="CF42" s="463">
        <f>653.278-SUM(CF39:CF41)</f>
        <v>0</v>
      </c>
      <c r="CG42" s="463">
        <f>663.124-CF43-SUM(CG39:CG41)</f>
        <v>0</v>
      </c>
      <c r="CH42" s="463">
        <f>669.257-CG43-CF43-SUM(CH39:CH41)</f>
        <v>-7.5495165674510645E-14</v>
      </c>
      <c r="CI42" s="463">
        <f>1072.182-CH43-CG43-CF43-SUM(CI39:CI41)</f>
        <v>0</v>
      </c>
      <c r="CJ42" s="331">
        <f t="shared" si="214"/>
        <v>-7.5495165674510645E-14</v>
      </c>
      <c r="CK42" s="463">
        <f>12.056-SUM(CK39:CK41)</f>
        <v>0</v>
      </c>
      <c r="CL42" s="463">
        <f>27.624-CK43-SUM(CL39:CL41)</f>
        <v>0</v>
      </c>
      <c r="CM42" s="463">
        <f>725.315-CL43-CK43-SUM(CM39:CM41)</f>
        <v>0</v>
      </c>
      <c r="CN42" s="463">
        <f>736.351-CM43-CL43-CK43-SUM(CN39:CN41)</f>
        <v>-2.8421709430404007E-14</v>
      </c>
      <c r="CO42" s="331">
        <f t="shared" si="215"/>
        <v>-2.8421709430404007E-14</v>
      </c>
      <c r="CP42" s="463">
        <f>19.427-SUM(CP39:CP41)</f>
        <v>0</v>
      </c>
      <c r="CQ42" s="463">
        <f>1498.54-CP43-SUM(CQ39:CQ41)</f>
        <v>0</v>
      </c>
      <c r="CR42" s="463">
        <f>3536.617-CQ43-CP43-SUM(CR39:CR41)</f>
        <v>0</v>
      </c>
      <c r="CS42" s="463">
        <f>3557.35-CR43-CQ43-CP43-SUM(CS39:CS41)</f>
        <v>8.5265128291212022E-14</v>
      </c>
      <c r="CT42" s="331">
        <f t="shared" si="216"/>
        <v>8.5265128291212022E-14</v>
      </c>
      <c r="CU42" s="463">
        <f>1564.093-SUM(CU39:CU41)</f>
        <v>0</v>
      </c>
      <c r="CV42" s="463">
        <f>1584.458-CU43-SUM(CV39:CV41)</f>
        <v>2.3803181647963356E-13</v>
      </c>
      <c r="CW42" s="463">
        <f>1613.612-CV43-CU43-SUM(CW39:CW41)</f>
        <v>0</v>
      </c>
      <c r="CX42" s="463">
        <f>1649.762-CW43-CV43-CU43-SUM(CX39:CX41)</f>
        <v>-1.2789769243681803E-13</v>
      </c>
      <c r="CY42" s="331">
        <f t="shared" si="225"/>
        <v>1.1013412404281553E-13</v>
      </c>
      <c r="CZ42" s="463">
        <v>0</v>
      </c>
      <c r="DA42" s="463">
        <v>0</v>
      </c>
      <c r="DB42" s="463">
        <v>0</v>
      </c>
      <c r="DC42" s="463">
        <v>0</v>
      </c>
      <c r="DD42" s="331">
        <f t="shared" si="226"/>
        <v>0</v>
      </c>
      <c r="DE42" s="463">
        <v>0</v>
      </c>
      <c r="DF42" s="463">
        <v>0</v>
      </c>
      <c r="DG42" s="463">
        <v>0</v>
      </c>
      <c r="DH42" s="463">
        <v>0</v>
      </c>
      <c r="DI42" s="331">
        <f t="shared" si="224"/>
        <v>0</v>
      </c>
      <c r="DJ42" s="463">
        <v>0</v>
      </c>
      <c r="DK42" s="463">
        <v>0</v>
      </c>
      <c r="DL42" s="463">
        <v>0</v>
      </c>
      <c r="DM42" s="456">
        <v>0</v>
      </c>
      <c r="DN42" s="331">
        <f t="shared" si="220"/>
        <v>0</v>
      </c>
      <c r="DO42" s="456">
        <v>0</v>
      </c>
      <c r="DP42" s="456">
        <v>0</v>
      </c>
      <c r="DQ42" s="456">
        <v>0</v>
      </c>
      <c r="DR42" s="456">
        <v>0</v>
      </c>
      <c r="DS42" s="331">
        <f t="shared" si="227"/>
        <v>0</v>
      </c>
      <c r="DT42" s="456">
        <v>0</v>
      </c>
      <c r="DU42" s="456">
        <v>0</v>
      </c>
      <c r="DV42" s="456">
        <v>0</v>
      </c>
      <c r="DW42" s="456">
        <v>0</v>
      </c>
      <c r="DX42" s="331">
        <f t="shared" si="222"/>
        <v>0</v>
      </c>
      <c r="DY42" s="456">
        <v>0</v>
      </c>
      <c r="DZ42" s="456">
        <v>0</v>
      </c>
      <c r="EA42" s="456">
        <v>0</v>
      </c>
      <c r="EB42" s="456">
        <v>0</v>
      </c>
      <c r="EC42" s="331">
        <f t="shared" si="223"/>
        <v>0</v>
      </c>
      <c r="ED42" s="338"/>
    </row>
    <row r="43" spans="1:134" ht="12" customHeight="1">
      <c r="A43" s="943"/>
      <c r="B43" s="943"/>
      <c r="C43" s="507" t="s">
        <v>11</v>
      </c>
      <c r="D43" s="508"/>
      <c r="E43" s="508"/>
      <c r="F43" s="508"/>
      <c r="G43" s="508"/>
      <c r="H43" s="508"/>
      <c r="I43" s="509"/>
      <c r="J43" s="509"/>
      <c r="K43" s="509"/>
      <c r="L43" s="509"/>
      <c r="M43" s="508"/>
      <c r="N43" s="509"/>
      <c r="O43" s="509"/>
      <c r="P43" s="509"/>
      <c r="Q43" s="509"/>
      <c r="R43" s="508"/>
      <c r="S43" s="509"/>
      <c r="T43" s="509"/>
      <c r="U43" s="509"/>
      <c r="V43" s="509"/>
      <c r="W43" s="508"/>
      <c r="X43" s="509"/>
      <c r="Y43" s="509"/>
      <c r="Z43" s="509"/>
      <c r="AA43" s="509"/>
      <c r="AB43" s="508"/>
      <c r="AC43" s="509"/>
      <c r="AD43" s="509"/>
      <c r="AE43" s="509"/>
      <c r="AF43" s="509"/>
      <c r="AG43" s="508"/>
      <c r="AH43" s="509"/>
      <c r="AI43" s="509"/>
      <c r="AJ43" s="509"/>
      <c r="AK43" s="509"/>
      <c r="AL43" s="508"/>
      <c r="AM43" s="509"/>
      <c r="AN43" s="509"/>
      <c r="AO43" s="509"/>
      <c r="AP43" s="509"/>
      <c r="AQ43" s="508"/>
      <c r="AR43" s="509"/>
      <c r="AS43" s="509"/>
      <c r="AT43" s="509"/>
      <c r="AU43" s="509"/>
      <c r="AV43" s="508"/>
      <c r="AW43" s="509"/>
      <c r="AX43" s="509"/>
      <c r="AY43" s="509"/>
      <c r="AZ43" s="509"/>
      <c r="BA43" s="508"/>
      <c r="BB43" s="509"/>
      <c r="BC43" s="509"/>
      <c r="BD43" s="509"/>
      <c r="BE43" s="509"/>
      <c r="BF43" s="508"/>
      <c r="BG43" s="509"/>
      <c r="BH43" s="509"/>
      <c r="BI43" s="509"/>
      <c r="BJ43" s="509"/>
      <c r="BK43" s="508"/>
      <c r="BL43" s="509"/>
      <c r="BM43" s="509"/>
      <c r="BN43" s="509"/>
      <c r="BO43" s="509"/>
      <c r="BP43" s="508"/>
      <c r="BQ43" s="527">
        <f>SUM(BQ39:BQ42)</f>
        <v>5.5E-2</v>
      </c>
      <c r="BR43" s="527">
        <f>SUM(BR39:BR42)</f>
        <v>136.36000000000001</v>
      </c>
      <c r="BS43" s="527">
        <f>SUM(BS39:BS42)</f>
        <v>7.6999999999976587E-2</v>
      </c>
      <c r="BT43" s="527">
        <f>SUM(BT39:BT42)</f>
        <v>1.3630000000000064</v>
      </c>
      <c r="BU43" s="528">
        <f t="shared" si="211"/>
        <v>137.85499999999999</v>
      </c>
      <c r="BV43" s="527">
        <f>SUM(BV39:BV42)</f>
        <v>0.84399999999999997</v>
      </c>
      <c r="BW43" s="527">
        <f>SUM(BW39:BW42)</f>
        <v>0.9880000000000001</v>
      </c>
      <c r="BX43" s="527">
        <f>SUM(BX39:BX42)</f>
        <v>225.821</v>
      </c>
      <c r="BY43" s="527">
        <f>SUM(BY39:BY42)</f>
        <v>0.93200000000001004</v>
      </c>
      <c r="BZ43" s="528">
        <f t="shared" si="212"/>
        <v>228.58500000000001</v>
      </c>
      <c r="CA43" s="527">
        <f>SUM(CA39:CA42)</f>
        <v>2.98</v>
      </c>
      <c r="CB43" s="527">
        <f>SUM(CB39:CB42)</f>
        <v>564.00900000000001</v>
      </c>
      <c r="CC43" s="527">
        <f>SUM(CC39:CC42)</f>
        <v>3.5680000000000001</v>
      </c>
      <c r="CD43" s="527">
        <f>SUM(CD39:CD42)</f>
        <v>4.2740000000000187</v>
      </c>
      <c r="CE43" s="528">
        <f t="shared" si="213"/>
        <v>574.83100000000002</v>
      </c>
      <c r="CF43" s="527">
        <f>SUM(CF39:CF42)</f>
        <v>653.27800000000002</v>
      </c>
      <c r="CG43" s="527">
        <f>SUM(CG39:CG42)</f>
        <v>9.8460000000000001</v>
      </c>
      <c r="CH43" s="527">
        <f>SUM(CH39:CH42)</f>
        <v>6.1329999999999245</v>
      </c>
      <c r="CI43" s="527">
        <f>SUM(CI39:CI42)</f>
        <v>402.92500000000007</v>
      </c>
      <c r="CJ43" s="528">
        <f t="shared" si="214"/>
        <v>1072.182</v>
      </c>
      <c r="CK43" s="527">
        <f>SUM(CK39:CK42)</f>
        <v>12.055999999999999</v>
      </c>
      <c r="CL43" s="527">
        <f>SUM(CL39:CL42)</f>
        <v>15.568</v>
      </c>
      <c r="CM43" s="527">
        <f>SUM(CM39:CM42)</f>
        <v>697.69100000000003</v>
      </c>
      <c r="CN43" s="527">
        <f>SUM(CN39:CN42)</f>
        <v>11.035999999999971</v>
      </c>
      <c r="CO43" s="528">
        <f t="shared" si="215"/>
        <v>736.351</v>
      </c>
      <c r="CP43" s="527">
        <f>SUM(CP39:CP42)</f>
        <v>19.427</v>
      </c>
      <c r="CQ43" s="527">
        <f>SUM(CQ39:CQ42)</f>
        <v>1479.1129999999998</v>
      </c>
      <c r="CR43" s="527">
        <f>SUM(CR39:CR42)</f>
        <v>2038.077</v>
      </c>
      <c r="CS43" s="527">
        <f>SUM(CS39:CS42)</f>
        <v>20.733000000000082</v>
      </c>
      <c r="CT43" s="528">
        <f t="shared" si="216"/>
        <v>3557.35</v>
      </c>
      <c r="CU43" s="527">
        <f>SUM(CU39:CU42)</f>
        <v>1564.0929999999998</v>
      </c>
      <c r="CV43" s="527">
        <f>SUM(CV39:CV42)</f>
        <v>20.365000000000236</v>
      </c>
      <c r="CW43" s="527">
        <f>SUM(CW39:CW42)</f>
        <v>29.154000000000007</v>
      </c>
      <c r="CX43" s="527">
        <f>SUM(CX39:CX42)</f>
        <v>36.149999999999864</v>
      </c>
      <c r="CY43" s="529">
        <f t="shared" si="225"/>
        <v>1649.7619999999999</v>
      </c>
      <c r="CZ43" s="527">
        <f>SUM(CZ39:CZ42)</f>
        <v>6.282</v>
      </c>
      <c r="DA43" s="527">
        <f>SUM(DA39:DA42)</f>
        <v>1.5549999999999997</v>
      </c>
      <c r="DB43" s="527">
        <f>SUM(DB39:DB42)</f>
        <v>3.42</v>
      </c>
      <c r="DC43" s="527">
        <f>SUM(DC39:DC42)</f>
        <v>6.2919999999999998</v>
      </c>
      <c r="DD43" s="529">
        <f t="shared" si="226"/>
        <v>17.548999999999999</v>
      </c>
      <c r="DE43" s="527">
        <f>SUM(DE39:DE42)</f>
        <v>6</v>
      </c>
      <c r="DF43" s="527">
        <f>SUM(DF39:DF42)</f>
        <v>26</v>
      </c>
      <c r="DG43" s="527">
        <f>SUM(DG39:DG42)</f>
        <v>11</v>
      </c>
      <c r="DH43" s="527">
        <f>SUM(DH39:DH42)</f>
        <v>17</v>
      </c>
      <c r="DI43" s="529">
        <f t="shared" si="224"/>
        <v>60</v>
      </c>
      <c r="DJ43" s="527">
        <f>SUM(DJ39:DJ42)</f>
        <v>3</v>
      </c>
      <c r="DK43" s="527">
        <f>SUM(DK39:DK42)</f>
        <v>3</v>
      </c>
      <c r="DL43" s="527">
        <f>SUM(DL39:DL42)</f>
        <v>6</v>
      </c>
      <c r="DM43" s="527">
        <f>SUM(DM39:DM42)</f>
        <v>6</v>
      </c>
      <c r="DN43" s="529">
        <f t="shared" si="220"/>
        <v>18</v>
      </c>
      <c r="DO43" s="527">
        <f>SUM(DO39:DO42)</f>
        <v>6</v>
      </c>
      <c r="DP43" s="527">
        <f>SUM(DP39:DP42)</f>
        <v>6</v>
      </c>
      <c r="DQ43" s="527">
        <f>SUM(DQ39:DQ42)</f>
        <v>-911</v>
      </c>
      <c r="DR43" s="527">
        <f>SUM(DR39:DR42)</f>
        <v>6</v>
      </c>
      <c r="DS43" s="529">
        <f t="shared" si="227"/>
        <v>-893</v>
      </c>
      <c r="DT43" s="527">
        <f>SUM(DT39:DT42)</f>
        <v>6</v>
      </c>
      <c r="DU43" s="527">
        <f>SUM(DU39:DU42)</f>
        <v>6</v>
      </c>
      <c r="DV43" s="527">
        <f>SUM(DV39:DV42)</f>
        <v>6</v>
      </c>
      <c r="DW43" s="527">
        <f>SUM(DW39:DW42)</f>
        <v>6</v>
      </c>
      <c r="DX43" s="529">
        <f t="shared" si="222"/>
        <v>24</v>
      </c>
      <c r="DY43" s="527">
        <f>SUM(DY39:DY42)</f>
        <v>6</v>
      </c>
      <c r="DZ43" s="527">
        <f>SUM(DZ39:DZ42)</f>
        <v>6</v>
      </c>
      <c r="EA43" s="527">
        <f>SUM(EA39:EA42)</f>
        <v>6</v>
      </c>
      <c r="EB43" s="527">
        <f>SUM(EB39:EB42)</f>
        <v>6</v>
      </c>
      <c r="EC43" s="529">
        <f t="shared" si="223"/>
        <v>24</v>
      </c>
      <c r="ED43" s="297"/>
    </row>
    <row r="44" spans="1:134" ht="12" customHeight="1">
      <c r="A44" s="943"/>
      <c r="B44" s="943"/>
      <c r="C44" s="309" t="s">
        <v>46</v>
      </c>
      <c r="D44" s="369"/>
      <c r="E44" s="369"/>
      <c r="F44" s="369"/>
      <c r="G44" s="369"/>
      <c r="H44" s="369"/>
      <c r="I44" s="370"/>
      <c r="J44" s="370"/>
      <c r="K44" s="370"/>
      <c r="L44" s="370"/>
      <c r="M44" s="452"/>
      <c r="N44" s="370"/>
      <c r="O44" s="370"/>
      <c r="P44" s="370"/>
      <c r="Q44" s="370"/>
      <c r="R44" s="452"/>
      <c r="S44" s="370"/>
      <c r="T44" s="370"/>
      <c r="U44" s="370"/>
      <c r="V44" s="370"/>
      <c r="W44" s="452"/>
      <c r="X44" s="370"/>
      <c r="Y44" s="370"/>
      <c r="Z44" s="370"/>
      <c r="AA44" s="370"/>
      <c r="AB44" s="452"/>
      <c r="AC44" s="370"/>
      <c r="AD44" s="370"/>
      <c r="AE44" s="370"/>
      <c r="AF44" s="370"/>
      <c r="AG44" s="452"/>
      <c r="AH44" s="370"/>
      <c r="AI44" s="370"/>
      <c r="AJ44" s="370"/>
      <c r="AK44" s="370"/>
      <c r="AL44" s="452"/>
      <c r="AM44" s="370"/>
      <c r="AN44" s="370"/>
      <c r="AO44" s="370"/>
      <c r="AP44" s="370"/>
      <c r="AQ44" s="452"/>
      <c r="AR44" s="370"/>
      <c r="AS44" s="370"/>
      <c r="AT44" s="370"/>
      <c r="AU44" s="370"/>
      <c r="AV44" s="452"/>
      <c r="AW44" s="370"/>
      <c r="AX44" s="370"/>
      <c r="AY44" s="370"/>
      <c r="AZ44" s="370"/>
      <c r="BA44" s="452"/>
      <c r="BB44" s="370"/>
      <c r="BC44" s="370"/>
      <c r="BD44" s="370"/>
      <c r="BE44" s="370"/>
      <c r="BF44" s="369"/>
      <c r="BG44" s="484"/>
      <c r="BH44" s="484"/>
      <c r="BI44" s="484"/>
      <c r="BJ44" s="484"/>
      <c r="BK44" s="369"/>
      <c r="BL44" s="370"/>
      <c r="BM44" s="370"/>
      <c r="BN44" s="370"/>
      <c r="BO44" s="370"/>
      <c r="BP44" s="452"/>
      <c r="BQ44" s="465">
        <v>-0.97799999999999998</v>
      </c>
      <c r="BR44" s="465">
        <f>-0.844-BQ44</f>
        <v>0.13400000000000001</v>
      </c>
      <c r="BS44" s="465">
        <f>-1.328-BR44-BQ44</f>
        <v>-0.48400000000000021</v>
      </c>
      <c r="BT44" s="463">
        <f>-1.654-SUM(BQ44:BS44)</f>
        <v>-0.32599999999999962</v>
      </c>
      <c r="BU44" s="331">
        <f t="shared" si="211"/>
        <v>-1.6539999999999999</v>
      </c>
      <c r="BV44" s="465">
        <v>1.079</v>
      </c>
      <c r="BW44" s="465">
        <f>1.251-BV44</f>
        <v>0.17199999999999993</v>
      </c>
      <c r="BX44" s="465">
        <f>1.161-BW44-BV44</f>
        <v>-8.9999999999999858E-2</v>
      </c>
      <c r="BY44" s="463">
        <f>1.027-BX44-BW44-BV44</f>
        <v>-0.13400000000000012</v>
      </c>
      <c r="BZ44" s="331">
        <f t="shared" si="212"/>
        <v>1.0269999999999999</v>
      </c>
      <c r="CA44" s="465">
        <v>-2.7E-2</v>
      </c>
      <c r="CB44" s="465">
        <f>0.889-CA44</f>
        <v>0.91600000000000004</v>
      </c>
      <c r="CC44" s="465">
        <f>1.924-CB44-CA44</f>
        <v>1.0349999999999999</v>
      </c>
      <c r="CD44" s="463">
        <f>2.102-CC44-CB44-CA44</f>
        <v>0.17799999999999991</v>
      </c>
      <c r="CE44" s="331">
        <f t="shared" si="213"/>
        <v>2.1019999999999999</v>
      </c>
      <c r="CF44" s="465">
        <v>-0.245</v>
      </c>
      <c r="CG44" s="465">
        <f>-1.085-CF44</f>
        <v>-0.84</v>
      </c>
      <c r="CH44" s="465">
        <f>-1.552-CG44-CF44</f>
        <v>-0.46700000000000008</v>
      </c>
      <c r="CI44" s="463">
        <f>-1.867-CH44-CG44-CF44</f>
        <v>-0.31499999999999995</v>
      </c>
      <c r="CJ44" s="331">
        <f t="shared" si="214"/>
        <v>-1.867</v>
      </c>
      <c r="CK44" s="465">
        <v>0.65500000000000003</v>
      </c>
      <c r="CL44" s="465">
        <f>1.624-CK44</f>
        <v>0.96900000000000008</v>
      </c>
      <c r="CM44" s="465">
        <f>0.29-CL44-CK44</f>
        <v>-1.3340000000000001</v>
      </c>
      <c r="CN44" s="463">
        <f>1.742-CM44-CL44-CK44</f>
        <v>1.4520000000000002</v>
      </c>
      <c r="CO44" s="331">
        <f t="shared" si="215"/>
        <v>1.7420000000000002</v>
      </c>
      <c r="CP44" s="465">
        <v>-15.02</v>
      </c>
      <c r="CQ44" s="465">
        <f>-9.204-CP44</f>
        <v>5.8159999999999989</v>
      </c>
      <c r="CR44" s="465">
        <f>-5.675-CQ44-CP44</f>
        <v>3.5289999999999999</v>
      </c>
      <c r="CS44" s="463">
        <f>3.221-CR44-CQ44-CP44</f>
        <v>8.8960000000000008</v>
      </c>
      <c r="CT44" s="331">
        <f t="shared" si="216"/>
        <v>3.2210000000000001</v>
      </c>
      <c r="CU44" s="463">
        <v>0.57699999999999996</v>
      </c>
      <c r="CV44" s="463">
        <f>1.742-CU44</f>
        <v>1.165</v>
      </c>
      <c r="CW44" s="463">
        <f>-3.663-CV44-CU44</f>
        <v>-5.4049999999999994</v>
      </c>
      <c r="CX44" s="463">
        <f>-7.005-SUM(CU44:CW44)</f>
        <v>-3.3420000000000005</v>
      </c>
      <c r="CY44" s="352">
        <f t="shared" si="225"/>
        <v>-7.0049999999999999</v>
      </c>
      <c r="CZ44" s="463">
        <v>2.1999999999999999E-2</v>
      </c>
      <c r="DA44" s="463">
        <f>-10.64-CZ44</f>
        <v>-10.662000000000001</v>
      </c>
      <c r="DB44" s="463">
        <f>-23.603-DA44-CZ44</f>
        <v>-12.963000000000001</v>
      </c>
      <c r="DC44" s="498">
        <f>-16.198-DB44-DA44-CZ44</f>
        <v>7.4050000000000011</v>
      </c>
      <c r="DD44" s="352">
        <f t="shared" si="226"/>
        <v>-16.198</v>
      </c>
      <c r="DE44" s="463">
        <v>2</v>
      </c>
      <c r="DF44" s="463">
        <v>2</v>
      </c>
      <c r="DG44" s="463">
        <v>-7</v>
      </c>
      <c r="DH44" s="530">
        <v>7</v>
      </c>
      <c r="DI44" s="352">
        <f t="shared" si="224"/>
        <v>4</v>
      </c>
      <c r="DJ44" s="530">
        <v>-4</v>
      </c>
      <c r="DK44" s="530">
        <v>-1</v>
      </c>
      <c r="DL44" s="530">
        <v>11</v>
      </c>
      <c r="DM44" s="456">
        <v>0</v>
      </c>
      <c r="DN44" s="352">
        <f t="shared" si="220"/>
        <v>6</v>
      </c>
      <c r="DO44" s="456">
        <v>0</v>
      </c>
      <c r="DP44" s="456">
        <v>0</v>
      </c>
      <c r="DQ44" s="456">
        <v>0</v>
      </c>
      <c r="DR44" s="456">
        <v>0</v>
      </c>
      <c r="DS44" s="352">
        <f t="shared" si="227"/>
        <v>0</v>
      </c>
      <c r="DT44" s="456">
        <v>0</v>
      </c>
      <c r="DU44" s="456">
        <v>0</v>
      </c>
      <c r="DV44" s="456">
        <v>0</v>
      </c>
      <c r="DW44" s="456">
        <v>0</v>
      </c>
      <c r="DX44" s="352">
        <f t="shared" si="222"/>
        <v>0</v>
      </c>
      <c r="DY44" s="456">
        <v>0</v>
      </c>
      <c r="DZ44" s="456">
        <v>0</v>
      </c>
      <c r="EA44" s="456">
        <v>0</v>
      </c>
      <c r="EB44" s="456">
        <v>0</v>
      </c>
      <c r="EC44" s="352">
        <f t="shared" si="223"/>
        <v>0</v>
      </c>
      <c r="ED44" s="296"/>
    </row>
    <row r="45" spans="1:134">
      <c r="A45" s="943"/>
      <c r="B45" s="943"/>
      <c r="C45" s="531" t="s">
        <v>47</v>
      </c>
      <c r="D45" s="522"/>
      <c r="E45" s="522"/>
      <c r="F45" s="522"/>
      <c r="G45" s="522"/>
      <c r="H45" s="522"/>
      <c r="I45" s="533"/>
      <c r="J45" s="533"/>
      <c r="K45" s="533"/>
      <c r="L45" s="533"/>
      <c r="M45" s="352"/>
      <c r="N45" s="533"/>
      <c r="O45" s="533"/>
      <c r="P45" s="533"/>
      <c r="Q45" s="533"/>
      <c r="R45" s="352"/>
      <c r="S45" s="533"/>
      <c r="T45" s="533"/>
      <c r="U45" s="533"/>
      <c r="V45" s="533"/>
      <c r="W45" s="352"/>
      <c r="X45" s="533"/>
      <c r="Y45" s="533"/>
      <c r="Z45" s="533"/>
      <c r="AA45" s="533"/>
      <c r="AB45" s="352"/>
      <c r="AC45" s="533"/>
      <c r="AD45" s="533"/>
      <c r="AE45" s="533"/>
      <c r="AF45" s="533"/>
      <c r="AG45" s="352"/>
      <c r="AH45" s="533"/>
      <c r="AI45" s="533"/>
      <c r="AJ45" s="533"/>
      <c r="AK45" s="533"/>
      <c r="AL45" s="352"/>
      <c r="AM45" s="533"/>
      <c r="AN45" s="533"/>
      <c r="AO45" s="533"/>
      <c r="AP45" s="533"/>
      <c r="AQ45" s="352"/>
      <c r="AR45" s="533"/>
      <c r="AS45" s="533"/>
      <c r="AT45" s="533"/>
      <c r="AU45" s="533"/>
      <c r="AV45" s="352"/>
      <c r="AW45" s="533"/>
      <c r="AX45" s="533"/>
      <c r="AY45" s="533"/>
      <c r="AZ45" s="533"/>
      <c r="BA45" s="352"/>
      <c r="BB45" s="533"/>
      <c r="BC45" s="533"/>
      <c r="BD45" s="533"/>
      <c r="BE45" s="533"/>
      <c r="BF45" s="352"/>
      <c r="BG45" s="533"/>
      <c r="BH45" s="533"/>
      <c r="BI45" s="533"/>
      <c r="BJ45" s="533"/>
      <c r="BK45" s="352"/>
      <c r="BL45" s="533"/>
      <c r="BM45" s="533"/>
      <c r="BN45" s="533"/>
      <c r="BO45" s="533"/>
      <c r="BP45" s="352"/>
      <c r="BQ45" s="533"/>
      <c r="BR45" s="533"/>
      <c r="BS45" s="533"/>
      <c r="BT45" s="533"/>
      <c r="BU45" s="352">
        <f t="shared" si="211"/>
        <v>0</v>
      </c>
      <c r="BV45" s="533"/>
      <c r="BW45" s="533"/>
      <c r="BX45" s="533"/>
      <c r="BY45" s="533"/>
      <c r="BZ45" s="352">
        <f t="shared" si="212"/>
        <v>0</v>
      </c>
      <c r="CA45" s="533"/>
      <c r="CB45" s="533"/>
      <c r="CC45" s="533"/>
      <c r="CD45" s="533"/>
      <c r="CE45" s="352">
        <f t="shared" si="213"/>
        <v>0</v>
      </c>
      <c r="CF45" s="533"/>
      <c r="CG45" s="533"/>
      <c r="CH45" s="533"/>
      <c r="CI45" s="533"/>
      <c r="CJ45" s="352">
        <f t="shared" si="214"/>
        <v>0</v>
      </c>
      <c r="CK45" s="533"/>
      <c r="CL45" s="533"/>
      <c r="CM45" s="533"/>
      <c r="CN45" s="533"/>
      <c r="CO45" s="352">
        <f t="shared" si="215"/>
        <v>0</v>
      </c>
      <c r="CP45" s="533"/>
      <c r="CQ45" s="533"/>
      <c r="CR45" s="533"/>
      <c r="CS45" s="533"/>
      <c r="CT45" s="352">
        <f t="shared" si="216"/>
        <v>0</v>
      </c>
      <c r="CU45" s="533"/>
      <c r="CV45" s="533"/>
      <c r="CW45" s="533"/>
      <c r="CX45" s="533"/>
      <c r="CY45" s="352">
        <f t="shared" si="225"/>
        <v>0</v>
      </c>
      <c r="CZ45" s="533"/>
      <c r="DA45" s="533"/>
      <c r="DB45" s="533"/>
      <c r="DC45" s="533"/>
      <c r="DD45" s="352">
        <f t="shared" si="226"/>
        <v>0</v>
      </c>
      <c r="DE45" s="533"/>
      <c r="DF45" s="533"/>
      <c r="DG45" s="533"/>
      <c r="DH45" s="533"/>
      <c r="DI45" s="352">
        <f t="shared" si="224"/>
        <v>0</v>
      </c>
      <c r="DJ45" s="533"/>
      <c r="DK45" s="533"/>
      <c r="DL45" s="533"/>
      <c r="DM45" s="533"/>
      <c r="DN45" s="352">
        <f t="shared" si="220"/>
        <v>0</v>
      </c>
      <c r="DO45" s="533"/>
      <c r="DP45" s="533"/>
      <c r="DQ45" s="533"/>
      <c r="DR45" s="533"/>
      <c r="DS45" s="352">
        <f t="shared" si="227"/>
        <v>0</v>
      </c>
      <c r="DT45" s="533"/>
      <c r="DU45" s="533"/>
      <c r="DV45" s="533"/>
      <c r="DW45" s="533"/>
      <c r="DX45" s="352">
        <f t="shared" si="222"/>
        <v>0</v>
      </c>
      <c r="DY45" s="533"/>
      <c r="DZ45" s="533"/>
      <c r="EA45" s="533"/>
      <c r="EB45" s="533"/>
      <c r="EC45" s="352">
        <f t="shared" si="223"/>
        <v>0</v>
      </c>
      <c r="ED45" s="526"/>
    </row>
    <row r="46" spans="1:134" ht="12" customHeight="1">
      <c r="A46" s="943"/>
      <c r="B46" s="943"/>
      <c r="C46" s="500" t="s">
        <v>198</v>
      </c>
      <c r="D46" s="534"/>
      <c r="E46" s="534"/>
      <c r="F46" s="534"/>
      <c r="G46" s="534"/>
      <c r="H46" s="534"/>
      <c r="I46" s="329"/>
      <c r="J46" s="329"/>
      <c r="K46" s="329"/>
      <c r="L46" s="329"/>
      <c r="M46" s="534"/>
      <c r="N46" s="329"/>
      <c r="O46" s="329"/>
      <c r="P46" s="329"/>
      <c r="Q46" s="329"/>
      <c r="R46" s="534"/>
      <c r="S46" s="329"/>
      <c r="T46" s="329"/>
      <c r="U46" s="329"/>
      <c r="V46" s="329"/>
      <c r="W46" s="534"/>
      <c r="X46" s="329"/>
      <c r="Y46" s="329"/>
      <c r="Z46" s="329"/>
      <c r="AA46" s="329"/>
      <c r="AB46" s="534"/>
      <c r="AC46" s="329"/>
      <c r="AD46" s="329"/>
      <c r="AE46" s="329"/>
      <c r="AF46" s="329"/>
      <c r="AG46" s="534"/>
      <c r="AH46" s="329"/>
      <c r="AI46" s="329"/>
      <c r="AJ46" s="329"/>
      <c r="AK46" s="329"/>
      <c r="AL46" s="534"/>
      <c r="AM46" s="329"/>
      <c r="AN46" s="329"/>
      <c r="AO46" s="329"/>
      <c r="AP46" s="329"/>
      <c r="AQ46" s="534"/>
      <c r="AR46" s="329"/>
      <c r="AS46" s="329"/>
      <c r="AT46" s="329"/>
      <c r="AU46" s="329"/>
      <c r="AV46" s="534"/>
      <c r="AW46" s="329"/>
      <c r="AX46" s="329"/>
      <c r="AY46" s="329"/>
      <c r="AZ46" s="329"/>
      <c r="BA46" s="534"/>
      <c r="BB46" s="329"/>
      <c r="BC46" s="329"/>
      <c r="BD46" s="329"/>
      <c r="BE46" s="329"/>
      <c r="BF46" s="534"/>
      <c r="BG46" s="504"/>
      <c r="BH46" s="504"/>
      <c r="BI46" s="504"/>
      <c r="BJ46" s="504"/>
      <c r="BK46" s="534"/>
      <c r="BL46" s="329"/>
      <c r="BM46" s="329"/>
      <c r="BN46" s="329"/>
      <c r="BO46" s="329"/>
      <c r="BP46" s="534"/>
      <c r="BQ46" s="535">
        <f>BQ24+BQ37+BQ43+BQ44</f>
        <v>4.1949999999999994</v>
      </c>
      <c r="BR46" s="316">
        <f>BR24+BR37+BR43+BR44</f>
        <v>100.52000000000002</v>
      </c>
      <c r="BS46" s="316">
        <f>BS24+BS37+BS43+BS44</f>
        <v>-31.35300000000003</v>
      </c>
      <c r="BT46" s="316">
        <f>BT24+BT37+BT43+BT44</f>
        <v>-5.2449999999999948</v>
      </c>
      <c r="BU46" s="317">
        <f>SUM(BQ46:BT46)</f>
        <v>68.117000000000004</v>
      </c>
      <c r="BV46" s="316">
        <f>BV24+BV37+BV43+BV44</f>
        <v>-26.205999999999992</v>
      </c>
      <c r="BW46" s="316">
        <f>BW24+BW37+BW43+BW44</f>
        <v>-15.724</v>
      </c>
      <c r="BX46" s="316">
        <f>BX24+BX37+BX43+BX44</f>
        <v>119.21999999999998</v>
      </c>
      <c r="BY46" s="316">
        <f>BY24+BY37+BY43+BY44</f>
        <v>-103.34699999999998</v>
      </c>
      <c r="BZ46" s="317">
        <f>SUM(BV46:BY46)</f>
        <v>-26.056999999999988</v>
      </c>
      <c r="CA46" s="316">
        <f>CA24+CA37+CA43+CA44</f>
        <v>17.255000000000003</v>
      </c>
      <c r="CB46" s="316">
        <f>CB24+CB37+CB43+CB44</f>
        <v>98.128999999999905</v>
      </c>
      <c r="CC46" s="316">
        <f>CC24+CC37+CC43+CC44</f>
        <v>-79.547999999999973</v>
      </c>
      <c r="CD46" s="316">
        <f>CD24+CD37+CD43+CD44</f>
        <v>21.828000000000099</v>
      </c>
      <c r="CE46" s="317">
        <f>SUM(CA46:CD46)</f>
        <v>57.66400000000003</v>
      </c>
      <c r="CF46" s="316">
        <f>CF24+CF37+CF43+CF44</f>
        <v>54.901000000000074</v>
      </c>
      <c r="CG46" s="316">
        <f>CG24+CG37+CG43+CG44</f>
        <v>23.222999999999903</v>
      </c>
      <c r="CH46" s="316">
        <f>CH24+CH37+CH43+CH44</f>
        <v>23.619999999999951</v>
      </c>
      <c r="CI46" s="316">
        <f>CI24+CI37+CI43+CI44</f>
        <v>167.26200000000006</v>
      </c>
      <c r="CJ46" s="317">
        <f>SUM(CF46:CI46)</f>
        <v>269.00599999999997</v>
      </c>
      <c r="CK46" s="316">
        <f>CK24+CK37+CK43+CK44</f>
        <v>-0.23699999999999055</v>
      </c>
      <c r="CL46" s="316">
        <f>CL24+CL37+CL43+CL44</f>
        <v>258.54399999999998</v>
      </c>
      <c r="CM46" s="316">
        <f>CM24+CM37+CM43+CM44</f>
        <v>455.53900000000004</v>
      </c>
      <c r="CN46" s="316">
        <f>CN24+CN37+CN43+CN44</f>
        <v>-474.61299999999983</v>
      </c>
      <c r="CO46" s="317">
        <f>SUM(CK46:CN46)</f>
        <v>239.23300000000017</v>
      </c>
      <c r="CP46" s="316">
        <f>CP24+CP37+CP43+CP44</f>
        <v>319.44700000000006</v>
      </c>
      <c r="CQ46" s="316">
        <f>CQ24+CQ37+CQ43+CQ44</f>
        <v>912.9989999999998</v>
      </c>
      <c r="CR46" s="316">
        <f>CR24+CR37+CR43+CR44</f>
        <v>1207.5219999999999</v>
      </c>
      <c r="CS46" s="316">
        <f>CS24+CS37+CS43+CS44</f>
        <v>-386.28699999999992</v>
      </c>
      <c r="CT46" s="317">
        <f>SUM(CP46:CS46)</f>
        <v>2053.681</v>
      </c>
      <c r="CU46" s="316">
        <f>CU24+CU37+CU43+CU44</f>
        <v>81.973999999999478</v>
      </c>
      <c r="CV46" s="316">
        <f>CV24+CV37+CV43+CV44</f>
        <v>-420.90099999999967</v>
      </c>
      <c r="CW46" s="316">
        <f>CW24+CW37+CW43+CW44</f>
        <v>-175.05699999999942</v>
      </c>
      <c r="CX46" s="316">
        <f>CX24+CX37+CX43+CX44</f>
        <v>313.37899999999956</v>
      </c>
      <c r="CY46" s="317">
        <f>SUM(CU46:CX46)</f>
        <v>-200.60500000000002</v>
      </c>
      <c r="CZ46" s="316">
        <f>CZ24+CZ37+CZ43+CZ44</f>
        <v>-51.451999999999991</v>
      </c>
      <c r="DA46" s="316">
        <f>DA24+DA37+DA43+DA44</f>
        <v>899.24099999999987</v>
      </c>
      <c r="DB46" s="316">
        <f>DB24+DB37+DB43+DB44</f>
        <v>-1972.5299999999995</v>
      </c>
      <c r="DC46" s="316">
        <f>DC24+DC37+DC43+DC44</f>
        <v>271.07700000000091</v>
      </c>
      <c r="DD46" s="317">
        <f>SUM(CZ46:DC46)</f>
        <v>-853.66399999999862</v>
      </c>
      <c r="DE46" s="316">
        <f>DE24+DE37+DE43+DE44</f>
        <v>89</v>
      </c>
      <c r="DF46" s="316">
        <f>DF24+DF37+DF43+DF44</f>
        <v>-127</v>
      </c>
      <c r="DG46" s="316">
        <f>DG24+DG37+DG43+DG44</f>
        <v>-324</v>
      </c>
      <c r="DH46" s="316">
        <f>DH24+DH37+DH43+DH44</f>
        <v>126</v>
      </c>
      <c r="DI46" s="317">
        <f>SUM(DE46:DH46)</f>
        <v>-236</v>
      </c>
      <c r="DJ46" s="316">
        <f>DJ24+DJ37+DJ43+DJ44</f>
        <v>210</v>
      </c>
      <c r="DK46" s="316">
        <f>DK24+DK37+DK43+DK44</f>
        <v>-82</v>
      </c>
      <c r="DL46" s="316">
        <f>DL24+DL37+DL43+DL44</f>
        <v>-34</v>
      </c>
      <c r="DM46" s="316">
        <f>DM24+DM37+DM43+DM44</f>
        <v>626.96974049629796</v>
      </c>
      <c r="DN46" s="317">
        <f>SUM(DJ46:DM46)</f>
        <v>720.96974049629796</v>
      </c>
      <c r="DO46" s="316">
        <f>DO24+DO37+DO43+DO44</f>
        <v>596.53854800862666</v>
      </c>
      <c r="DP46" s="316">
        <f>DP24+DP37+DP43+DP44</f>
        <v>318.45313862865885</v>
      </c>
      <c r="DQ46" s="316">
        <f>DQ24+DQ37+DQ43+DQ44</f>
        <v>-715.71379068203453</v>
      </c>
      <c r="DR46" s="316">
        <f>DR24+DR37+DR43+DR44</f>
        <v>781.41018597369612</v>
      </c>
      <c r="DS46" s="317">
        <f>SUM(DO46:DR46)</f>
        <v>980.6880819289471</v>
      </c>
      <c r="DT46" s="316">
        <f>DT24+DT37+DT43+DT44</f>
        <v>692.73155997154618</v>
      </c>
      <c r="DU46" s="316">
        <f>DU24+DU37+DU43+DU44</f>
        <v>412.2749853577335</v>
      </c>
      <c r="DV46" s="316">
        <f>DV24+DV37+DV43+DV44</f>
        <v>257.36219400960101</v>
      </c>
      <c r="DW46" s="316">
        <f>DW24+DW37+DW43+DW44</f>
        <v>942.98005973778913</v>
      </c>
      <c r="DX46" s="317">
        <f>SUM(DT46:DW46)</f>
        <v>2305.3487990766698</v>
      </c>
      <c r="DY46" s="316">
        <f>DY24+DY37+DY43+DY44</f>
        <v>845.29190212392837</v>
      </c>
      <c r="DZ46" s="316">
        <f>DZ24+DZ37+DZ43+DZ44</f>
        <v>511.54205461593159</v>
      </c>
      <c r="EA46" s="316">
        <f>EA24+EA37+EA43+EA44</f>
        <v>330.66974629589834</v>
      </c>
      <c r="EB46" s="316">
        <f>EB24+EB37+EB43+EB44</f>
        <v>1150.8111088076109</v>
      </c>
      <c r="EC46" s="317">
        <f>SUM(DY46:EB46)</f>
        <v>2838.3148118433692</v>
      </c>
      <c r="ED46" s="296"/>
    </row>
    <row r="47" spans="1:134" ht="12" customHeight="1">
      <c r="A47" s="943"/>
      <c r="B47" s="943"/>
      <c r="C47" s="309" t="s">
        <v>199</v>
      </c>
      <c r="D47" s="495"/>
      <c r="E47" s="452"/>
      <c r="F47" s="452"/>
      <c r="G47" s="452"/>
      <c r="H47" s="452"/>
      <c r="I47" s="179"/>
      <c r="J47" s="179"/>
      <c r="K47" s="179"/>
      <c r="L47" s="179"/>
      <c r="M47" s="452"/>
      <c r="N47" s="179"/>
      <c r="O47" s="179"/>
      <c r="P47" s="179"/>
      <c r="Q47" s="179"/>
      <c r="R47" s="452"/>
      <c r="S47" s="179"/>
      <c r="T47" s="179"/>
      <c r="U47" s="179"/>
      <c r="V47" s="179"/>
      <c r="W47" s="452"/>
      <c r="X47" s="179"/>
      <c r="Y47" s="179"/>
      <c r="Z47" s="179"/>
      <c r="AA47" s="179"/>
      <c r="AB47" s="452"/>
      <c r="AC47" s="179"/>
      <c r="AD47" s="179"/>
      <c r="AE47" s="179"/>
      <c r="AF47" s="179"/>
      <c r="AG47" s="452"/>
      <c r="AH47" s="179"/>
      <c r="AI47" s="179"/>
      <c r="AJ47" s="179"/>
      <c r="AK47" s="179"/>
      <c r="AL47" s="452"/>
      <c r="AM47" s="179"/>
      <c r="AN47" s="179"/>
      <c r="AO47" s="179"/>
      <c r="AP47" s="179"/>
      <c r="AQ47" s="452"/>
      <c r="AR47" s="179"/>
      <c r="AS47" s="179"/>
      <c r="AT47" s="179"/>
      <c r="AU47" s="179"/>
      <c r="AV47" s="452"/>
      <c r="AW47" s="179"/>
      <c r="AX47" s="179"/>
      <c r="AY47" s="179"/>
      <c r="AZ47" s="179"/>
      <c r="BA47" s="452"/>
      <c r="BB47" s="179"/>
      <c r="BC47" s="179"/>
      <c r="BD47" s="179"/>
      <c r="BE47" s="179"/>
      <c r="BF47" s="369"/>
      <c r="BG47" s="484"/>
      <c r="BH47" s="484"/>
      <c r="BI47" s="484"/>
      <c r="BJ47" s="484"/>
      <c r="BK47" s="452"/>
      <c r="BL47" s="179"/>
      <c r="BM47" s="179"/>
      <c r="BN47" s="179"/>
      <c r="BO47" s="179"/>
      <c r="BP47" s="452"/>
      <c r="BQ47" s="125">
        <f>BO48</f>
        <v>41.953000000000003</v>
      </c>
      <c r="BR47" s="125">
        <f>BQ48</f>
        <v>46.148000000000003</v>
      </c>
      <c r="BS47" s="125">
        <f>BR48</f>
        <v>146.66800000000003</v>
      </c>
      <c r="BT47" s="125">
        <f>BS48</f>
        <v>115.315</v>
      </c>
      <c r="BU47" s="300">
        <f>+BO48</f>
        <v>41.953000000000003</v>
      </c>
      <c r="BV47" s="125">
        <f>BT48</f>
        <v>110.07000000000001</v>
      </c>
      <c r="BW47" s="125">
        <f>BV48</f>
        <v>83.864000000000019</v>
      </c>
      <c r="BX47" s="125">
        <f>BW48</f>
        <v>68.140000000000015</v>
      </c>
      <c r="BY47" s="125">
        <f>BX48</f>
        <v>187.36</v>
      </c>
      <c r="BZ47" s="300">
        <f>BU48</f>
        <v>110.07000000000001</v>
      </c>
      <c r="CA47" s="125">
        <f>BY48</f>
        <v>84.013000000000034</v>
      </c>
      <c r="CB47" s="125">
        <f>CA48</f>
        <v>101.26800000000003</v>
      </c>
      <c r="CC47" s="125">
        <f>CB48</f>
        <v>199.39699999999993</v>
      </c>
      <c r="CD47" s="125">
        <f>CC48</f>
        <v>119.84899999999996</v>
      </c>
      <c r="CE47" s="300">
        <f>BZ48</f>
        <v>84.013000000000034</v>
      </c>
      <c r="CF47" s="125">
        <f>CD48</f>
        <v>141.67700000000005</v>
      </c>
      <c r="CG47" s="125">
        <f>CF48</f>
        <v>196.57800000000012</v>
      </c>
      <c r="CH47" s="125">
        <f>CG48</f>
        <v>219.80100000000002</v>
      </c>
      <c r="CI47" s="125">
        <f>CH48</f>
        <v>243.42099999999996</v>
      </c>
      <c r="CJ47" s="300">
        <f>CE48</f>
        <v>141.67700000000005</v>
      </c>
      <c r="CK47" s="125">
        <f>CI48</f>
        <v>410.68299999999999</v>
      </c>
      <c r="CL47" s="125">
        <f>CK48</f>
        <v>410.44600000000003</v>
      </c>
      <c r="CM47" s="125">
        <f>CL48</f>
        <v>668.99</v>
      </c>
      <c r="CN47" s="125">
        <f>CM48</f>
        <v>1124.529</v>
      </c>
      <c r="CO47" s="300">
        <f>CJ48</f>
        <v>410.68299999999999</v>
      </c>
      <c r="CP47" s="125">
        <f>CN48</f>
        <v>649.91600000000017</v>
      </c>
      <c r="CQ47" s="125">
        <f>CP48</f>
        <v>969.36300000000028</v>
      </c>
      <c r="CR47" s="125">
        <f>CQ48</f>
        <v>1882.3620000000001</v>
      </c>
      <c r="CS47" s="125">
        <f>CR48</f>
        <v>3089.884</v>
      </c>
      <c r="CT47" s="300">
        <f>CO48</f>
        <v>649.91600000000017</v>
      </c>
      <c r="CU47" s="125">
        <f>CS48</f>
        <v>2703.5970000000002</v>
      </c>
      <c r="CV47" s="125">
        <f>CU48</f>
        <v>2785.5709999999999</v>
      </c>
      <c r="CW47" s="125">
        <f>CV48</f>
        <v>2364.67</v>
      </c>
      <c r="CX47" s="125">
        <f>CW48</f>
        <v>2189.6130000000007</v>
      </c>
      <c r="CY47" s="300">
        <f>CT48</f>
        <v>2703.5970000000002</v>
      </c>
      <c r="CZ47" s="125">
        <f>CX48</f>
        <v>2502.9920000000002</v>
      </c>
      <c r="DA47" s="125">
        <f>+CZ48</f>
        <v>2451.5400000000004</v>
      </c>
      <c r="DB47" s="125">
        <f>+DA48</f>
        <v>3350.7810000000004</v>
      </c>
      <c r="DC47" s="125">
        <f>+DB48</f>
        <v>1378.2510000000009</v>
      </c>
      <c r="DD47" s="300">
        <f>CY48</f>
        <v>2502.9920000000002</v>
      </c>
      <c r="DE47" s="125">
        <f>+DD48</f>
        <v>1649.3280000000018</v>
      </c>
      <c r="DF47" s="125">
        <f>+DE48</f>
        <v>1738.3280000000018</v>
      </c>
      <c r="DG47" s="125">
        <f>+DF48</f>
        <v>1611.3280000000018</v>
      </c>
      <c r="DH47" s="125">
        <f>+DG48</f>
        <v>1287.3280000000018</v>
      </c>
      <c r="DI47" s="300">
        <f>DD48</f>
        <v>1649.3280000000018</v>
      </c>
      <c r="DJ47" s="125">
        <f>+DI48</f>
        <v>1413.0000000000018</v>
      </c>
      <c r="DK47" s="125">
        <f>+DJ48</f>
        <v>1623.0000000000018</v>
      </c>
      <c r="DL47" s="125">
        <f>+DK48</f>
        <v>1541.0000000000018</v>
      </c>
      <c r="DM47" s="125">
        <f>DL48</f>
        <v>1507.0000000000018</v>
      </c>
      <c r="DN47" s="300">
        <f>DI48</f>
        <v>1413.0000000000018</v>
      </c>
      <c r="DO47" s="125">
        <f>DM48</f>
        <v>2133.9697404962999</v>
      </c>
      <c r="DP47" s="125">
        <f>DO48</f>
        <v>2730.5082885049264</v>
      </c>
      <c r="DQ47" s="125">
        <f>DP48</f>
        <v>3048.9614271335854</v>
      </c>
      <c r="DR47" s="125">
        <f>DQ48</f>
        <v>2333.247636451551</v>
      </c>
      <c r="DS47" s="300">
        <f>DN48</f>
        <v>2133.9697404962999</v>
      </c>
      <c r="DT47" s="125">
        <f>DR48</f>
        <v>3114.6578224252471</v>
      </c>
      <c r="DU47" s="125">
        <f>DT48</f>
        <v>3807.3893823967933</v>
      </c>
      <c r="DV47" s="125">
        <f>DU48</f>
        <v>4219.6643677545271</v>
      </c>
      <c r="DW47" s="125">
        <f>DV48</f>
        <v>4477.026561764128</v>
      </c>
      <c r="DX47" s="300">
        <f>DS48</f>
        <v>3114.6578224252471</v>
      </c>
      <c r="DY47" s="125">
        <f>DW48</f>
        <v>5420.0066215019169</v>
      </c>
      <c r="DZ47" s="125">
        <f>DY48</f>
        <v>6265.2985236258455</v>
      </c>
      <c r="EA47" s="125">
        <f>DZ48</f>
        <v>6776.8405782417767</v>
      </c>
      <c r="EB47" s="125">
        <f>EA48</f>
        <v>7107.5103245376749</v>
      </c>
      <c r="EC47" s="300">
        <f>DX48</f>
        <v>5420.0066215019169</v>
      </c>
      <c r="ED47" s="296"/>
    </row>
    <row r="48" spans="1:134" ht="12" customHeight="1">
      <c r="A48" s="943"/>
      <c r="B48" s="943"/>
      <c r="C48" s="507" t="s">
        <v>200</v>
      </c>
      <c r="D48" s="508"/>
      <c r="E48" s="508"/>
      <c r="F48" s="508"/>
      <c r="G48" s="508"/>
      <c r="H48" s="508"/>
      <c r="I48" s="509"/>
      <c r="J48" s="509"/>
      <c r="K48" s="509"/>
      <c r="L48" s="509"/>
      <c r="M48" s="508"/>
      <c r="N48" s="509"/>
      <c r="O48" s="509"/>
      <c r="P48" s="509"/>
      <c r="Q48" s="509"/>
      <c r="R48" s="508"/>
      <c r="S48" s="509"/>
      <c r="T48" s="509"/>
      <c r="U48" s="509"/>
      <c r="V48" s="509"/>
      <c r="W48" s="508"/>
      <c r="X48" s="509"/>
      <c r="Y48" s="509"/>
      <c r="Z48" s="509"/>
      <c r="AA48" s="509"/>
      <c r="AB48" s="508"/>
      <c r="AC48" s="509"/>
      <c r="AD48" s="509"/>
      <c r="AE48" s="509"/>
      <c r="AF48" s="509"/>
      <c r="AG48" s="508"/>
      <c r="AH48" s="509"/>
      <c r="AI48" s="509"/>
      <c r="AJ48" s="509"/>
      <c r="AK48" s="509"/>
      <c r="AL48" s="508"/>
      <c r="AM48" s="509"/>
      <c r="AN48" s="509"/>
      <c r="AO48" s="509"/>
      <c r="AP48" s="509"/>
      <c r="AQ48" s="508"/>
      <c r="AR48" s="509"/>
      <c r="AS48" s="509"/>
      <c r="AT48" s="509"/>
      <c r="AU48" s="509"/>
      <c r="AV48" s="508"/>
      <c r="AW48" s="509"/>
      <c r="AX48" s="509"/>
      <c r="AY48" s="509"/>
      <c r="AZ48" s="509"/>
      <c r="BA48" s="508"/>
      <c r="BB48" s="509"/>
      <c r="BC48" s="509"/>
      <c r="BD48" s="509"/>
      <c r="BE48" s="509"/>
      <c r="BF48" s="508"/>
      <c r="BG48" s="509"/>
      <c r="BH48" s="509"/>
      <c r="BI48" s="509"/>
      <c r="BJ48" s="509"/>
      <c r="BK48" s="508"/>
      <c r="BL48" s="509"/>
      <c r="BM48" s="509"/>
      <c r="BN48" s="509"/>
      <c r="BO48" s="510">
        <v>41.953000000000003</v>
      </c>
      <c r="BP48" s="508"/>
      <c r="BQ48" s="294">
        <f t="shared" ref="BQ48:BY48" si="228">BQ46+BQ47</f>
        <v>46.148000000000003</v>
      </c>
      <c r="BR48" s="294">
        <f t="shared" si="228"/>
        <v>146.66800000000003</v>
      </c>
      <c r="BS48" s="294">
        <f t="shared" si="228"/>
        <v>115.315</v>
      </c>
      <c r="BT48" s="294">
        <f t="shared" si="228"/>
        <v>110.07000000000001</v>
      </c>
      <c r="BU48" s="295">
        <f t="shared" si="228"/>
        <v>110.07000000000001</v>
      </c>
      <c r="BV48" s="294">
        <f t="shared" si="228"/>
        <v>83.864000000000019</v>
      </c>
      <c r="BW48" s="294">
        <f t="shared" si="228"/>
        <v>68.140000000000015</v>
      </c>
      <c r="BX48" s="294">
        <f t="shared" si="228"/>
        <v>187.36</v>
      </c>
      <c r="BY48" s="294">
        <f t="shared" si="228"/>
        <v>84.013000000000034</v>
      </c>
      <c r="BZ48" s="295">
        <f>BY48</f>
        <v>84.013000000000034</v>
      </c>
      <c r="CA48" s="294">
        <f>CA46+CA47</f>
        <v>101.26800000000003</v>
      </c>
      <c r="CB48" s="294">
        <f>CB46+CB47</f>
        <v>199.39699999999993</v>
      </c>
      <c r="CC48" s="294">
        <f>CC46+CC47</f>
        <v>119.84899999999996</v>
      </c>
      <c r="CD48" s="294">
        <f>CD46+CD47</f>
        <v>141.67700000000005</v>
      </c>
      <c r="CE48" s="295">
        <f>CD48</f>
        <v>141.67700000000005</v>
      </c>
      <c r="CF48" s="294">
        <f>CF46+CF47</f>
        <v>196.57800000000012</v>
      </c>
      <c r="CG48" s="294">
        <f>CG46+CG47</f>
        <v>219.80100000000002</v>
      </c>
      <c r="CH48" s="294">
        <f>CH46+CH47</f>
        <v>243.42099999999996</v>
      </c>
      <c r="CI48" s="294">
        <f>CI46+CI47</f>
        <v>410.68299999999999</v>
      </c>
      <c r="CJ48" s="295">
        <f>CI48</f>
        <v>410.68299999999999</v>
      </c>
      <c r="CK48" s="294">
        <f>CK46+CK47</f>
        <v>410.44600000000003</v>
      </c>
      <c r="CL48" s="294">
        <f>CL46+CL47</f>
        <v>668.99</v>
      </c>
      <c r="CM48" s="294">
        <f>CM46+CM47</f>
        <v>1124.529</v>
      </c>
      <c r="CN48" s="294">
        <f>CN46+CN47</f>
        <v>649.91600000000017</v>
      </c>
      <c r="CO48" s="295">
        <f>CN48</f>
        <v>649.91600000000017</v>
      </c>
      <c r="CP48" s="294">
        <f>CP46+CP47</f>
        <v>969.36300000000028</v>
      </c>
      <c r="CQ48" s="294">
        <f>CQ46+CQ47</f>
        <v>1882.3620000000001</v>
      </c>
      <c r="CR48" s="294">
        <f>CR46+CR47</f>
        <v>3089.884</v>
      </c>
      <c r="CS48" s="294">
        <f>CS46+CS47</f>
        <v>2703.5970000000002</v>
      </c>
      <c r="CT48" s="295">
        <f>CS48</f>
        <v>2703.5970000000002</v>
      </c>
      <c r="CU48" s="294">
        <f>CU46+CU47</f>
        <v>2785.5709999999999</v>
      </c>
      <c r="CV48" s="294">
        <f>CV46+CV47</f>
        <v>2364.67</v>
      </c>
      <c r="CW48" s="294">
        <f>CW46+CW47</f>
        <v>2189.6130000000007</v>
      </c>
      <c r="CX48" s="294">
        <f>CX46+CX47</f>
        <v>2502.9920000000002</v>
      </c>
      <c r="CY48" s="295">
        <f>CX48</f>
        <v>2502.9920000000002</v>
      </c>
      <c r="CZ48" s="294">
        <f>CZ46+CZ47</f>
        <v>2451.5400000000004</v>
      </c>
      <c r="DA48" s="294">
        <f>+DA47+DA46</f>
        <v>3350.7810000000004</v>
      </c>
      <c r="DB48" s="294">
        <f>+DB47+DB46</f>
        <v>1378.2510000000009</v>
      </c>
      <c r="DC48" s="294">
        <f>+DC47+DC46</f>
        <v>1649.3280000000018</v>
      </c>
      <c r="DD48" s="295">
        <f>DC48</f>
        <v>1649.3280000000018</v>
      </c>
      <c r="DE48" s="294">
        <f>+DE47+DE46</f>
        <v>1738.3280000000018</v>
      </c>
      <c r="DF48" s="294">
        <f>+DF47+DF46</f>
        <v>1611.3280000000018</v>
      </c>
      <c r="DG48" s="294">
        <f>+DG47+DG46</f>
        <v>1287.3280000000018</v>
      </c>
      <c r="DH48" s="294">
        <f>+DH47+DH46-0.328</f>
        <v>1413.0000000000018</v>
      </c>
      <c r="DI48" s="295">
        <f>DH48</f>
        <v>1413.0000000000018</v>
      </c>
      <c r="DJ48" s="294">
        <f>+DJ47+DJ46</f>
        <v>1623.0000000000018</v>
      </c>
      <c r="DK48" s="294">
        <f>+DK47+DK46</f>
        <v>1541.0000000000018</v>
      </c>
      <c r="DL48" s="294">
        <f>+DL47+DL46</f>
        <v>1507.0000000000018</v>
      </c>
      <c r="DM48" s="294">
        <f>DM46+DM47</f>
        <v>2133.9697404962999</v>
      </c>
      <c r="DN48" s="295">
        <f>DM48</f>
        <v>2133.9697404962999</v>
      </c>
      <c r="DO48" s="294">
        <f>DO46+DO47</f>
        <v>2730.5082885049264</v>
      </c>
      <c r="DP48" s="294">
        <f>DP46+DP47</f>
        <v>3048.9614271335854</v>
      </c>
      <c r="DQ48" s="294">
        <f>DQ46+DQ47</f>
        <v>2333.247636451551</v>
      </c>
      <c r="DR48" s="294">
        <f>DR46+DR47</f>
        <v>3114.6578224252471</v>
      </c>
      <c r="DS48" s="295">
        <f>DR48</f>
        <v>3114.6578224252471</v>
      </c>
      <c r="DT48" s="294">
        <f>DT46+DT47</f>
        <v>3807.3893823967933</v>
      </c>
      <c r="DU48" s="294">
        <f>DU46+DU47</f>
        <v>4219.6643677545271</v>
      </c>
      <c r="DV48" s="294">
        <f>DV46+DV47</f>
        <v>4477.026561764128</v>
      </c>
      <c r="DW48" s="294">
        <f>DW46+DW47</f>
        <v>5420.0066215019169</v>
      </c>
      <c r="DX48" s="295">
        <f>DW48</f>
        <v>5420.0066215019169</v>
      </c>
      <c r="DY48" s="294">
        <f>DY46+DY47</f>
        <v>6265.2985236258455</v>
      </c>
      <c r="DZ48" s="294">
        <f>DZ46+DZ47</f>
        <v>6776.8405782417767</v>
      </c>
      <c r="EA48" s="294">
        <f>EA46+EA47</f>
        <v>7107.5103245376749</v>
      </c>
      <c r="EB48" s="294">
        <f>EB46+EB47</f>
        <v>8258.3214333452852</v>
      </c>
      <c r="EC48" s="295">
        <f>EB48</f>
        <v>8258.3214333452852</v>
      </c>
      <c r="ED48" s="297"/>
    </row>
    <row r="49" spans="1:134" ht="12" customHeight="1">
      <c r="A49" s="943"/>
      <c r="B49" s="943"/>
      <c r="C49" s="488" t="s">
        <v>201</v>
      </c>
      <c r="D49" s="467"/>
      <c r="E49" s="467"/>
      <c r="F49" s="467"/>
      <c r="G49" s="467"/>
      <c r="H49" s="467"/>
      <c r="I49" s="468"/>
      <c r="J49" s="468"/>
      <c r="K49" s="468"/>
      <c r="L49" s="468"/>
      <c r="M49" s="467"/>
      <c r="N49" s="468"/>
      <c r="O49" s="468"/>
      <c r="P49" s="468"/>
      <c r="Q49" s="468"/>
      <c r="R49" s="467"/>
      <c r="S49" s="468"/>
      <c r="T49" s="468"/>
      <c r="U49" s="468"/>
      <c r="V49" s="468"/>
      <c r="W49" s="467"/>
      <c r="X49" s="468"/>
      <c r="Y49" s="468"/>
      <c r="Z49" s="468"/>
      <c r="AA49" s="468"/>
      <c r="AB49" s="467"/>
      <c r="AC49" s="468"/>
      <c r="AD49" s="468"/>
      <c r="AE49" s="468"/>
      <c r="AF49" s="468"/>
      <c r="AG49" s="467"/>
      <c r="AH49" s="468"/>
      <c r="AI49" s="468"/>
      <c r="AJ49" s="468"/>
      <c r="AK49" s="468"/>
      <c r="AL49" s="467"/>
      <c r="AM49" s="468"/>
      <c r="AN49" s="468"/>
      <c r="AO49" s="468"/>
      <c r="AP49" s="468"/>
      <c r="AQ49" s="467"/>
      <c r="AR49" s="468"/>
      <c r="AS49" s="468"/>
      <c r="AT49" s="468"/>
      <c r="AU49" s="468"/>
      <c r="AV49" s="467"/>
      <c r="AW49" s="468"/>
      <c r="AX49" s="468"/>
      <c r="AY49" s="468"/>
      <c r="AZ49" s="468"/>
      <c r="BA49" s="467"/>
      <c r="BB49" s="468"/>
      <c r="BC49" s="468"/>
      <c r="BD49" s="468"/>
      <c r="BE49" s="468"/>
      <c r="BF49" s="467"/>
      <c r="BG49" s="468"/>
      <c r="BH49" s="468"/>
      <c r="BI49" s="468"/>
      <c r="BJ49" s="468"/>
      <c r="BK49" s="467"/>
      <c r="BL49" s="468"/>
      <c r="BM49" s="468"/>
      <c r="BN49" s="468"/>
      <c r="BO49" s="468"/>
      <c r="BP49" s="467"/>
      <c r="BQ49" s="469"/>
      <c r="BR49" s="469"/>
      <c r="BS49" s="469"/>
      <c r="BT49" s="469"/>
      <c r="BU49" s="470"/>
      <c r="BV49" s="469"/>
      <c r="BW49" s="469"/>
      <c r="BX49" s="469"/>
      <c r="BY49" s="469"/>
      <c r="BZ49" s="470"/>
      <c r="CA49" s="469"/>
      <c r="CB49" s="469"/>
      <c r="CC49" s="469"/>
      <c r="CD49" s="469"/>
      <c r="CE49" s="470"/>
      <c r="CF49" s="469"/>
      <c r="CG49" s="469"/>
      <c r="CH49" s="469"/>
      <c r="CI49" s="469"/>
      <c r="CJ49" s="470"/>
      <c r="CK49" s="469"/>
      <c r="CL49" s="469"/>
      <c r="CM49" s="469"/>
      <c r="CN49" s="469"/>
      <c r="CO49" s="470"/>
      <c r="CP49" s="469"/>
      <c r="CQ49" s="469"/>
      <c r="CR49" s="469"/>
      <c r="CS49" s="469"/>
      <c r="CT49" s="470"/>
      <c r="CU49" s="469"/>
      <c r="CV49" s="469"/>
      <c r="CW49" s="469"/>
      <c r="CX49" s="469"/>
      <c r="CY49" s="470"/>
      <c r="CZ49" s="469"/>
      <c r="DA49" s="469"/>
      <c r="DB49" s="469"/>
      <c r="DC49" s="469"/>
      <c r="DD49" s="470"/>
      <c r="DE49" s="469"/>
      <c r="DF49" s="469"/>
      <c r="DG49" s="469"/>
      <c r="DH49" s="469"/>
      <c r="DI49" s="470"/>
      <c r="DJ49" s="469"/>
      <c r="DK49" s="469"/>
      <c r="DL49" s="469"/>
      <c r="DM49" s="469"/>
      <c r="DN49" s="470"/>
      <c r="DO49" s="469"/>
      <c r="DP49" s="469"/>
      <c r="DQ49" s="469"/>
      <c r="DR49" s="469"/>
      <c r="DS49" s="470"/>
      <c r="DT49" s="469"/>
      <c r="DU49" s="469"/>
      <c r="DV49" s="469"/>
      <c r="DW49" s="469"/>
      <c r="DX49" s="470"/>
      <c r="DY49" s="469"/>
      <c r="DZ49" s="469"/>
      <c r="EA49" s="469"/>
      <c r="EB49" s="469"/>
      <c r="EC49" s="470"/>
      <c r="ED49" s="297"/>
    </row>
    <row r="50" spans="1:134" ht="12" customHeight="1">
      <c r="A50" s="943"/>
      <c r="B50" s="943"/>
      <c r="C50" s="309" t="s">
        <v>202</v>
      </c>
      <c r="D50" s="495"/>
      <c r="E50" s="452"/>
      <c r="F50" s="452"/>
      <c r="G50" s="452"/>
      <c r="H50" s="452"/>
      <c r="I50" s="179"/>
      <c r="J50" s="179"/>
      <c r="K50" s="179"/>
      <c r="L50" s="179"/>
      <c r="M50" s="452"/>
      <c r="N50" s="179"/>
      <c r="O50" s="179"/>
      <c r="P50" s="179"/>
      <c r="Q50" s="179"/>
      <c r="R50" s="452"/>
      <c r="S50" s="179"/>
      <c r="T50" s="179"/>
      <c r="U50" s="179"/>
      <c r="V50" s="179"/>
      <c r="W50" s="452"/>
      <c r="X50" s="179"/>
      <c r="Y50" s="179"/>
      <c r="Z50" s="179"/>
      <c r="AA50" s="179"/>
      <c r="AB50" s="452"/>
      <c r="AC50" s="179"/>
      <c r="AD50" s="179"/>
      <c r="AE50" s="179"/>
      <c r="AF50" s="179"/>
      <c r="AG50" s="452"/>
      <c r="AH50" s="179"/>
      <c r="AI50" s="179"/>
      <c r="AJ50" s="179"/>
      <c r="AK50" s="179"/>
      <c r="AL50" s="452"/>
      <c r="AM50" s="179"/>
      <c r="AN50" s="179"/>
      <c r="AO50" s="179"/>
      <c r="AP50" s="179"/>
      <c r="AQ50" s="452"/>
      <c r="AR50" s="179"/>
      <c r="AS50" s="179"/>
      <c r="AT50" s="179"/>
      <c r="AU50" s="179"/>
      <c r="AV50" s="452"/>
      <c r="AW50" s="179"/>
      <c r="AX50" s="179"/>
      <c r="AY50" s="179"/>
      <c r="AZ50" s="179"/>
      <c r="BA50" s="452"/>
      <c r="BB50" s="179"/>
      <c r="BC50" s="179"/>
      <c r="BD50" s="179"/>
      <c r="BE50" s="179"/>
      <c r="BF50" s="369"/>
      <c r="BG50" s="484"/>
      <c r="BH50" s="484"/>
      <c r="BI50" s="484"/>
      <c r="BJ50" s="484"/>
      <c r="BK50" s="452"/>
      <c r="BL50" s="179"/>
      <c r="BM50" s="179"/>
      <c r="BN50" s="179"/>
      <c r="BO50" s="179"/>
      <c r="BP50" s="452"/>
      <c r="BQ50" s="179">
        <f>BQ48</f>
        <v>46.148000000000003</v>
      </c>
      <c r="BR50" s="179">
        <f>BR48</f>
        <v>146.66800000000003</v>
      </c>
      <c r="BS50" s="179">
        <f>BS48</f>
        <v>115.315</v>
      </c>
      <c r="BT50" s="179">
        <f>BT48</f>
        <v>110.07000000000001</v>
      </c>
      <c r="BU50" s="300">
        <f>BT50</f>
        <v>110.07000000000001</v>
      </c>
      <c r="BV50" s="179">
        <f>BV48</f>
        <v>83.864000000000019</v>
      </c>
      <c r="BW50" s="179">
        <f>BW48</f>
        <v>68.140000000000015</v>
      </c>
      <c r="BX50" s="179">
        <f>BX48</f>
        <v>187.36</v>
      </c>
      <c r="BY50" s="179">
        <f>BY48</f>
        <v>84.013000000000034</v>
      </c>
      <c r="BZ50" s="300">
        <f>BY50</f>
        <v>84.013000000000034</v>
      </c>
      <c r="CA50" s="179">
        <f>CA48</f>
        <v>101.26800000000003</v>
      </c>
      <c r="CB50" s="179">
        <f>CB48</f>
        <v>199.39699999999993</v>
      </c>
      <c r="CC50" s="179">
        <f>CC48</f>
        <v>119.84899999999996</v>
      </c>
      <c r="CD50" s="179">
        <f>CD48</f>
        <v>141.67700000000005</v>
      </c>
      <c r="CE50" s="300">
        <f>CD50</f>
        <v>141.67700000000005</v>
      </c>
      <c r="CF50" s="179">
        <f>CF48</f>
        <v>196.57800000000012</v>
      </c>
      <c r="CG50" s="179">
        <f>CG48</f>
        <v>219.80100000000002</v>
      </c>
      <c r="CH50" s="179">
        <f>CH48</f>
        <v>243.42099999999996</v>
      </c>
      <c r="CI50" s="179">
        <f>CI48</f>
        <v>410.68299999999999</v>
      </c>
      <c r="CJ50" s="300">
        <f>CI50</f>
        <v>410.68299999999999</v>
      </c>
      <c r="CK50" s="179">
        <f>CK48</f>
        <v>410.44600000000003</v>
      </c>
      <c r="CL50" s="179">
        <f>CL48</f>
        <v>668.99</v>
      </c>
      <c r="CM50" s="179">
        <f>CM48</f>
        <v>1124.529</v>
      </c>
      <c r="CN50" s="179">
        <f>CN48</f>
        <v>649.91600000000017</v>
      </c>
      <c r="CO50" s="300">
        <f>CN50</f>
        <v>649.91600000000017</v>
      </c>
      <c r="CP50" s="179">
        <f>CP48</f>
        <v>969.36300000000028</v>
      </c>
      <c r="CQ50" s="179">
        <f>CQ48</f>
        <v>1882.3620000000001</v>
      </c>
      <c r="CR50" s="179">
        <f>CR48</f>
        <v>3089.884</v>
      </c>
      <c r="CS50" s="179">
        <f>CS48</f>
        <v>2703.5970000000002</v>
      </c>
      <c r="CT50" s="300">
        <f>CS50</f>
        <v>2703.5970000000002</v>
      </c>
      <c r="CU50" s="125">
        <f>CU48</f>
        <v>2785.5709999999999</v>
      </c>
      <c r="CV50" s="125">
        <f>CV48</f>
        <v>2364.67</v>
      </c>
      <c r="CW50" s="125">
        <f>CW48</f>
        <v>2189.6130000000007</v>
      </c>
      <c r="CX50" s="125">
        <f>CX48</f>
        <v>2502.9920000000002</v>
      </c>
      <c r="CY50" s="300">
        <f>CX50</f>
        <v>2502.9920000000002</v>
      </c>
      <c r="CZ50" s="125">
        <f>CZ48</f>
        <v>2451.5400000000004</v>
      </c>
      <c r="DA50" s="125">
        <f>DA48</f>
        <v>3350.7810000000004</v>
      </c>
      <c r="DB50" s="125">
        <f>DB48</f>
        <v>1378.2510000000009</v>
      </c>
      <c r="DC50" s="125">
        <f>DC48</f>
        <v>1649.3280000000018</v>
      </c>
      <c r="DD50" s="300">
        <f>DC50</f>
        <v>1649.3280000000018</v>
      </c>
      <c r="DE50" s="125">
        <f>DE48</f>
        <v>1738.3280000000018</v>
      </c>
      <c r="DF50" s="125">
        <f>DF48</f>
        <v>1611.3280000000018</v>
      </c>
      <c r="DG50" s="125">
        <f>DG48</f>
        <v>1287.3280000000018</v>
      </c>
      <c r="DH50" s="125">
        <f>DH48</f>
        <v>1413.0000000000018</v>
      </c>
      <c r="DI50" s="300">
        <f>DH50</f>
        <v>1413.0000000000018</v>
      </c>
      <c r="DJ50" s="125">
        <f>DJ48</f>
        <v>1623.0000000000018</v>
      </c>
      <c r="DK50" s="125">
        <f>DK48</f>
        <v>1541.0000000000018</v>
      </c>
      <c r="DL50" s="125">
        <f>DL48</f>
        <v>1507.0000000000018</v>
      </c>
      <c r="DM50" s="125">
        <f>DM48</f>
        <v>2133.9697404962999</v>
      </c>
      <c r="DN50" s="300">
        <f>DM50</f>
        <v>2133.9697404962999</v>
      </c>
      <c r="DO50" s="125">
        <f>DO48</f>
        <v>2730.5082885049264</v>
      </c>
      <c r="DP50" s="125">
        <f>DP48</f>
        <v>3048.9614271335854</v>
      </c>
      <c r="DQ50" s="125">
        <f>DQ48</f>
        <v>2333.247636451551</v>
      </c>
      <c r="DR50" s="125">
        <f>DR48</f>
        <v>3114.6578224252471</v>
      </c>
      <c r="DS50" s="300">
        <f>DR50</f>
        <v>3114.6578224252471</v>
      </c>
      <c r="DT50" s="125">
        <f>DT48</f>
        <v>3807.3893823967933</v>
      </c>
      <c r="DU50" s="125">
        <f>DU48</f>
        <v>4219.6643677545271</v>
      </c>
      <c r="DV50" s="125">
        <f>DV48</f>
        <v>4477.026561764128</v>
      </c>
      <c r="DW50" s="125">
        <f>DW48</f>
        <v>5420.0066215019169</v>
      </c>
      <c r="DX50" s="300">
        <f>DW50</f>
        <v>5420.0066215019169</v>
      </c>
      <c r="DY50" s="125">
        <f>DY48</f>
        <v>6265.2985236258455</v>
      </c>
      <c r="DZ50" s="125">
        <f>DZ48</f>
        <v>6776.8405782417767</v>
      </c>
      <c r="EA50" s="125">
        <f>EA48</f>
        <v>7107.5103245376749</v>
      </c>
      <c r="EB50" s="125">
        <f>EB48</f>
        <v>8258.3214333452852</v>
      </c>
      <c r="EC50" s="300">
        <f>EB50</f>
        <v>8258.3214333452852</v>
      </c>
      <c r="ED50" s="296"/>
    </row>
    <row r="51" spans="1:134" ht="12" customHeight="1">
      <c r="A51" s="943"/>
      <c r="B51" s="943"/>
      <c r="C51" s="309" t="s">
        <v>203</v>
      </c>
      <c r="D51" s="495"/>
      <c r="E51" s="452"/>
      <c r="F51" s="452"/>
      <c r="G51" s="452"/>
      <c r="H51" s="452"/>
      <c r="I51" s="179"/>
      <c r="J51" s="179"/>
      <c r="K51" s="179"/>
      <c r="L51" s="179"/>
      <c r="M51" s="452"/>
      <c r="N51" s="179"/>
      <c r="O51" s="179"/>
      <c r="P51" s="179"/>
      <c r="Q51" s="179"/>
      <c r="R51" s="452"/>
      <c r="S51" s="179"/>
      <c r="T51" s="179"/>
      <c r="U51" s="179"/>
      <c r="V51" s="179"/>
      <c r="W51" s="452"/>
      <c r="X51" s="179"/>
      <c r="Y51" s="179"/>
      <c r="Z51" s="179"/>
      <c r="AA51" s="179"/>
      <c r="AB51" s="452"/>
      <c r="AC51" s="179"/>
      <c r="AD51" s="179"/>
      <c r="AE51" s="179"/>
      <c r="AF51" s="179"/>
      <c r="AG51" s="452"/>
      <c r="AH51" s="179"/>
      <c r="AI51" s="179"/>
      <c r="AJ51" s="179"/>
      <c r="AK51" s="179"/>
      <c r="AL51" s="452"/>
      <c r="AM51" s="179"/>
      <c r="AN51" s="179"/>
      <c r="AO51" s="179"/>
      <c r="AP51" s="179"/>
      <c r="AQ51" s="452"/>
      <c r="AR51" s="179"/>
      <c r="AS51" s="179"/>
      <c r="AT51" s="179"/>
      <c r="AU51" s="179"/>
      <c r="AV51" s="452"/>
      <c r="AW51" s="179"/>
      <c r="AX51" s="179"/>
      <c r="AY51" s="179"/>
      <c r="AZ51" s="179"/>
      <c r="BA51" s="452"/>
      <c r="BB51" s="179"/>
      <c r="BC51" s="179"/>
      <c r="BD51" s="179"/>
      <c r="BE51" s="179"/>
      <c r="BF51" s="369"/>
      <c r="BG51" s="484"/>
      <c r="BH51" s="484"/>
      <c r="BI51" s="484"/>
      <c r="BJ51" s="484"/>
      <c r="BK51" s="452"/>
      <c r="BL51" s="179"/>
      <c r="BM51" s="179"/>
      <c r="BN51" s="179"/>
      <c r="BO51" s="179"/>
      <c r="BP51" s="452"/>
      <c r="BQ51" s="282">
        <v>0</v>
      </c>
      <c r="BR51" s="179">
        <f>+BR52-BR50</f>
        <v>0</v>
      </c>
      <c r="BS51" s="282">
        <v>0</v>
      </c>
      <c r="BT51" s="282">
        <v>0</v>
      </c>
      <c r="BU51" s="281">
        <f>BT51</f>
        <v>0</v>
      </c>
      <c r="BV51" s="282">
        <v>0</v>
      </c>
      <c r="BW51" s="282">
        <v>0</v>
      </c>
      <c r="BX51" s="282">
        <v>0</v>
      </c>
      <c r="BY51" s="282">
        <v>0</v>
      </c>
      <c r="BZ51" s="364">
        <f>BY51</f>
        <v>0</v>
      </c>
      <c r="CA51" s="282">
        <v>0</v>
      </c>
      <c r="CB51" s="282">
        <v>0</v>
      </c>
      <c r="CC51" s="282">
        <v>0</v>
      </c>
      <c r="CD51" s="282">
        <v>0</v>
      </c>
      <c r="CE51" s="364">
        <f>CD51</f>
        <v>0</v>
      </c>
      <c r="CF51" s="282">
        <v>0</v>
      </c>
      <c r="CG51" s="282">
        <v>0</v>
      </c>
      <c r="CH51" s="282">
        <v>0</v>
      </c>
      <c r="CI51" s="282">
        <v>0</v>
      </c>
      <c r="CJ51" s="364">
        <f>CI51</f>
        <v>0</v>
      </c>
      <c r="CK51" s="282">
        <v>0</v>
      </c>
      <c r="CL51" s="282">
        <v>0</v>
      </c>
      <c r="CM51" s="282">
        <v>0</v>
      </c>
      <c r="CN51" s="282">
        <v>0</v>
      </c>
      <c r="CO51" s="364">
        <f>CN51</f>
        <v>0</v>
      </c>
      <c r="CP51" s="282">
        <v>0</v>
      </c>
      <c r="CQ51" s="282">
        <v>0</v>
      </c>
      <c r="CR51" s="282">
        <f>CQ51</f>
        <v>0</v>
      </c>
      <c r="CS51" s="282">
        <v>0</v>
      </c>
      <c r="CT51" s="364">
        <f>CS51</f>
        <v>0</v>
      </c>
      <c r="CU51" s="282">
        <f>CT51</f>
        <v>0</v>
      </c>
      <c r="CV51" s="282">
        <f>CU51</f>
        <v>0</v>
      </c>
      <c r="CW51" s="282">
        <f>CV51</f>
        <v>0</v>
      </c>
      <c r="CX51" s="282">
        <f>CW51</f>
        <v>0</v>
      </c>
      <c r="CY51" s="364">
        <f>CX51</f>
        <v>0</v>
      </c>
      <c r="CZ51" s="282">
        <f>CX51</f>
        <v>0</v>
      </c>
      <c r="DA51" s="282">
        <f>CZ51</f>
        <v>0</v>
      </c>
      <c r="DB51" s="282">
        <f t="shared" ref="DB51:DC51" si="229">DA51</f>
        <v>0</v>
      </c>
      <c r="DC51" s="282">
        <f t="shared" si="229"/>
        <v>0</v>
      </c>
      <c r="DD51" s="364">
        <f>DC51</f>
        <v>0</v>
      </c>
      <c r="DE51" s="282">
        <f>DC51</f>
        <v>0</v>
      </c>
      <c r="DF51" s="282">
        <f>DE51</f>
        <v>0</v>
      </c>
      <c r="DG51" s="282">
        <f t="shared" ref="DG51:DL51" si="230">DF51</f>
        <v>0</v>
      </c>
      <c r="DH51" s="282">
        <f t="shared" si="230"/>
        <v>0</v>
      </c>
      <c r="DI51" s="364">
        <f>DH51</f>
        <v>0</v>
      </c>
      <c r="DJ51" s="282">
        <f t="shared" si="230"/>
        <v>0</v>
      </c>
      <c r="DK51" s="282">
        <f t="shared" si="230"/>
        <v>0</v>
      </c>
      <c r="DL51" s="282">
        <f t="shared" si="230"/>
        <v>0</v>
      </c>
      <c r="DM51" s="326">
        <f t="shared" ref="DM51" si="231">DL51</f>
        <v>0</v>
      </c>
      <c r="DN51" s="364">
        <f>DM51</f>
        <v>0</v>
      </c>
      <c r="DO51" s="326">
        <f>DM51</f>
        <v>0</v>
      </c>
      <c r="DP51" s="326">
        <f t="shared" ref="DP51" si="232">DO51</f>
        <v>0</v>
      </c>
      <c r="DQ51" s="326">
        <f t="shared" ref="DQ51" si="233">DP51</f>
        <v>0</v>
      </c>
      <c r="DR51" s="326">
        <f t="shared" ref="DR51" si="234">DQ51</f>
        <v>0</v>
      </c>
      <c r="DS51" s="364">
        <f>DR51</f>
        <v>0</v>
      </c>
      <c r="DT51" s="326">
        <f>DR51</f>
        <v>0</v>
      </c>
      <c r="DU51" s="326">
        <f t="shared" ref="DU51" si="235">DT51</f>
        <v>0</v>
      </c>
      <c r="DV51" s="326">
        <f t="shared" ref="DV51" si="236">DU51</f>
        <v>0</v>
      </c>
      <c r="DW51" s="326">
        <f t="shared" ref="DW51" si="237">DV51</f>
        <v>0</v>
      </c>
      <c r="DX51" s="364">
        <f>DW51</f>
        <v>0</v>
      </c>
      <c r="DY51" s="326">
        <f>DW51</f>
        <v>0</v>
      </c>
      <c r="DZ51" s="326">
        <f t="shared" ref="DZ51" si="238">DY51</f>
        <v>0</v>
      </c>
      <c r="EA51" s="326">
        <f t="shared" ref="EA51" si="239">DZ51</f>
        <v>0</v>
      </c>
      <c r="EB51" s="326">
        <f t="shared" ref="EB51" si="240">EA51</f>
        <v>0</v>
      </c>
      <c r="EC51" s="364">
        <f>EB51</f>
        <v>0</v>
      </c>
      <c r="ED51" s="296"/>
    </row>
    <row r="52" spans="1:134" ht="12" customHeight="1">
      <c r="A52" s="943"/>
      <c r="B52" s="943"/>
      <c r="C52" s="507" t="s">
        <v>204</v>
      </c>
      <c r="D52" s="508"/>
      <c r="E52" s="508"/>
      <c r="F52" s="508"/>
      <c r="G52" s="508"/>
      <c r="H52" s="508"/>
      <c r="I52" s="509"/>
      <c r="J52" s="509"/>
      <c r="K52" s="509"/>
      <c r="L52" s="509"/>
      <c r="M52" s="508"/>
      <c r="N52" s="509"/>
      <c r="O52" s="509"/>
      <c r="P52" s="509"/>
      <c r="Q52" s="509"/>
      <c r="R52" s="508"/>
      <c r="S52" s="509"/>
      <c r="T52" s="509"/>
      <c r="U52" s="509"/>
      <c r="V52" s="509"/>
      <c r="W52" s="508"/>
      <c r="X52" s="509"/>
      <c r="Y52" s="509"/>
      <c r="Z52" s="509"/>
      <c r="AA52" s="509"/>
      <c r="AB52" s="508"/>
      <c r="AC52" s="509"/>
      <c r="AD52" s="509"/>
      <c r="AE52" s="509"/>
      <c r="AF52" s="509"/>
      <c r="AG52" s="508"/>
      <c r="AH52" s="509"/>
      <c r="AI52" s="509"/>
      <c r="AJ52" s="509"/>
      <c r="AK52" s="509"/>
      <c r="AL52" s="508"/>
      <c r="AM52" s="509"/>
      <c r="AN52" s="509"/>
      <c r="AO52" s="509"/>
      <c r="AP52" s="509"/>
      <c r="AQ52" s="508"/>
      <c r="AR52" s="509"/>
      <c r="AS52" s="509"/>
      <c r="AT52" s="509"/>
      <c r="AU52" s="509"/>
      <c r="AV52" s="508"/>
      <c r="AW52" s="509"/>
      <c r="AX52" s="509"/>
      <c r="AY52" s="509"/>
      <c r="AZ52" s="509"/>
      <c r="BA52" s="508"/>
      <c r="BB52" s="509"/>
      <c r="BC52" s="509"/>
      <c r="BD52" s="509"/>
      <c r="BE52" s="509"/>
      <c r="BF52" s="508"/>
      <c r="BG52" s="509"/>
      <c r="BH52" s="509"/>
      <c r="BI52" s="509"/>
      <c r="BJ52" s="509"/>
      <c r="BK52" s="508"/>
      <c r="BL52" s="509"/>
      <c r="BM52" s="509"/>
      <c r="BN52" s="509"/>
      <c r="BO52" s="509"/>
      <c r="BP52" s="508"/>
      <c r="BQ52" s="294">
        <f>BQ50-BQ51</f>
        <v>46.148000000000003</v>
      </c>
      <c r="BR52" s="510">
        <v>146.66800000000001</v>
      </c>
      <c r="BS52" s="294">
        <f>BS50-BS51</f>
        <v>115.315</v>
      </c>
      <c r="BT52" s="294">
        <f>BT50-BT51</f>
        <v>110.07000000000001</v>
      </c>
      <c r="BU52" s="295">
        <f>BT52</f>
        <v>110.07000000000001</v>
      </c>
      <c r="BV52" s="294">
        <f>BV50-BV51</f>
        <v>83.864000000000019</v>
      </c>
      <c r="BW52" s="294">
        <f>BW50-BW51</f>
        <v>68.140000000000015</v>
      </c>
      <c r="BX52" s="294">
        <f>BX50-BX51</f>
        <v>187.36</v>
      </c>
      <c r="BY52" s="294">
        <f>BY50-BY51</f>
        <v>84.013000000000034</v>
      </c>
      <c r="BZ52" s="295">
        <f>BY52</f>
        <v>84.013000000000034</v>
      </c>
      <c r="CA52" s="294">
        <f>CA50-CA51</f>
        <v>101.26800000000003</v>
      </c>
      <c r="CB52" s="294">
        <f>CB50-CB51</f>
        <v>199.39699999999993</v>
      </c>
      <c r="CC52" s="294">
        <f>CC50-CC51</f>
        <v>119.84899999999996</v>
      </c>
      <c r="CD52" s="294">
        <f>CD50-CD51</f>
        <v>141.67700000000005</v>
      </c>
      <c r="CE52" s="295">
        <f>CD52</f>
        <v>141.67700000000005</v>
      </c>
      <c r="CF52" s="294">
        <f>CF50-CF51</f>
        <v>196.57800000000012</v>
      </c>
      <c r="CG52" s="294">
        <f>CG50-CG51</f>
        <v>219.80100000000002</v>
      </c>
      <c r="CH52" s="294">
        <f>CH50-CH51</f>
        <v>243.42099999999996</v>
      </c>
      <c r="CI52" s="294">
        <f>CI50-CI51</f>
        <v>410.68299999999999</v>
      </c>
      <c r="CJ52" s="295">
        <f>CI52</f>
        <v>410.68299999999999</v>
      </c>
      <c r="CK52" s="294">
        <f>CK50-CK51</f>
        <v>410.44600000000003</v>
      </c>
      <c r="CL52" s="294">
        <f>CL50-CL51</f>
        <v>668.99</v>
      </c>
      <c r="CM52" s="294">
        <f>CM50-CM51</f>
        <v>1124.529</v>
      </c>
      <c r="CN52" s="294">
        <f>CN50-CN51</f>
        <v>649.91600000000017</v>
      </c>
      <c r="CO52" s="295">
        <f>CN52</f>
        <v>649.91600000000017</v>
      </c>
      <c r="CP52" s="294">
        <f t="shared" ref="CP52:CX52" si="241">CP50-CP51</f>
        <v>969.36300000000028</v>
      </c>
      <c r="CQ52" s="294">
        <f t="shared" si="241"/>
        <v>1882.3620000000001</v>
      </c>
      <c r="CR52" s="294">
        <f t="shared" si="241"/>
        <v>3089.884</v>
      </c>
      <c r="CS52" s="294">
        <f>CS50-CS51</f>
        <v>2703.5970000000002</v>
      </c>
      <c r="CT52" s="295">
        <f>CS52</f>
        <v>2703.5970000000002</v>
      </c>
      <c r="CU52" s="294">
        <f t="shared" si="241"/>
        <v>2785.5709999999999</v>
      </c>
      <c r="CV52" s="294">
        <f t="shared" si="241"/>
        <v>2364.67</v>
      </c>
      <c r="CW52" s="294">
        <f t="shared" si="241"/>
        <v>2189.6130000000007</v>
      </c>
      <c r="CX52" s="294">
        <f t="shared" si="241"/>
        <v>2502.9920000000002</v>
      </c>
      <c r="CY52" s="295">
        <f>CX52</f>
        <v>2502.9920000000002</v>
      </c>
      <c r="CZ52" s="294">
        <f>CZ50-CZ51</f>
        <v>2451.5400000000004</v>
      </c>
      <c r="DA52" s="294">
        <f>DA50-DA51</f>
        <v>3350.7810000000004</v>
      </c>
      <c r="DB52" s="294">
        <f>DB50-DB51</f>
        <v>1378.2510000000009</v>
      </c>
      <c r="DC52" s="294">
        <f>DC50-DC51</f>
        <v>1649.3280000000018</v>
      </c>
      <c r="DD52" s="295">
        <f>DC52</f>
        <v>1649.3280000000018</v>
      </c>
      <c r="DE52" s="294">
        <f>DE50-DE51</f>
        <v>1738.3280000000018</v>
      </c>
      <c r="DF52" s="294">
        <f>DF50-DF51</f>
        <v>1611.3280000000018</v>
      </c>
      <c r="DG52" s="294">
        <f>DG50-DG51</f>
        <v>1287.3280000000018</v>
      </c>
      <c r="DH52" s="294">
        <f>DH50-DH51</f>
        <v>1413.0000000000018</v>
      </c>
      <c r="DI52" s="295">
        <f>DH52</f>
        <v>1413.0000000000018</v>
      </c>
      <c r="DJ52" s="294">
        <f>DJ50-DJ51</f>
        <v>1623.0000000000018</v>
      </c>
      <c r="DK52" s="294">
        <f>DK50-DK51</f>
        <v>1541.0000000000018</v>
      </c>
      <c r="DL52" s="294">
        <f>DL50-DL51</f>
        <v>1507.0000000000018</v>
      </c>
      <c r="DM52" s="294">
        <f>DM50-DM51</f>
        <v>2133.9697404962999</v>
      </c>
      <c r="DN52" s="295">
        <f>DM52</f>
        <v>2133.9697404962999</v>
      </c>
      <c r="DO52" s="294">
        <f>DO50-DO51</f>
        <v>2730.5082885049264</v>
      </c>
      <c r="DP52" s="294">
        <f>DP50-DP51</f>
        <v>3048.9614271335854</v>
      </c>
      <c r="DQ52" s="294">
        <f>DQ50-DQ51</f>
        <v>2333.247636451551</v>
      </c>
      <c r="DR52" s="294">
        <f>DR50-DR51</f>
        <v>3114.6578224252471</v>
      </c>
      <c r="DS52" s="295">
        <f>DR52</f>
        <v>3114.6578224252471</v>
      </c>
      <c r="DT52" s="294">
        <f>DT50-DT51</f>
        <v>3807.3893823967933</v>
      </c>
      <c r="DU52" s="294">
        <f>DU50-DU51</f>
        <v>4219.6643677545271</v>
      </c>
      <c r="DV52" s="294">
        <f>DV50-DV51</f>
        <v>4477.026561764128</v>
      </c>
      <c r="DW52" s="294">
        <f>DW50-DW51</f>
        <v>5420.0066215019169</v>
      </c>
      <c r="DX52" s="295">
        <f>DW52</f>
        <v>5420.0066215019169</v>
      </c>
      <c r="DY52" s="294">
        <f>DY50-DY51</f>
        <v>6265.2985236258455</v>
      </c>
      <c r="DZ52" s="294">
        <f>DZ50-DZ51</f>
        <v>6776.8405782417767</v>
      </c>
      <c r="EA52" s="294">
        <f>EA50-EA51</f>
        <v>7107.5103245376749</v>
      </c>
      <c r="EB52" s="294">
        <f>EB50-EB51</f>
        <v>8258.3214333452852</v>
      </c>
      <c r="EC52" s="295">
        <f>EB52</f>
        <v>8258.3214333452852</v>
      </c>
      <c r="ED52" s="297"/>
    </row>
    <row r="53" spans="1:134">
      <c r="A53" s="943"/>
      <c r="B53" s="943"/>
      <c r="C53" s="554" t="s">
        <v>39</v>
      </c>
      <c r="D53" s="537"/>
      <c r="E53" s="537"/>
      <c r="F53" s="537"/>
      <c r="G53" s="537"/>
      <c r="H53" s="537"/>
      <c r="I53" s="285"/>
      <c r="J53" s="285"/>
      <c r="K53" s="285"/>
      <c r="L53" s="285"/>
      <c r="M53" s="537"/>
      <c r="N53" s="285"/>
      <c r="O53" s="285"/>
      <c r="P53" s="285"/>
      <c r="Q53" s="285"/>
      <c r="R53" s="537"/>
      <c r="S53" s="285"/>
      <c r="T53" s="285"/>
      <c r="U53" s="285"/>
      <c r="V53" s="285"/>
      <c r="W53" s="537"/>
      <c r="X53" s="285"/>
      <c r="Y53" s="285"/>
      <c r="Z53" s="285"/>
      <c r="AA53" s="285"/>
      <c r="AB53" s="537"/>
      <c r="AC53" s="285"/>
      <c r="AD53" s="285"/>
      <c r="AE53" s="285"/>
      <c r="AF53" s="285"/>
      <c r="AG53" s="537"/>
      <c r="AH53" s="285"/>
      <c r="AI53" s="285"/>
      <c r="AJ53" s="285"/>
      <c r="AK53" s="285"/>
      <c r="AL53" s="537"/>
      <c r="AM53" s="285"/>
      <c r="AN53" s="285"/>
      <c r="AO53" s="285"/>
      <c r="AP53" s="285"/>
      <c r="AQ53" s="537"/>
      <c r="AR53" s="285"/>
      <c r="AS53" s="285"/>
      <c r="AT53" s="285"/>
      <c r="AU53" s="285"/>
      <c r="AV53" s="537"/>
      <c r="AW53" s="285"/>
      <c r="AX53" s="285"/>
      <c r="AY53" s="285"/>
      <c r="AZ53" s="285"/>
      <c r="BA53" s="537"/>
      <c r="BB53" s="285"/>
      <c r="BC53" s="285"/>
      <c r="BD53" s="285"/>
      <c r="BE53" s="285"/>
      <c r="BF53" s="537"/>
      <c r="BG53" s="285"/>
      <c r="BH53" s="285"/>
      <c r="BI53" s="285"/>
      <c r="BJ53" s="285"/>
      <c r="BK53" s="537"/>
      <c r="BL53" s="285"/>
      <c r="BM53" s="285"/>
      <c r="BN53" s="285"/>
      <c r="BO53" s="285"/>
      <c r="BP53" s="538"/>
      <c r="BQ53" s="285"/>
      <c r="BR53" s="285"/>
      <c r="BS53" s="285"/>
      <c r="BT53" s="285"/>
      <c r="BU53" s="538"/>
      <c r="BV53" s="285"/>
      <c r="BW53" s="285"/>
      <c r="BX53" s="285"/>
      <c r="BY53" s="285"/>
      <c r="BZ53" s="539"/>
      <c r="CA53" s="285"/>
      <c r="CB53" s="285"/>
      <c r="CC53" s="285"/>
      <c r="CD53" s="285"/>
      <c r="CE53" s="539"/>
      <c r="CF53" s="285"/>
      <c r="CG53" s="285"/>
      <c r="CH53" s="285"/>
      <c r="CI53" s="285"/>
      <c r="CJ53" s="539"/>
      <c r="CK53" s="540"/>
      <c r="CL53" s="540"/>
      <c r="CM53" s="540"/>
      <c r="CN53" s="540"/>
      <c r="CO53" s="539"/>
      <c r="CP53" s="540"/>
      <c r="CQ53" s="540"/>
      <c r="CR53" s="540"/>
      <c r="CS53" s="540"/>
      <c r="CT53" s="539"/>
      <c r="CU53" s="540"/>
      <c r="CV53" s="540"/>
      <c r="CW53" s="540"/>
      <c r="CX53" s="540"/>
      <c r="CY53" s="539"/>
      <c r="CZ53" s="540"/>
      <c r="DA53" s="540"/>
      <c r="DB53" s="540"/>
      <c r="DC53" s="540"/>
      <c r="DD53" s="539"/>
      <c r="DE53" s="540"/>
      <c r="DF53" s="540"/>
      <c r="DG53" s="540"/>
      <c r="DH53" s="540"/>
      <c r="DI53" s="539"/>
      <c r="DJ53" s="540"/>
      <c r="DK53" s="540"/>
      <c r="DL53" s="540"/>
      <c r="DM53" s="540"/>
      <c r="DN53" s="539"/>
      <c r="DO53" s="540"/>
      <c r="DP53" s="540"/>
      <c r="DQ53" s="540"/>
      <c r="DR53" s="540"/>
      <c r="DS53" s="539"/>
      <c r="DT53" s="540"/>
      <c r="DU53" s="540"/>
      <c r="DV53" s="540"/>
      <c r="DW53" s="540"/>
      <c r="DX53" s="539"/>
      <c r="DY53" s="540"/>
      <c r="DZ53" s="540"/>
      <c r="EA53" s="540"/>
      <c r="EB53" s="540"/>
      <c r="EC53" s="539"/>
      <c r="ED53" s="541"/>
    </row>
    <row r="54" spans="1:134">
      <c r="A54" s="943"/>
      <c r="B54" s="943"/>
      <c r="C54" s="555" t="s">
        <v>87</v>
      </c>
      <c r="D54" s="538"/>
      <c r="E54" s="538"/>
      <c r="F54" s="538"/>
      <c r="G54" s="538"/>
      <c r="H54" s="538"/>
      <c r="I54" s="285"/>
      <c r="J54" s="285"/>
      <c r="K54" s="285"/>
      <c r="L54" s="285"/>
      <c r="M54" s="538"/>
      <c r="N54" s="285"/>
      <c r="O54" s="285"/>
      <c r="P54" s="285"/>
      <c r="Q54" s="285"/>
      <c r="R54" s="538"/>
      <c r="S54" s="285"/>
      <c r="T54" s="285"/>
      <c r="U54" s="285"/>
      <c r="V54" s="285"/>
      <c r="W54" s="538"/>
      <c r="X54" s="285"/>
      <c r="Y54" s="285"/>
      <c r="Z54" s="285"/>
      <c r="AA54" s="285"/>
      <c r="AB54" s="538"/>
      <c r="AC54" s="285"/>
      <c r="AD54" s="285"/>
      <c r="AE54" s="285"/>
      <c r="AF54" s="285"/>
      <c r="AG54" s="538"/>
      <c r="AH54" s="285"/>
      <c r="AI54" s="285"/>
      <c r="AJ54" s="285"/>
      <c r="AK54" s="285"/>
      <c r="AL54" s="538"/>
      <c r="AM54" s="285"/>
      <c r="AN54" s="285"/>
      <c r="AO54" s="285"/>
      <c r="AP54" s="285"/>
      <c r="AQ54" s="538"/>
      <c r="AR54" s="285"/>
      <c r="AS54" s="285"/>
      <c r="AT54" s="285"/>
      <c r="AU54" s="285"/>
      <c r="AV54" s="538"/>
      <c r="AW54" s="285"/>
      <c r="AX54" s="285"/>
      <c r="AY54" s="285"/>
      <c r="AZ54" s="285"/>
      <c r="BA54" s="538"/>
      <c r="BB54" s="285"/>
      <c r="BC54" s="285"/>
      <c r="BD54" s="285"/>
      <c r="BE54" s="285"/>
      <c r="BF54" s="538"/>
      <c r="BG54" s="285"/>
      <c r="BH54" s="285"/>
      <c r="BI54" s="285"/>
      <c r="BJ54" s="285"/>
      <c r="BK54" s="538"/>
      <c r="BL54" s="285"/>
      <c r="BM54" s="285"/>
      <c r="BN54" s="285"/>
      <c r="BO54" s="285"/>
      <c r="BP54" s="538"/>
      <c r="BQ54" s="1037">
        <f>'Cash Flow'!BQ24</f>
        <v>3.9659999999999993</v>
      </c>
      <c r="BR54" s="1037">
        <f>'Cash Flow'!BR24</f>
        <v>6.7000000000000046</v>
      </c>
      <c r="BS54" s="1037">
        <f>'Cash Flow'!BS24</f>
        <v>0.13299999999999557</v>
      </c>
      <c r="BT54" s="1037">
        <f>'Cash Flow'!BT24</f>
        <v>4.9570000000000007</v>
      </c>
      <c r="BU54" s="538">
        <f>'Cash Flow'!BU24</f>
        <v>15.756</v>
      </c>
      <c r="BV54" s="1037">
        <f>'Cash Flow'!BV24</f>
        <v>0.65500000000000047</v>
      </c>
      <c r="BW54" s="1037">
        <f>'Cash Flow'!BW24</f>
        <v>5.5499999999999989</v>
      </c>
      <c r="BX54" s="1037">
        <f>'Cash Flow'!BX24</f>
        <v>1.0970000000000002</v>
      </c>
      <c r="BY54" s="1037">
        <f>'Cash Flow'!BY24</f>
        <v>6.7150000000000016</v>
      </c>
      <c r="BZ54" s="538">
        <f>'Cash Flow'!BZ24</f>
        <v>14.017000000000001</v>
      </c>
      <c r="CA54" s="1037">
        <f>'Cash Flow'!CA24</f>
        <v>3.9989999999999992</v>
      </c>
      <c r="CB54" s="1037">
        <f>'Cash Flow'!CB24</f>
        <v>-8.8580000000000005</v>
      </c>
      <c r="CC54" s="1037">
        <f>'Cash Flow'!CC24</f>
        <v>-6.2349999999999977</v>
      </c>
      <c r="CD54" s="1037">
        <f>'Cash Flow'!CD24</f>
        <v>18.995000000000001</v>
      </c>
      <c r="CE54" s="538">
        <f>'Cash Flow'!CE24</f>
        <v>7.9010000000000016</v>
      </c>
      <c r="CF54" s="1037">
        <f>'Cash Flow'!CF24</f>
        <v>-1.8750000000000018</v>
      </c>
      <c r="CG54" s="1037">
        <f>'Cash Flow'!CG24</f>
        <v>-0.92199999999999305</v>
      </c>
      <c r="CH54" s="1037">
        <f>'Cash Flow'!CH24</f>
        <v>2.8639999999999946</v>
      </c>
      <c r="CI54" s="1037">
        <f>'Cash Flow'!CI24</f>
        <v>9.2569999999999943</v>
      </c>
      <c r="CJ54" s="538">
        <f>'Cash Flow'!CJ24</f>
        <v>9.3239999999999945</v>
      </c>
      <c r="CK54" s="1037">
        <f>'Cash Flow'!CK24</f>
        <v>24.344000000000012</v>
      </c>
      <c r="CL54" s="1037">
        <f>'Cash Flow'!CL24</f>
        <v>23.057999999999986</v>
      </c>
      <c r="CM54" s="1037">
        <f>'Cash Flow'!CM24</f>
        <v>-29.675000000000004</v>
      </c>
      <c r="CN54" s="1037">
        <f>'Cash Flow'!CN24</f>
        <v>52.888000000000005</v>
      </c>
      <c r="CO54" s="538">
        <f>'Cash Flow'!CO24</f>
        <v>70.615000000000009</v>
      </c>
      <c r="CP54" s="1037">
        <f>'Cash Flow'!CP24</f>
        <v>-84.954999999999998</v>
      </c>
      <c r="CQ54" s="1037">
        <f>'Cash Flow'!CQ24</f>
        <v>175.19</v>
      </c>
      <c r="CR54" s="1037">
        <f>'Cash Flow'!CR24</f>
        <v>89.357000000000014</v>
      </c>
      <c r="CS54" s="1037">
        <f>'Cash Flow'!CS24</f>
        <v>245.36599999999993</v>
      </c>
      <c r="CT54" s="538">
        <f>'Cash Flow'!CT24</f>
        <v>424.95799999999997</v>
      </c>
      <c r="CU54" s="1037">
        <f>'Cash Flow'!CU24</f>
        <v>135.68299999999957</v>
      </c>
      <c r="CV54" s="1037">
        <f>'Cash Flow'!CV24</f>
        <v>66.42100000000039</v>
      </c>
      <c r="CW54" s="1037">
        <f>'Cash Flow'!CW24</f>
        <v>41.866000000000142</v>
      </c>
      <c r="CX54" s="1037">
        <f>'Cash Flow'!CX24</f>
        <v>260.45799999999986</v>
      </c>
      <c r="CY54" s="538">
        <f>'Cash Flow'!CY24</f>
        <v>504.42799999999994</v>
      </c>
      <c r="CZ54" s="1037">
        <f>'Cash Flow'!CZ24</f>
        <v>-53.561</v>
      </c>
      <c r="DA54" s="1037">
        <f>'Cash Flow'!DA24</f>
        <v>-124.166</v>
      </c>
      <c r="DB54" s="1037">
        <f>'Cash Flow'!DB24</f>
        <v>-214.10600000000002</v>
      </c>
      <c r="DC54" s="1037">
        <f>'Cash Flow'!DC24</f>
        <v>255.38500000000002</v>
      </c>
      <c r="DD54" s="538">
        <f>'Cash Flow'!DD24</f>
        <v>-136.44800000000001</v>
      </c>
      <c r="DE54" s="1037">
        <f>'Cash Flow'!DE24</f>
        <v>100</v>
      </c>
      <c r="DF54" s="1037">
        <f>'Cash Flow'!DF24</f>
        <v>118</v>
      </c>
      <c r="DG54" s="1037">
        <f>'Cash Flow'!DG24</f>
        <v>278</v>
      </c>
      <c r="DH54" s="1037">
        <f>'Cash Flow'!DH24</f>
        <v>448</v>
      </c>
      <c r="DI54" s="538">
        <f>'Cash Flow'!DI24</f>
        <v>944</v>
      </c>
      <c r="DJ54" s="1037">
        <f>'Cash Flow'!DJ24</f>
        <v>238</v>
      </c>
      <c r="DK54" s="1037">
        <f>'Cash Flow'!DK24</f>
        <v>340</v>
      </c>
      <c r="DL54" s="1037">
        <f>'Cash Flow'!DL24</f>
        <v>423</v>
      </c>
      <c r="DM54" s="1037">
        <f>'Cash Flow'!DM24</f>
        <v>527.96974049629796</v>
      </c>
      <c r="DN54" s="538">
        <f>'Cash Flow'!DN24</f>
        <v>1528.9697404962981</v>
      </c>
      <c r="DO54" s="1037">
        <f>'Cash Flow'!DO24</f>
        <v>553.03854800862666</v>
      </c>
      <c r="DP54" s="1037">
        <f>'Cash Flow'!DP24</f>
        <v>275.57813862865885</v>
      </c>
      <c r="DQ54" s="1037">
        <f>'Cash Flow'!DQ24</f>
        <v>361.03620931796547</v>
      </c>
      <c r="DR54" s="1037">
        <f>'Cash Flow'!DR24</f>
        <v>657.91018597369612</v>
      </c>
      <c r="DS54" s="538">
        <f>'Cash Flow'!DS24</f>
        <v>1847.5630819289472</v>
      </c>
      <c r="DT54" s="1037">
        <f>'Cash Flow'!DT24</f>
        <v>639.48155997154618</v>
      </c>
      <c r="DU54" s="1037">
        <f>'Cash Flow'!DU24</f>
        <v>359.8062353577335</v>
      </c>
      <c r="DV54" s="1037">
        <f>'Cash Flow'!DV24</f>
        <v>458.17469400960101</v>
      </c>
      <c r="DW54" s="1037">
        <f>'Cash Flow'!DW24</f>
        <v>789.73005973778891</v>
      </c>
      <c r="DX54" s="538">
        <f>'Cash Flow'!DX24</f>
        <v>2247.1925490766698</v>
      </c>
      <c r="DY54" s="1037">
        <f>'Cash Flow'!DY24</f>
        <v>779.77940212392832</v>
      </c>
      <c r="DZ54" s="1037">
        <f>'Cash Flow'!DZ24</f>
        <v>447.00611711593154</v>
      </c>
      <c r="EA54" s="1037">
        <f>'Cash Flow'!EA24</f>
        <v>582.73537129589829</v>
      </c>
      <c r="EB54" s="1037">
        <f>'Cash Flow'!EB24</f>
        <v>960.29860880761089</v>
      </c>
      <c r="EC54" s="538">
        <f>'Cash Flow'!EC24</f>
        <v>2769.819499343369</v>
      </c>
      <c r="ED54" s="541"/>
    </row>
    <row r="55" spans="1:134">
      <c r="A55" s="943"/>
      <c r="B55" s="943"/>
      <c r="C55" s="556" t="s">
        <v>43</v>
      </c>
      <c r="D55" s="538"/>
      <c r="E55" s="538"/>
      <c r="F55" s="538"/>
      <c r="G55" s="538"/>
      <c r="H55" s="538"/>
      <c r="I55" s="285"/>
      <c r="J55" s="285"/>
      <c r="K55" s="285"/>
      <c r="L55" s="285"/>
      <c r="M55" s="538"/>
      <c r="N55" s="285"/>
      <c r="O55" s="285"/>
      <c r="P55" s="285"/>
      <c r="Q55" s="285"/>
      <c r="R55" s="538"/>
      <c r="S55" s="285"/>
      <c r="T55" s="285"/>
      <c r="U55" s="285"/>
      <c r="V55" s="285"/>
      <c r="W55" s="538"/>
      <c r="X55" s="285"/>
      <c r="Y55" s="285"/>
      <c r="Z55" s="285"/>
      <c r="AA55" s="285"/>
      <c r="AB55" s="538"/>
      <c r="AC55" s="285"/>
      <c r="AD55" s="285"/>
      <c r="AE55" s="285"/>
      <c r="AF55" s="285"/>
      <c r="AG55" s="538"/>
      <c r="AH55" s="285"/>
      <c r="AI55" s="285"/>
      <c r="AJ55" s="285"/>
      <c r="AK55" s="285"/>
      <c r="AL55" s="538"/>
      <c r="AM55" s="285"/>
      <c r="AN55" s="285"/>
      <c r="AO55" s="285"/>
      <c r="AP55" s="285"/>
      <c r="AQ55" s="538"/>
      <c r="AR55" s="285"/>
      <c r="AS55" s="285"/>
      <c r="AT55" s="285"/>
      <c r="AU55" s="285"/>
      <c r="AV55" s="538"/>
      <c r="AW55" s="285"/>
      <c r="AX55" s="285"/>
      <c r="AY55" s="285"/>
      <c r="AZ55" s="285"/>
      <c r="BA55" s="538"/>
      <c r="BB55" s="285"/>
      <c r="BC55" s="285"/>
      <c r="BD55" s="285"/>
      <c r="BE55" s="285"/>
      <c r="BF55" s="538"/>
      <c r="BG55" s="285"/>
      <c r="BH55" s="285"/>
      <c r="BI55" s="285"/>
      <c r="BJ55" s="285"/>
      <c r="BK55" s="538"/>
      <c r="BL55" s="285"/>
      <c r="BM55" s="285"/>
      <c r="BN55" s="285"/>
      <c r="BO55" s="285"/>
      <c r="BP55" s="538"/>
      <c r="BQ55" s="1037">
        <f>'Cash Flow'!BQ28</f>
        <v>-2.5274000000000001</v>
      </c>
      <c r="BR55" s="1037">
        <f>'Cash Flow'!BR28</f>
        <v>-2.6916000000000002</v>
      </c>
      <c r="BS55" s="1037">
        <f>'Cash Flow'!BS28</f>
        <v>-6.1479999999999997</v>
      </c>
      <c r="BT55" s="1037">
        <f>'Cash Flow'!BT28</f>
        <v>-5.1579999999999977</v>
      </c>
      <c r="BU55" s="538">
        <f>'Cash Flow'!BU28</f>
        <v>-16.524999999999999</v>
      </c>
      <c r="BV55" s="1037">
        <f>'Cash Flow'!BV28</f>
        <v>-2.7149999999999999</v>
      </c>
      <c r="BW55" s="1037">
        <f>'Cash Flow'!BW28</f>
        <v>-7.3420000000000005</v>
      </c>
      <c r="BX55" s="1037">
        <f>'Cash Flow'!BX28</f>
        <v>-5.2289999999999992</v>
      </c>
      <c r="BY55" s="1037">
        <f>'Cash Flow'!BY28</f>
        <v>-8.4870000000000001</v>
      </c>
      <c r="BZ55" s="538">
        <f>'Cash Flow'!BZ28</f>
        <v>-23.773</v>
      </c>
      <c r="CA55" s="1037">
        <f>'Cash Flow'!CA28</f>
        <v>-2.633</v>
      </c>
      <c r="CB55" s="1037">
        <f>'Cash Flow'!CB28</f>
        <v>-2.657</v>
      </c>
      <c r="CC55" s="1037">
        <f>'Cash Flow'!CC28</f>
        <v>-3.9679999999999991</v>
      </c>
      <c r="CD55" s="1037">
        <f>'Cash Flow'!CD28</f>
        <v>-10.785</v>
      </c>
      <c r="CE55" s="538">
        <f>'Cash Flow'!CE28</f>
        <v>-20.042999999999999</v>
      </c>
      <c r="CF55" s="1037">
        <f>'Cash Flow'!CF28</f>
        <v>-5.4050000000000002</v>
      </c>
      <c r="CG55" s="1037">
        <f>'Cash Flow'!CG28</f>
        <v>-9.7019999999999982</v>
      </c>
      <c r="CH55" s="1037">
        <f>'Cash Flow'!CH28</f>
        <v>-5.3250000000000002</v>
      </c>
      <c r="CI55" s="1037">
        <f>'Cash Flow'!CI28</f>
        <v>-7.5180000000000016</v>
      </c>
      <c r="CJ55" s="538">
        <f>'Cash Flow'!CJ28</f>
        <v>-27.95</v>
      </c>
      <c r="CK55" s="1037">
        <f>'Cash Flow'!CK28</f>
        <v>-9.5519999999999996</v>
      </c>
      <c r="CL55" s="1037">
        <f>'Cash Flow'!CL28</f>
        <v>-20.885000000000002</v>
      </c>
      <c r="CM55" s="1037">
        <f>'Cash Flow'!CM28</f>
        <v>-12.919999999999998</v>
      </c>
      <c r="CN55" s="1037">
        <f>'Cash Flow'!CN28</f>
        <v>-13.401999999999997</v>
      </c>
      <c r="CO55" s="538">
        <f>'Cash Flow'!CO28</f>
        <v>-56.759</v>
      </c>
      <c r="CP55" s="1037">
        <f>'Cash Flow'!CP28</f>
        <v>-16.739999999999998</v>
      </c>
      <c r="CQ55" s="1037">
        <f>'Cash Flow'!CQ28</f>
        <v>-8.5890000000000022</v>
      </c>
      <c r="CR55" s="1037">
        <f>'Cash Flow'!CR28</f>
        <v>-10.048000000000002</v>
      </c>
      <c r="CS55" s="1037">
        <f>'Cash Flow'!CS28</f>
        <v>-6.3559999999999945</v>
      </c>
      <c r="CT55" s="538">
        <f>'Cash Flow'!CT28</f>
        <v>-41.732999999999997</v>
      </c>
      <c r="CU55" s="1037">
        <f>'Cash Flow'!CU28</f>
        <v>-5.1879999999999997</v>
      </c>
      <c r="CV55" s="1037">
        <f>'Cash Flow'!CV28</f>
        <v>-8.2630000000000017</v>
      </c>
      <c r="CW55" s="1037">
        <f>'Cash Flow'!CW28</f>
        <v>-11.361999999999998</v>
      </c>
      <c r="CX55" s="1037">
        <f>'Cash Flow'!CX28</f>
        <v>-25.974999999999998</v>
      </c>
      <c r="CY55" s="538">
        <f>'Cash Flow'!CY28</f>
        <v>-50.787999999999997</v>
      </c>
      <c r="CZ55" s="1037">
        <f>'Cash Flow'!CZ28</f>
        <v>-15.94</v>
      </c>
      <c r="DA55" s="1037">
        <f>'Cash Flow'!DA28</f>
        <v>-12.549000000000001</v>
      </c>
      <c r="DB55" s="1037">
        <f>'Cash Flow'!DB28</f>
        <v>-13.904999999999999</v>
      </c>
      <c r="DC55" s="1037">
        <f>'Cash Flow'!DC28</f>
        <v>-7.6240000000000006</v>
      </c>
      <c r="DD55" s="538">
        <f>'Cash Flow'!DD28</f>
        <v>-50.018000000000001</v>
      </c>
      <c r="DE55" s="1037">
        <f>'Cash Flow'!DE28</f>
        <v>-14</v>
      </c>
      <c r="DF55" s="1037">
        <f>'Cash Flow'!DF28</f>
        <v>-21</v>
      </c>
      <c r="DG55" s="1037">
        <f>'Cash Flow'!DG28</f>
        <v>-2</v>
      </c>
      <c r="DH55" s="1037">
        <f>'Cash Flow'!DH28</f>
        <v>-2</v>
      </c>
      <c r="DI55" s="538">
        <f>'Cash Flow'!DI28</f>
        <v>-39</v>
      </c>
      <c r="DJ55" s="1037">
        <f>'Cash Flow'!DJ28</f>
        <v>-6</v>
      </c>
      <c r="DK55" s="1037">
        <f>'Cash Flow'!DK28</f>
        <v>-7</v>
      </c>
      <c r="DL55" s="1037">
        <f>'Cash Flow'!DL28</f>
        <v>-2</v>
      </c>
      <c r="DM55" s="1037">
        <f>'Cash Flow'!DM28</f>
        <v>-7</v>
      </c>
      <c r="DN55" s="538">
        <f>'Cash Flow'!DN28</f>
        <v>-22</v>
      </c>
      <c r="DO55" s="1037">
        <f>'Cash Flow'!DO28</f>
        <v>-7.5</v>
      </c>
      <c r="DP55" s="1037">
        <f>'Cash Flow'!DP28</f>
        <v>-7.5</v>
      </c>
      <c r="DQ55" s="1037">
        <f>'Cash Flow'!DQ28</f>
        <v>-7.5</v>
      </c>
      <c r="DR55" s="1037">
        <f>'Cash Flow'!DR28</f>
        <v>-7.5</v>
      </c>
      <c r="DS55" s="538">
        <f>'Cash Flow'!DS28</f>
        <v>-30</v>
      </c>
      <c r="DT55" s="1037">
        <f>'Cash Flow'!DT28</f>
        <v>-9</v>
      </c>
      <c r="DU55" s="1037">
        <f>'Cash Flow'!DU28</f>
        <v>-9</v>
      </c>
      <c r="DV55" s="1037">
        <f>'Cash Flow'!DV28</f>
        <v>-9</v>
      </c>
      <c r="DW55" s="1037">
        <f>'Cash Flow'!DW28</f>
        <v>-9</v>
      </c>
      <c r="DX55" s="538">
        <f>'Cash Flow'!DX28</f>
        <v>-36</v>
      </c>
      <c r="DY55" s="1037">
        <f>'Cash Flow'!DY28</f>
        <v>-10.799999999999999</v>
      </c>
      <c r="DZ55" s="1037">
        <f>'Cash Flow'!DZ28</f>
        <v>-10.799999999999999</v>
      </c>
      <c r="EA55" s="1037">
        <f>'Cash Flow'!EA28</f>
        <v>-10.799999999999999</v>
      </c>
      <c r="EB55" s="1037">
        <f>'Cash Flow'!EB28</f>
        <v>-10.799999999999999</v>
      </c>
      <c r="EC55" s="538">
        <f>'Cash Flow'!EC28</f>
        <v>-43.199999999999996</v>
      </c>
      <c r="ED55" s="541"/>
    </row>
    <row r="56" spans="1:134">
      <c r="A56" s="943"/>
      <c r="B56" s="943"/>
      <c r="C56" s="557" t="s">
        <v>58</v>
      </c>
      <c r="D56" s="454"/>
      <c r="E56" s="454"/>
      <c r="F56" s="454"/>
      <c r="G56" s="454"/>
      <c r="H56" s="454"/>
      <c r="I56" s="542"/>
      <c r="J56" s="542"/>
      <c r="K56" s="542"/>
      <c r="L56" s="542"/>
      <c r="M56" s="454"/>
      <c r="N56" s="542"/>
      <c r="O56" s="542"/>
      <c r="P56" s="542"/>
      <c r="Q56" s="542"/>
      <c r="R56" s="454"/>
      <c r="S56" s="542"/>
      <c r="T56" s="542"/>
      <c r="U56" s="542"/>
      <c r="V56" s="542"/>
      <c r="W56" s="454"/>
      <c r="X56" s="542"/>
      <c r="Y56" s="542"/>
      <c r="Z56" s="542"/>
      <c r="AA56" s="542"/>
      <c r="AB56" s="454"/>
      <c r="AC56" s="542"/>
      <c r="AD56" s="542"/>
      <c r="AE56" s="542"/>
      <c r="AF56" s="542"/>
      <c r="AG56" s="454"/>
      <c r="AH56" s="542"/>
      <c r="AI56" s="542"/>
      <c r="AJ56" s="542"/>
      <c r="AK56" s="542"/>
      <c r="AL56" s="454"/>
      <c r="AM56" s="542"/>
      <c r="AN56" s="542"/>
      <c r="AO56" s="542"/>
      <c r="AP56" s="542"/>
      <c r="AQ56" s="454"/>
      <c r="AR56" s="542"/>
      <c r="AS56" s="542"/>
      <c r="AT56" s="542"/>
      <c r="AU56" s="542"/>
      <c r="AV56" s="454"/>
      <c r="AW56" s="542"/>
      <c r="AX56" s="542"/>
      <c r="AY56" s="542"/>
      <c r="AZ56" s="542"/>
      <c r="BA56" s="454"/>
      <c r="BB56" s="542"/>
      <c r="BC56" s="542"/>
      <c r="BD56" s="542"/>
      <c r="BE56" s="542"/>
      <c r="BF56" s="454"/>
      <c r="BG56" s="542"/>
      <c r="BH56" s="542"/>
      <c r="BI56" s="542"/>
      <c r="BJ56" s="542"/>
      <c r="BK56" s="454"/>
      <c r="BL56" s="542"/>
      <c r="BM56" s="542"/>
      <c r="BN56" s="542"/>
      <c r="BO56" s="542"/>
      <c r="BP56" s="454"/>
      <c r="BQ56" s="542"/>
      <c r="BR56" s="542"/>
      <c r="BS56" s="542"/>
      <c r="BT56" s="542"/>
      <c r="BU56" s="553"/>
      <c r="BV56" s="542"/>
      <c r="BW56" s="542"/>
      <c r="BX56" s="542"/>
      <c r="BY56" s="542"/>
      <c r="BZ56" s="364"/>
      <c r="CA56" s="542"/>
      <c r="CB56" s="542"/>
      <c r="CC56" s="542"/>
      <c r="CD56" s="542"/>
      <c r="CE56" s="364"/>
      <c r="CF56" s="542"/>
      <c r="CG56" s="542"/>
      <c r="CH56" s="542"/>
      <c r="CI56" s="542"/>
      <c r="CJ56" s="364"/>
      <c r="CK56" s="543"/>
      <c r="CL56" s="543"/>
      <c r="CM56" s="543"/>
      <c r="CN56" s="543"/>
      <c r="CO56" s="364"/>
      <c r="CP56" s="543"/>
      <c r="CQ56" s="543"/>
      <c r="CR56" s="543"/>
      <c r="CS56" s="543"/>
      <c r="CT56" s="364"/>
      <c r="CU56" s="543"/>
      <c r="CV56" s="543"/>
      <c r="CW56" s="543"/>
      <c r="CX56" s="543"/>
      <c r="CY56" s="364"/>
      <c r="CZ56" s="543"/>
      <c r="DA56" s="543"/>
      <c r="DB56" s="543"/>
      <c r="DC56" s="543"/>
      <c r="DD56" s="364"/>
      <c r="DE56" s="543"/>
      <c r="DF56" s="543"/>
      <c r="DG56" s="543"/>
      <c r="DH56" s="543"/>
      <c r="DI56" s="364"/>
      <c r="DJ56" s="543"/>
      <c r="DK56" s="543"/>
      <c r="DL56" s="543"/>
      <c r="DM56" s="543"/>
      <c r="DN56" s="364"/>
      <c r="DO56" s="543"/>
      <c r="DP56" s="543"/>
      <c r="DQ56" s="543"/>
      <c r="DR56" s="543"/>
      <c r="DS56" s="364"/>
      <c r="DT56" s="543"/>
      <c r="DU56" s="543"/>
      <c r="DV56" s="543"/>
      <c r="DW56" s="543"/>
      <c r="DX56" s="364"/>
      <c r="DY56" s="543"/>
      <c r="DZ56" s="543"/>
      <c r="EA56" s="543"/>
      <c r="EB56" s="543"/>
      <c r="EC56" s="364"/>
      <c r="ED56" s="544"/>
    </row>
    <row r="57" spans="1:134">
      <c r="A57" s="943" t="s">
        <v>186</v>
      </c>
      <c r="B57" s="943"/>
      <c r="C57" s="558" t="s">
        <v>39</v>
      </c>
      <c r="D57" s="545"/>
      <c r="E57" s="545"/>
      <c r="F57" s="545"/>
      <c r="G57" s="545"/>
      <c r="H57" s="545"/>
      <c r="I57" s="546"/>
      <c r="J57" s="546"/>
      <c r="K57" s="546"/>
      <c r="L57" s="546"/>
      <c r="M57" s="545"/>
      <c r="N57" s="546"/>
      <c r="O57" s="546"/>
      <c r="P57" s="546"/>
      <c r="Q57" s="546"/>
      <c r="R57" s="545"/>
      <c r="S57" s="546"/>
      <c r="T57" s="546"/>
      <c r="U57" s="546"/>
      <c r="V57" s="546"/>
      <c r="W57" s="545"/>
      <c r="X57" s="546"/>
      <c r="Y57" s="546"/>
      <c r="Z57" s="546"/>
      <c r="AA57" s="546"/>
      <c r="AB57" s="545"/>
      <c r="AC57" s="546"/>
      <c r="AD57" s="546"/>
      <c r="AE57" s="546"/>
      <c r="AF57" s="546"/>
      <c r="AG57" s="545"/>
      <c r="AH57" s="546"/>
      <c r="AI57" s="546"/>
      <c r="AJ57" s="546"/>
      <c r="AK57" s="546"/>
      <c r="AL57" s="545"/>
      <c r="AM57" s="546"/>
      <c r="AN57" s="546"/>
      <c r="AO57" s="546"/>
      <c r="AP57" s="546"/>
      <c r="AQ57" s="545"/>
      <c r="AR57" s="546"/>
      <c r="AS57" s="546"/>
      <c r="AT57" s="546"/>
      <c r="AU57" s="546"/>
      <c r="AV57" s="545"/>
      <c r="AW57" s="546"/>
      <c r="AX57" s="546"/>
      <c r="AY57" s="546"/>
      <c r="AZ57" s="546"/>
      <c r="BA57" s="545"/>
      <c r="BB57" s="546"/>
      <c r="BC57" s="546"/>
      <c r="BD57" s="546"/>
      <c r="BE57" s="546"/>
      <c r="BF57" s="545"/>
      <c r="BG57" s="546"/>
      <c r="BH57" s="546"/>
      <c r="BI57" s="546"/>
      <c r="BJ57" s="546"/>
      <c r="BK57" s="545"/>
      <c r="BL57" s="546"/>
      <c r="BM57" s="546"/>
      <c r="BN57" s="546"/>
      <c r="BO57" s="546"/>
      <c r="BP57" s="545"/>
      <c r="BQ57" s="546"/>
      <c r="BR57" s="546"/>
      <c r="BS57" s="546"/>
      <c r="BT57" s="546"/>
      <c r="BU57" s="545"/>
      <c r="BV57" s="559">
        <f t="shared" ref="BV57:DX57" si="242">SUM(BV54:BV56)</f>
        <v>-2.0599999999999996</v>
      </c>
      <c r="BW57" s="559">
        <f t="shared" si="242"/>
        <v>-1.7920000000000016</v>
      </c>
      <c r="BX57" s="559">
        <f t="shared" si="242"/>
        <v>-4.1319999999999988</v>
      </c>
      <c r="BY57" s="559">
        <f t="shared" si="242"/>
        <v>-1.7719999999999985</v>
      </c>
      <c r="BZ57" s="547">
        <f t="shared" si="242"/>
        <v>-9.7559999999999985</v>
      </c>
      <c r="CA57" s="559">
        <f t="shared" si="242"/>
        <v>1.3659999999999992</v>
      </c>
      <c r="CB57" s="559">
        <f t="shared" si="242"/>
        <v>-11.515000000000001</v>
      </c>
      <c r="CC57" s="559">
        <f t="shared" si="242"/>
        <v>-10.202999999999996</v>
      </c>
      <c r="CD57" s="559">
        <f t="shared" si="242"/>
        <v>8.2100000000000009</v>
      </c>
      <c r="CE57" s="547">
        <f t="shared" si="242"/>
        <v>-12.141999999999998</v>
      </c>
      <c r="CF57" s="559">
        <f t="shared" si="242"/>
        <v>-7.280000000000002</v>
      </c>
      <c r="CG57" s="559">
        <f t="shared" si="242"/>
        <v>-10.623999999999992</v>
      </c>
      <c r="CH57" s="559">
        <f t="shared" si="242"/>
        <v>-2.4610000000000056</v>
      </c>
      <c r="CI57" s="559">
        <f t="shared" si="242"/>
        <v>1.7389999999999928</v>
      </c>
      <c r="CJ57" s="547">
        <f t="shared" si="242"/>
        <v>-18.626000000000005</v>
      </c>
      <c r="CK57" s="559">
        <f t="shared" si="242"/>
        <v>14.792000000000012</v>
      </c>
      <c r="CL57" s="559">
        <f t="shared" si="242"/>
        <v>2.1729999999999841</v>
      </c>
      <c r="CM57" s="559">
        <f t="shared" si="242"/>
        <v>-42.594999999999999</v>
      </c>
      <c r="CN57" s="559">
        <f t="shared" si="242"/>
        <v>39.486000000000004</v>
      </c>
      <c r="CO57" s="547">
        <f t="shared" si="242"/>
        <v>13.856000000000009</v>
      </c>
      <c r="CP57" s="559">
        <f t="shared" si="242"/>
        <v>-101.69499999999999</v>
      </c>
      <c r="CQ57" s="559">
        <f t="shared" si="242"/>
        <v>166.601</v>
      </c>
      <c r="CR57" s="559">
        <f t="shared" si="242"/>
        <v>79.309000000000012</v>
      </c>
      <c r="CS57" s="559">
        <f t="shared" si="242"/>
        <v>239.00999999999993</v>
      </c>
      <c r="CT57" s="547">
        <f t="shared" si="242"/>
        <v>383.22499999999997</v>
      </c>
      <c r="CU57" s="559">
        <f t="shared" si="242"/>
        <v>130.49499999999958</v>
      </c>
      <c r="CV57" s="559">
        <f t="shared" si="242"/>
        <v>58.158000000000385</v>
      </c>
      <c r="CW57" s="559">
        <f t="shared" si="242"/>
        <v>30.504000000000143</v>
      </c>
      <c r="CX57" s="559">
        <f t="shared" si="242"/>
        <v>234.48299999999986</v>
      </c>
      <c r="CY57" s="547">
        <f t="shared" si="242"/>
        <v>453.63999999999993</v>
      </c>
      <c r="CZ57" s="559">
        <f t="shared" si="242"/>
        <v>-69.501000000000005</v>
      </c>
      <c r="DA57" s="559">
        <f t="shared" si="242"/>
        <v>-136.715</v>
      </c>
      <c r="DB57" s="559">
        <f t="shared" si="242"/>
        <v>-228.01100000000002</v>
      </c>
      <c r="DC57" s="559">
        <f t="shared" si="242"/>
        <v>247.76100000000002</v>
      </c>
      <c r="DD57" s="547">
        <f t="shared" si="242"/>
        <v>-186.46600000000001</v>
      </c>
      <c r="DE57" s="559">
        <f t="shared" si="242"/>
        <v>86</v>
      </c>
      <c r="DF57" s="559">
        <f t="shared" si="242"/>
        <v>97</v>
      </c>
      <c r="DG57" s="559">
        <f t="shared" si="242"/>
        <v>276</v>
      </c>
      <c r="DH57" s="559">
        <f t="shared" si="242"/>
        <v>446</v>
      </c>
      <c r="DI57" s="547">
        <f t="shared" si="242"/>
        <v>905</v>
      </c>
      <c r="DJ57" s="559">
        <f t="shared" si="242"/>
        <v>232</v>
      </c>
      <c r="DK57" s="559">
        <f t="shared" si="242"/>
        <v>333</v>
      </c>
      <c r="DL57" s="559">
        <f t="shared" ref="DL57" si="243">SUM(DL54:DL56)</f>
        <v>421</v>
      </c>
      <c r="DM57" s="559">
        <f t="shared" si="242"/>
        <v>520.96974049629796</v>
      </c>
      <c r="DN57" s="547">
        <f t="shared" si="242"/>
        <v>1506.9697404962981</v>
      </c>
      <c r="DO57" s="559">
        <f t="shared" si="242"/>
        <v>545.53854800862666</v>
      </c>
      <c r="DP57" s="559">
        <f t="shared" si="242"/>
        <v>268.07813862865885</v>
      </c>
      <c r="DQ57" s="559">
        <f t="shared" si="242"/>
        <v>353.53620931796547</v>
      </c>
      <c r="DR57" s="559">
        <f t="shared" si="242"/>
        <v>650.41018597369612</v>
      </c>
      <c r="DS57" s="547">
        <f>SUM(DS54:DS56)</f>
        <v>1817.5630819289472</v>
      </c>
      <c r="DT57" s="559">
        <f t="shared" si="242"/>
        <v>630.48155997154618</v>
      </c>
      <c r="DU57" s="559">
        <f t="shared" si="242"/>
        <v>350.8062353577335</v>
      </c>
      <c r="DV57" s="559">
        <f t="shared" si="242"/>
        <v>449.17469400960101</v>
      </c>
      <c r="DW57" s="559">
        <f t="shared" si="242"/>
        <v>780.73005973778891</v>
      </c>
      <c r="DX57" s="547">
        <f t="shared" si="242"/>
        <v>2211.1925490766698</v>
      </c>
      <c r="DY57" s="559">
        <f>SUM(DY54:DY56)</f>
        <v>768.97940212392837</v>
      </c>
      <c r="DZ57" s="559">
        <f>SUM(DZ54:DZ56)</f>
        <v>436.20611711593153</v>
      </c>
      <c r="EA57" s="559">
        <f>SUM(EA54:EA56)</f>
        <v>571.93537129589834</v>
      </c>
      <c r="EB57" s="559">
        <f>SUM(EB54:EB56)</f>
        <v>949.49860880761094</v>
      </c>
      <c r="EC57" s="547">
        <f>SUM(EC54:EC56)</f>
        <v>2726.6194993433692</v>
      </c>
      <c r="ED57" s="730"/>
    </row>
    <row r="58" spans="1:134" s="321" customFormat="1">
      <c r="A58" s="1102"/>
      <c r="B58" s="1102"/>
      <c r="C58" s="1103" t="s">
        <v>65</v>
      </c>
      <c r="D58" s="1104"/>
      <c r="E58" s="1104"/>
      <c r="F58" s="1104"/>
      <c r="G58" s="1104"/>
      <c r="H58" s="1104"/>
      <c r="I58" s="1105"/>
      <c r="J58" s="1105"/>
      <c r="K58" s="1105"/>
      <c r="L58" s="1105"/>
      <c r="M58" s="1104"/>
      <c r="N58" s="1105"/>
      <c r="O58" s="1105"/>
      <c r="P58" s="1105"/>
      <c r="Q58" s="1105"/>
      <c r="R58" s="1104"/>
      <c r="S58" s="1105"/>
      <c r="T58" s="1105"/>
      <c r="U58" s="1105"/>
      <c r="V58" s="1105"/>
      <c r="W58" s="1104"/>
      <c r="X58" s="1105"/>
      <c r="Y58" s="1105"/>
      <c r="Z58" s="1105"/>
      <c r="AA58" s="1105"/>
      <c r="AB58" s="1104"/>
      <c r="AC58" s="1105"/>
      <c r="AD58" s="1105"/>
      <c r="AE58" s="1105"/>
      <c r="AF58" s="1105"/>
      <c r="AG58" s="1104"/>
      <c r="AH58" s="1105"/>
      <c r="AI58" s="1105"/>
      <c r="AJ58" s="1105"/>
      <c r="AK58" s="1105"/>
      <c r="AL58" s="1104"/>
      <c r="AM58" s="1105"/>
      <c r="AN58" s="1105"/>
      <c r="AO58" s="1105"/>
      <c r="AP58" s="1105"/>
      <c r="AQ58" s="1104"/>
      <c r="AR58" s="1105"/>
      <c r="AS58" s="1105"/>
      <c r="AT58" s="1105"/>
      <c r="AU58" s="1105"/>
      <c r="AV58" s="1104"/>
      <c r="AW58" s="1105"/>
      <c r="AX58" s="1105"/>
      <c r="AY58" s="1105"/>
      <c r="AZ58" s="1105"/>
      <c r="BA58" s="1104"/>
      <c r="BB58" s="1105"/>
      <c r="BC58" s="1105"/>
      <c r="BD58" s="1105"/>
      <c r="BE58" s="1105"/>
      <c r="BF58" s="1104"/>
      <c r="BG58" s="1105"/>
      <c r="BH58" s="1105"/>
      <c r="BI58" s="1105"/>
      <c r="BJ58" s="1105"/>
      <c r="BK58" s="1104"/>
      <c r="BL58" s="1105"/>
      <c r="BM58" s="1105"/>
      <c r="BN58" s="1105"/>
      <c r="BO58" s="1105"/>
      <c r="BP58" s="1104"/>
      <c r="BQ58" s="1105"/>
      <c r="BR58" s="1105"/>
      <c r="BS58" s="1105"/>
      <c r="BT58" s="1105"/>
      <c r="BU58" s="1104"/>
      <c r="BV58" s="896">
        <f t="shared" ref="BV58:EB58" si="244">+BV57/BV66</f>
        <v>-2.8327053711394067E-2</v>
      </c>
      <c r="BW58" s="896">
        <f t="shared" si="244"/>
        <v>-2.0681616212909874E-2</v>
      </c>
      <c r="BX58" s="896">
        <f t="shared" si="244"/>
        <v>-4.1495109361505543E-2</v>
      </c>
      <c r="BY58" s="896">
        <f t="shared" si="244"/>
        <v>-1.359072885268784E-2</v>
      </c>
      <c r="BZ58" s="1108">
        <f t="shared" si="244"/>
        <v>-2.5058433719466772E-2</v>
      </c>
      <c r="CA58" s="896">
        <f t="shared" si="244"/>
        <v>1.07239026841159E-2</v>
      </c>
      <c r="CB58" s="896">
        <f t="shared" si="244"/>
        <v>-7.5928917609046853E-2</v>
      </c>
      <c r="CC58" s="896">
        <f t="shared" si="244"/>
        <v>-5.9507978723404228E-2</v>
      </c>
      <c r="CD58" s="896">
        <f t="shared" si="244"/>
        <v>3.6846876767169037E-2</v>
      </c>
      <c r="CE58" s="1108">
        <f t="shared" si="244"/>
        <v>-1.8033458883357292E-2</v>
      </c>
      <c r="CF58" s="896">
        <f t="shared" si="244"/>
        <v>-3.3964728935336398E-2</v>
      </c>
      <c r="CG58" s="896">
        <f t="shared" si="244"/>
        <v>-4.336981503329071E-2</v>
      </c>
      <c r="CH58" s="896">
        <f t="shared" si="244"/>
        <v>-9.1126547781266876E-3</v>
      </c>
      <c r="CI58" s="896">
        <f t="shared" si="244"/>
        <v>5.0572613432132455E-3</v>
      </c>
      <c r="CJ58" s="1108">
        <f t="shared" si="244"/>
        <v>-1.7355103151331177E-2</v>
      </c>
      <c r="CK58" s="896">
        <f t="shared" si="244"/>
        <v>4.6155478310794411E-2</v>
      </c>
      <c r="CL58" s="896">
        <f t="shared" si="244"/>
        <v>6.0031106776912034E-3</v>
      </c>
      <c r="CM58" s="896">
        <f t="shared" si="244"/>
        <v>-0.10906358180216719</v>
      </c>
      <c r="CN58" s="896">
        <f t="shared" si="244"/>
        <v>7.8165333755641775E-2</v>
      </c>
      <c r="CO58" s="1108">
        <f t="shared" si="244"/>
        <v>8.7797725597890779E-3</v>
      </c>
      <c r="CP58" s="896">
        <f t="shared" si="244"/>
        <v>-0.21637188005982966</v>
      </c>
      <c r="CQ58" s="896">
        <f t="shared" si="244"/>
        <v>0.23322334851282511</v>
      </c>
      <c r="CR58" s="896">
        <f t="shared" si="244"/>
        <v>0.10334699409047376</v>
      </c>
      <c r="CS58" s="896">
        <f t="shared" si="244"/>
        <v>0.24445049010784003</v>
      </c>
      <c r="CT58" s="1108">
        <f t="shared" si="244"/>
        <v>0.13081624077356782</v>
      </c>
      <c r="CU58" s="896">
        <f t="shared" si="244"/>
        <v>0.13199352246049356</v>
      </c>
      <c r="CV58" s="896">
        <f t="shared" si="244"/>
        <v>5.1952530048372532E-2</v>
      </c>
      <c r="CW58" s="896">
        <f t="shared" si="244"/>
        <v>2.7145069144108195E-2</v>
      </c>
      <c r="CX58" s="896">
        <f t="shared" si="244"/>
        <v>0.1699122623954365</v>
      </c>
      <c r="CY58" s="1108">
        <f t="shared" si="244"/>
        <v>9.8363869123407138E-2</v>
      </c>
      <c r="CZ58" s="896">
        <f t="shared" si="244"/>
        <v>-5.7743163764733645E-2</v>
      </c>
      <c r="DA58" s="896">
        <f t="shared" si="244"/>
        <v>-0.10556629291393546</v>
      </c>
      <c r="DB58" s="896">
        <f t="shared" si="244"/>
        <v>-0.16689430537256625</v>
      </c>
      <c r="DC58" s="896">
        <f t="shared" si="244"/>
        <v>0.14280353987197533</v>
      </c>
      <c r="DD58" s="1108">
        <f t="shared" si="244"/>
        <v>-3.3298308673210632E-2</v>
      </c>
      <c r="DE58" s="896">
        <f t="shared" si="244"/>
        <v>5.7029177718832889E-2</v>
      </c>
      <c r="DF58" s="896">
        <f t="shared" si="244"/>
        <v>5.7260920897284531E-2</v>
      </c>
      <c r="DG58" s="896">
        <f t="shared" si="244"/>
        <v>0.16102683780630106</v>
      </c>
      <c r="DH58" s="896">
        <f t="shared" si="244"/>
        <v>0.2080223880597015</v>
      </c>
      <c r="DI58" s="1108">
        <f t="shared" si="244"/>
        <v>0.1281869688385269</v>
      </c>
      <c r="DJ58" s="896">
        <f t="shared" si="244"/>
        <v>0.1246641590542719</v>
      </c>
      <c r="DK58" s="896">
        <f t="shared" si="244"/>
        <v>0.16283618581907092</v>
      </c>
      <c r="DL58" s="896">
        <f t="shared" ref="DL58" si="245">+DL57/DL66</f>
        <v>0.19472710453283995</v>
      </c>
      <c r="DM58" s="896">
        <f t="shared" si="244"/>
        <v>0.19269559950530005</v>
      </c>
      <c r="DN58" s="1108">
        <f t="shared" si="244"/>
        <v>0.17180122178754617</v>
      </c>
      <c r="DO58" s="896">
        <f t="shared" si="244"/>
        <v>0.23324743010378324</v>
      </c>
      <c r="DP58" s="896">
        <f t="shared" si="244"/>
        <v>0.1068880003928708</v>
      </c>
      <c r="DQ58" s="896">
        <f t="shared" si="244"/>
        <v>0.13432708330129078</v>
      </c>
      <c r="DR58" s="896">
        <f t="shared" si="244"/>
        <v>0.19602837163992703</v>
      </c>
      <c r="DS58" s="1108">
        <f t="shared" si="244"/>
        <v>0.16834343572778954</v>
      </c>
      <c r="DT58" s="896">
        <f t="shared" si="244"/>
        <v>0.22523591595399248</v>
      </c>
      <c r="DU58" s="896">
        <f t="shared" si="244"/>
        <v>0.11689075507903525</v>
      </c>
      <c r="DV58" s="896">
        <f t="shared" si="244"/>
        <v>0.1427054640125292</v>
      </c>
      <c r="DW58" s="896">
        <f t="shared" si="244"/>
        <v>0.19638465705110442</v>
      </c>
      <c r="DX58" s="1108">
        <f t="shared" si="244"/>
        <v>0.17109950135768534</v>
      </c>
      <c r="DY58" s="896">
        <f t="shared" si="244"/>
        <v>0.23299807992299917</v>
      </c>
      <c r="DZ58" s="896">
        <f t="shared" si="244"/>
        <v>0.1232938831425717</v>
      </c>
      <c r="EA58" s="896">
        <f t="shared" si="244"/>
        <v>0.15420598116026313</v>
      </c>
      <c r="EB58" s="896">
        <f t="shared" si="244"/>
        <v>0.20238453461411118</v>
      </c>
      <c r="EC58" s="1108">
        <f>+EC57/EC66</f>
        <v>0.17892650055704071</v>
      </c>
      <c r="ED58" s="1109"/>
    </row>
    <row r="59" spans="1:134" s="321" customFormat="1">
      <c r="A59" s="1102" t="s">
        <v>451</v>
      </c>
      <c r="B59" s="1102"/>
      <c r="C59" s="1103" t="s">
        <v>563</v>
      </c>
      <c r="D59" s="1104"/>
      <c r="E59" s="1104"/>
      <c r="F59" s="1104"/>
      <c r="G59" s="1104"/>
      <c r="H59" s="1104"/>
      <c r="I59" s="1105"/>
      <c r="J59" s="1105"/>
      <c r="K59" s="1105"/>
      <c r="L59" s="1105"/>
      <c r="M59" s="1104"/>
      <c r="N59" s="1105"/>
      <c r="O59" s="1105"/>
      <c r="P59" s="1105"/>
      <c r="Q59" s="1105"/>
      <c r="R59" s="1104"/>
      <c r="S59" s="1105"/>
      <c r="T59" s="1105"/>
      <c r="U59" s="1105"/>
      <c r="V59" s="1105"/>
      <c r="W59" s="1104"/>
      <c r="X59" s="1105"/>
      <c r="Y59" s="1105"/>
      <c r="Z59" s="1105"/>
      <c r="AA59" s="1105"/>
      <c r="AB59" s="1104"/>
      <c r="AC59" s="1105"/>
      <c r="AD59" s="1105"/>
      <c r="AE59" s="1105"/>
      <c r="AF59" s="1105"/>
      <c r="AG59" s="1104"/>
      <c r="AH59" s="1105"/>
      <c r="AI59" s="1105"/>
      <c r="AJ59" s="1105"/>
      <c r="AK59" s="1105"/>
      <c r="AL59" s="1104"/>
      <c r="AM59" s="1105"/>
      <c r="AN59" s="1105"/>
      <c r="AO59" s="1105"/>
      <c r="AP59" s="1105"/>
      <c r="AQ59" s="1104"/>
      <c r="AR59" s="1105"/>
      <c r="AS59" s="1105"/>
      <c r="AT59" s="1105"/>
      <c r="AU59" s="1105"/>
      <c r="AV59" s="1104"/>
      <c r="AW59" s="1105"/>
      <c r="AX59" s="1105"/>
      <c r="AY59" s="1105"/>
      <c r="AZ59" s="1105"/>
      <c r="BA59" s="1104"/>
      <c r="BB59" s="1105"/>
      <c r="BC59" s="1105"/>
      <c r="BD59" s="1105"/>
      <c r="BE59" s="1105"/>
      <c r="BF59" s="1104"/>
      <c r="BG59" s="1105"/>
      <c r="BH59" s="1105"/>
      <c r="BI59" s="1105"/>
      <c r="BJ59" s="1105"/>
      <c r="BK59" s="1104"/>
      <c r="BL59" s="1105"/>
      <c r="BM59" s="1105"/>
      <c r="BN59" s="1105"/>
      <c r="BO59" s="1105"/>
      <c r="BP59" s="1104"/>
      <c r="BQ59" s="1105"/>
      <c r="BR59" s="1105"/>
      <c r="BS59" s="1105"/>
      <c r="BT59" s="1105"/>
      <c r="BU59" s="1104"/>
      <c r="BV59" s="1106"/>
      <c r="BW59" s="1106"/>
      <c r="BX59" s="1106"/>
      <c r="BY59" s="1106"/>
      <c r="BZ59" s="1107"/>
      <c r="CA59" s="896">
        <f>+CA57/BV57-1</f>
        <v>-1.6631067961165047</v>
      </c>
      <c r="CB59" s="896">
        <f t="shared" ref="CB59:CF59" si="246">+CB57/BW57-1</f>
        <v>5.4257812499999947</v>
      </c>
      <c r="CC59" s="896">
        <f t="shared" si="246"/>
        <v>1.4692642787996126</v>
      </c>
      <c r="CD59" s="896">
        <f t="shared" si="246"/>
        <v>-5.6331828442437972</v>
      </c>
      <c r="CE59" s="1108">
        <f t="shared" si="246"/>
        <v>0.24456744567445665</v>
      </c>
      <c r="CF59" s="896">
        <f t="shared" si="246"/>
        <v>-6.3294289897511025</v>
      </c>
      <c r="CG59" s="896">
        <f t="shared" ref="CG59" si="247">+CG57/CB57-1</f>
        <v>-7.737733391228907E-2</v>
      </c>
      <c r="CH59" s="896">
        <f t="shared" ref="CH59" si="248">+CH57/CC57-1</f>
        <v>-0.75879643242183603</v>
      </c>
      <c r="CI59" s="896">
        <f t="shared" ref="CI59" si="249">+CI57/CD57-1</f>
        <v>-0.78818514007308249</v>
      </c>
      <c r="CJ59" s="1108">
        <f t="shared" ref="CJ59:CK59" si="250">+CJ57/CE57-1</f>
        <v>0.53401416570581528</v>
      </c>
      <c r="CK59" s="896">
        <f t="shared" si="250"/>
        <v>-3.0318681318681331</v>
      </c>
      <c r="CL59" s="896">
        <f t="shared" ref="CL59" si="251">+CL57/CG57-1</f>
        <v>-1.2045368975903601</v>
      </c>
      <c r="CM59" s="896">
        <f t="shared" ref="CM59" si="252">+CM57/CH57-1</f>
        <v>16.308004876066601</v>
      </c>
      <c r="CN59" s="896">
        <f t="shared" ref="CN59" si="253">+CN57/CI57-1</f>
        <v>21.706152961472206</v>
      </c>
      <c r="CO59" s="1108">
        <f t="shared" ref="CO59:CP59" si="254">+CO57/CJ57-1</f>
        <v>-1.743906367443359</v>
      </c>
      <c r="CP59" s="896">
        <f t="shared" si="254"/>
        <v>-7.8749999999999938</v>
      </c>
      <c r="CQ59" s="896">
        <f t="shared" ref="CQ59" si="255">+CQ57/CL57-1</f>
        <v>75.668660837552338</v>
      </c>
      <c r="CR59" s="896">
        <f t="shared" ref="CR59" si="256">+CR57/CM57-1</f>
        <v>-2.8619321516609935</v>
      </c>
      <c r="CS59" s="896">
        <f t="shared" ref="CS59" si="257">+CS57/CN57-1</f>
        <v>5.053031454186292</v>
      </c>
      <c r="CT59" s="1108">
        <f t="shared" ref="CT59:CU59" si="258">+CT57/CO57-1</f>
        <v>26.657693418013835</v>
      </c>
      <c r="CU59" s="896">
        <f t="shared" si="258"/>
        <v>-2.2831997640001926</v>
      </c>
      <c r="CV59" s="896">
        <f t="shared" ref="CV59" si="259">+CV57/CQ57-1</f>
        <v>-0.65091446029735489</v>
      </c>
      <c r="CW59" s="896">
        <f t="shared" ref="CW59" si="260">+CW57/CR57-1</f>
        <v>-0.61537782597182988</v>
      </c>
      <c r="CX59" s="896">
        <f t="shared" ref="CX59" si="261">+CX57/CS57-1</f>
        <v>-1.8940630099159361E-2</v>
      </c>
      <c r="CY59" s="1108">
        <f t="shared" ref="CY59:CZ59" si="262">+CY57/CT57-1</f>
        <v>0.18374323178289509</v>
      </c>
      <c r="CZ59" s="896">
        <f t="shared" si="262"/>
        <v>-1.5325951185869209</v>
      </c>
      <c r="DA59" s="896">
        <f t="shared" ref="DA59" si="263">+DA57/CV57-1</f>
        <v>-3.350751401354914</v>
      </c>
      <c r="DB59" s="896">
        <f t="shared" ref="DB59" si="264">+DB57/CW57-1</f>
        <v>-8.4747901914502677</v>
      </c>
      <c r="DC59" s="896">
        <f t="shared" ref="DC59" si="265">+DC57/CX57-1</f>
        <v>5.662670641368539E-2</v>
      </c>
      <c r="DD59" s="1108">
        <f t="shared" ref="DD59:DE59" si="266">+DD57/CY57-1</f>
        <v>-1.4110439996472974</v>
      </c>
      <c r="DE59" s="896">
        <f t="shared" si="266"/>
        <v>-2.2373922677371549</v>
      </c>
      <c r="DF59" s="896">
        <f t="shared" ref="DF59" si="267">+DF57/DA57-1</f>
        <v>-1.7095051749990857</v>
      </c>
      <c r="DG59" s="896">
        <f t="shared" ref="DG59" si="268">+DG57/DB57-1</f>
        <v>-2.2104679160215954</v>
      </c>
      <c r="DH59" s="896">
        <f t="shared" ref="DH59" si="269">+DH57/DC57-1</f>
        <v>0.80012189166172232</v>
      </c>
      <c r="DI59" s="1108">
        <f t="shared" ref="DI59:DJ59" si="270">+DI57/DD57-1</f>
        <v>-5.8534317248184653</v>
      </c>
      <c r="DJ59" s="896">
        <f t="shared" si="270"/>
        <v>1.6976744186046511</v>
      </c>
      <c r="DK59" s="896">
        <f t="shared" ref="DK59:DL59" si="271">+DK57/DF57-1</f>
        <v>2.4329896907216493</v>
      </c>
      <c r="DL59" s="896">
        <f t="shared" si="271"/>
        <v>0.5253623188405796</v>
      </c>
      <c r="DM59" s="896">
        <f t="shared" ref="DM59" si="272">+DM57/DH57-1</f>
        <v>0.16809358855672185</v>
      </c>
      <c r="DN59" s="1108">
        <f t="shared" ref="DN59:DO59" si="273">+DN57/DI57-1</f>
        <v>0.66515993425005315</v>
      </c>
      <c r="DO59" s="896">
        <f t="shared" si="273"/>
        <v>1.3514592586578735</v>
      </c>
      <c r="DP59" s="896">
        <f t="shared" ref="DP59" si="274">+DP57/DK57-1</f>
        <v>-0.19496054465868218</v>
      </c>
      <c r="DQ59" s="896">
        <f t="shared" ref="DQ59" si="275">+DQ57/DL57-1</f>
        <v>-0.16024653368654285</v>
      </c>
      <c r="DR59" s="896">
        <f t="shared" ref="DR59" si="276">+DR57/DM57-1</f>
        <v>0.24846058305437801</v>
      </c>
      <c r="DS59" s="1108">
        <f t="shared" ref="DS59:DT59" si="277">+DS57/DN57-1</f>
        <v>0.20610456407064937</v>
      </c>
      <c r="DT59" s="896">
        <f t="shared" si="277"/>
        <v>0.15570487598536542</v>
      </c>
      <c r="DU59" s="896">
        <f t="shared" ref="DU59" si="278">+DU57/DP57-1</f>
        <v>0.30859695293419431</v>
      </c>
      <c r="DV59" s="896">
        <f t="shared" ref="DV59" si="279">+DV57/DQ57-1</f>
        <v>0.27051963043938065</v>
      </c>
      <c r="DW59" s="896">
        <f t="shared" ref="DW59" si="280">+DW57/DR57-1</f>
        <v>0.2003656716553377</v>
      </c>
      <c r="DX59" s="1108">
        <f t="shared" ref="DX59:DY59" si="281">+DX57/DS57-1</f>
        <v>0.21656990674016696</v>
      </c>
      <c r="DY59" s="896">
        <f t="shared" si="281"/>
        <v>0.21966993318350592</v>
      </c>
      <c r="DZ59" s="896">
        <f t="shared" ref="DZ59" si="282">+DZ57/DU57-1</f>
        <v>0.24343889347095504</v>
      </c>
      <c r="EA59" s="896">
        <f t="shared" ref="EA59" si="283">+EA57/DV57-1</f>
        <v>0.27330274595494752</v>
      </c>
      <c r="EB59" s="896">
        <f t="shared" ref="EB59" si="284">+EB57/DW57-1</f>
        <v>0.21616760743976426</v>
      </c>
      <c r="EC59" s="1108">
        <f t="shared" ref="EC59" si="285">+EC57/DX57-1</f>
        <v>0.23309908062141704</v>
      </c>
      <c r="ED59" s="1109"/>
    </row>
    <row r="60" spans="1:134">
      <c r="A60" s="943"/>
      <c r="B60" s="943"/>
      <c r="C60" s="548" t="s">
        <v>59</v>
      </c>
      <c r="D60" s="549"/>
      <c r="E60" s="549"/>
      <c r="F60" s="549"/>
      <c r="G60" s="549"/>
      <c r="H60" s="549"/>
      <c r="I60" s="560"/>
      <c r="J60" s="560"/>
      <c r="K60" s="560"/>
      <c r="L60" s="560"/>
      <c r="M60" s="549"/>
      <c r="N60" s="560"/>
      <c r="O60" s="560"/>
      <c r="P60" s="560"/>
      <c r="Q60" s="560"/>
      <c r="R60" s="549"/>
      <c r="S60" s="560"/>
      <c r="T60" s="560"/>
      <c r="U60" s="560"/>
      <c r="V60" s="560"/>
      <c r="W60" s="549"/>
      <c r="X60" s="560"/>
      <c r="Y60" s="560"/>
      <c r="Z60" s="560"/>
      <c r="AA60" s="560"/>
      <c r="AB60" s="549"/>
      <c r="AC60" s="560"/>
      <c r="AD60" s="560"/>
      <c r="AE60" s="560"/>
      <c r="AF60" s="560"/>
      <c r="AG60" s="549"/>
      <c r="AH60" s="560"/>
      <c r="AI60" s="560"/>
      <c r="AJ60" s="560"/>
      <c r="AK60" s="560"/>
      <c r="AL60" s="549"/>
      <c r="AM60" s="560"/>
      <c r="AN60" s="560"/>
      <c r="AO60" s="560"/>
      <c r="AP60" s="560"/>
      <c r="AQ60" s="549"/>
      <c r="AR60" s="560"/>
      <c r="AS60" s="560"/>
      <c r="AT60" s="560"/>
      <c r="AU60" s="560"/>
      <c r="AV60" s="549"/>
      <c r="AW60" s="560"/>
      <c r="AX60" s="560"/>
      <c r="AY60" s="560"/>
      <c r="AZ60" s="560"/>
      <c r="BA60" s="549"/>
      <c r="BB60" s="560"/>
      <c r="BC60" s="560"/>
      <c r="BD60" s="560"/>
      <c r="BE60" s="560"/>
      <c r="BF60" s="549"/>
      <c r="BG60" s="560"/>
      <c r="BH60" s="560"/>
      <c r="BI60" s="560"/>
      <c r="BJ60" s="560"/>
      <c r="BK60" s="549"/>
      <c r="BL60" s="560"/>
      <c r="BM60" s="560"/>
      <c r="BN60" s="560"/>
      <c r="BO60" s="560"/>
      <c r="BP60" s="550"/>
      <c r="BQ60" s="560"/>
      <c r="BR60" s="560"/>
      <c r="BS60" s="560"/>
      <c r="BT60" s="560"/>
      <c r="BU60" s="550"/>
      <c r="BV60" s="1038">
        <f>IFERROR(BV57/Income!BV$69,"")</f>
        <v>-2.5593719947180023E-2</v>
      </c>
      <c r="BW60" s="1038">
        <f>IFERROR(BW57/Income!BW$69,"")</f>
        <v>-2.2028476526298087E-2</v>
      </c>
      <c r="BX60" s="1038">
        <f>IFERROR(BX57/Income!BX$69,"")</f>
        <v>-4.8661710513062235E-2</v>
      </c>
      <c r="BY60" s="1038">
        <f>IFERROR(BY57/Income!BY$69,"")</f>
        <v>-1.9879476745695981E-2</v>
      </c>
      <c r="BZ60" s="1039">
        <f>IFERROR(BZ57/Income!BZ$69,"")</f>
        <v>-9.5629245532694876E-2</v>
      </c>
      <c r="CA60" s="1038">
        <f>IFERROR(CA57/Income!CA$69,"")</f>
        <v>1.5136926744444086E-2</v>
      </c>
      <c r="CB60" s="1038">
        <f>IFERROR(CB57/Income!CB$69,"")</f>
        <v>-0.12212254001562703</v>
      </c>
      <c r="CC60" s="1038">
        <f>IFERROR(CC57/Income!CC$69,"")</f>
        <v>-0.10329225720612309</v>
      </c>
      <c r="CD60" s="1038">
        <f>IFERROR(CD57/Income!CD$69,"")</f>
        <v>8.2469636332308693E-2</v>
      </c>
      <c r="CE60" s="1039">
        <f>IFERROR(CE57/Income!CE$69,"")</f>
        <v>-0.11901704584440151</v>
      </c>
      <c r="CF60" s="1038">
        <f>IFERROR(CF57/Income!CF$69,"")</f>
        <v>-7.1193418004213027E-2</v>
      </c>
      <c r="CG60" s="1038">
        <f>IFERROR(CG57/Income!CG$69,"")</f>
        <v>-0.10024714923112957</v>
      </c>
      <c r="CH60" s="1038">
        <f>IFERROR(CH57/Income!CH$69,"")</f>
        <v>-2.3076081625454863E-2</v>
      </c>
      <c r="CI60" s="1038">
        <f>IFERROR(CI57/Income!CI$69,"")</f>
        <v>1.6141533270600653E-2</v>
      </c>
      <c r="CJ60" s="1039">
        <f>IFERROR(CJ57/Income!CJ$69,"")</f>
        <v>-0.18257383428577034</v>
      </c>
      <c r="CK60" s="1038">
        <f>IFERROR(CK57/Income!CK$69,"")</f>
        <v>0.13335584058733702</v>
      </c>
      <c r="CL60" s="1038">
        <f>IFERROR(CL57/Income!CL$69,"")</f>
        <v>1.9399463148202054E-2</v>
      </c>
      <c r="CM60" s="1038">
        <f>IFERROR(CM57/Income!CM$69,"")</f>
        <v>-0.37665692015855723</v>
      </c>
      <c r="CN60" s="1038">
        <f>IFERROR(CN57/Income!CN$69,"")</f>
        <v>0.34031663598996237</v>
      </c>
      <c r="CO60" s="1039">
        <f>IFERROR(CO57/Income!CO$69,"")</f>
        <v>0.13581783785373322</v>
      </c>
      <c r="CP60" s="1038">
        <f>IFERROR(CP57/Income!CP$69,"")</f>
        <v>-0.87062755359718735</v>
      </c>
      <c r="CQ60" s="1038">
        <f>IFERROR(CQ57/Income!CQ$69,"")</f>
        <v>1.3337866899919422</v>
      </c>
      <c r="CR60" s="1038">
        <f>IFERROR(CR57/Income!CR$69,"")</f>
        <v>0.63493789711088744</v>
      </c>
      <c r="CS60" s="1038">
        <f>IFERROR(CS57/Income!CS$69,"")</f>
        <v>1.9051465012703084</v>
      </c>
      <c r="CT60" s="1039">
        <f>IFERROR(CT57/Income!CT$69,"")</f>
        <v>3.1151563756273073</v>
      </c>
      <c r="CU60" s="1038">
        <f>IFERROR(CU57/Income!CU$69,"")</f>
        <v>1.0301608877715642</v>
      </c>
      <c r="CV60" s="1038">
        <f>IFERROR(CV57/Income!CV$69,"")</f>
        <v>0.45623040798183706</v>
      </c>
      <c r="CW60" s="1038">
        <f>IFERROR(CW57/Income!CW$69,"")</f>
        <v>0.23902361767103661</v>
      </c>
      <c r="CX60" s="1038">
        <f>IFERROR(CX57/Income!CX$69,"")</f>
        <v>1.8649020312641469</v>
      </c>
      <c r="CY60" s="1039">
        <f>IFERROR(CY57/Income!CY$69,"")</f>
        <v>3.5754637731545884</v>
      </c>
      <c r="CZ60" s="1038">
        <f>IFERROR(CZ57/Income!CZ$69,"")</f>
        <v>-0.55153804447548327</v>
      </c>
      <c r="DA60" s="1038">
        <f>IFERROR(DA57/Income!DA$69,"")</f>
        <v>-0.10833101134607975</v>
      </c>
      <c r="DB60" s="1038">
        <f>IFERROR(DB57/Income!DB$69,"")</f>
        <v>-0.17961751139802859</v>
      </c>
      <c r="DC60" s="1038">
        <f>IFERROR(DC57/Income!DC$69,"")</f>
        <v>0.19457586560756379</v>
      </c>
      <c r="DD60" s="1039">
        <f>IFERROR(DD57/Income!DD$69,"")</f>
        <v>-0.14725632897243635</v>
      </c>
      <c r="DE60" s="1038">
        <f>IFERROR(DE57/Income!DE$69,"")</f>
        <v>6.657985216518271E-2</v>
      </c>
      <c r="DF60" s="1038">
        <f>IFERROR(DF57/Income!DF$69,"")</f>
        <v>7.5757123605171367E-2</v>
      </c>
      <c r="DG60" s="1038">
        <f>IFERROR(DG57/Income!DG$69,"")</f>
        <v>0.21299087068343558</v>
      </c>
      <c r="DH60" s="1038">
        <f>IFERROR(DH57/Income!DH$69,"")</f>
        <v>0.34379212282151494</v>
      </c>
      <c r="DI60" s="1039">
        <f>IFERROR(DI57/Income!DI$69,"")</f>
        <v>0.69856584085519247</v>
      </c>
      <c r="DJ60" s="1038">
        <f>IFERROR(DJ57/Income!DJ$69,"")</f>
        <v>0.1802114304041566</v>
      </c>
      <c r="DK60" s="1038">
        <f>IFERROR(DK57/Income!DK$69,"")</f>
        <v>0.25617097433635411</v>
      </c>
      <c r="DL60" s="1038">
        <f>IFERROR(DL57/Income!DL$69,"")</f>
        <v>0.32344790090517594</v>
      </c>
      <c r="DM60" s="1038">
        <f>IFERROR(DM57/Income!DM$69,"")</f>
        <v>0.39948583577454921</v>
      </c>
      <c r="DN60" s="1039">
        <f>IFERROR(DN57/Income!DN$69,"")</f>
        <v>1.1607720549294744</v>
      </c>
      <c r="DO60" s="1038">
        <f>IFERROR(DO57/Income!DO$69,"")</f>
        <v>0.41752508350847378</v>
      </c>
      <c r="DP60" s="1038">
        <f>IFERROR(DP57/Income!DP$69,"")</f>
        <v>0.2047803867487015</v>
      </c>
      <c r="DQ60" s="1038">
        <f>IFERROR(DQ57/Income!DQ$69,"")</f>
        <v>0.26954561794452581</v>
      </c>
      <c r="DR60" s="1038">
        <f>IFERROR(DR57/Income!DR$69,"")</f>
        <v>0.49494700653562118</v>
      </c>
      <c r="DS60" s="1039">
        <f>IFERROR(DS57/Income!DS$69,"")</f>
        <v>1.3870814454180325</v>
      </c>
      <c r="DT60" s="1038">
        <f>IFERROR(DT57/Income!DT$69,"")</f>
        <v>0.47887076244290294</v>
      </c>
      <c r="DU60" s="1038">
        <f>IFERROR(DU57/Income!DU$69,"")</f>
        <v>0.26594349245607035</v>
      </c>
      <c r="DV60" s="1038">
        <f>IFERROR(DV57/Income!DV$69,"")</f>
        <v>0.33987172446560965</v>
      </c>
      <c r="DW60" s="1038">
        <f>IFERROR(DW57/Income!DW$69,"")</f>
        <v>0.58963044554053057</v>
      </c>
      <c r="DX60" s="1039">
        <f>IFERROR(DX57/Income!DX$69,"")</f>
        <v>1.6747009887323976</v>
      </c>
      <c r="DY60" s="1038">
        <f>IFERROR(DY57/Income!DY$69,"")</f>
        <v>0.57966155726364144</v>
      </c>
      <c r="DZ60" s="1038">
        <f>IFERROR(DZ57/Income!DZ$69,"")</f>
        <v>0.32819645009334153</v>
      </c>
      <c r="EA60" s="1038">
        <f>IFERROR(EA57/Income!EA$69,"")</f>
        <v>0.42950967973681914</v>
      </c>
      <c r="EB60" s="1038">
        <f>IFERROR(EB57/Income!EB$69,"")</f>
        <v>0.71171437067909726</v>
      </c>
      <c r="EC60" s="1039">
        <f>IFERROR(EC57/Income!EC$69,"")</f>
        <v>2.049549483097612</v>
      </c>
      <c r="ED60" s="262"/>
    </row>
    <row r="61" spans="1:134">
      <c r="A61" s="943"/>
      <c r="B61" s="943"/>
      <c r="C61" s="551" t="s">
        <v>62</v>
      </c>
      <c r="D61" s="759"/>
      <c r="E61" s="759"/>
      <c r="F61" s="759"/>
      <c r="G61" s="759"/>
      <c r="H61" s="759"/>
      <c r="I61" s="285"/>
      <c r="J61" s="285"/>
      <c r="K61" s="285"/>
      <c r="L61" s="285"/>
      <c r="M61" s="759"/>
      <c r="N61" s="285"/>
      <c r="O61" s="285"/>
      <c r="P61" s="285"/>
      <c r="Q61" s="285"/>
      <c r="R61" s="759"/>
      <c r="S61" s="285"/>
      <c r="T61" s="285"/>
      <c r="U61" s="285"/>
      <c r="V61" s="285"/>
      <c r="W61" s="759"/>
      <c r="X61" s="285"/>
      <c r="Y61" s="285"/>
      <c r="Z61" s="285"/>
      <c r="AA61" s="285"/>
      <c r="AB61" s="759"/>
      <c r="AC61" s="285"/>
      <c r="AD61" s="285"/>
      <c r="AE61" s="285"/>
      <c r="AF61" s="285"/>
      <c r="AG61" s="759"/>
      <c r="AH61" s="285"/>
      <c r="AI61" s="285"/>
      <c r="AJ61" s="285"/>
      <c r="AK61" s="285"/>
      <c r="AL61" s="759"/>
      <c r="AM61" s="285"/>
      <c r="AN61" s="285"/>
      <c r="AO61" s="285"/>
      <c r="AP61" s="285"/>
      <c r="AQ61" s="759"/>
      <c r="AR61" s="285"/>
      <c r="AS61" s="285"/>
      <c r="AT61" s="285"/>
      <c r="AU61" s="285"/>
      <c r="AV61" s="759"/>
      <c r="AW61" s="285"/>
      <c r="AX61" s="285"/>
      <c r="AY61" s="285"/>
      <c r="AZ61" s="285"/>
      <c r="BA61" s="759"/>
      <c r="BB61" s="285"/>
      <c r="BC61" s="285"/>
      <c r="BD61" s="285"/>
      <c r="BE61" s="285"/>
      <c r="BF61" s="759"/>
      <c r="BG61" s="285"/>
      <c r="BH61" s="285"/>
      <c r="BI61" s="285"/>
      <c r="BJ61" s="285"/>
      <c r="BK61" s="759"/>
      <c r="BL61" s="285"/>
      <c r="BM61" s="285"/>
      <c r="BN61" s="285"/>
      <c r="BO61" s="285"/>
      <c r="BP61" s="552"/>
      <c r="BQ61" s="285"/>
      <c r="BR61" s="285"/>
      <c r="BS61" s="285"/>
      <c r="BT61" s="285"/>
      <c r="BU61" s="369"/>
      <c r="BV61" s="419"/>
      <c r="BW61" s="419"/>
      <c r="BX61" s="419"/>
      <c r="BY61" s="419"/>
      <c r="BZ61" s="286"/>
      <c r="CA61" s="419">
        <f t="shared" ref="CA61:DX61" si="286">IFERROR((CA60-BV60)/ABS(BV60),"")</f>
        <v>1.5914312876628904</v>
      </c>
      <c r="CB61" s="419">
        <f t="shared" si="286"/>
        <v>-4.5438486574336823</v>
      </c>
      <c r="CC61" s="419">
        <f t="shared" si="286"/>
        <v>-1.1226598102916339</v>
      </c>
      <c r="CD61" s="419">
        <f t="shared" si="286"/>
        <v>5.1484812395861397</v>
      </c>
      <c r="CE61" s="286">
        <f t="shared" si="286"/>
        <v>-0.24456744567445668</v>
      </c>
      <c r="CF61" s="419">
        <f t="shared" si="286"/>
        <v>-5.7032940838102499</v>
      </c>
      <c r="CG61" s="419">
        <f t="shared" si="286"/>
        <v>0.17912656239952301</v>
      </c>
      <c r="CH61" s="419">
        <f t="shared" si="286"/>
        <v>0.77659427483121224</v>
      </c>
      <c r="CI61" s="419">
        <f t="shared" si="286"/>
        <v>-0.80427301503357096</v>
      </c>
      <c r="CJ61" s="286">
        <f t="shared" si="286"/>
        <v>-0.53401416570581517</v>
      </c>
      <c r="CK61" s="419">
        <f t="shared" si="286"/>
        <v>2.8731484500357238</v>
      </c>
      <c r="CL61" s="419">
        <f t="shared" si="286"/>
        <v>1.1935163572928613</v>
      </c>
      <c r="CM61" s="419">
        <f t="shared" si="286"/>
        <v>-15.322395035345727</v>
      </c>
      <c r="CN61" s="419">
        <f t="shared" si="286"/>
        <v>20.083290557644691</v>
      </c>
      <c r="CO61" s="286">
        <f t="shared" si="286"/>
        <v>1.7439063674433593</v>
      </c>
      <c r="CP61" s="419">
        <f t="shared" si="286"/>
        <v>-7.5286045947646256</v>
      </c>
      <c r="CQ61" s="419">
        <f t="shared" si="286"/>
        <v>67.753793844834206</v>
      </c>
      <c r="CR61" s="419">
        <f t="shared" si="286"/>
        <v>2.6857194521837124</v>
      </c>
      <c r="CS61" s="419">
        <f t="shared" si="286"/>
        <v>4.5981585964151943</v>
      </c>
      <c r="CT61" s="286">
        <f t="shared" si="286"/>
        <v>21.936283074850031</v>
      </c>
      <c r="CU61" s="419">
        <f t="shared" si="286"/>
        <v>2.1832394730849378</v>
      </c>
      <c r="CV61" s="419">
        <f t="shared" si="286"/>
        <v>-0.65794349920781314</v>
      </c>
      <c r="CW61" s="419">
        <f t="shared" si="286"/>
        <v>-0.62354803712512874</v>
      </c>
      <c r="CX61" s="419">
        <f t="shared" si="286"/>
        <v>-2.1124081523036364E-2</v>
      </c>
      <c r="CY61" s="286">
        <f t="shared" si="286"/>
        <v>0.14776381729298832</v>
      </c>
      <c r="CZ61" s="419">
        <f t="shared" si="286"/>
        <v>-1.535390200717643</v>
      </c>
      <c r="DA61" s="419">
        <f t="shared" si="286"/>
        <v>-1.2374480294404062</v>
      </c>
      <c r="DB61" s="419">
        <f t="shared" si="286"/>
        <v>-1.7514634459479757</v>
      </c>
      <c r="DC61" s="419">
        <f t="shared" si="286"/>
        <v>-0.89566429638361855</v>
      </c>
      <c r="DD61" s="286">
        <f t="shared" si="286"/>
        <v>-1.0411852387033176</v>
      </c>
      <c r="DE61" s="419">
        <f t="shared" si="286"/>
        <v>1.1207166991145654</v>
      </c>
      <c r="DF61" s="419">
        <f t="shared" si="286"/>
        <v>1.6993115144393309</v>
      </c>
      <c r="DG61" s="419">
        <f t="shared" si="286"/>
        <v>2.1858023698560904</v>
      </c>
      <c r="DH61" s="419">
        <f t="shared" si="286"/>
        <v>0.76687957547059027</v>
      </c>
      <c r="DI61" s="286">
        <f t="shared" si="286"/>
        <v>5.7438765160711771</v>
      </c>
      <c r="DJ61" s="419">
        <f t="shared" si="286"/>
        <v>1.706696163233544</v>
      </c>
      <c r="DK61" s="419">
        <f t="shared" si="286"/>
        <v>2.381477043287151</v>
      </c>
      <c r="DL61" s="419">
        <f t="shared" si="286"/>
        <v>0.51859983419623001</v>
      </c>
      <c r="DM61" s="419">
        <f t="shared" si="286"/>
        <v>0.1619982229259759</v>
      </c>
      <c r="DN61" s="286">
        <f t="shared" si="286"/>
        <v>0.66165017961434203</v>
      </c>
      <c r="DO61" s="419">
        <f t="shared" si="286"/>
        <v>1.3168623797730175</v>
      </c>
      <c r="DP61" s="419">
        <f t="shared" si="286"/>
        <v>-0.20061050132938341</v>
      </c>
      <c r="DQ61" s="419">
        <f t="shared" si="286"/>
        <v>-0.16664904242631792</v>
      </c>
      <c r="DR61" s="419">
        <f t="shared" si="286"/>
        <v>0.23896008872501229</v>
      </c>
      <c r="DS61" s="286">
        <f t="shared" si="286"/>
        <v>0.19496454064989358</v>
      </c>
      <c r="DT61" s="419">
        <f t="shared" si="286"/>
        <v>0.14692693051861669</v>
      </c>
      <c r="DU61" s="419">
        <f t="shared" si="286"/>
        <v>0.29867658069435055</v>
      </c>
      <c r="DV61" s="419">
        <f t="shared" si="286"/>
        <v>0.2609061392181764</v>
      </c>
      <c r="DW61" s="419">
        <f t="shared" si="286"/>
        <v>0.19130015487444926</v>
      </c>
      <c r="DX61" s="286">
        <f t="shared" si="286"/>
        <v>0.20735591573549136</v>
      </c>
      <c r="DY61" s="419">
        <f>IFERROR((DY60-DT60)/ABS(DT60),"")</f>
        <v>0.21047598376348159</v>
      </c>
      <c r="DZ61" s="419">
        <f>IFERROR((DZ60-DU60)/ABS(DU60),"")</f>
        <v>0.23408340268959346</v>
      </c>
      <c r="EA61" s="419">
        <f>IFERROR((EA60-DV60)/ABS(DV60),"")</f>
        <v>0.26374054920911677</v>
      </c>
      <c r="EB61" s="419">
        <f>IFERROR((EB60-DW60)/ABS(DW60),"")</f>
        <v>0.20705159657529043</v>
      </c>
      <c r="EC61" s="286">
        <f>IFERROR((EC60-DX60)/ABS(DX60),"")</f>
        <v>0.22383010273908177</v>
      </c>
      <c r="ED61" s="541"/>
    </row>
    <row r="62" spans="1:134">
      <c r="A62" s="943"/>
      <c r="B62" s="943"/>
      <c r="C62" s="384" t="s">
        <v>213</v>
      </c>
      <c r="D62" s="433"/>
      <c r="E62" s="433"/>
      <c r="F62" s="433"/>
      <c r="G62" s="433"/>
      <c r="H62" s="433"/>
      <c r="I62" s="93"/>
      <c r="J62" s="93"/>
      <c r="K62" s="93"/>
      <c r="L62" s="93"/>
      <c r="M62" s="433"/>
      <c r="N62" s="93"/>
      <c r="O62" s="93"/>
      <c r="P62" s="93"/>
      <c r="Q62" s="93"/>
      <c r="R62" s="433"/>
      <c r="S62" s="93"/>
      <c r="T62" s="93"/>
      <c r="U62" s="93"/>
      <c r="V62" s="93"/>
      <c r="W62" s="433"/>
      <c r="X62" s="93"/>
      <c r="Y62" s="93"/>
      <c r="Z62" s="93"/>
      <c r="AA62" s="93"/>
      <c r="AB62" s="433"/>
      <c r="AC62" s="93"/>
      <c r="AD62" s="93"/>
      <c r="AE62" s="93"/>
      <c r="AF62" s="93"/>
      <c r="AG62" s="433"/>
      <c r="AH62" s="93"/>
      <c r="AI62" s="93"/>
      <c r="AJ62" s="93"/>
      <c r="AK62" s="93"/>
      <c r="AL62" s="433"/>
      <c r="AM62" s="93"/>
      <c r="AN62" s="93"/>
      <c r="AO62" s="93"/>
      <c r="AP62" s="93"/>
      <c r="AQ62" s="433"/>
      <c r="AR62" s="93"/>
      <c r="AS62" s="93"/>
      <c r="AT62" s="93"/>
      <c r="AU62" s="93"/>
      <c r="AV62" s="433"/>
      <c r="AW62" s="93"/>
      <c r="AX62" s="93"/>
      <c r="AY62" s="93"/>
      <c r="AZ62" s="93"/>
      <c r="BA62" s="433"/>
      <c r="BB62" s="93"/>
      <c r="BC62" s="93"/>
      <c r="BD62" s="93"/>
      <c r="BE62" s="93"/>
      <c r="BF62" s="433"/>
      <c r="BG62" s="93"/>
      <c r="BH62" s="93"/>
      <c r="BI62" s="93"/>
      <c r="BJ62" s="93"/>
      <c r="BK62" s="433"/>
      <c r="BL62" s="93"/>
      <c r="BM62" s="93"/>
      <c r="BN62" s="93"/>
      <c r="BO62" s="93"/>
      <c r="BP62" s="369"/>
      <c r="BQ62" s="93"/>
      <c r="BR62" s="93"/>
      <c r="BS62" s="93"/>
      <c r="BT62" s="93"/>
      <c r="BU62" s="369"/>
      <c r="BV62" s="91">
        <f t="shared" ref="BV62:DP62" si="287">BV57/BV67</f>
        <v>0.71977638015374112</v>
      </c>
      <c r="BW62" s="91">
        <f t="shared" si="287"/>
        <v>4.119540229885005</v>
      </c>
      <c r="BX62" s="91">
        <f t="shared" si="287"/>
        <v>-2.7787491593813125</v>
      </c>
      <c r="BY62" s="91">
        <f t="shared" si="287"/>
        <v>-0.48775116983209676</v>
      </c>
      <c r="BZ62" s="286">
        <f t="shared" si="287"/>
        <v>-5.3516182117389457</v>
      </c>
      <c r="CA62" s="91">
        <f t="shared" si="287"/>
        <v>6.2090909090904738</v>
      </c>
      <c r="CB62" s="91">
        <f t="shared" si="287"/>
        <v>-4.7681159420289774</v>
      </c>
      <c r="CC62" s="91">
        <f t="shared" si="287"/>
        <v>-1.3695302013422788</v>
      </c>
      <c r="CD62" s="91">
        <f t="shared" si="287"/>
        <v>0.4244648950470486</v>
      </c>
      <c r="CE62" s="286">
        <f t="shared" si="287"/>
        <v>-0.41261426581031013</v>
      </c>
      <c r="CF62" s="91">
        <f t="shared" si="287"/>
        <v>-0.98859315589353991</v>
      </c>
      <c r="CG62" s="91">
        <f t="shared" si="287"/>
        <v>-3.3641545281824161</v>
      </c>
      <c r="CH62" s="91">
        <f t="shared" si="287"/>
        <v>-0.64814327100342861</v>
      </c>
      <c r="CI62" s="91">
        <f t="shared" si="287"/>
        <v>6.3786083703187349E-2</v>
      </c>
      <c r="CJ62" s="286">
        <f t="shared" si="287"/>
        <v>-0.44793420229907321</v>
      </c>
      <c r="CK62" s="91">
        <f t="shared" si="287"/>
        <v>2.072289156626522</v>
      </c>
      <c r="CL62" s="91">
        <f t="shared" si="287"/>
        <v>0.15778390938135234</v>
      </c>
      <c r="CM62" s="91">
        <f t="shared" si="287"/>
        <v>-2.2080244673681979</v>
      </c>
      <c r="CN62" s="91">
        <f t="shared" si="287"/>
        <v>0.9582817619220958</v>
      </c>
      <c r="CO62" s="286">
        <f t="shared" si="287"/>
        <v>0.17020858413384765</v>
      </c>
      <c r="CP62" s="91">
        <f t="shared" si="287"/>
        <v>-14.33535382012969</v>
      </c>
      <c r="CQ62" s="91">
        <f t="shared" si="287"/>
        <v>1.2469481389448156</v>
      </c>
      <c r="CR62" s="91">
        <f t="shared" si="287"/>
        <v>0.5329547745447214</v>
      </c>
      <c r="CS62" s="91">
        <f t="shared" si="287"/>
        <v>1.0968793024323085</v>
      </c>
      <c r="CT62" s="286">
        <f t="shared" si="287"/>
        <v>0.75525560147493842</v>
      </c>
      <c r="CU62" s="91">
        <f t="shared" si="287"/>
        <v>0.57577589325897072</v>
      </c>
      <c r="CV62" s="91">
        <f t="shared" si="287"/>
        <v>0.23127579871632906</v>
      </c>
      <c r="CW62" s="91">
        <f t="shared" si="287"/>
        <v>0.19837935564429157</v>
      </c>
      <c r="CX62" s="91">
        <f t="shared" si="287"/>
        <v>1.7374349155634288</v>
      </c>
      <c r="CY62" s="286">
        <f t="shared" si="287"/>
        <v>0.59157577011848583</v>
      </c>
      <c r="CZ62" s="91">
        <f t="shared" si="287"/>
        <v>-1.8946378431425948</v>
      </c>
      <c r="DA62" s="91">
        <f t="shared" si="287"/>
        <v>3.9758913511312781</v>
      </c>
      <c r="DB62" s="91">
        <f t="shared" si="287"/>
        <v>5.6620561211820206</v>
      </c>
      <c r="DC62" s="91">
        <f t="shared" si="287"/>
        <v>3.6907092103499086</v>
      </c>
      <c r="DD62" s="286">
        <f t="shared" si="287"/>
        <v>-6.395020234583944</v>
      </c>
      <c r="DE62" s="91">
        <f t="shared" si="287"/>
        <v>-2.9655172413793105</v>
      </c>
      <c r="DF62" s="91">
        <f t="shared" si="287"/>
        <v>0.65540540540540537</v>
      </c>
      <c r="DG62" s="91">
        <f t="shared" si="287"/>
        <v>0.98571428571428577</v>
      </c>
      <c r="DH62" s="91">
        <f t="shared" si="287"/>
        <v>1.1094527363184079</v>
      </c>
      <c r="DI62" s="286">
        <f t="shared" si="287"/>
        <v>1.1298377028714108</v>
      </c>
      <c r="DJ62" s="91">
        <f t="shared" si="287"/>
        <v>1.1207729468599035</v>
      </c>
      <c r="DK62" s="91">
        <f t="shared" si="287"/>
        <v>1.0918032786885246</v>
      </c>
      <c r="DL62" s="91">
        <f t="shared" si="287"/>
        <v>1.0498753117206983</v>
      </c>
      <c r="DM62" s="91">
        <f t="shared" si="287"/>
        <v>0.94846433736002933</v>
      </c>
      <c r="DN62" s="286">
        <f t="shared" si="287"/>
        <v>1.0305637287859555</v>
      </c>
      <c r="DO62" s="91">
        <f t="shared" si="287"/>
        <v>1.9298331903569768</v>
      </c>
      <c r="DP62" s="91">
        <f t="shared" si="287"/>
        <v>0.58617673480384225</v>
      </c>
      <c r="DQ62" s="91">
        <f>DQ57/DQ67</f>
        <v>0.65931147831110404</v>
      </c>
      <c r="DR62" s="91">
        <f t="shared" ref="DR62:EC62" si="288">DR57/DR67</f>
        <v>0.88053222976561518</v>
      </c>
      <c r="DS62" s="286">
        <f t="shared" si="288"/>
        <v>0.90206286586173812</v>
      </c>
      <c r="DT62" s="91">
        <f t="shared" si="288"/>
        <v>1.6899331325870575</v>
      </c>
      <c r="DU62" s="91">
        <f t="shared" si="288"/>
        <v>0.60089130328684015</v>
      </c>
      <c r="DV62" s="91">
        <f t="shared" si="288"/>
        <v>0.66058698337903066</v>
      </c>
      <c r="DW62" s="91">
        <f t="shared" si="288"/>
        <v>0.83513394396889484</v>
      </c>
      <c r="DX62" s="286">
        <f t="shared" si="288"/>
        <v>0.85981422618147518</v>
      </c>
      <c r="DY62" s="91">
        <f t="shared" si="288"/>
        <v>1.5807109456725743</v>
      </c>
      <c r="DZ62" s="91">
        <f t="shared" si="288"/>
        <v>0.5914508921338999</v>
      </c>
      <c r="EA62" s="91">
        <f t="shared" si="288"/>
        <v>0.67033571642803391</v>
      </c>
      <c r="EB62" s="91">
        <f t="shared" si="288"/>
        <v>0.81160788600063971</v>
      </c>
      <c r="EC62" s="286">
        <f t="shared" si="288"/>
        <v>0.83970880467102382</v>
      </c>
      <c r="ED62" s="94"/>
    </row>
    <row r="63" spans="1:134" ht="12" customHeight="1">
      <c r="A63" s="943"/>
      <c r="B63" s="943"/>
      <c r="C63" s="94" t="s">
        <v>148</v>
      </c>
      <c r="D63" s="433"/>
      <c r="E63" s="433"/>
      <c r="F63" s="433"/>
      <c r="G63" s="433"/>
      <c r="H63" s="433"/>
      <c r="I63" s="93"/>
      <c r="J63" s="93"/>
      <c r="K63" s="93"/>
      <c r="L63" s="93"/>
      <c r="M63" s="433"/>
      <c r="N63" s="93"/>
      <c r="O63" s="93"/>
      <c r="P63" s="93"/>
      <c r="Q63" s="93"/>
      <c r="R63" s="433"/>
      <c r="S63" s="93"/>
      <c r="T63" s="93"/>
      <c r="U63" s="93"/>
      <c r="V63" s="93"/>
      <c r="W63" s="433"/>
      <c r="X63" s="93"/>
      <c r="Y63" s="93"/>
      <c r="Z63" s="93"/>
      <c r="AA63" s="93"/>
      <c r="AB63" s="433"/>
      <c r="AC63" s="93"/>
      <c r="AD63" s="93"/>
      <c r="AE63" s="93"/>
      <c r="AF63" s="93"/>
      <c r="AG63" s="433"/>
      <c r="AH63" s="93"/>
      <c r="AI63" s="93"/>
      <c r="AJ63" s="93"/>
      <c r="AK63" s="93"/>
      <c r="AL63" s="433"/>
      <c r="AM63" s="93"/>
      <c r="AN63" s="93"/>
      <c r="AO63" s="93"/>
      <c r="AP63" s="93"/>
      <c r="AQ63" s="433"/>
      <c r="AR63" s="93"/>
      <c r="AS63" s="93"/>
      <c r="AT63" s="93"/>
      <c r="AU63" s="93"/>
      <c r="AV63" s="433"/>
      <c r="AW63" s="93"/>
      <c r="AX63" s="93"/>
      <c r="AY63" s="93"/>
      <c r="AZ63" s="93"/>
      <c r="BA63" s="433"/>
      <c r="BB63" s="93"/>
      <c r="BC63" s="93"/>
      <c r="BD63" s="93"/>
      <c r="BE63" s="93"/>
      <c r="BF63" s="433"/>
      <c r="BG63" s="93"/>
      <c r="BH63" s="93"/>
      <c r="BI63" s="93"/>
      <c r="BJ63" s="93"/>
      <c r="BK63" s="433"/>
      <c r="BL63" s="93"/>
      <c r="BM63" s="93"/>
      <c r="BN63" s="93"/>
      <c r="BO63" s="93"/>
      <c r="BP63" s="369"/>
      <c r="BQ63" s="93"/>
      <c r="BR63" s="93"/>
      <c r="BS63" s="93"/>
      <c r="BT63" s="93"/>
      <c r="BU63" s="369"/>
      <c r="BV63" s="93"/>
      <c r="BW63" s="93"/>
      <c r="BX63" s="93"/>
      <c r="BY63" s="93"/>
      <c r="BZ63" s="369">
        <v>0</v>
      </c>
      <c r="CA63" s="93"/>
      <c r="CB63" s="93"/>
      <c r="CC63" s="93"/>
      <c r="CD63" s="93"/>
      <c r="CE63" s="369">
        <v>0</v>
      </c>
      <c r="CF63" s="93"/>
      <c r="CG63" s="93"/>
      <c r="CH63" s="93"/>
      <c r="CI63" s="93"/>
      <c r="CJ63" s="369">
        <v>0</v>
      </c>
      <c r="CK63" s="93"/>
      <c r="CL63" s="93"/>
      <c r="CM63" s="93"/>
      <c r="CN63" s="93"/>
      <c r="CO63" s="369">
        <f>33.592-1.38</f>
        <v>32.211999999999996</v>
      </c>
      <c r="CP63" s="93"/>
      <c r="CQ63" s="93"/>
      <c r="CR63" s="93"/>
      <c r="CS63" s="93"/>
      <c r="CT63" s="369"/>
      <c r="CU63" s="93"/>
      <c r="CV63" s="93"/>
      <c r="CW63" s="93"/>
      <c r="CX63" s="93"/>
      <c r="CY63" s="369"/>
      <c r="CZ63" s="93"/>
      <c r="DA63" s="93"/>
      <c r="DB63" s="93"/>
      <c r="DC63" s="93"/>
      <c r="DD63" s="369"/>
      <c r="DE63" s="93"/>
      <c r="DF63" s="93"/>
      <c r="DG63" s="93"/>
      <c r="DH63" s="93"/>
      <c r="DI63" s="369"/>
      <c r="DJ63" s="93"/>
      <c r="DK63" s="93"/>
      <c r="DL63" s="93"/>
      <c r="DM63" s="93"/>
      <c r="DN63" s="369"/>
      <c r="DO63" s="93"/>
      <c r="DP63" s="93"/>
      <c r="DQ63" s="93"/>
      <c r="DR63" s="93"/>
      <c r="DS63" s="369"/>
      <c r="DT63" s="93"/>
      <c r="DU63" s="93"/>
      <c r="DV63" s="93"/>
      <c r="DW63" s="93"/>
      <c r="DX63" s="369"/>
      <c r="DY63" s="93"/>
      <c r="DZ63" s="93"/>
      <c r="EA63" s="93"/>
      <c r="EB63" s="93"/>
      <c r="EC63" s="369"/>
      <c r="ED63" s="94"/>
    </row>
    <row r="64" spans="1:134" ht="12" customHeight="1">
      <c r="A64" s="943"/>
      <c r="B64" s="943"/>
      <c r="C64" s="94" t="s">
        <v>192</v>
      </c>
      <c r="D64" s="443"/>
      <c r="E64" s="443"/>
      <c r="F64" s="443"/>
      <c r="G64" s="443"/>
      <c r="H64" s="443"/>
      <c r="I64" s="93"/>
      <c r="J64" s="93"/>
      <c r="K64" s="93"/>
      <c r="L64" s="93"/>
      <c r="M64" s="443"/>
      <c r="N64" s="93"/>
      <c r="O64" s="93"/>
      <c r="P64" s="93"/>
      <c r="Q64" s="93"/>
      <c r="R64" s="443"/>
      <c r="S64" s="93"/>
      <c r="T64" s="93"/>
      <c r="U64" s="93"/>
      <c r="V64" s="93"/>
      <c r="W64" s="443"/>
      <c r="X64" s="93"/>
      <c r="Y64" s="93"/>
      <c r="Z64" s="93"/>
      <c r="AA64" s="93"/>
      <c r="AB64" s="443"/>
      <c r="AC64" s="93"/>
      <c r="AD64" s="93"/>
      <c r="AE64" s="93"/>
      <c r="AF64" s="93"/>
      <c r="AG64" s="443"/>
      <c r="AH64" s="93"/>
      <c r="AI64" s="93"/>
      <c r="AJ64" s="93"/>
      <c r="AK64" s="93"/>
      <c r="AL64" s="443"/>
      <c r="AM64" s="93"/>
      <c r="AN64" s="93"/>
      <c r="AO64" s="93"/>
      <c r="AP64" s="93"/>
      <c r="AQ64" s="443"/>
      <c r="AR64" s="93"/>
      <c r="AS64" s="93"/>
      <c r="AT64" s="93"/>
      <c r="AU64" s="93"/>
      <c r="AV64" s="443"/>
      <c r="AW64" s="93"/>
      <c r="AX64" s="93"/>
      <c r="AY64" s="93"/>
      <c r="AZ64" s="93"/>
      <c r="BA64" s="443"/>
      <c r="BB64" s="93"/>
      <c r="BC64" s="93"/>
      <c r="BD64" s="93"/>
      <c r="BE64" s="93"/>
      <c r="BF64" s="443"/>
      <c r="BG64" s="93"/>
      <c r="BH64" s="93"/>
      <c r="BI64" s="93"/>
      <c r="BJ64" s="93"/>
      <c r="BK64" s="443"/>
      <c r="BL64" s="93"/>
      <c r="BM64" s="93"/>
      <c r="BN64" s="93"/>
      <c r="BO64" s="93"/>
      <c r="BP64" s="561"/>
      <c r="BQ64" s="93"/>
      <c r="BR64" s="93"/>
      <c r="BS64" s="93"/>
      <c r="BT64" s="93"/>
      <c r="BU64" s="561"/>
      <c r="BV64" s="93"/>
      <c r="BW64" s="93"/>
      <c r="BX64" s="93"/>
      <c r="BY64" s="93"/>
      <c r="BZ64" s="561"/>
      <c r="CA64" s="93"/>
      <c r="CB64" s="93"/>
      <c r="CC64" s="93"/>
      <c r="CD64" s="93"/>
      <c r="CE64" s="561"/>
      <c r="CF64" s="93"/>
      <c r="CG64" s="93"/>
      <c r="CH64" s="93"/>
      <c r="CI64" s="93"/>
      <c r="CJ64" s="561"/>
      <c r="CK64" s="93"/>
      <c r="CL64" s="93"/>
      <c r="CM64" s="93"/>
      <c r="CN64" s="93"/>
      <c r="CO64" s="561"/>
      <c r="CP64" s="93"/>
      <c r="CQ64" s="93"/>
      <c r="CR64" s="93"/>
      <c r="CS64" s="93"/>
      <c r="CT64" s="561"/>
      <c r="CU64" s="93"/>
      <c r="CV64" s="93"/>
      <c r="CW64" s="93"/>
      <c r="CX64" s="93"/>
      <c r="CY64" s="561"/>
      <c r="CZ64" s="93"/>
      <c r="DA64" s="93"/>
      <c r="DB64" s="93"/>
      <c r="DC64" s="93"/>
      <c r="DD64" s="561"/>
      <c r="DE64" s="93"/>
      <c r="DF64" s="93"/>
      <c r="DG64" s="93"/>
      <c r="DH64" s="93"/>
      <c r="DI64" s="561"/>
      <c r="DJ64" s="93"/>
      <c r="DK64" s="93"/>
      <c r="DL64" s="93"/>
      <c r="DM64" s="93"/>
      <c r="DN64" s="561"/>
      <c r="DO64" s="93"/>
      <c r="DP64" s="93"/>
      <c r="DQ64" s="93"/>
      <c r="DR64" s="93"/>
      <c r="DS64" s="561"/>
      <c r="DT64" s="93"/>
      <c r="DU64" s="93"/>
      <c r="DV64" s="93"/>
      <c r="DW64" s="93"/>
      <c r="DX64" s="561"/>
      <c r="DY64" s="93"/>
      <c r="DZ64" s="93"/>
      <c r="EA64" s="93"/>
      <c r="EB64" s="93"/>
      <c r="EC64" s="561"/>
      <c r="ED64" s="94"/>
    </row>
    <row r="65" spans="1:134" ht="3.75" customHeight="1">
      <c r="A65" s="943"/>
      <c r="B65" s="943"/>
      <c r="C65" s="94"/>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179"/>
      <c r="BQ65" s="93"/>
      <c r="BR65" s="93"/>
      <c r="BS65" s="93"/>
      <c r="BT65" s="93"/>
      <c r="BU65" s="179"/>
      <c r="BV65" s="93"/>
      <c r="BW65" s="93"/>
      <c r="BX65" s="93"/>
      <c r="BY65" s="93"/>
      <c r="BZ65" s="93"/>
      <c r="CA65" s="93"/>
      <c r="CB65" s="93"/>
      <c r="CC65" s="93"/>
      <c r="CD65" s="93"/>
      <c r="CE65" s="93"/>
      <c r="CF65" s="93"/>
      <c r="CG65" s="93"/>
      <c r="CH65" s="93"/>
      <c r="CI65" s="93"/>
      <c r="CJ65" s="93"/>
      <c r="CK65" s="93"/>
      <c r="CL65" s="93"/>
      <c r="CM65" s="93"/>
      <c r="CN65" s="93"/>
      <c r="CO65" s="532"/>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4"/>
    </row>
    <row r="66" spans="1:134" ht="12" customHeight="1">
      <c r="A66" s="943"/>
      <c r="B66" s="943"/>
      <c r="C66" s="94" t="s">
        <v>3</v>
      </c>
      <c r="D66" s="919">
        <f>+Income!D11</f>
        <v>0</v>
      </c>
      <c r="E66" s="919">
        <f>+Income!E11</f>
        <v>0</v>
      </c>
      <c r="F66" s="919">
        <f>+Income!F11</f>
        <v>0</v>
      </c>
      <c r="G66" s="919">
        <f>+Income!G11</f>
        <v>0</v>
      </c>
      <c r="H66" s="919">
        <f>+Income!H11</f>
        <v>0</v>
      </c>
      <c r="I66" s="919">
        <f>+Income!I11</f>
        <v>0</v>
      </c>
      <c r="J66" s="919">
        <f>+Income!J11</f>
        <v>0</v>
      </c>
      <c r="K66" s="919">
        <f>+Income!K11</f>
        <v>0</v>
      </c>
      <c r="L66" s="919">
        <f>+Income!L11</f>
        <v>0</v>
      </c>
      <c r="M66" s="919">
        <f>+Income!M11</f>
        <v>0</v>
      </c>
      <c r="N66" s="919">
        <f>+Income!N11</f>
        <v>0</v>
      </c>
      <c r="O66" s="919">
        <f>+Income!O11</f>
        <v>0</v>
      </c>
      <c r="P66" s="919">
        <f>+Income!P11</f>
        <v>0</v>
      </c>
      <c r="Q66" s="919">
        <f>+Income!Q11</f>
        <v>0</v>
      </c>
      <c r="R66" s="919">
        <f>+Income!R11</f>
        <v>0</v>
      </c>
      <c r="S66" s="919">
        <f>+Income!S11</f>
        <v>0</v>
      </c>
      <c r="T66" s="919">
        <f>+Income!T11</f>
        <v>0</v>
      </c>
      <c r="U66" s="919">
        <f>+Income!U11</f>
        <v>0</v>
      </c>
      <c r="V66" s="919">
        <f>+Income!V11</f>
        <v>0</v>
      </c>
      <c r="W66" s="919">
        <f>+Income!W11</f>
        <v>0</v>
      </c>
      <c r="X66" s="919">
        <f>+Income!X11</f>
        <v>0</v>
      </c>
      <c r="Y66" s="919">
        <f>+Income!Y11</f>
        <v>0</v>
      </c>
      <c r="Z66" s="919">
        <f>+Income!Z11</f>
        <v>0</v>
      </c>
      <c r="AA66" s="919">
        <f>+Income!AA11</f>
        <v>0</v>
      </c>
      <c r="AB66" s="919">
        <f>+Income!AB11</f>
        <v>0</v>
      </c>
      <c r="AC66" s="919">
        <f>+Income!AC11</f>
        <v>0</v>
      </c>
      <c r="AD66" s="919">
        <f>+Income!AD11</f>
        <v>0</v>
      </c>
      <c r="AE66" s="919">
        <f>+Income!AE11</f>
        <v>0</v>
      </c>
      <c r="AF66" s="919">
        <f>+Income!AF11</f>
        <v>0</v>
      </c>
      <c r="AG66" s="919">
        <f>+Income!AG11</f>
        <v>0</v>
      </c>
      <c r="AH66" s="919">
        <f>+Income!AH11</f>
        <v>0</v>
      </c>
      <c r="AI66" s="919">
        <f>+Income!AI11</f>
        <v>0</v>
      </c>
      <c r="AJ66" s="919">
        <f>+Income!AJ11</f>
        <v>0</v>
      </c>
      <c r="AK66" s="919">
        <f>+Income!AK11</f>
        <v>0</v>
      </c>
      <c r="AL66" s="919">
        <f>+Income!AL11</f>
        <v>0</v>
      </c>
      <c r="AM66" s="919">
        <f>+Income!AM11</f>
        <v>0</v>
      </c>
      <c r="AN66" s="919">
        <f>+Income!AN11</f>
        <v>0</v>
      </c>
      <c r="AO66" s="919">
        <f>+Income!AO11</f>
        <v>0</v>
      </c>
      <c r="AP66" s="919">
        <f>+Income!AP11</f>
        <v>0</v>
      </c>
      <c r="AQ66" s="919">
        <f>+Income!AQ11</f>
        <v>0</v>
      </c>
      <c r="AR66" s="919">
        <f>+Income!AR11</f>
        <v>0</v>
      </c>
      <c r="AS66" s="919">
        <f>+Income!AS11</f>
        <v>0</v>
      </c>
      <c r="AT66" s="919">
        <f>+Income!AT11</f>
        <v>0</v>
      </c>
      <c r="AU66" s="919">
        <f>+Income!AU11</f>
        <v>0</v>
      </c>
      <c r="AV66" s="919">
        <f>+Income!AV11</f>
        <v>0</v>
      </c>
      <c r="AW66" s="919">
        <f>+Income!AW11</f>
        <v>0</v>
      </c>
      <c r="AX66" s="919">
        <f>+Income!AX11</f>
        <v>0</v>
      </c>
      <c r="AY66" s="919">
        <f>+Income!AY11</f>
        <v>0</v>
      </c>
      <c r="AZ66" s="919">
        <f>+Income!AZ11</f>
        <v>0</v>
      </c>
      <c r="BA66" s="919">
        <f>+Income!BA11</f>
        <v>0</v>
      </c>
      <c r="BB66" s="919">
        <f>+Income!BB11</f>
        <v>0</v>
      </c>
      <c r="BC66" s="919">
        <f>+Income!BC11</f>
        <v>0</v>
      </c>
      <c r="BD66" s="919">
        <f>+Income!BD11</f>
        <v>0</v>
      </c>
      <c r="BE66" s="919">
        <f>+Income!BE11</f>
        <v>0</v>
      </c>
      <c r="BF66" s="919">
        <f>+Income!BF11</f>
        <v>0</v>
      </c>
      <c r="BG66" s="919">
        <f>+Income!BG11</f>
        <v>0</v>
      </c>
      <c r="BH66" s="919">
        <f>+Income!BH11</f>
        <v>0</v>
      </c>
      <c r="BI66" s="919">
        <f>+Income!BI11</f>
        <v>0</v>
      </c>
      <c r="BJ66" s="919">
        <f>+Income!BJ11</f>
        <v>0</v>
      </c>
      <c r="BK66" s="919">
        <f>+Income!BK11</f>
        <v>0</v>
      </c>
      <c r="BL66" s="919">
        <f>+Income!BL11</f>
        <v>0</v>
      </c>
      <c r="BM66" s="919">
        <f>+Income!BM11</f>
        <v>0</v>
      </c>
      <c r="BN66" s="919">
        <f>+Income!BN11</f>
        <v>0</v>
      </c>
      <c r="BO66" s="919">
        <f>+Income!BO11</f>
        <v>0</v>
      </c>
      <c r="BP66" s="919">
        <f>+Income!BP11</f>
        <v>0</v>
      </c>
      <c r="BQ66" s="919">
        <f>+Income!BQ11</f>
        <v>37.347999999999999</v>
      </c>
      <c r="BR66" s="919">
        <f>+Income!BR11</f>
        <v>44.926000000000002</v>
      </c>
      <c r="BS66" s="919">
        <f>+Income!BS11</f>
        <v>52.786000000000001</v>
      </c>
      <c r="BT66" s="919">
        <f>+Income!BT11</f>
        <v>70.173000000000002</v>
      </c>
      <c r="BU66" s="919">
        <f>+Income!BU11</f>
        <v>205.233</v>
      </c>
      <c r="BV66" s="919">
        <f>+Income!BV11</f>
        <v>72.722000000000008</v>
      </c>
      <c r="BW66" s="919">
        <f>+Income!BW11</f>
        <v>86.646999999999991</v>
      </c>
      <c r="BX66" s="919">
        <f>+Income!BX11</f>
        <v>99.578000000000003</v>
      </c>
      <c r="BY66" s="919">
        <f>+Income!BY11</f>
        <v>130.38299999999998</v>
      </c>
      <c r="BZ66" s="919">
        <f>+Income!BZ11</f>
        <v>389.33</v>
      </c>
      <c r="CA66" s="919">
        <f>+Income!CA11</f>
        <v>127.379</v>
      </c>
      <c r="CB66" s="919">
        <f>+Income!CB11</f>
        <v>151.655</v>
      </c>
      <c r="CC66" s="919">
        <f>+Income!CC11</f>
        <v>171.45600000000002</v>
      </c>
      <c r="CD66" s="919">
        <f>+Income!CD11</f>
        <v>222.81399999999999</v>
      </c>
      <c r="CE66" s="919">
        <f>+Income!CE11</f>
        <v>673.30399999999997</v>
      </c>
      <c r="CF66" s="919">
        <f>+Income!CF11</f>
        <v>214.33999999999997</v>
      </c>
      <c r="CG66" s="919">
        <f>+Income!CG11</f>
        <v>244.96299999999999</v>
      </c>
      <c r="CH66" s="919">
        <f>+Income!CH11</f>
        <v>270.06399999999996</v>
      </c>
      <c r="CI66" s="919">
        <f>+Income!CI11</f>
        <v>343.86199999999997</v>
      </c>
      <c r="CJ66" s="919">
        <f>+Income!CJ11</f>
        <v>1073.2289999999998</v>
      </c>
      <c r="CK66" s="919">
        <f>+Income!CK11</f>
        <v>320.48199999999997</v>
      </c>
      <c r="CL66" s="919">
        <f>+Income!CL11</f>
        <v>361.97899999999998</v>
      </c>
      <c r="CM66" s="919">
        <f>+Income!CM11</f>
        <v>390.55200000000002</v>
      </c>
      <c r="CN66" s="919">
        <f>+Income!CN11</f>
        <v>505.16</v>
      </c>
      <c r="CO66" s="919">
        <f>+Income!CO11</f>
        <v>1578.173</v>
      </c>
      <c r="CP66" s="919">
        <f>+Income!CP11</f>
        <v>470.00099999999998</v>
      </c>
      <c r="CQ66" s="919">
        <f>+Income!CQ11</f>
        <v>714.34100000000001</v>
      </c>
      <c r="CR66" s="919">
        <f>+Income!CR11</f>
        <v>767.40499999999997</v>
      </c>
      <c r="CS66" s="919">
        <f>+Income!CS11</f>
        <v>977.74399999999991</v>
      </c>
      <c r="CT66" s="919">
        <f>+Income!CT11</f>
        <v>2929.491</v>
      </c>
      <c r="CU66" s="919">
        <f>+Income!CU11</f>
        <v>988.64699999999993</v>
      </c>
      <c r="CV66" s="919">
        <f>+Income!CV11</f>
        <v>1119.4449999999999</v>
      </c>
      <c r="CW66" s="919">
        <f>+Income!CW11</f>
        <v>1123.74</v>
      </c>
      <c r="CX66" s="919">
        <f>+Income!CX11</f>
        <v>1380.0240000000001</v>
      </c>
      <c r="CY66" s="919">
        <f>+Income!CY11</f>
        <v>4611.8559999999998</v>
      </c>
      <c r="CZ66" s="919">
        <f>+Income!CZ11</f>
        <v>1203.623</v>
      </c>
      <c r="DA66" s="919">
        <f>+Income!DA11</f>
        <v>1295.0630000000001</v>
      </c>
      <c r="DB66" s="919">
        <f>+Income!DB11</f>
        <v>1366.2</v>
      </c>
      <c r="DC66" s="919">
        <f>+Income!DC11</f>
        <v>1734.9780000000001</v>
      </c>
      <c r="DD66" s="919">
        <f>+Income!DD11</f>
        <v>5599.8640000000005</v>
      </c>
      <c r="DE66" s="919">
        <f>+Income!DE11</f>
        <v>1508</v>
      </c>
      <c r="DF66" s="919">
        <f>+Income!DF11</f>
        <v>1694</v>
      </c>
      <c r="DG66" s="919">
        <f>+Income!DG11</f>
        <v>1714</v>
      </c>
      <c r="DH66" s="919">
        <f>+Income!DH11</f>
        <v>2144</v>
      </c>
      <c r="DI66" s="919">
        <f>+Income!DI11</f>
        <v>7060</v>
      </c>
      <c r="DJ66" s="919">
        <f>+Income!DJ11</f>
        <v>1861</v>
      </c>
      <c r="DK66" s="919">
        <f>+Income!DK11</f>
        <v>2045</v>
      </c>
      <c r="DL66" s="919">
        <f>+Income!DL11</f>
        <v>2162</v>
      </c>
      <c r="DM66" s="919">
        <f>+Income!DM11</f>
        <v>2703.5891937011711</v>
      </c>
      <c r="DN66" s="919">
        <f>+Income!DN11</f>
        <v>8771.5891937011711</v>
      </c>
      <c r="DO66" s="919">
        <f>+Income!DO11</f>
        <v>2338.8834242070311</v>
      </c>
      <c r="DP66" s="919">
        <f>+Income!DP11</f>
        <v>2508.0283815145549</v>
      </c>
      <c r="DQ66" s="919">
        <f>+Income!DQ11</f>
        <v>2631.9056487290545</v>
      </c>
      <c r="DR66" s="919">
        <f>+Income!DR11</f>
        <v>3317.9390336843499</v>
      </c>
      <c r="DS66" s="919">
        <f>+Income!DS11</f>
        <v>10796.75648813499</v>
      </c>
      <c r="DT66" s="919">
        <f>+Income!DT11</f>
        <v>2799.2052568575727</v>
      </c>
      <c r="DU66" s="919">
        <f>+Income!DU11</f>
        <v>3001.1461139124062</v>
      </c>
      <c r="DV66" s="919">
        <f>+Income!DV11</f>
        <v>3147.5647910031289</v>
      </c>
      <c r="DW66" s="919">
        <f>+Income!DW11</f>
        <v>3975.5145410092937</v>
      </c>
      <c r="DX66" s="919">
        <f>+Income!DX11</f>
        <v>12923.430702782402</v>
      </c>
      <c r="DY66" s="919">
        <f>+Income!DY11</f>
        <v>3300.3679789037724</v>
      </c>
      <c r="DZ66" s="919">
        <f>+Income!DZ11</f>
        <v>3537.9380225337027</v>
      </c>
      <c r="EA66" s="919">
        <f>+Income!EA11</f>
        <v>3708.9052382572477</v>
      </c>
      <c r="EB66" s="919">
        <f>+Income!EB11</f>
        <v>4691.55714204166</v>
      </c>
      <c r="EC66" s="919">
        <f>+Income!EC11</f>
        <v>15238.768381736383</v>
      </c>
      <c r="ED66" s="94"/>
    </row>
    <row r="67" spans="1:134" ht="12" customHeight="1">
      <c r="A67" s="943"/>
      <c r="B67" s="943"/>
      <c r="C67" s="94" t="str">
        <f>Income!C110</f>
        <v>Adjusted EBITDA</v>
      </c>
      <c r="D67" s="919">
        <f>Income!D110</f>
        <v>0</v>
      </c>
      <c r="E67" s="919">
        <f>Income!E110</f>
        <v>0</v>
      </c>
      <c r="F67" s="919">
        <f>Income!F110</f>
        <v>0</v>
      </c>
      <c r="G67" s="919">
        <f>Income!G110</f>
        <v>0</v>
      </c>
      <c r="H67" s="919">
        <f>Income!H110</f>
        <v>0</v>
      </c>
      <c r="I67" s="919">
        <f>Income!I110</f>
        <v>0</v>
      </c>
      <c r="J67" s="919">
        <f>Income!J110</f>
        <v>0</v>
      </c>
      <c r="K67" s="919">
        <f>Income!K110</f>
        <v>0</v>
      </c>
      <c r="L67" s="919">
        <f>Income!L110</f>
        <v>0</v>
      </c>
      <c r="M67" s="919">
        <f>Income!M110</f>
        <v>0</v>
      </c>
      <c r="N67" s="919">
        <f>Income!N110</f>
        <v>0</v>
      </c>
      <c r="O67" s="919">
        <f>Income!O110</f>
        <v>0</v>
      </c>
      <c r="P67" s="919">
        <f>Income!P110</f>
        <v>0</v>
      </c>
      <c r="Q67" s="919">
        <f>Income!Q110</f>
        <v>0</v>
      </c>
      <c r="R67" s="919">
        <f>Income!R110</f>
        <v>0</v>
      </c>
      <c r="S67" s="919">
        <f>Income!S110</f>
        <v>0</v>
      </c>
      <c r="T67" s="919">
        <f>Income!T110</f>
        <v>0</v>
      </c>
      <c r="U67" s="919">
        <f>Income!U110</f>
        <v>0</v>
      </c>
      <c r="V67" s="919">
        <f>Income!V110</f>
        <v>0</v>
      </c>
      <c r="W67" s="919">
        <f>Income!W110</f>
        <v>0</v>
      </c>
      <c r="X67" s="919">
        <f>Income!X110</f>
        <v>0</v>
      </c>
      <c r="Y67" s="919">
        <f>Income!Y110</f>
        <v>0</v>
      </c>
      <c r="Z67" s="919">
        <f>Income!Z110</f>
        <v>0</v>
      </c>
      <c r="AA67" s="919">
        <f>Income!AA110</f>
        <v>0</v>
      </c>
      <c r="AB67" s="919">
        <f>Income!AB110</f>
        <v>0</v>
      </c>
      <c r="AC67" s="919">
        <f>Income!AC110</f>
        <v>0</v>
      </c>
      <c r="AD67" s="919">
        <f>Income!AD110</f>
        <v>0</v>
      </c>
      <c r="AE67" s="919">
        <f>Income!AE110</f>
        <v>0</v>
      </c>
      <c r="AF67" s="919">
        <f>Income!AF110</f>
        <v>0</v>
      </c>
      <c r="AG67" s="919">
        <f>Income!AG110</f>
        <v>0</v>
      </c>
      <c r="AH67" s="919">
        <f>Income!AH110</f>
        <v>0</v>
      </c>
      <c r="AI67" s="919">
        <f>Income!AI110</f>
        <v>0</v>
      </c>
      <c r="AJ67" s="919">
        <f>Income!AJ110</f>
        <v>0</v>
      </c>
      <c r="AK67" s="919">
        <f>Income!AK110</f>
        <v>0</v>
      </c>
      <c r="AL67" s="919">
        <f>Income!AL110</f>
        <v>0</v>
      </c>
      <c r="AM67" s="919">
        <f>Income!AM110</f>
        <v>0</v>
      </c>
      <c r="AN67" s="919">
        <f>Income!AN110</f>
        <v>0</v>
      </c>
      <c r="AO67" s="919">
        <f>Income!AO110</f>
        <v>0</v>
      </c>
      <c r="AP67" s="919">
        <f>Income!AP110</f>
        <v>0</v>
      </c>
      <c r="AQ67" s="919">
        <f>Income!AQ110</f>
        <v>0</v>
      </c>
      <c r="AR67" s="919">
        <f>Income!AR110</f>
        <v>0</v>
      </c>
      <c r="AS67" s="919">
        <f>Income!AS110</f>
        <v>0</v>
      </c>
      <c r="AT67" s="919">
        <f>Income!AT110</f>
        <v>0</v>
      </c>
      <c r="AU67" s="919">
        <f>Income!AU110</f>
        <v>0</v>
      </c>
      <c r="AV67" s="919">
        <f>Income!AV110</f>
        <v>0</v>
      </c>
      <c r="AW67" s="919">
        <f>Income!AW110</f>
        <v>0</v>
      </c>
      <c r="AX67" s="919">
        <f>Income!AX110</f>
        <v>0</v>
      </c>
      <c r="AY67" s="919">
        <f>Income!AY110</f>
        <v>0</v>
      </c>
      <c r="AZ67" s="919">
        <f>Income!AZ110</f>
        <v>0</v>
      </c>
      <c r="BA67" s="919">
        <f>Income!BA110</f>
        <v>0</v>
      </c>
      <c r="BB67" s="919">
        <f>Income!BB110</f>
        <v>0</v>
      </c>
      <c r="BC67" s="919">
        <f>Income!BC110</f>
        <v>0</v>
      </c>
      <c r="BD67" s="919">
        <f>Income!BD110</f>
        <v>0</v>
      </c>
      <c r="BE67" s="919">
        <f>Income!BE110</f>
        <v>0</v>
      </c>
      <c r="BF67" s="919">
        <f>Income!BF110</f>
        <v>0</v>
      </c>
      <c r="BG67" s="919">
        <f>Income!BG110</f>
        <v>0</v>
      </c>
      <c r="BH67" s="919">
        <f>Income!BH110</f>
        <v>0</v>
      </c>
      <c r="BI67" s="919">
        <f>Income!BI110</f>
        <v>0</v>
      </c>
      <c r="BJ67" s="919">
        <f>Income!BJ110</f>
        <v>0</v>
      </c>
      <c r="BK67" s="919">
        <f>Income!BK110</f>
        <v>0</v>
      </c>
      <c r="BL67" s="919">
        <f>Income!BL110</f>
        <v>0</v>
      </c>
      <c r="BM67" s="919">
        <f>Income!BM110</f>
        <v>0</v>
      </c>
      <c r="BN67" s="919">
        <f>Income!BN110</f>
        <v>0</v>
      </c>
      <c r="BO67" s="919">
        <f>Income!BO110</f>
        <v>0</v>
      </c>
      <c r="BP67" s="919">
        <f>Income!BP110</f>
        <v>0</v>
      </c>
      <c r="BQ67" s="919">
        <f>Income!BQ110</f>
        <v>0</v>
      </c>
      <c r="BR67" s="919">
        <f>Income!BR110</f>
        <v>-0.23499999999999832</v>
      </c>
      <c r="BS67" s="919">
        <f>Income!BS110</f>
        <v>-0.12299999999999711</v>
      </c>
      <c r="BT67" s="919">
        <f>Income!BT110</f>
        <v>0.89200000000000168</v>
      </c>
      <c r="BU67" s="919">
        <f>Income!BU110</f>
        <v>0.53400000000000625</v>
      </c>
      <c r="BV67" s="919">
        <f>Income!BV110</f>
        <v>-2.8619999999999894</v>
      </c>
      <c r="BW67" s="919">
        <f>Income!BW110</f>
        <v>-0.43500000000000594</v>
      </c>
      <c r="BX67" s="919">
        <f>Income!BX110</f>
        <v>1.4869999999999954</v>
      </c>
      <c r="BY67" s="919">
        <f>Income!BY110</f>
        <v>3.6329999999999814</v>
      </c>
      <c r="BZ67" s="919">
        <f>Income!BZ110</f>
        <v>1.8229999999999815</v>
      </c>
      <c r="CA67" s="919">
        <f>Income!CA110</f>
        <v>0.22000000000001529</v>
      </c>
      <c r="CB67" s="919">
        <f>Income!CB110</f>
        <v>2.415000000000004</v>
      </c>
      <c r="CC67" s="919">
        <f>Income!CC110</f>
        <v>7.4500000000000144</v>
      </c>
      <c r="CD67" s="919">
        <f>Income!CD110</f>
        <v>19.34199999999997</v>
      </c>
      <c r="CE67" s="919">
        <f>Income!CE110</f>
        <v>29.427000000000003</v>
      </c>
      <c r="CF67" s="919">
        <f>Income!CF110</f>
        <v>7.3639999999999741</v>
      </c>
      <c r="CG67" s="919">
        <f>Income!CG110</f>
        <v>3.1579999999999768</v>
      </c>
      <c r="CH67" s="919">
        <f>Income!CH110</f>
        <v>3.7969999999999802</v>
      </c>
      <c r="CI67" s="919">
        <f>Income!CI110</f>
        <v>27.262999999999941</v>
      </c>
      <c r="CJ67" s="919">
        <f>Income!CJ110</f>
        <v>41.581999999999873</v>
      </c>
      <c r="CK67" s="919">
        <f>Income!CK110</f>
        <v>7.1379999999999502</v>
      </c>
      <c r="CL67" s="919">
        <f>Income!CL110</f>
        <v>13.771999999999997</v>
      </c>
      <c r="CM67" s="919">
        <f>Income!CM110</f>
        <v>19.291000000000043</v>
      </c>
      <c r="CN67" s="919">
        <f>Income!CN110</f>
        <v>41.205000000000048</v>
      </c>
      <c r="CO67" s="919">
        <f>Income!CO110</f>
        <v>81.406000000000034</v>
      </c>
      <c r="CP67" s="919">
        <f>Income!CP110</f>
        <v>7.0939999999999985</v>
      </c>
      <c r="CQ67" s="919">
        <f>Income!CQ110</f>
        <v>133.60700000000003</v>
      </c>
      <c r="CR67" s="919">
        <f>Income!CR110</f>
        <v>148.81000000000003</v>
      </c>
      <c r="CS67" s="919">
        <f>Income!CS110</f>
        <v>217.89999999999992</v>
      </c>
      <c r="CT67" s="919">
        <f>Income!CT110</f>
        <v>507.411</v>
      </c>
      <c r="CU67" s="919">
        <f>Income!CU110</f>
        <v>226.64199999999991</v>
      </c>
      <c r="CV67" s="919">
        <f>Income!CV110</f>
        <v>251.46599999999992</v>
      </c>
      <c r="CW67" s="919">
        <f>Income!CW110</f>
        <v>153.76600000000002</v>
      </c>
      <c r="CX67" s="919">
        <f>Income!CX110</f>
        <v>134.95930000000024</v>
      </c>
      <c r="CY67" s="919">
        <f>Income!CY110</f>
        <v>766.83330000000001</v>
      </c>
      <c r="CZ67" s="919">
        <f>Income!CZ110</f>
        <v>36.683000000000106</v>
      </c>
      <c r="DA67" s="919">
        <f>Income!DA110</f>
        <v>-34.385999999999967</v>
      </c>
      <c r="DB67" s="919">
        <f>Income!DB110</f>
        <v>-40.27000000000001</v>
      </c>
      <c r="DC67" s="919">
        <f>Income!DC110</f>
        <v>67.131000000000085</v>
      </c>
      <c r="DD67" s="919">
        <f>Income!DD110</f>
        <v>29.158000000000214</v>
      </c>
      <c r="DE67" s="919">
        <f>Income!DE110</f>
        <v>-29</v>
      </c>
      <c r="DF67" s="919">
        <f>Income!DF110</f>
        <v>148</v>
      </c>
      <c r="DG67" s="919">
        <f>Income!DG110</f>
        <v>280</v>
      </c>
      <c r="DH67" s="919">
        <f>Income!DH110</f>
        <v>402</v>
      </c>
      <c r="DI67" s="919">
        <f>Income!DI110</f>
        <v>801</v>
      </c>
      <c r="DJ67" s="919">
        <f>Income!DJ110</f>
        <v>207</v>
      </c>
      <c r="DK67" s="919">
        <f>Income!DK110</f>
        <v>305</v>
      </c>
      <c r="DL67" s="919">
        <f>Income!DL110</f>
        <v>401</v>
      </c>
      <c r="DM67" s="919">
        <f>Income!DM110</f>
        <v>549.27709980785721</v>
      </c>
      <c r="DN67" s="919">
        <f>Income!DN110</f>
        <v>1462.2770998078572</v>
      </c>
      <c r="DO67" s="919">
        <f>Income!DO110</f>
        <v>282.68689269859328</v>
      </c>
      <c r="DP67" s="919">
        <f>Income!DP110</f>
        <v>457.3332967886696</v>
      </c>
      <c r="DQ67" s="919">
        <f>Income!DQ110</f>
        <v>536.22031611460159</v>
      </c>
      <c r="DR67" s="919">
        <f>Income!DR110</f>
        <v>738.65574022977648</v>
      </c>
      <c r="DS67" s="919">
        <f>Income!DS110</f>
        <v>2014.896245831641</v>
      </c>
      <c r="DT67" s="919">
        <f>Income!DT110</f>
        <v>373.08077332406918</v>
      </c>
      <c r="DU67" s="919">
        <f>Income!DU110</f>
        <v>583.80980626420114</v>
      </c>
      <c r="DV67" s="919">
        <f>Income!DV110</f>
        <v>679.96298036631788</v>
      </c>
      <c r="DW67" s="919">
        <f>Income!DW110</f>
        <v>934.85609748712091</v>
      </c>
      <c r="DX67" s="919">
        <f>Income!DX110</f>
        <v>2571.7096574417092</v>
      </c>
      <c r="DY67" s="919">
        <f>Income!DY110</f>
        <v>486.47692623950076</v>
      </c>
      <c r="DZ67" s="919">
        <f>Income!DZ110</f>
        <v>737.51874063819628</v>
      </c>
      <c r="EA67" s="919">
        <f>Income!EA110</f>
        <v>853.20736651707318</v>
      </c>
      <c r="EB67" s="919">
        <f>Income!EB110</f>
        <v>1169.8982047678903</v>
      </c>
      <c r="EC67" s="919">
        <f>Income!EC110</f>
        <v>3247.1012381626606</v>
      </c>
      <c r="ED67" s="94"/>
    </row>
    <row r="68" spans="1:134" ht="12" customHeight="1">
      <c r="D68" s="446"/>
      <c r="E68" s="446"/>
      <c r="F68" s="446"/>
      <c r="G68" s="446"/>
      <c r="H68" s="446"/>
      <c r="I68" s="446"/>
      <c r="J68" s="446"/>
      <c r="K68" s="446"/>
      <c r="L68" s="446"/>
      <c r="M68" s="446"/>
      <c r="N68" s="446"/>
      <c r="O68" s="446"/>
      <c r="P68" s="446"/>
      <c r="Q68" s="446"/>
      <c r="R68" s="446"/>
      <c r="S68" s="446"/>
      <c r="T68" s="446"/>
      <c r="U68" s="446"/>
      <c r="V68" s="446"/>
      <c r="W68" s="446"/>
      <c r="X68" s="446"/>
      <c r="Y68" s="446"/>
      <c r="Z68" s="446"/>
      <c r="AA68" s="446"/>
      <c r="AB68" s="446"/>
      <c r="AC68" s="446"/>
      <c r="AD68" s="446"/>
      <c r="AE68" s="446"/>
      <c r="AF68" s="446"/>
      <c r="AG68" s="446"/>
      <c r="AH68" s="446"/>
      <c r="AI68" s="446"/>
      <c r="AJ68" s="446"/>
      <c r="AK68" s="446"/>
      <c r="AL68" s="446"/>
      <c r="AM68" s="446"/>
      <c r="AN68" s="446"/>
      <c r="AO68" s="446"/>
      <c r="AP68" s="446"/>
      <c r="AQ68" s="446"/>
      <c r="AR68" s="446"/>
      <c r="AS68" s="446"/>
      <c r="AT68" s="446"/>
      <c r="AU68" s="446"/>
      <c r="AV68" s="446"/>
      <c r="AW68" s="446"/>
      <c r="AX68" s="446"/>
      <c r="AY68" s="446"/>
      <c r="AZ68" s="446"/>
      <c r="BA68" s="446"/>
      <c r="BB68" s="446"/>
      <c r="BC68" s="446"/>
      <c r="BD68" s="446"/>
      <c r="BE68" s="446"/>
      <c r="BF68" s="446"/>
      <c r="BG68" s="446"/>
      <c r="BH68" s="446"/>
      <c r="BI68" s="446"/>
      <c r="BJ68" s="446"/>
      <c r="BK68" s="446"/>
      <c r="BL68" s="446"/>
      <c r="BM68" s="446"/>
      <c r="BN68" s="446"/>
      <c r="BO68" s="446"/>
      <c r="BP68" s="446"/>
      <c r="BQ68" s="446"/>
      <c r="BR68" s="446"/>
      <c r="BS68" s="446"/>
      <c r="BT68" s="446"/>
      <c r="BU68" s="446"/>
      <c r="BV68" s="446"/>
      <c r="BW68" s="446"/>
      <c r="BX68" s="446"/>
      <c r="BY68" s="446"/>
      <c r="BZ68" s="446"/>
      <c r="CA68" s="446"/>
      <c r="CB68" s="446"/>
      <c r="CC68" s="446"/>
      <c r="CD68" s="446"/>
      <c r="CE68" s="446"/>
      <c r="CF68" s="446"/>
      <c r="CG68" s="446"/>
      <c r="CH68" s="446"/>
      <c r="CI68" s="446"/>
      <c r="CJ68" s="446"/>
      <c r="CK68" s="446"/>
      <c r="CL68" s="446"/>
      <c r="CM68" s="446"/>
      <c r="CN68" s="446"/>
      <c r="CO68" s="446"/>
      <c r="CP68" s="446"/>
      <c r="CQ68" s="446"/>
      <c r="CR68" s="446"/>
      <c r="CS68" s="446"/>
      <c r="CT68" s="446"/>
      <c r="CU68" s="446"/>
      <c r="CV68" s="446"/>
      <c r="CW68" s="446"/>
      <c r="CX68" s="446"/>
      <c r="CY68" s="446"/>
      <c r="CZ68" s="446"/>
      <c r="DA68" s="446"/>
      <c r="DB68" s="446"/>
      <c r="DC68" s="446"/>
      <c r="DD68" s="446"/>
      <c r="DE68" s="446"/>
      <c r="DF68" s="446"/>
      <c r="DG68" s="446"/>
      <c r="DH68" s="446"/>
      <c r="DI68" s="446"/>
      <c r="DJ68" s="446"/>
      <c r="DK68" s="446"/>
      <c r="DL68" s="446"/>
      <c r="DM68" s="446"/>
      <c r="DN68" s="446"/>
      <c r="DO68" s="446"/>
      <c r="DP68" s="446"/>
      <c r="DQ68" s="446"/>
      <c r="DR68" s="446"/>
      <c r="DS68" s="446"/>
      <c r="DT68" s="446"/>
      <c r="DU68" s="446"/>
      <c r="DV68" s="446"/>
      <c r="DW68" s="446"/>
      <c r="DX68" s="446"/>
      <c r="DY68" s="446"/>
      <c r="DZ68" s="446"/>
      <c r="EA68" s="446"/>
      <c r="EB68" s="446"/>
      <c r="EC68" s="446"/>
    </row>
    <row r="69" spans="1:134" ht="12" customHeight="1" outlineLevel="1">
      <c r="A69" s="943"/>
      <c r="B69" s="943"/>
      <c r="C69" s="536" t="s">
        <v>355</v>
      </c>
      <c r="D69" s="467"/>
      <c r="E69" s="467"/>
      <c r="F69" s="467"/>
      <c r="G69" s="467"/>
      <c r="H69" s="467"/>
      <c r="I69" s="468"/>
      <c r="J69" s="468"/>
      <c r="K69" s="468"/>
      <c r="L69" s="468"/>
      <c r="M69" s="467"/>
      <c r="N69" s="468"/>
      <c r="O69" s="468"/>
      <c r="P69" s="468"/>
      <c r="Q69" s="468"/>
      <c r="R69" s="467"/>
      <c r="S69" s="468"/>
      <c r="T69" s="468"/>
      <c r="U69" s="468"/>
      <c r="V69" s="468"/>
      <c r="W69" s="467"/>
      <c r="X69" s="468"/>
      <c r="Y69" s="468"/>
      <c r="Z69" s="468"/>
      <c r="AA69" s="468"/>
      <c r="AB69" s="467"/>
      <c r="AC69" s="468"/>
      <c r="AD69" s="468"/>
      <c r="AE69" s="468"/>
      <c r="AF69" s="468"/>
      <c r="AG69" s="467"/>
      <c r="AH69" s="468"/>
      <c r="AI69" s="468"/>
      <c r="AJ69" s="468"/>
      <c r="AK69" s="468"/>
      <c r="AL69" s="467"/>
      <c r="AM69" s="468"/>
      <c r="AN69" s="468"/>
      <c r="AO69" s="468"/>
      <c r="AP69" s="468"/>
      <c r="AQ69" s="467"/>
      <c r="AR69" s="468"/>
      <c r="AS69" s="468"/>
      <c r="AT69" s="468"/>
      <c r="AU69" s="468"/>
      <c r="AV69" s="467"/>
      <c r="AW69" s="468"/>
      <c r="AX69" s="468"/>
      <c r="AY69" s="468"/>
      <c r="AZ69" s="468"/>
      <c r="BA69" s="467"/>
      <c r="BB69" s="468"/>
      <c r="BC69" s="468"/>
      <c r="BD69" s="468"/>
      <c r="BE69" s="468"/>
      <c r="BF69" s="467"/>
      <c r="BG69" s="468"/>
      <c r="BH69" s="468"/>
      <c r="BI69" s="468"/>
      <c r="BJ69" s="468"/>
      <c r="BK69" s="467"/>
      <c r="BL69" s="468"/>
      <c r="BM69" s="468"/>
      <c r="BN69" s="468"/>
      <c r="BO69" s="468"/>
      <c r="BP69" s="467"/>
      <c r="BQ69" s="469"/>
      <c r="BR69" s="469"/>
      <c r="BS69" s="469"/>
      <c r="BT69" s="469"/>
      <c r="BU69" s="470"/>
      <c r="BV69" s="469"/>
      <c r="BW69" s="469"/>
      <c r="BX69" s="469"/>
      <c r="BY69" s="469"/>
      <c r="BZ69" s="470"/>
      <c r="CA69" s="469"/>
      <c r="CB69" s="469"/>
      <c r="CC69" s="469"/>
      <c r="CD69" s="469"/>
      <c r="CE69" s="470"/>
      <c r="CF69" s="469"/>
      <c r="CG69" s="469"/>
      <c r="CH69" s="469"/>
      <c r="CI69" s="469"/>
      <c r="CJ69" s="470"/>
      <c r="CK69" s="469"/>
      <c r="CL69" s="469"/>
      <c r="CM69" s="469"/>
      <c r="CN69" s="469"/>
      <c r="CO69" s="470"/>
      <c r="CP69" s="469"/>
      <c r="CQ69" s="469"/>
      <c r="CR69" s="469"/>
      <c r="CS69" s="469"/>
      <c r="CT69" s="470"/>
      <c r="CU69" s="469"/>
      <c r="CV69" s="469"/>
      <c r="CW69" s="469"/>
      <c r="CX69" s="469"/>
      <c r="CY69" s="470"/>
      <c r="CZ69" s="469"/>
      <c r="DA69" s="469"/>
      <c r="DB69" s="469"/>
      <c r="DC69" s="469"/>
      <c r="DD69" s="470"/>
      <c r="DE69" s="469"/>
      <c r="DF69" s="469"/>
      <c r="DG69" s="469"/>
      <c r="DH69" s="469"/>
      <c r="DI69" s="470"/>
      <c r="DJ69" s="469"/>
      <c r="DK69" s="469"/>
      <c r="DL69" s="469"/>
      <c r="DM69" s="469"/>
      <c r="DN69" s="470"/>
      <c r="DO69" s="469"/>
      <c r="DP69" s="469"/>
      <c r="DQ69" s="469"/>
      <c r="DR69" s="469"/>
      <c r="DS69" s="470"/>
      <c r="DT69" s="469"/>
      <c r="DU69" s="469"/>
      <c r="DV69" s="469"/>
      <c r="DW69" s="469"/>
      <c r="DX69" s="470"/>
      <c r="DY69" s="469"/>
      <c r="DZ69" s="469"/>
      <c r="EA69" s="469"/>
      <c r="EB69" s="469"/>
      <c r="EC69" s="470"/>
      <c r="ED69" s="297"/>
    </row>
    <row r="70" spans="1:134" ht="12" customHeight="1" outlineLevel="1">
      <c r="A70" s="943"/>
      <c r="B70" s="943"/>
      <c r="C70" s="309" t="s">
        <v>617</v>
      </c>
      <c r="D70" s="467"/>
      <c r="E70" s="467"/>
      <c r="F70" s="467"/>
      <c r="G70" s="467"/>
      <c r="H70" s="467"/>
      <c r="I70" s="468"/>
      <c r="J70" s="468"/>
      <c r="K70" s="468"/>
      <c r="L70" s="468"/>
      <c r="M70" s="467"/>
      <c r="N70" s="468"/>
      <c r="O70" s="468"/>
      <c r="P70" s="468"/>
      <c r="Q70" s="468"/>
      <c r="R70" s="467"/>
      <c r="S70" s="468"/>
      <c r="T70" s="468"/>
      <c r="U70" s="468"/>
      <c r="V70" s="468"/>
      <c r="W70" s="467"/>
      <c r="X70" s="468"/>
      <c r="Y70" s="468"/>
      <c r="Z70" s="468"/>
      <c r="AA70" s="468"/>
      <c r="AB70" s="467"/>
      <c r="AC70" s="468"/>
      <c r="AD70" s="468"/>
      <c r="AE70" s="468"/>
      <c r="AF70" s="468"/>
      <c r="AG70" s="467"/>
      <c r="AH70" s="468"/>
      <c r="AI70" s="468"/>
      <c r="AJ70" s="468"/>
      <c r="AK70" s="468"/>
      <c r="AL70" s="467"/>
      <c r="AM70" s="468"/>
      <c r="AN70" s="468"/>
      <c r="AO70" s="468"/>
      <c r="AP70" s="468"/>
      <c r="AQ70" s="467"/>
      <c r="AR70" s="468"/>
      <c r="AS70" s="468"/>
      <c r="AT70" s="468"/>
      <c r="AU70" s="468"/>
      <c r="AV70" s="467"/>
      <c r="AW70" s="468"/>
      <c r="AX70" s="468"/>
      <c r="AY70" s="468"/>
      <c r="AZ70" s="468"/>
      <c r="BA70" s="467"/>
      <c r="BB70" s="468"/>
      <c r="BC70" s="468"/>
      <c r="BD70" s="468"/>
      <c r="BE70" s="468"/>
      <c r="BF70" s="467"/>
      <c r="BG70" s="468"/>
      <c r="BH70" s="468"/>
      <c r="BI70" s="468"/>
      <c r="BJ70" s="468"/>
      <c r="BK70" s="467"/>
      <c r="BL70" s="468"/>
      <c r="BM70" s="468"/>
      <c r="BN70" s="468"/>
      <c r="BO70" s="468"/>
      <c r="BP70" s="467"/>
      <c r="BQ70" s="469"/>
      <c r="BR70" s="469"/>
      <c r="BS70" s="469"/>
      <c r="BT70" s="469"/>
      <c r="BU70" s="470"/>
      <c r="BV70" s="469"/>
      <c r="BW70" s="469"/>
      <c r="BX70" s="469"/>
      <c r="BY70" s="469"/>
      <c r="BZ70" s="470"/>
      <c r="CA70" s="469"/>
      <c r="CB70" s="469"/>
      <c r="CC70" s="469"/>
      <c r="CD70" s="469"/>
      <c r="CE70" s="470"/>
      <c r="CF70" s="469"/>
      <c r="CG70" s="469"/>
      <c r="CH70" s="469"/>
      <c r="CI70" s="469"/>
      <c r="CJ70" s="470"/>
      <c r="CK70" s="469"/>
      <c r="CL70" s="469"/>
      <c r="CM70" s="469"/>
      <c r="CN70" s="469"/>
      <c r="CO70" s="470"/>
      <c r="CP70" s="469"/>
      <c r="CQ70" s="469"/>
      <c r="CR70" s="469"/>
      <c r="CS70" s="469"/>
      <c r="CT70" s="470"/>
      <c r="CU70" s="469"/>
      <c r="CV70" s="469"/>
      <c r="CW70" s="469"/>
      <c r="CX70" s="469"/>
      <c r="CY70" s="470"/>
      <c r="CZ70" s="282">
        <v>12</v>
      </c>
      <c r="DA70" s="469"/>
      <c r="DB70" s="282">
        <v>15</v>
      </c>
      <c r="DC70" s="469"/>
      <c r="DD70" s="470"/>
      <c r="DE70" s="282">
        <v>8</v>
      </c>
      <c r="DF70" s="469"/>
      <c r="DG70" s="282">
        <v>8</v>
      </c>
      <c r="DH70" s="282"/>
      <c r="DI70" s="470"/>
      <c r="DJ70" s="282"/>
      <c r="DK70" s="282"/>
      <c r="DL70" s="282"/>
      <c r="DM70" s="469"/>
      <c r="DN70" s="470"/>
      <c r="DO70" s="469"/>
      <c r="DP70" s="469"/>
      <c r="DQ70" s="469"/>
      <c r="DR70" s="469"/>
      <c r="DS70" s="470"/>
      <c r="DT70" s="469"/>
      <c r="DU70" s="469"/>
      <c r="DV70" s="469"/>
      <c r="DW70" s="469"/>
      <c r="DX70" s="470"/>
      <c r="DY70" s="469"/>
      <c r="DZ70" s="469"/>
      <c r="EA70" s="469"/>
      <c r="EB70" s="469"/>
      <c r="EC70" s="470"/>
      <c r="ED70" s="297"/>
    </row>
    <row r="71" spans="1:134" ht="12" customHeight="1" outlineLevel="1">
      <c r="A71" s="943"/>
      <c r="B71" s="943"/>
      <c r="C71" s="309" t="s">
        <v>356</v>
      </c>
      <c r="D71" s="467"/>
      <c r="E71" s="467"/>
      <c r="F71" s="467"/>
      <c r="G71" s="467"/>
      <c r="H71" s="467"/>
      <c r="I71" s="468"/>
      <c r="J71" s="468"/>
      <c r="K71" s="468"/>
      <c r="L71" s="468"/>
      <c r="M71" s="467"/>
      <c r="N71" s="468"/>
      <c r="O71" s="468"/>
      <c r="P71" s="468"/>
      <c r="Q71" s="468"/>
      <c r="R71" s="467"/>
      <c r="S71" s="468"/>
      <c r="T71" s="468"/>
      <c r="U71" s="468"/>
      <c r="V71" s="468"/>
      <c r="W71" s="467"/>
      <c r="X71" s="468"/>
      <c r="Y71" s="468"/>
      <c r="Z71" s="468"/>
      <c r="AA71" s="468"/>
      <c r="AB71" s="467"/>
      <c r="AC71" s="468"/>
      <c r="AD71" s="468"/>
      <c r="AE71" s="468"/>
      <c r="AF71" s="468"/>
      <c r="AG71" s="467"/>
      <c r="AH71" s="468"/>
      <c r="AI71" s="468"/>
      <c r="AJ71" s="468"/>
      <c r="AK71" s="468"/>
      <c r="AL71" s="467"/>
      <c r="AM71" s="468"/>
      <c r="AN71" s="468"/>
      <c r="AO71" s="468"/>
      <c r="AP71" s="468"/>
      <c r="AQ71" s="467"/>
      <c r="AR71" s="468"/>
      <c r="AS71" s="468"/>
      <c r="AT71" s="468"/>
      <c r="AU71" s="468"/>
      <c r="AV71" s="467"/>
      <c r="AW71" s="468"/>
      <c r="AX71" s="468"/>
      <c r="AY71" s="468"/>
      <c r="AZ71" s="468"/>
      <c r="BA71" s="467"/>
      <c r="BB71" s="468"/>
      <c r="BC71" s="468"/>
      <c r="BD71" s="468"/>
      <c r="BE71" s="468"/>
      <c r="BF71" s="467"/>
      <c r="BG71" s="468"/>
      <c r="BH71" s="468"/>
      <c r="BI71" s="468"/>
      <c r="BJ71" s="468"/>
      <c r="BK71" s="467"/>
      <c r="BL71" s="468"/>
      <c r="BM71" s="468"/>
      <c r="BN71" s="468"/>
      <c r="BO71" s="468"/>
      <c r="BP71" s="467"/>
      <c r="BQ71" s="469"/>
      <c r="BR71" s="469"/>
      <c r="BS71" s="469"/>
      <c r="BT71" s="469"/>
      <c r="BU71" s="470"/>
      <c r="BV71" s="469"/>
      <c r="BW71" s="469"/>
      <c r="BX71" s="469"/>
      <c r="BY71" s="469"/>
      <c r="BZ71" s="470"/>
      <c r="CA71" s="469"/>
      <c r="CB71" s="469"/>
      <c r="CC71" s="469"/>
      <c r="CD71" s="469"/>
      <c r="CE71" s="470"/>
      <c r="CF71" s="469"/>
      <c r="CG71" s="469"/>
      <c r="CH71" s="469"/>
      <c r="CI71" s="469"/>
      <c r="CJ71" s="470"/>
      <c r="CK71" s="469"/>
      <c r="CL71" s="469"/>
      <c r="CM71" s="469"/>
      <c r="CN71" s="469"/>
      <c r="CO71" s="470"/>
      <c r="CP71" s="469"/>
      <c r="CQ71" s="469"/>
      <c r="CR71" s="469"/>
      <c r="CS71" s="469"/>
      <c r="CT71" s="470"/>
      <c r="CU71" s="469"/>
      <c r="CV71" s="469"/>
      <c r="CW71" s="469"/>
      <c r="CX71" s="469"/>
      <c r="CY71" s="470"/>
      <c r="CZ71" s="282">
        <v>27</v>
      </c>
      <c r="DA71" s="469"/>
      <c r="DB71" s="282">
        <v>131</v>
      </c>
      <c r="DC71" s="469"/>
      <c r="DD71" s="470"/>
      <c r="DE71" s="282">
        <v>0</v>
      </c>
      <c r="DF71" s="469"/>
      <c r="DG71" s="282">
        <v>0</v>
      </c>
      <c r="DH71" s="282"/>
      <c r="DI71" s="470"/>
      <c r="DJ71" s="282"/>
      <c r="DK71" s="282"/>
      <c r="DL71" s="282"/>
      <c r="DM71" s="469"/>
      <c r="DN71" s="470"/>
      <c r="DO71" s="469"/>
      <c r="DP71" s="469"/>
      <c r="DQ71" s="469"/>
      <c r="DR71" s="469"/>
      <c r="DS71" s="470"/>
      <c r="DT71" s="469"/>
      <c r="DU71" s="469"/>
      <c r="DV71" s="469"/>
      <c r="DW71" s="469"/>
      <c r="DX71" s="470"/>
      <c r="DY71" s="469"/>
      <c r="DZ71" s="469"/>
      <c r="EA71" s="469"/>
      <c r="EB71" s="469"/>
      <c r="EC71" s="470"/>
      <c r="ED71" s="297"/>
    </row>
    <row r="72" spans="1:134" ht="12" customHeight="1" outlineLevel="1">
      <c r="A72" s="943"/>
      <c r="B72" s="943"/>
      <c r="C72" s="309" t="s">
        <v>357</v>
      </c>
      <c r="D72" s="467"/>
      <c r="E72" s="467"/>
      <c r="F72" s="467"/>
      <c r="G72" s="467"/>
      <c r="H72" s="467"/>
      <c r="I72" s="468"/>
      <c r="J72" s="468"/>
      <c r="K72" s="468"/>
      <c r="L72" s="468"/>
      <c r="M72" s="467"/>
      <c r="N72" s="468"/>
      <c r="O72" s="468"/>
      <c r="P72" s="468"/>
      <c r="Q72" s="468"/>
      <c r="R72" s="467"/>
      <c r="S72" s="468"/>
      <c r="T72" s="468"/>
      <c r="U72" s="468"/>
      <c r="V72" s="468"/>
      <c r="W72" s="467"/>
      <c r="X72" s="468"/>
      <c r="Y72" s="468"/>
      <c r="Z72" s="468"/>
      <c r="AA72" s="468"/>
      <c r="AB72" s="467"/>
      <c r="AC72" s="468"/>
      <c r="AD72" s="468"/>
      <c r="AE72" s="468"/>
      <c r="AF72" s="468"/>
      <c r="AG72" s="467"/>
      <c r="AH72" s="468"/>
      <c r="AI72" s="468"/>
      <c r="AJ72" s="468"/>
      <c r="AK72" s="468"/>
      <c r="AL72" s="467"/>
      <c r="AM72" s="468"/>
      <c r="AN72" s="468"/>
      <c r="AO72" s="468"/>
      <c r="AP72" s="468"/>
      <c r="AQ72" s="467"/>
      <c r="AR72" s="468"/>
      <c r="AS72" s="468"/>
      <c r="AT72" s="468"/>
      <c r="AU72" s="468"/>
      <c r="AV72" s="467"/>
      <c r="AW72" s="468"/>
      <c r="AX72" s="468"/>
      <c r="AY72" s="468"/>
      <c r="AZ72" s="468"/>
      <c r="BA72" s="467"/>
      <c r="BB72" s="468"/>
      <c r="BC72" s="468"/>
      <c r="BD72" s="468"/>
      <c r="BE72" s="468"/>
      <c r="BF72" s="467"/>
      <c r="BG72" s="468"/>
      <c r="BH72" s="468"/>
      <c r="BI72" s="468"/>
      <c r="BJ72" s="468"/>
      <c r="BK72" s="467"/>
      <c r="BL72" s="468"/>
      <c r="BM72" s="468"/>
      <c r="BN72" s="468"/>
      <c r="BO72" s="468"/>
      <c r="BP72" s="467"/>
      <c r="BQ72" s="469"/>
      <c r="BR72" s="469"/>
      <c r="BS72" s="469"/>
      <c r="BT72" s="469"/>
      <c r="BU72" s="470"/>
      <c r="BV72" s="469"/>
      <c r="BW72" s="469"/>
      <c r="BX72" s="469"/>
      <c r="BY72" s="469"/>
      <c r="BZ72" s="470"/>
      <c r="CA72" s="469"/>
      <c r="CB72" s="469"/>
      <c r="CC72" s="469"/>
      <c r="CD72" s="469"/>
      <c r="CE72" s="470"/>
      <c r="CF72" s="469"/>
      <c r="CG72" s="469"/>
      <c r="CH72" s="469"/>
      <c r="CI72" s="469"/>
      <c r="CJ72" s="470"/>
      <c r="CK72" s="469"/>
      <c r="CL72" s="469"/>
      <c r="CM72" s="469"/>
      <c r="CN72" s="469"/>
      <c r="CO72" s="470"/>
      <c r="CP72" s="469"/>
      <c r="CQ72" s="469"/>
      <c r="CR72" s="469"/>
      <c r="CS72" s="469"/>
      <c r="CT72" s="470"/>
      <c r="CU72" s="469"/>
      <c r="CV72" s="469"/>
      <c r="CW72" s="469"/>
      <c r="CX72" s="469"/>
      <c r="CY72" s="470"/>
      <c r="CZ72" s="282">
        <v>6</v>
      </c>
      <c r="DA72" s="469"/>
      <c r="DB72" s="282">
        <v>3</v>
      </c>
      <c r="DC72" s="469"/>
      <c r="DD72" s="470"/>
      <c r="DE72" s="282">
        <v>7</v>
      </c>
      <c r="DF72" s="469"/>
      <c r="DG72" s="282">
        <v>1</v>
      </c>
      <c r="DH72" s="282"/>
      <c r="DI72" s="470"/>
      <c r="DJ72" s="282"/>
      <c r="DK72" s="282"/>
      <c r="DL72" s="282"/>
      <c r="DM72" s="469"/>
      <c r="DN72" s="470"/>
      <c r="DO72" s="469"/>
      <c r="DP72" s="469"/>
      <c r="DQ72" s="469"/>
      <c r="DR72" s="469"/>
      <c r="DS72" s="470"/>
      <c r="DT72" s="469"/>
      <c r="DU72" s="469"/>
      <c r="DV72" s="469"/>
      <c r="DW72" s="469"/>
      <c r="DX72" s="470"/>
      <c r="DY72" s="469"/>
      <c r="DZ72" s="469"/>
      <c r="EA72" s="469"/>
      <c r="EB72" s="469"/>
      <c r="EC72" s="470"/>
      <c r="ED72" s="297"/>
    </row>
    <row r="73" spans="1:134" ht="12" customHeight="1" outlineLevel="1">
      <c r="A73" s="943"/>
      <c r="B73" s="943"/>
      <c r="C73" s="309" t="s">
        <v>358</v>
      </c>
      <c r="D73" s="467"/>
      <c r="E73" s="467"/>
      <c r="F73" s="467"/>
      <c r="G73" s="467"/>
      <c r="H73" s="467"/>
      <c r="I73" s="468"/>
      <c r="J73" s="468"/>
      <c r="K73" s="468"/>
      <c r="L73" s="468"/>
      <c r="M73" s="467"/>
      <c r="N73" s="468"/>
      <c r="O73" s="468"/>
      <c r="P73" s="468"/>
      <c r="Q73" s="468"/>
      <c r="R73" s="467"/>
      <c r="S73" s="468"/>
      <c r="T73" s="468"/>
      <c r="U73" s="468"/>
      <c r="V73" s="468"/>
      <c r="W73" s="467"/>
      <c r="X73" s="468"/>
      <c r="Y73" s="468"/>
      <c r="Z73" s="468"/>
      <c r="AA73" s="468"/>
      <c r="AB73" s="467"/>
      <c r="AC73" s="468"/>
      <c r="AD73" s="468"/>
      <c r="AE73" s="468"/>
      <c r="AF73" s="468"/>
      <c r="AG73" s="467"/>
      <c r="AH73" s="468"/>
      <c r="AI73" s="468"/>
      <c r="AJ73" s="468"/>
      <c r="AK73" s="468"/>
      <c r="AL73" s="467"/>
      <c r="AM73" s="468"/>
      <c r="AN73" s="468"/>
      <c r="AO73" s="468"/>
      <c r="AP73" s="468"/>
      <c r="AQ73" s="467"/>
      <c r="AR73" s="468"/>
      <c r="AS73" s="468"/>
      <c r="AT73" s="468"/>
      <c r="AU73" s="468"/>
      <c r="AV73" s="467"/>
      <c r="AW73" s="468"/>
      <c r="AX73" s="468"/>
      <c r="AY73" s="468"/>
      <c r="AZ73" s="468"/>
      <c r="BA73" s="467"/>
      <c r="BB73" s="468"/>
      <c r="BC73" s="468"/>
      <c r="BD73" s="468"/>
      <c r="BE73" s="468"/>
      <c r="BF73" s="467"/>
      <c r="BG73" s="468"/>
      <c r="BH73" s="468"/>
      <c r="BI73" s="468"/>
      <c r="BJ73" s="468"/>
      <c r="BK73" s="467"/>
      <c r="BL73" s="468"/>
      <c r="BM73" s="468"/>
      <c r="BN73" s="468"/>
      <c r="BO73" s="468"/>
      <c r="BP73" s="467"/>
      <c r="BQ73" s="469"/>
      <c r="BR73" s="469"/>
      <c r="BS73" s="469"/>
      <c r="BT73" s="469"/>
      <c r="BU73" s="470"/>
      <c r="BV73" s="469"/>
      <c r="BW73" s="469"/>
      <c r="BX73" s="469"/>
      <c r="BY73" s="469"/>
      <c r="BZ73" s="470"/>
      <c r="CA73" s="469"/>
      <c r="CB73" s="469"/>
      <c r="CC73" s="469"/>
      <c r="CD73" s="469"/>
      <c r="CE73" s="470"/>
      <c r="CF73" s="469"/>
      <c r="CG73" s="469"/>
      <c r="CH73" s="469"/>
      <c r="CI73" s="469"/>
      <c r="CJ73" s="470"/>
      <c r="CK73" s="469"/>
      <c r="CL73" s="469"/>
      <c r="CM73" s="469"/>
      <c r="CN73" s="469"/>
      <c r="CO73" s="470"/>
      <c r="CP73" s="469"/>
      <c r="CQ73" s="469"/>
      <c r="CR73" s="469"/>
      <c r="CS73" s="469"/>
      <c r="CT73" s="470"/>
      <c r="CU73" s="469"/>
      <c r="CV73" s="469"/>
      <c r="CW73" s="469"/>
      <c r="CX73" s="469"/>
      <c r="CY73" s="470"/>
      <c r="CZ73" s="282">
        <v>10</v>
      </c>
      <c r="DA73" s="469"/>
      <c r="DB73" s="282">
        <v>1</v>
      </c>
      <c r="DC73" s="469"/>
      <c r="DD73" s="470"/>
      <c r="DE73" s="282">
        <v>10</v>
      </c>
      <c r="DF73" s="469"/>
      <c r="DG73" s="282">
        <v>5</v>
      </c>
      <c r="DH73" s="282"/>
      <c r="DI73" s="470">
        <v>50</v>
      </c>
      <c r="DJ73" s="282">
        <v>9</v>
      </c>
      <c r="DK73" s="282">
        <v>11</v>
      </c>
      <c r="DL73" s="282">
        <v>14</v>
      </c>
      <c r="DM73" s="469"/>
      <c r="DN73" s="470"/>
      <c r="DO73" s="469"/>
      <c r="DP73" s="469"/>
      <c r="DQ73" s="469"/>
      <c r="DR73" s="469"/>
      <c r="DS73" s="470"/>
      <c r="DT73" s="469"/>
      <c r="DU73" s="469"/>
      <c r="DV73" s="469"/>
      <c r="DW73" s="469"/>
      <c r="DX73" s="470"/>
      <c r="DY73" s="469"/>
      <c r="DZ73" s="469"/>
      <c r="EA73" s="469"/>
      <c r="EB73" s="469"/>
      <c r="EC73" s="470"/>
      <c r="ED73" s="297"/>
    </row>
    <row r="74" spans="1:134" ht="12" customHeight="1" outlineLevel="1">
      <c r="A74" s="943"/>
      <c r="B74" s="943"/>
      <c r="C74" s="309" t="s">
        <v>192</v>
      </c>
      <c r="D74" s="467"/>
      <c r="E74" s="467"/>
      <c r="F74" s="467"/>
      <c r="G74" s="467"/>
      <c r="H74" s="467"/>
      <c r="I74" s="468"/>
      <c r="J74" s="468"/>
      <c r="K74" s="468"/>
      <c r="L74" s="468"/>
      <c r="M74" s="467"/>
      <c r="N74" s="468"/>
      <c r="O74" s="468"/>
      <c r="P74" s="468"/>
      <c r="Q74" s="468"/>
      <c r="R74" s="467"/>
      <c r="S74" s="468"/>
      <c r="T74" s="468"/>
      <c r="U74" s="468"/>
      <c r="V74" s="468"/>
      <c r="W74" s="467"/>
      <c r="X74" s="468"/>
      <c r="Y74" s="468"/>
      <c r="Z74" s="468"/>
      <c r="AA74" s="468"/>
      <c r="AB74" s="467"/>
      <c r="AC74" s="468"/>
      <c r="AD74" s="468"/>
      <c r="AE74" s="468"/>
      <c r="AF74" s="468"/>
      <c r="AG74" s="467"/>
      <c r="AH74" s="468"/>
      <c r="AI74" s="468"/>
      <c r="AJ74" s="468"/>
      <c r="AK74" s="468"/>
      <c r="AL74" s="467"/>
      <c r="AM74" s="468"/>
      <c r="AN74" s="468"/>
      <c r="AO74" s="468"/>
      <c r="AP74" s="468"/>
      <c r="AQ74" s="467"/>
      <c r="AR74" s="468"/>
      <c r="AS74" s="468"/>
      <c r="AT74" s="468"/>
      <c r="AU74" s="468"/>
      <c r="AV74" s="467"/>
      <c r="AW74" s="468"/>
      <c r="AX74" s="468"/>
      <c r="AY74" s="468"/>
      <c r="AZ74" s="468"/>
      <c r="BA74" s="467"/>
      <c r="BB74" s="468"/>
      <c r="BC74" s="468"/>
      <c r="BD74" s="468"/>
      <c r="BE74" s="468"/>
      <c r="BF74" s="467"/>
      <c r="BG74" s="468"/>
      <c r="BH74" s="468"/>
      <c r="BI74" s="468"/>
      <c r="BJ74" s="468"/>
      <c r="BK74" s="467"/>
      <c r="BL74" s="468"/>
      <c r="BM74" s="468"/>
      <c r="BN74" s="468"/>
      <c r="BO74" s="468"/>
      <c r="BP74" s="467"/>
      <c r="BQ74" s="469"/>
      <c r="BR74" s="469"/>
      <c r="BS74" s="469"/>
      <c r="BT74" s="469"/>
      <c r="BU74" s="470"/>
      <c r="BV74" s="469"/>
      <c r="BW74" s="469"/>
      <c r="BX74" s="469"/>
      <c r="BY74" s="469"/>
      <c r="BZ74" s="470"/>
      <c r="CA74" s="469"/>
      <c r="CB74" s="469"/>
      <c r="CC74" s="469"/>
      <c r="CD74" s="469"/>
      <c r="CE74" s="470"/>
      <c r="CF74" s="469"/>
      <c r="CG74" s="469"/>
      <c r="CH74" s="469"/>
      <c r="CI74" s="469"/>
      <c r="CJ74" s="470"/>
      <c r="CK74" s="469"/>
      <c r="CL74" s="469"/>
      <c r="CM74" s="469"/>
      <c r="CN74" s="469"/>
      <c r="CO74" s="470"/>
      <c r="CP74" s="469"/>
      <c r="CQ74" s="469"/>
      <c r="CR74" s="469"/>
      <c r="CS74" s="469"/>
      <c r="CT74" s="470"/>
      <c r="CU74" s="469"/>
      <c r="CV74" s="469"/>
      <c r="CW74" s="469"/>
      <c r="CX74" s="469"/>
      <c r="CY74" s="470"/>
      <c r="CZ74" s="469"/>
      <c r="DA74" s="469"/>
      <c r="DB74" s="282">
        <v>0</v>
      </c>
      <c r="DC74" s="469"/>
      <c r="DD74" s="470"/>
      <c r="DE74" s="469"/>
      <c r="DF74" s="469"/>
      <c r="DG74" s="282">
        <v>0</v>
      </c>
      <c r="DH74" s="282"/>
      <c r="DI74" s="470">
        <v>1</v>
      </c>
      <c r="DJ74" s="282"/>
      <c r="DK74" s="282"/>
      <c r="DL74" s="282"/>
      <c r="DM74" s="469"/>
      <c r="DN74" s="470"/>
      <c r="DO74" s="469"/>
      <c r="DP74" s="469"/>
      <c r="DQ74" s="469"/>
      <c r="DR74" s="469"/>
      <c r="DS74" s="470"/>
      <c r="DT74" s="469"/>
      <c r="DU74" s="469"/>
      <c r="DV74" s="469"/>
      <c r="DW74" s="469"/>
      <c r="DX74" s="470"/>
      <c r="DY74" s="469"/>
      <c r="DZ74" s="469"/>
      <c r="EA74" s="469"/>
      <c r="EB74" s="469"/>
      <c r="EC74" s="470"/>
      <c r="ED74" s="297"/>
    </row>
    <row r="75" spans="1:134" outlineLevel="1">
      <c r="A75" s="943"/>
      <c r="B75" s="943"/>
      <c r="C75" s="123"/>
      <c r="D75" s="433"/>
      <c r="E75" s="433"/>
      <c r="F75" s="433"/>
      <c r="G75" s="433"/>
      <c r="H75" s="433"/>
      <c r="I75" s="93"/>
      <c r="J75" s="93"/>
      <c r="K75" s="93"/>
      <c r="L75" s="93"/>
      <c r="M75" s="433"/>
      <c r="N75" s="93"/>
      <c r="O75" s="93"/>
      <c r="P75" s="93"/>
      <c r="Q75" s="93"/>
      <c r="R75" s="433"/>
      <c r="S75" s="93"/>
      <c r="T75" s="93"/>
      <c r="U75" s="93"/>
      <c r="V75" s="93"/>
      <c r="W75" s="433"/>
      <c r="X75" s="93"/>
      <c r="Y75" s="93"/>
      <c r="Z75" s="93"/>
      <c r="AA75" s="93"/>
      <c r="AB75" s="433"/>
      <c r="AC75" s="93"/>
      <c r="AD75" s="93"/>
      <c r="AE75" s="93"/>
      <c r="AF75" s="93"/>
      <c r="AG75" s="433"/>
      <c r="AH75" s="93"/>
      <c r="AI75" s="93"/>
      <c r="AJ75" s="93"/>
      <c r="AK75" s="93"/>
      <c r="AL75" s="433"/>
      <c r="AM75" s="93"/>
      <c r="AN75" s="93"/>
      <c r="AO75" s="93"/>
      <c r="AP75" s="93"/>
      <c r="AQ75" s="433"/>
      <c r="AR75" s="93"/>
      <c r="AS75" s="93"/>
      <c r="AT75" s="93"/>
      <c r="AU75" s="93"/>
      <c r="AV75" s="433"/>
      <c r="AW75" s="93"/>
      <c r="AX75" s="93"/>
      <c r="AY75" s="93"/>
      <c r="AZ75" s="93"/>
      <c r="BA75" s="433"/>
      <c r="BB75" s="93"/>
      <c r="BC75" s="93"/>
      <c r="BD75" s="93"/>
      <c r="BE75" s="93"/>
      <c r="BF75" s="433"/>
      <c r="BG75" s="93"/>
      <c r="BH75" s="93"/>
      <c r="BI75" s="93"/>
      <c r="BJ75" s="93"/>
      <c r="BK75" s="433"/>
      <c r="BL75" s="93"/>
      <c r="BM75" s="93"/>
      <c r="BN75" s="93"/>
      <c r="BO75" s="93"/>
      <c r="BP75" s="452"/>
      <c r="BQ75" s="93"/>
      <c r="BR75" s="93"/>
      <c r="BS75" s="93"/>
      <c r="BT75" s="93"/>
      <c r="BU75" s="452"/>
      <c r="BV75" s="93"/>
      <c r="BW75" s="93"/>
      <c r="BX75" s="93"/>
      <c r="BY75" s="93"/>
      <c r="BZ75" s="323"/>
      <c r="CA75" s="93"/>
      <c r="CB75" s="93"/>
      <c r="CC75" s="93"/>
      <c r="CD75" s="93"/>
      <c r="CE75" s="323"/>
      <c r="CF75" s="93"/>
      <c r="CG75" s="93"/>
      <c r="CH75" s="93"/>
      <c r="CI75" s="93"/>
      <c r="CJ75" s="323"/>
      <c r="CK75" s="382"/>
      <c r="CL75" s="382"/>
      <c r="CM75" s="382"/>
      <c r="CN75" s="382"/>
      <c r="CO75" s="323"/>
      <c r="CP75" s="382"/>
      <c r="CQ75" s="382"/>
      <c r="CR75" s="382"/>
      <c r="CS75" s="382"/>
      <c r="CT75" s="323"/>
      <c r="CU75" s="382"/>
      <c r="CV75" s="382"/>
      <c r="CW75" s="382"/>
      <c r="CX75" s="382"/>
      <c r="CY75" s="323"/>
      <c r="CZ75" s="382"/>
      <c r="DA75" s="382"/>
      <c r="DB75" s="382"/>
      <c r="DC75" s="382"/>
      <c r="DD75" s="323"/>
      <c r="DE75" s="382"/>
      <c r="DF75" s="382"/>
      <c r="DG75" s="382"/>
      <c r="DH75" s="382"/>
      <c r="DI75" s="323"/>
      <c r="DJ75" s="382"/>
      <c r="DK75" s="382"/>
      <c r="DL75" s="382"/>
      <c r="DM75" s="382"/>
      <c r="DN75" s="323"/>
      <c r="DO75" s="382"/>
      <c r="DP75" s="382"/>
      <c r="DQ75" s="382"/>
      <c r="DR75" s="382"/>
      <c r="DS75" s="323"/>
      <c r="DT75" s="382"/>
      <c r="DU75" s="382"/>
      <c r="DV75" s="382"/>
      <c r="DW75" s="382"/>
      <c r="DX75" s="323"/>
      <c r="DY75" s="382"/>
      <c r="DZ75" s="382"/>
      <c r="EA75" s="382"/>
      <c r="EB75" s="382"/>
      <c r="EC75" s="323"/>
      <c r="ED75" s="94"/>
    </row>
    <row r="76" spans="1:134" ht="12" customHeight="1">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446"/>
      <c r="AB76" s="446"/>
      <c r="AC76" s="446"/>
      <c r="AD76" s="446"/>
      <c r="AE76" s="446"/>
      <c r="AF76" s="446"/>
      <c r="AG76" s="446"/>
      <c r="AH76" s="446"/>
      <c r="AI76" s="446"/>
      <c r="AJ76" s="446"/>
      <c r="AK76" s="446"/>
      <c r="AL76" s="446"/>
      <c r="AM76" s="446"/>
      <c r="AN76" s="446"/>
      <c r="AO76" s="446"/>
      <c r="AP76" s="446"/>
      <c r="AQ76" s="446"/>
      <c r="AR76" s="446"/>
      <c r="AS76" s="446"/>
      <c r="AT76" s="446"/>
      <c r="AU76" s="446"/>
      <c r="AV76" s="446"/>
      <c r="AW76" s="446"/>
      <c r="AX76" s="446"/>
      <c r="AY76" s="446"/>
      <c r="AZ76" s="446"/>
      <c r="BA76" s="446"/>
      <c r="BB76" s="446"/>
      <c r="BC76" s="446"/>
      <c r="BD76" s="446"/>
      <c r="BE76" s="446"/>
      <c r="BF76" s="446"/>
      <c r="BG76" s="446"/>
      <c r="BH76" s="446"/>
      <c r="BI76" s="446"/>
      <c r="BJ76" s="446"/>
      <c r="BK76" s="446"/>
      <c r="BL76" s="446"/>
      <c r="BM76" s="446"/>
      <c r="BN76" s="446"/>
      <c r="BO76" s="446"/>
      <c r="BP76" s="446"/>
      <c r="BQ76" s="446"/>
      <c r="BR76" s="446"/>
      <c r="BS76" s="446"/>
      <c r="BT76" s="446"/>
      <c r="BU76" s="446"/>
      <c r="BV76" s="446"/>
      <c r="BW76" s="446"/>
      <c r="BX76" s="446"/>
      <c r="BY76" s="446"/>
      <c r="BZ76" s="446"/>
      <c r="CA76" s="446"/>
      <c r="CB76" s="446"/>
      <c r="CC76" s="446"/>
      <c r="CD76" s="446"/>
      <c r="CE76" s="446"/>
      <c r="CF76" s="446"/>
      <c r="CG76" s="446"/>
      <c r="CH76" s="446"/>
      <c r="CI76" s="446"/>
      <c r="CJ76" s="446"/>
      <c r="CK76" s="446"/>
      <c r="CL76" s="446"/>
      <c r="CM76" s="446"/>
      <c r="CN76" s="446"/>
      <c r="CO76" s="446"/>
      <c r="CP76" s="446"/>
      <c r="CQ76" s="446"/>
      <c r="CR76" s="446"/>
      <c r="CS76" s="446"/>
      <c r="CT76" s="446"/>
      <c r="CU76" s="446"/>
      <c r="CV76" s="446"/>
      <c r="CW76" s="446"/>
      <c r="CX76" s="446"/>
      <c r="CY76" s="446"/>
      <c r="CZ76" s="446"/>
      <c r="DA76" s="446"/>
      <c r="DB76" s="446"/>
      <c r="DC76" s="446"/>
      <c r="DD76" s="446"/>
      <c r="DE76" s="446"/>
      <c r="DF76" s="446"/>
      <c r="DG76" s="446"/>
      <c r="DH76" s="446"/>
      <c r="DI76" s="446"/>
      <c r="DJ76" s="446"/>
      <c r="DK76" s="446"/>
      <c r="DL76" s="446"/>
      <c r="DM76" s="446"/>
      <c r="DN76" s="446"/>
      <c r="DO76" s="446"/>
      <c r="DP76" s="446"/>
      <c r="DQ76" s="446"/>
      <c r="DR76" s="446"/>
      <c r="DS76" s="446"/>
      <c r="DT76" s="446"/>
      <c r="DU76" s="446"/>
      <c r="DV76" s="446"/>
      <c r="DW76" s="446"/>
      <c r="DX76" s="446"/>
      <c r="DY76" s="446"/>
      <c r="DZ76" s="446"/>
      <c r="EA76" s="446"/>
      <c r="EB76" s="446"/>
      <c r="EC76" s="446"/>
    </row>
    <row r="77" spans="1:134" ht="12" customHeight="1">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446"/>
      <c r="AB77" s="446"/>
      <c r="AC77" s="446"/>
      <c r="AD77" s="446"/>
      <c r="AE77" s="446"/>
      <c r="AF77" s="446"/>
      <c r="AG77" s="446"/>
      <c r="AH77" s="446"/>
      <c r="AI77" s="446"/>
      <c r="AJ77" s="446"/>
      <c r="AK77" s="446"/>
      <c r="AL77" s="446"/>
      <c r="AM77" s="446"/>
      <c r="AN77" s="446"/>
      <c r="AO77" s="446"/>
      <c r="AP77" s="446"/>
      <c r="AQ77" s="446"/>
      <c r="AR77" s="446"/>
      <c r="AS77" s="446"/>
      <c r="AT77" s="446"/>
      <c r="AU77" s="446"/>
      <c r="AV77" s="446"/>
      <c r="AW77" s="446"/>
      <c r="AX77" s="446"/>
      <c r="AY77" s="446"/>
      <c r="AZ77" s="446"/>
      <c r="BA77" s="446"/>
      <c r="BB77" s="446"/>
      <c r="BC77" s="446"/>
      <c r="BD77" s="446"/>
      <c r="BE77" s="446"/>
      <c r="BF77" s="446"/>
      <c r="BG77" s="446"/>
      <c r="BH77" s="446"/>
      <c r="BI77" s="446"/>
      <c r="BJ77" s="446"/>
      <c r="BK77" s="446"/>
      <c r="BL77" s="446"/>
      <c r="BM77" s="446"/>
      <c r="BN77" s="446"/>
      <c r="BO77" s="446"/>
      <c r="BP77" s="446"/>
      <c r="BQ77" s="446"/>
      <c r="BR77" s="446"/>
      <c r="BS77" s="446"/>
      <c r="BT77" s="446"/>
      <c r="BU77" s="446"/>
      <c r="BV77" s="446"/>
      <c r="BW77" s="446"/>
      <c r="BX77" s="446"/>
      <c r="BY77" s="446"/>
      <c r="BZ77" s="446"/>
      <c r="CA77" s="446"/>
      <c r="CB77" s="446"/>
      <c r="CC77" s="446"/>
      <c r="CD77" s="446"/>
      <c r="CE77" s="446"/>
      <c r="CF77" s="446"/>
      <c r="CG77" s="446"/>
      <c r="CH77" s="446"/>
      <c r="CI77" s="446"/>
      <c r="CJ77" s="446"/>
      <c r="CK77" s="446"/>
      <c r="CL77" s="446"/>
      <c r="CM77" s="446"/>
      <c r="CN77" s="446"/>
      <c r="CO77" s="446"/>
      <c r="CP77" s="446"/>
      <c r="CQ77" s="446"/>
      <c r="CR77" s="446"/>
      <c r="CS77" s="446"/>
      <c r="CT77" s="446"/>
      <c r="CU77" s="446"/>
      <c r="CV77" s="446"/>
      <c r="CW77" s="446"/>
      <c r="CX77" s="446"/>
      <c r="CY77" s="446"/>
      <c r="CZ77" s="446"/>
      <c r="DA77" s="446"/>
      <c r="DB77" s="446"/>
      <c r="DC77" s="446"/>
      <c r="DD77" s="446"/>
      <c r="DE77" s="446"/>
      <c r="DF77" s="446"/>
      <c r="DG77" s="446"/>
      <c r="DH77" s="446"/>
      <c r="DI77" s="446"/>
      <c r="DJ77" s="446"/>
      <c r="DK77" s="446"/>
      <c r="DL77" s="446"/>
      <c r="DM77" s="446"/>
      <c r="DN77" s="446"/>
      <c r="DO77" s="446"/>
      <c r="DP77" s="446"/>
      <c r="DQ77" s="446"/>
      <c r="DR77" s="446"/>
      <c r="DS77" s="446"/>
      <c r="DT77" s="446"/>
      <c r="DU77" s="446"/>
      <c r="DV77" s="446"/>
      <c r="DW77" s="446"/>
      <c r="DX77" s="446"/>
      <c r="DY77" s="446"/>
      <c r="DZ77" s="446"/>
      <c r="EA77" s="446"/>
      <c r="EB77" s="446"/>
      <c r="EC77" s="446"/>
    </row>
    <row r="78" spans="1:134" ht="12" customHeight="1">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446"/>
      <c r="AB78" s="446"/>
      <c r="AC78" s="446"/>
      <c r="AD78" s="446"/>
      <c r="AE78" s="446"/>
      <c r="AF78" s="446"/>
      <c r="AG78" s="446"/>
      <c r="AH78" s="446"/>
      <c r="AI78" s="446"/>
      <c r="AJ78" s="446"/>
      <c r="AK78" s="446"/>
      <c r="AL78" s="446"/>
      <c r="AM78" s="446"/>
      <c r="AN78" s="446"/>
      <c r="AO78" s="446"/>
      <c r="AP78" s="446"/>
      <c r="AQ78" s="446"/>
      <c r="AR78" s="446"/>
      <c r="AS78" s="446"/>
      <c r="AT78" s="446"/>
      <c r="AU78" s="446"/>
      <c r="AV78" s="446"/>
      <c r="AW78" s="446"/>
      <c r="AX78" s="446"/>
      <c r="AY78" s="446"/>
      <c r="AZ78" s="446"/>
      <c r="BA78" s="446"/>
      <c r="BB78" s="446"/>
      <c r="BC78" s="446"/>
      <c r="BD78" s="446"/>
      <c r="BE78" s="446"/>
      <c r="BF78" s="446"/>
      <c r="BG78" s="446"/>
      <c r="BH78" s="446"/>
      <c r="BI78" s="446"/>
      <c r="BJ78" s="446"/>
      <c r="BK78" s="446"/>
      <c r="BL78" s="446"/>
      <c r="BM78" s="446"/>
      <c r="BN78" s="446"/>
      <c r="BO78" s="446"/>
      <c r="BP78" s="446"/>
      <c r="BQ78" s="446"/>
      <c r="BR78" s="446"/>
      <c r="BS78" s="446"/>
      <c r="BT78" s="446"/>
      <c r="BU78" s="446"/>
      <c r="BV78" s="446"/>
      <c r="BW78" s="446"/>
      <c r="BX78" s="446"/>
      <c r="BY78" s="446"/>
      <c r="BZ78" s="446"/>
      <c r="CA78" s="446"/>
      <c r="CB78" s="446"/>
      <c r="CC78" s="446"/>
      <c r="CD78" s="446"/>
      <c r="CE78" s="446"/>
      <c r="CF78" s="446"/>
      <c r="CG78" s="446"/>
      <c r="CH78" s="446"/>
      <c r="CI78" s="446"/>
      <c r="CJ78" s="446"/>
      <c r="CK78" s="446"/>
      <c r="CL78" s="446"/>
      <c r="CM78" s="446"/>
      <c r="CN78" s="446"/>
      <c r="CO78" s="446"/>
      <c r="CP78" s="446"/>
      <c r="CQ78" s="446"/>
      <c r="CR78" s="446"/>
      <c r="CS78" s="446"/>
      <c r="CT78" s="446"/>
      <c r="CU78" s="446"/>
      <c r="CV78" s="446"/>
      <c r="CW78" s="446"/>
      <c r="CX78" s="446"/>
      <c r="CY78" s="446"/>
      <c r="CZ78" s="446"/>
      <c r="DA78" s="446"/>
      <c r="DB78" s="446"/>
      <c r="DC78" s="446"/>
      <c r="DD78" s="446"/>
      <c r="DE78" s="446"/>
      <c r="DF78" s="446"/>
      <c r="DG78" s="446"/>
      <c r="DH78" s="446"/>
      <c r="DI78" s="446"/>
      <c r="DJ78" s="446"/>
      <c r="DK78" s="446"/>
      <c r="DL78" s="446"/>
      <c r="DM78" s="446"/>
      <c r="DN78" s="446"/>
      <c r="DO78" s="446"/>
      <c r="DP78" s="446"/>
      <c r="DQ78" s="446"/>
      <c r="DR78" s="446"/>
      <c r="DS78" s="446"/>
      <c r="DT78" s="446"/>
      <c r="DU78" s="446"/>
      <c r="DV78" s="446"/>
      <c r="DW78" s="446"/>
      <c r="DX78" s="446"/>
      <c r="DY78" s="446"/>
      <c r="DZ78" s="446"/>
      <c r="EA78" s="446"/>
      <c r="EB78" s="446"/>
      <c r="EC78" s="446"/>
    </row>
    <row r="79" spans="1:134" ht="12" customHeight="1">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446"/>
      <c r="AB79" s="446"/>
      <c r="AC79" s="446"/>
      <c r="AD79" s="446"/>
      <c r="AE79" s="446"/>
      <c r="AF79" s="446"/>
      <c r="AG79" s="446"/>
      <c r="AH79" s="446"/>
      <c r="AI79" s="446"/>
      <c r="AJ79" s="446"/>
      <c r="AK79" s="446"/>
      <c r="AL79" s="446"/>
      <c r="AM79" s="446"/>
      <c r="AN79" s="446"/>
      <c r="AO79" s="446"/>
      <c r="AP79" s="446"/>
      <c r="AQ79" s="446"/>
      <c r="AR79" s="446"/>
      <c r="AS79" s="446"/>
      <c r="AT79" s="446"/>
      <c r="AU79" s="446"/>
      <c r="AV79" s="446"/>
      <c r="AW79" s="446"/>
      <c r="AX79" s="446"/>
      <c r="AY79" s="446"/>
      <c r="AZ79" s="446"/>
      <c r="BA79" s="446"/>
      <c r="BB79" s="446"/>
      <c r="BC79" s="446"/>
      <c r="BD79" s="446"/>
      <c r="BE79" s="446"/>
      <c r="BF79" s="446"/>
      <c r="BG79" s="446"/>
      <c r="BH79" s="446"/>
      <c r="BI79" s="446"/>
      <c r="BJ79" s="446"/>
      <c r="BK79" s="446"/>
      <c r="BL79" s="446"/>
      <c r="BM79" s="446"/>
      <c r="BN79" s="446"/>
      <c r="BO79" s="446"/>
      <c r="BP79" s="446"/>
      <c r="BQ79" s="446"/>
      <c r="BR79" s="446"/>
      <c r="BS79" s="446"/>
      <c r="BT79" s="446"/>
      <c r="BU79" s="446"/>
      <c r="BV79" s="446"/>
      <c r="BW79" s="446"/>
      <c r="BX79" s="446"/>
      <c r="BY79" s="446"/>
      <c r="BZ79" s="446"/>
      <c r="CA79" s="446"/>
      <c r="CB79" s="446"/>
      <c r="CC79" s="446"/>
      <c r="CD79" s="446"/>
      <c r="CE79" s="446"/>
      <c r="CF79" s="446"/>
      <c r="CG79" s="446"/>
      <c r="CH79" s="446"/>
      <c r="CI79" s="446"/>
      <c r="CJ79" s="446"/>
      <c r="CK79" s="446"/>
      <c r="CL79" s="446"/>
      <c r="CM79" s="446"/>
      <c r="CN79" s="446"/>
      <c r="CO79" s="446"/>
      <c r="CP79" s="446"/>
      <c r="CQ79" s="446"/>
      <c r="CR79" s="446"/>
      <c r="CS79" s="446"/>
      <c r="CT79" s="446"/>
      <c r="CU79" s="446"/>
      <c r="CV79" s="446"/>
      <c r="CW79" s="446"/>
      <c r="CX79" s="446"/>
      <c r="CY79" s="446"/>
      <c r="CZ79" s="446"/>
      <c r="DA79" s="446"/>
      <c r="DB79" s="446"/>
      <c r="DC79" s="446"/>
      <c r="DD79" s="446"/>
      <c r="DE79" s="446"/>
      <c r="DF79" s="446"/>
      <c r="DG79" s="446"/>
      <c r="DH79" s="446"/>
      <c r="DI79" s="446"/>
      <c r="DJ79" s="446"/>
      <c r="DK79" s="446"/>
      <c r="DL79" s="446"/>
      <c r="DM79" s="446"/>
      <c r="DN79" s="446"/>
      <c r="DO79" s="446"/>
      <c r="DP79" s="446"/>
      <c r="DQ79" s="446"/>
      <c r="DR79" s="446"/>
      <c r="DS79" s="446"/>
      <c r="DT79" s="446"/>
      <c r="DU79" s="446"/>
      <c r="DV79" s="446"/>
      <c r="DW79" s="446"/>
      <c r="DX79" s="446"/>
      <c r="DY79" s="446"/>
      <c r="DZ79" s="446"/>
      <c r="EA79" s="446"/>
      <c r="EB79" s="446"/>
      <c r="EC79" s="446"/>
    </row>
    <row r="80" spans="1:134" ht="12" customHeight="1">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446"/>
      <c r="AB80" s="446"/>
      <c r="AC80" s="446"/>
      <c r="AD80" s="446"/>
      <c r="AE80" s="446"/>
      <c r="AF80" s="446"/>
      <c r="AG80" s="446"/>
      <c r="AH80" s="446"/>
      <c r="AI80" s="446"/>
      <c r="AJ80" s="446"/>
      <c r="AK80" s="446"/>
      <c r="AL80" s="446"/>
      <c r="AM80" s="446"/>
      <c r="AN80" s="446"/>
      <c r="AO80" s="446"/>
      <c r="AP80" s="446"/>
      <c r="AQ80" s="446"/>
      <c r="AR80" s="446"/>
      <c r="AS80" s="446"/>
      <c r="AT80" s="446"/>
      <c r="AU80" s="446"/>
      <c r="AV80" s="446"/>
      <c r="AW80" s="446"/>
      <c r="AX80" s="446"/>
      <c r="AY80" s="446"/>
      <c r="AZ80" s="446"/>
      <c r="BA80" s="446"/>
      <c r="BB80" s="446"/>
      <c r="BC80" s="446"/>
      <c r="BD80" s="446"/>
      <c r="BE80" s="446"/>
      <c r="BF80" s="446"/>
      <c r="BG80" s="446"/>
      <c r="BH80" s="446"/>
      <c r="BI80" s="446"/>
      <c r="BJ80" s="446"/>
      <c r="BK80" s="446"/>
      <c r="BL80" s="446"/>
      <c r="BM80" s="446"/>
      <c r="BN80" s="446"/>
      <c r="BO80" s="446"/>
      <c r="BP80" s="446"/>
      <c r="BQ80" s="446"/>
      <c r="BR80" s="446"/>
      <c r="BS80" s="446"/>
      <c r="BT80" s="446"/>
      <c r="BU80" s="446"/>
      <c r="BV80" s="446"/>
      <c r="BW80" s="446"/>
      <c r="BX80" s="446"/>
      <c r="BY80" s="446"/>
      <c r="BZ80" s="446"/>
      <c r="CA80" s="446"/>
      <c r="CB80" s="446"/>
      <c r="CC80" s="446"/>
      <c r="CD80" s="446"/>
      <c r="CE80" s="446"/>
      <c r="CF80" s="446"/>
      <c r="CG80" s="446"/>
      <c r="CH80" s="446"/>
      <c r="CI80" s="446"/>
      <c r="CJ80" s="446"/>
      <c r="CK80" s="446"/>
      <c r="CL80" s="446"/>
      <c r="CM80" s="446"/>
      <c r="CN80" s="446"/>
      <c r="CO80" s="446"/>
      <c r="CP80" s="446"/>
      <c r="CQ80" s="446"/>
      <c r="CR80" s="446"/>
      <c r="CS80" s="446"/>
      <c r="CT80" s="446"/>
      <c r="CU80" s="446"/>
      <c r="CV80" s="446"/>
      <c r="CW80" s="446"/>
      <c r="CX80" s="446"/>
      <c r="CY80" s="446"/>
      <c r="CZ80" s="446"/>
      <c r="DA80" s="446"/>
      <c r="DB80" s="446"/>
      <c r="DC80" s="446"/>
      <c r="DD80" s="446"/>
      <c r="DE80" s="446"/>
      <c r="DF80" s="446"/>
      <c r="DG80" s="446"/>
      <c r="DH80" s="446"/>
      <c r="DI80" s="446"/>
      <c r="DJ80" s="446"/>
      <c r="DK80" s="446"/>
      <c r="DL80" s="446"/>
      <c r="DM80" s="446"/>
      <c r="DN80" s="446"/>
      <c r="DO80" s="446"/>
      <c r="DP80" s="446"/>
      <c r="DQ80" s="446"/>
      <c r="DR80" s="446"/>
      <c r="DS80" s="446"/>
      <c r="DT80" s="446"/>
      <c r="DU80" s="446"/>
      <c r="DV80" s="446"/>
      <c r="DW80" s="446"/>
      <c r="DX80" s="446"/>
      <c r="DY80" s="446"/>
      <c r="DZ80" s="446"/>
      <c r="EA80" s="446"/>
      <c r="EB80" s="446"/>
      <c r="EC80" s="446"/>
    </row>
    <row r="81" spans="4:133" ht="12" customHeight="1">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446"/>
      <c r="AB81" s="446"/>
      <c r="AC81" s="446"/>
      <c r="AD81" s="446"/>
      <c r="AE81" s="446"/>
      <c r="AF81" s="446"/>
      <c r="AG81" s="446"/>
      <c r="AH81" s="446"/>
      <c r="AI81" s="446"/>
      <c r="AJ81" s="446"/>
      <c r="AK81" s="446"/>
      <c r="AL81" s="446"/>
      <c r="AM81" s="446"/>
      <c r="AN81" s="446"/>
      <c r="AO81" s="446"/>
      <c r="AP81" s="446"/>
      <c r="AQ81" s="446"/>
      <c r="AR81" s="446"/>
      <c r="AS81" s="446"/>
      <c r="AT81" s="446"/>
      <c r="AU81" s="446"/>
      <c r="AV81" s="446"/>
      <c r="AW81" s="446"/>
      <c r="AX81" s="446"/>
      <c r="AY81" s="446"/>
      <c r="AZ81" s="446"/>
      <c r="BA81" s="446"/>
      <c r="BB81" s="446"/>
      <c r="BC81" s="446"/>
      <c r="BD81" s="446"/>
      <c r="BE81" s="446"/>
      <c r="BF81" s="446"/>
      <c r="BG81" s="446"/>
      <c r="BH81" s="446"/>
      <c r="BI81" s="446"/>
      <c r="BJ81" s="446"/>
      <c r="BK81" s="446"/>
      <c r="BL81" s="446"/>
      <c r="BM81" s="446"/>
      <c r="BN81" s="446"/>
      <c r="BO81" s="446"/>
      <c r="BP81" s="446"/>
      <c r="BQ81" s="446"/>
      <c r="BR81" s="446"/>
      <c r="BS81" s="446"/>
      <c r="BT81" s="446"/>
      <c r="BU81" s="446"/>
      <c r="BV81" s="446"/>
      <c r="BW81" s="446"/>
      <c r="BX81" s="446"/>
      <c r="BY81" s="446"/>
      <c r="BZ81" s="446"/>
      <c r="CA81" s="446"/>
      <c r="CB81" s="446"/>
      <c r="CC81" s="446"/>
      <c r="CD81" s="446"/>
      <c r="CE81" s="446"/>
      <c r="CF81" s="446"/>
      <c r="CG81" s="446"/>
      <c r="CH81" s="446"/>
      <c r="CI81" s="446"/>
      <c r="CJ81" s="446"/>
      <c r="CK81" s="446"/>
      <c r="CL81" s="446"/>
      <c r="CM81" s="446"/>
      <c r="CN81" s="446"/>
      <c r="CO81" s="446"/>
      <c r="CP81" s="446"/>
      <c r="CQ81" s="446"/>
      <c r="CR81" s="446"/>
      <c r="CS81" s="446"/>
      <c r="CT81" s="446"/>
      <c r="CU81" s="446"/>
      <c r="CV81" s="446"/>
      <c r="CW81" s="446"/>
      <c r="CX81" s="446"/>
      <c r="CY81" s="446"/>
      <c r="CZ81" s="446"/>
      <c r="DA81" s="446"/>
      <c r="DB81" s="446"/>
      <c r="DC81" s="446"/>
      <c r="DD81" s="446"/>
      <c r="DE81" s="446"/>
      <c r="DF81" s="446"/>
      <c r="DG81" s="446"/>
      <c r="DH81" s="446"/>
      <c r="DI81" s="446"/>
      <c r="DJ81" s="446"/>
      <c r="DK81" s="446"/>
      <c r="DL81" s="446"/>
      <c r="DM81" s="446"/>
      <c r="DN81" s="446"/>
      <c r="DO81" s="446"/>
      <c r="DP81" s="446"/>
      <c r="DQ81" s="446"/>
      <c r="DR81" s="446"/>
      <c r="DS81" s="446"/>
      <c r="DT81" s="446"/>
      <c r="DU81" s="446"/>
      <c r="DV81" s="446"/>
      <c r="DW81" s="446"/>
      <c r="DX81" s="446"/>
      <c r="DY81" s="446"/>
      <c r="DZ81" s="446"/>
      <c r="EA81" s="446"/>
      <c r="EB81" s="446"/>
      <c r="EC81" s="446"/>
    </row>
    <row r="82" spans="4:133">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446"/>
      <c r="AB82" s="446"/>
      <c r="AC82" s="446"/>
      <c r="AD82" s="446"/>
      <c r="AE82" s="446"/>
      <c r="AF82" s="446"/>
      <c r="AG82" s="446"/>
      <c r="AH82" s="446"/>
      <c r="AI82" s="446"/>
      <c r="AJ82" s="446"/>
      <c r="AK82" s="446"/>
      <c r="AL82" s="446"/>
      <c r="AM82" s="446"/>
      <c r="AN82" s="446"/>
      <c r="AO82" s="446"/>
      <c r="AP82" s="446"/>
      <c r="AQ82" s="446"/>
      <c r="AR82" s="446"/>
      <c r="AS82" s="446"/>
      <c r="AT82" s="446"/>
      <c r="AU82" s="446"/>
      <c r="AV82" s="446"/>
      <c r="AW82" s="446"/>
      <c r="AX82" s="446"/>
      <c r="AY82" s="446"/>
      <c r="AZ82" s="446"/>
      <c r="BA82" s="446"/>
      <c r="BB82" s="446"/>
      <c r="BC82" s="446"/>
      <c r="BD82" s="446"/>
      <c r="BE82" s="446"/>
      <c r="BF82" s="446"/>
      <c r="BG82" s="446"/>
      <c r="BH82" s="446"/>
      <c r="BI82" s="446"/>
      <c r="BJ82" s="446"/>
      <c r="BK82" s="446"/>
      <c r="BL82" s="446"/>
      <c r="BM82" s="446"/>
      <c r="BN82" s="446"/>
      <c r="BO82" s="446"/>
      <c r="BP82" s="446"/>
      <c r="BQ82" s="446"/>
      <c r="BR82" s="446"/>
      <c r="BS82" s="446"/>
      <c r="BT82" s="446"/>
      <c r="BU82" s="446"/>
      <c r="BV82" s="446"/>
      <c r="BW82" s="446"/>
      <c r="BX82" s="446"/>
      <c r="BY82" s="446"/>
      <c r="BZ82" s="446"/>
      <c r="CA82" s="446"/>
      <c r="CB82" s="446"/>
      <c r="CC82" s="446"/>
      <c r="CD82" s="446"/>
      <c r="CE82" s="446"/>
      <c r="CF82" s="446"/>
      <c r="CG82" s="446"/>
      <c r="CH82" s="446"/>
      <c r="CI82" s="446"/>
      <c r="CJ82" s="446"/>
      <c r="CK82" s="446"/>
      <c r="CL82" s="446"/>
      <c r="CM82" s="446"/>
      <c r="CN82" s="446"/>
      <c r="CO82" s="446"/>
      <c r="CP82" s="446"/>
      <c r="CQ82" s="446"/>
      <c r="CR82" s="446"/>
      <c r="CS82" s="446"/>
      <c r="CT82" s="446"/>
      <c r="CU82" s="446"/>
      <c r="CV82" s="446"/>
      <c r="CW82" s="446"/>
      <c r="CX82" s="446"/>
      <c r="CY82" s="446"/>
      <c r="CZ82" s="446"/>
      <c r="DA82" s="446"/>
      <c r="DB82" s="446"/>
      <c r="DC82" s="446"/>
      <c r="DD82" s="446"/>
      <c r="DE82" s="446"/>
      <c r="DF82" s="446"/>
      <c r="DG82" s="446"/>
      <c r="DH82" s="446"/>
      <c r="DI82" s="446"/>
      <c r="DJ82" s="446"/>
      <c r="DK82" s="446"/>
      <c r="DL82" s="446"/>
      <c r="DM82" s="446"/>
      <c r="DN82" s="446"/>
      <c r="DO82" s="446"/>
      <c r="DP82" s="446"/>
      <c r="DQ82" s="446"/>
      <c r="DR82" s="446"/>
      <c r="DS82" s="446"/>
      <c r="DT82" s="446"/>
      <c r="DU82" s="446"/>
      <c r="DV82" s="446"/>
      <c r="DW82" s="446"/>
      <c r="DX82" s="446"/>
      <c r="DY82" s="446"/>
      <c r="DZ82" s="446"/>
      <c r="EA82" s="446"/>
      <c r="EB82" s="446"/>
      <c r="EC82" s="446"/>
    </row>
    <row r="83" spans="4:133">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446"/>
      <c r="AB83" s="446"/>
      <c r="AC83" s="446"/>
      <c r="AD83" s="446"/>
      <c r="AE83" s="446"/>
      <c r="AF83" s="446"/>
      <c r="AG83" s="446"/>
      <c r="AH83" s="446"/>
      <c r="AI83" s="446"/>
      <c r="AJ83" s="446"/>
      <c r="AK83" s="446"/>
      <c r="AL83" s="446"/>
      <c r="AM83" s="446"/>
      <c r="AN83" s="446"/>
      <c r="AO83" s="446"/>
      <c r="AP83" s="446"/>
      <c r="AQ83" s="446"/>
      <c r="AR83" s="446"/>
      <c r="AS83" s="446"/>
      <c r="AT83" s="446"/>
      <c r="AU83" s="446"/>
      <c r="AV83" s="446"/>
      <c r="AW83" s="446"/>
      <c r="AX83" s="446"/>
      <c r="AY83" s="446"/>
      <c r="AZ83" s="446"/>
      <c r="BA83" s="446"/>
      <c r="BB83" s="446"/>
      <c r="BC83" s="446"/>
      <c r="BD83" s="446"/>
      <c r="BE83" s="446"/>
      <c r="BF83" s="446"/>
      <c r="BG83" s="446"/>
      <c r="BH83" s="446"/>
      <c r="BI83" s="446"/>
      <c r="BJ83" s="446"/>
      <c r="BK83" s="446"/>
      <c r="BL83" s="446"/>
      <c r="BM83" s="446"/>
      <c r="BN83" s="446"/>
      <c r="BO83" s="446"/>
      <c r="BP83" s="446"/>
      <c r="BQ83" s="446"/>
      <c r="BR83" s="446"/>
      <c r="BS83" s="446"/>
      <c r="BT83" s="446"/>
      <c r="BU83" s="446"/>
      <c r="BV83" s="446"/>
      <c r="BW83" s="446"/>
      <c r="BX83" s="446"/>
      <c r="BY83" s="446"/>
      <c r="BZ83" s="446"/>
      <c r="CA83" s="446"/>
      <c r="CB83" s="446"/>
      <c r="CC83" s="446"/>
      <c r="CD83" s="446"/>
      <c r="CE83" s="446"/>
      <c r="CF83" s="446"/>
      <c r="CG83" s="446"/>
      <c r="CH83" s="446"/>
      <c r="CI83" s="446"/>
      <c r="CJ83" s="446"/>
      <c r="CK83" s="446"/>
      <c r="CL83" s="446"/>
      <c r="CM83" s="446"/>
      <c r="CN83" s="446"/>
      <c r="CO83" s="446"/>
      <c r="CP83" s="446"/>
      <c r="CQ83" s="446"/>
      <c r="CR83" s="446"/>
      <c r="CS83" s="446"/>
      <c r="CT83" s="446"/>
      <c r="CU83" s="446"/>
      <c r="CV83" s="446"/>
      <c r="CW83" s="446"/>
      <c r="CX83" s="446"/>
      <c r="CY83" s="446"/>
      <c r="CZ83" s="446"/>
      <c r="DA83" s="446"/>
      <c r="DB83" s="446"/>
      <c r="DC83" s="446"/>
      <c r="DD83" s="446"/>
      <c r="DE83" s="446"/>
      <c r="DF83" s="446"/>
      <c r="DG83" s="446"/>
      <c r="DH83" s="446"/>
      <c r="DI83" s="446"/>
      <c r="DJ83" s="446"/>
      <c r="DK83" s="446"/>
      <c r="DL83" s="446"/>
      <c r="DM83" s="446"/>
      <c r="DN83" s="446"/>
      <c r="DO83" s="446"/>
      <c r="DP83" s="446"/>
      <c r="DQ83" s="446"/>
      <c r="DR83" s="446"/>
      <c r="DS83" s="446"/>
      <c r="DT83" s="446"/>
      <c r="DU83" s="446"/>
      <c r="DV83" s="446"/>
      <c r="DW83" s="446"/>
      <c r="DX83" s="446"/>
      <c r="DY83" s="446"/>
      <c r="DZ83" s="446"/>
      <c r="EA83" s="446"/>
      <c r="EB83" s="446"/>
      <c r="EC83" s="446"/>
    </row>
    <row r="84" spans="4:133">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446"/>
      <c r="AB84" s="446"/>
      <c r="AC84" s="446"/>
      <c r="AD84" s="446"/>
      <c r="AE84" s="446"/>
      <c r="AF84" s="446"/>
      <c r="AG84" s="446"/>
      <c r="AH84" s="446"/>
      <c r="AI84" s="446"/>
      <c r="AJ84" s="446"/>
      <c r="AK84" s="446"/>
      <c r="AL84" s="446"/>
      <c r="AM84" s="446"/>
      <c r="AN84" s="446"/>
      <c r="AO84" s="446"/>
      <c r="AP84" s="446"/>
      <c r="AQ84" s="446"/>
      <c r="AR84" s="446"/>
      <c r="AS84" s="446"/>
      <c r="AT84" s="446"/>
      <c r="AU84" s="446"/>
      <c r="AV84" s="446"/>
      <c r="AW84" s="446"/>
      <c r="AX84" s="446"/>
      <c r="AY84" s="446"/>
      <c r="AZ84" s="446"/>
      <c r="BA84" s="446"/>
      <c r="BB84" s="446"/>
      <c r="BC84" s="446"/>
      <c r="BD84" s="446"/>
      <c r="BE84" s="446"/>
      <c r="BF84" s="446"/>
      <c r="BG84" s="446"/>
      <c r="BH84" s="446"/>
      <c r="BI84" s="446"/>
      <c r="BJ84" s="446"/>
      <c r="BK84" s="446"/>
      <c r="BL84" s="446"/>
      <c r="BM84" s="446"/>
      <c r="BN84" s="446"/>
      <c r="BO84" s="446"/>
      <c r="BP84" s="446"/>
      <c r="BQ84" s="446"/>
      <c r="BR84" s="446"/>
      <c r="BS84" s="446"/>
      <c r="BT84" s="446"/>
      <c r="BU84" s="446"/>
      <c r="BV84" s="446"/>
      <c r="BW84" s="446"/>
      <c r="BX84" s="446"/>
      <c r="BY84" s="446"/>
      <c r="BZ84" s="446"/>
      <c r="CA84" s="446"/>
      <c r="CB84" s="446"/>
      <c r="CC84" s="446"/>
      <c r="CD84" s="446"/>
      <c r="CE84" s="446"/>
      <c r="CF84" s="446"/>
      <c r="CG84" s="446"/>
      <c r="CH84" s="446"/>
      <c r="CI84" s="446"/>
      <c r="CJ84" s="446"/>
      <c r="CK84" s="446"/>
      <c r="CL84" s="446"/>
      <c r="CM84" s="446"/>
      <c r="CN84" s="446"/>
      <c r="CO84" s="446"/>
      <c r="CP84" s="446"/>
      <c r="CQ84" s="446"/>
      <c r="CR84" s="446"/>
      <c r="CS84" s="446"/>
      <c r="CT84" s="446"/>
      <c r="CU84" s="446"/>
      <c r="CV84" s="446"/>
      <c r="CW84" s="446"/>
      <c r="CX84" s="446"/>
      <c r="CY84" s="446"/>
      <c r="CZ84" s="446"/>
      <c r="DA84" s="446"/>
      <c r="DB84" s="446"/>
      <c r="DC84" s="446"/>
      <c r="DD84" s="446"/>
      <c r="DE84" s="446"/>
      <c r="DF84" s="446"/>
      <c r="DG84" s="446"/>
      <c r="DH84" s="446"/>
      <c r="DI84" s="446"/>
      <c r="DJ84" s="446"/>
      <c r="DK84" s="446"/>
      <c r="DL84" s="446"/>
      <c r="DM84" s="446"/>
      <c r="DN84" s="446"/>
      <c r="DO84" s="446"/>
      <c r="DP84" s="446"/>
      <c r="DQ84" s="446"/>
      <c r="DR84" s="446"/>
      <c r="DS84" s="446"/>
      <c r="DT84" s="446"/>
      <c r="DU84" s="446"/>
      <c r="DV84" s="446"/>
      <c r="DW84" s="446"/>
      <c r="DX84" s="446"/>
      <c r="DY84" s="446"/>
      <c r="DZ84" s="446"/>
      <c r="EA84" s="446"/>
      <c r="EB84" s="446"/>
      <c r="EC84" s="446"/>
    </row>
    <row r="85" spans="4:133">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446"/>
      <c r="AB85" s="446"/>
      <c r="AC85" s="446"/>
      <c r="AD85" s="446"/>
      <c r="AE85" s="446"/>
      <c r="AF85" s="446"/>
      <c r="AG85" s="446"/>
      <c r="AH85" s="446"/>
      <c r="AI85" s="446"/>
      <c r="AJ85" s="446"/>
      <c r="AK85" s="446"/>
      <c r="AL85" s="446"/>
      <c r="AM85" s="446"/>
      <c r="AN85" s="446"/>
      <c r="AO85" s="446"/>
      <c r="AP85" s="446"/>
      <c r="AQ85" s="446"/>
      <c r="AR85" s="446"/>
      <c r="AS85" s="446"/>
      <c r="AT85" s="446"/>
      <c r="AU85" s="446"/>
      <c r="AV85" s="446"/>
      <c r="AW85" s="446"/>
      <c r="AX85" s="446"/>
      <c r="AY85" s="446"/>
      <c r="AZ85" s="446"/>
      <c r="BA85" s="446"/>
      <c r="BB85" s="446"/>
      <c r="BC85" s="446"/>
      <c r="BD85" s="446"/>
      <c r="BE85" s="446"/>
      <c r="BF85" s="446"/>
      <c r="BG85" s="446"/>
      <c r="BH85" s="446"/>
      <c r="BI85" s="446"/>
      <c r="BJ85" s="446"/>
      <c r="BK85" s="446"/>
      <c r="BL85" s="446"/>
      <c r="BM85" s="446"/>
      <c r="BN85" s="446"/>
      <c r="BO85" s="446"/>
      <c r="BP85" s="446"/>
      <c r="BQ85" s="446"/>
      <c r="BR85" s="446"/>
      <c r="BS85" s="446"/>
      <c r="BT85" s="446"/>
      <c r="BU85" s="446"/>
      <c r="BV85" s="446"/>
      <c r="BW85" s="446"/>
      <c r="BX85" s="446"/>
      <c r="BY85" s="446"/>
      <c r="BZ85" s="446"/>
      <c r="CA85" s="446"/>
      <c r="CB85" s="446"/>
      <c r="CC85" s="446"/>
      <c r="CD85" s="446"/>
      <c r="CE85" s="446"/>
      <c r="CF85" s="446"/>
      <c r="CG85" s="446"/>
      <c r="CH85" s="446"/>
      <c r="CI85" s="446"/>
      <c r="CJ85" s="446"/>
      <c r="CK85" s="446"/>
      <c r="CL85" s="446"/>
      <c r="CM85" s="446"/>
      <c r="CN85" s="446"/>
      <c r="CO85" s="446"/>
      <c r="CP85" s="446"/>
      <c r="CQ85" s="446"/>
      <c r="CR85" s="446"/>
      <c r="CS85" s="446"/>
      <c r="CT85" s="446"/>
      <c r="CU85" s="446"/>
      <c r="CV85" s="446"/>
      <c r="CW85" s="446"/>
      <c r="CX85" s="446"/>
      <c r="CY85" s="446"/>
      <c r="CZ85" s="446"/>
      <c r="DA85" s="446"/>
      <c r="DB85" s="446"/>
      <c r="DC85" s="446"/>
      <c r="DD85" s="446"/>
      <c r="DE85" s="446"/>
      <c r="DF85" s="446"/>
      <c r="DG85" s="446"/>
      <c r="DH85" s="446"/>
      <c r="DI85" s="446"/>
      <c r="DJ85" s="446"/>
      <c r="DK85" s="446"/>
      <c r="DL85" s="446"/>
      <c r="DM85" s="446"/>
      <c r="DN85" s="446"/>
      <c r="DO85" s="446"/>
      <c r="DP85" s="446"/>
      <c r="DQ85" s="446"/>
      <c r="DR85" s="446"/>
      <c r="DS85" s="446"/>
      <c r="DT85" s="446"/>
      <c r="DU85" s="446"/>
      <c r="DV85" s="446"/>
      <c r="DW85" s="446"/>
      <c r="DX85" s="446"/>
      <c r="DY85" s="446"/>
      <c r="DZ85" s="446"/>
      <c r="EA85" s="446"/>
      <c r="EB85" s="446"/>
      <c r="EC85" s="446"/>
    </row>
    <row r="86" spans="4:133">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446"/>
      <c r="AB86" s="446"/>
      <c r="AC86" s="446"/>
      <c r="AD86" s="446"/>
      <c r="AE86" s="446"/>
      <c r="AF86" s="446"/>
      <c r="AG86" s="446"/>
      <c r="AH86" s="446"/>
      <c r="AI86" s="446"/>
      <c r="AJ86" s="446"/>
      <c r="AK86" s="446"/>
      <c r="AL86" s="446"/>
      <c r="AM86" s="446"/>
      <c r="AN86" s="446"/>
      <c r="AO86" s="446"/>
      <c r="AP86" s="446"/>
      <c r="AQ86" s="446"/>
      <c r="AR86" s="446"/>
      <c r="AS86" s="446"/>
      <c r="AT86" s="446"/>
      <c r="AU86" s="446"/>
      <c r="AV86" s="446"/>
      <c r="AW86" s="446"/>
      <c r="AX86" s="446"/>
      <c r="AY86" s="446"/>
      <c r="AZ86" s="446"/>
      <c r="BA86" s="446"/>
      <c r="BB86" s="446"/>
      <c r="BC86" s="446"/>
      <c r="BD86" s="446"/>
      <c r="BE86" s="446"/>
      <c r="BF86" s="446"/>
      <c r="BG86" s="446"/>
      <c r="BH86" s="446"/>
      <c r="BI86" s="446"/>
      <c r="BJ86" s="446"/>
      <c r="BK86" s="446"/>
      <c r="BL86" s="446"/>
      <c r="BM86" s="446"/>
      <c r="BN86" s="446"/>
      <c r="BO86" s="446"/>
      <c r="BP86" s="446"/>
      <c r="BQ86" s="446"/>
      <c r="BR86" s="446"/>
      <c r="BS86" s="446"/>
      <c r="BT86" s="446"/>
      <c r="BU86" s="446"/>
      <c r="BV86" s="446"/>
      <c r="BW86" s="446"/>
      <c r="BX86" s="446"/>
      <c r="BY86" s="446"/>
      <c r="BZ86" s="446"/>
      <c r="CA86" s="446"/>
      <c r="CB86" s="446"/>
      <c r="CC86" s="446"/>
      <c r="CD86" s="446"/>
      <c r="CE86" s="446"/>
      <c r="CF86" s="446"/>
      <c r="CG86" s="446"/>
      <c r="CH86" s="446"/>
      <c r="CI86" s="446"/>
      <c r="CJ86" s="446"/>
      <c r="CK86" s="446"/>
      <c r="CL86" s="446"/>
      <c r="CM86" s="446"/>
      <c r="CN86" s="446"/>
      <c r="CO86" s="446"/>
      <c r="CP86" s="446"/>
      <c r="CQ86" s="446"/>
      <c r="CR86" s="446"/>
      <c r="CS86" s="446"/>
      <c r="CT86" s="446"/>
      <c r="CU86" s="446"/>
      <c r="CV86" s="446"/>
      <c r="CW86" s="446"/>
      <c r="CX86" s="446"/>
      <c r="CY86" s="446"/>
      <c r="CZ86" s="446"/>
      <c r="DA86" s="446"/>
      <c r="DB86" s="446"/>
      <c r="DC86" s="446"/>
      <c r="DD86" s="446"/>
      <c r="DE86" s="446"/>
      <c r="DF86" s="446"/>
      <c r="DG86" s="446"/>
      <c r="DH86" s="446"/>
      <c r="DI86" s="446"/>
      <c r="DJ86" s="446"/>
      <c r="DK86" s="446"/>
      <c r="DL86" s="446"/>
      <c r="DM86" s="446"/>
      <c r="DN86" s="446"/>
      <c r="DO86" s="446"/>
      <c r="DP86" s="446"/>
      <c r="DQ86" s="446"/>
      <c r="DR86" s="446"/>
      <c r="DS86" s="446"/>
      <c r="DT86" s="446"/>
      <c r="DU86" s="446"/>
      <c r="DV86" s="446"/>
      <c r="DW86" s="446"/>
      <c r="DX86" s="446"/>
      <c r="DY86" s="446"/>
      <c r="DZ86" s="446"/>
      <c r="EA86" s="446"/>
      <c r="EB86" s="446"/>
      <c r="EC86" s="446"/>
    </row>
    <row r="87" spans="4:133">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446"/>
      <c r="AB87" s="446"/>
      <c r="AC87" s="446"/>
      <c r="AD87" s="446"/>
      <c r="AE87" s="446"/>
      <c r="AF87" s="446"/>
      <c r="AG87" s="446"/>
      <c r="AH87" s="446"/>
      <c r="AI87" s="446"/>
      <c r="AJ87" s="446"/>
      <c r="AK87" s="446"/>
      <c r="AL87" s="446"/>
      <c r="AM87" s="446"/>
      <c r="AN87" s="44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c r="CA87" s="446"/>
      <c r="CB87" s="446"/>
      <c r="CC87" s="446"/>
      <c r="CD87" s="446"/>
      <c r="CE87" s="446"/>
      <c r="CF87" s="446"/>
      <c r="CG87" s="446"/>
      <c r="CH87" s="446"/>
      <c r="CI87" s="446"/>
      <c r="CJ87" s="446"/>
      <c r="CK87" s="446"/>
      <c r="CL87" s="446"/>
      <c r="CM87" s="446"/>
      <c r="CN87" s="446"/>
      <c r="CO87" s="446"/>
      <c r="CP87" s="446"/>
      <c r="CQ87" s="446"/>
      <c r="CR87" s="446"/>
      <c r="CS87" s="446"/>
      <c r="CT87" s="446"/>
      <c r="CU87" s="446"/>
      <c r="CV87" s="446"/>
      <c r="CW87" s="446"/>
      <c r="CX87" s="446"/>
      <c r="CY87" s="446"/>
      <c r="CZ87" s="446"/>
      <c r="DA87" s="446"/>
      <c r="DB87" s="446"/>
      <c r="DC87" s="446"/>
      <c r="DD87" s="446"/>
      <c r="DE87" s="446"/>
      <c r="DF87" s="446"/>
      <c r="DG87" s="446"/>
      <c r="DH87" s="446"/>
      <c r="DI87" s="446"/>
      <c r="DJ87" s="446"/>
      <c r="DK87" s="446"/>
      <c r="DL87" s="446"/>
      <c r="DM87" s="446"/>
      <c r="DN87" s="446"/>
      <c r="DO87" s="446"/>
      <c r="DP87" s="446"/>
      <c r="DQ87" s="446"/>
      <c r="DR87" s="446"/>
      <c r="DS87" s="446"/>
      <c r="DT87" s="446"/>
      <c r="DU87" s="446"/>
      <c r="DV87" s="446"/>
      <c r="DW87" s="446"/>
      <c r="DX87" s="446"/>
      <c r="DY87" s="446"/>
      <c r="DZ87" s="446"/>
      <c r="EA87" s="446"/>
      <c r="EB87" s="446"/>
      <c r="EC87" s="446"/>
    </row>
    <row r="88" spans="4:133">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446"/>
      <c r="AB88" s="446"/>
      <c r="AC88" s="446"/>
      <c r="AD88" s="446"/>
      <c r="AE88" s="446"/>
      <c r="AF88" s="446"/>
      <c r="AG88" s="446"/>
      <c r="AH88" s="446"/>
      <c r="AI88" s="446"/>
      <c r="AJ88" s="446"/>
      <c r="AK88" s="446"/>
      <c r="AL88" s="446"/>
      <c r="AM88" s="446"/>
      <c r="AN88" s="446"/>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c r="CA88" s="446"/>
      <c r="CB88" s="446"/>
      <c r="CC88" s="446"/>
      <c r="CD88" s="446"/>
      <c r="CE88" s="446"/>
      <c r="CF88" s="446"/>
      <c r="CG88" s="446"/>
      <c r="CH88" s="446"/>
      <c r="CI88" s="446"/>
      <c r="CJ88" s="446"/>
      <c r="CK88" s="446"/>
      <c r="CL88" s="446"/>
      <c r="CM88" s="446"/>
      <c r="CN88" s="446"/>
      <c r="CO88" s="446"/>
      <c r="CP88" s="446"/>
      <c r="CQ88" s="446"/>
      <c r="CR88" s="446"/>
      <c r="CS88" s="446"/>
      <c r="CT88" s="446"/>
      <c r="CU88" s="446"/>
      <c r="CV88" s="446"/>
      <c r="CW88" s="446"/>
      <c r="CX88" s="446"/>
      <c r="CY88" s="446"/>
      <c r="CZ88" s="446"/>
      <c r="DA88" s="446"/>
      <c r="DB88" s="446"/>
      <c r="DC88" s="446"/>
      <c r="DD88" s="446"/>
      <c r="DE88" s="446"/>
      <c r="DF88" s="446"/>
      <c r="DG88" s="446"/>
      <c r="DH88" s="446"/>
      <c r="DI88" s="446"/>
      <c r="DJ88" s="446"/>
      <c r="DK88" s="446"/>
      <c r="DL88" s="446"/>
      <c r="DM88" s="446"/>
      <c r="DN88" s="446"/>
      <c r="DO88" s="446"/>
      <c r="DP88" s="446"/>
      <c r="DQ88" s="446"/>
      <c r="DR88" s="446"/>
      <c r="DS88" s="446"/>
      <c r="DT88" s="446"/>
      <c r="DU88" s="446"/>
      <c r="DV88" s="446"/>
      <c r="DW88" s="446"/>
      <c r="DX88" s="446"/>
      <c r="DY88" s="446"/>
      <c r="DZ88" s="446"/>
      <c r="EA88" s="446"/>
      <c r="EB88" s="446"/>
      <c r="EC88" s="446"/>
    </row>
    <row r="89" spans="4:133">
      <c r="D89" s="446"/>
      <c r="E89" s="446"/>
      <c r="F89" s="446"/>
      <c r="G89" s="446"/>
      <c r="H89" s="446"/>
      <c r="I89" s="446"/>
      <c r="J89" s="446"/>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6"/>
      <c r="AI89" s="446"/>
      <c r="AJ89" s="446"/>
      <c r="AK89" s="446"/>
      <c r="AL89" s="446"/>
      <c r="AM89" s="446"/>
      <c r="AN89" s="446"/>
      <c r="AO89" s="446"/>
      <c r="AP89" s="446"/>
      <c r="AQ89" s="446"/>
      <c r="AR89" s="446"/>
      <c r="AS89" s="446"/>
      <c r="AT89" s="446"/>
      <c r="AU89" s="446"/>
      <c r="AV89" s="446"/>
      <c r="AW89" s="446"/>
      <c r="AX89" s="446"/>
      <c r="AY89" s="446"/>
      <c r="AZ89" s="446"/>
      <c r="BA89" s="446"/>
      <c r="BB89" s="446"/>
      <c r="BC89" s="446"/>
      <c r="BD89" s="446"/>
      <c r="BE89" s="446"/>
      <c r="BF89" s="446"/>
      <c r="BG89" s="446"/>
      <c r="BH89" s="446"/>
      <c r="BI89" s="446"/>
      <c r="BJ89" s="446"/>
      <c r="BK89" s="446"/>
      <c r="BL89" s="446"/>
      <c r="BM89" s="446"/>
      <c r="BN89" s="446"/>
      <c r="BO89" s="446"/>
      <c r="BP89" s="446"/>
      <c r="BQ89" s="446"/>
      <c r="BR89" s="446"/>
      <c r="BS89" s="446"/>
      <c r="BT89" s="446"/>
      <c r="BU89" s="446"/>
      <c r="BV89" s="446"/>
      <c r="BW89" s="446"/>
      <c r="BX89" s="446"/>
      <c r="BY89" s="446"/>
      <c r="BZ89" s="446"/>
      <c r="CA89" s="446"/>
      <c r="CB89" s="446"/>
      <c r="CC89" s="446"/>
      <c r="CD89" s="446"/>
      <c r="CE89" s="446"/>
      <c r="CF89" s="446"/>
      <c r="CG89" s="446"/>
      <c r="CH89" s="446"/>
      <c r="CI89" s="446"/>
      <c r="CJ89" s="446"/>
      <c r="CK89" s="446"/>
      <c r="CL89" s="446"/>
      <c r="CM89" s="446"/>
      <c r="CN89" s="446"/>
      <c r="CO89" s="446"/>
      <c r="CP89" s="446"/>
      <c r="CQ89" s="446"/>
      <c r="CR89" s="446"/>
      <c r="CS89" s="446"/>
      <c r="CT89" s="446"/>
      <c r="CU89" s="446"/>
      <c r="CV89" s="446"/>
      <c r="CW89" s="446"/>
      <c r="CX89" s="446"/>
      <c r="CY89" s="446"/>
      <c r="CZ89" s="446"/>
      <c r="DA89" s="446"/>
      <c r="DB89" s="446"/>
      <c r="DC89" s="446"/>
      <c r="DD89" s="446"/>
      <c r="DE89" s="446"/>
      <c r="DF89" s="446"/>
      <c r="DG89" s="446"/>
      <c r="DH89" s="446"/>
      <c r="DI89" s="446"/>
      <c r="DJ89" s="446"/>
      <c r="DK89" s="446"/>
      <c r="DL89" s="446"/>
      <c r="DM89" s="446"/>
      <c r="DN89" s="446"/>
      <c r="DO89" s="446"/>
      <c r="DP89" s="446"/>
      <c r="DQ89" s="446"/>
      <c r="DR89" s="446"/>
      <c r="DS89" s="446"/>
      <c r="DT89" s="446"/>
      <c r="DU89" s="446"/>
      <c r="DV89" s="446"/>
      <c r="DW89" s="446"/>
      <c r="DX89" s="446"/>
      <c r="DY89" s="446"/>
      <c r="DZ89" s="446"/>
      <c r="EA89" s="446"/>
      <c r="EB89" s="446"/>
      <c r="EC89" s="446"/>
    </row>
    <row r="90" spans="4:133">
      <c r="D90" s="446"/>
      <c r="E90" s="446"/>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6"/>
      <c r="AF90" s="446"/>
      <c r="AG90" s="446"/>
      <c r="AH90" s="446"/>
      <c r="AI90" s="446"/>
      <c r="AJ90" s="446"/>
      <c r="AK90" s="446"/>
      <c r="AL90" s="446"/>
      <c r="AM90" s="446"/>
      <c r="AN90" s="446"/>
      <c r="AO90" s="446"/>
      <c r="AP90" s="446"/>
      <c r="AQ90" s="446"/>
      <c r="AR90" s="446"/>
      <c r="AS90" s="446"/>
      <c r="AT90" s="446"/>
      <c r="AU90" s="446"/>
      <c r="AV90" s="446"/>
      <c r="AW90" s="446"/>
      <c r="AX90" s="446"/>
      <c r="AY90" s="446"/>
      <c r="AZ90" s="446"/>
      <c r="BA90" s="446"/>
      <c r="BB90" s="446"/>
      <c r="BC90" s="446"/>
      <c r="BD90" s="446"/>
      <c r="BE90" s="446"/>
      <c r="BF90" s="446"/>
      <c r="BG90" s="446"/>
      <c r="BH90" s="446"/>
      <c r="BI90" s="446"/>
      <c r="BJ90" s="446"/>
      <c r="BK90" s="446"/>
      <c r="BL90" s="446"/>
      <c r="BM90" s="446"/>
      <c r="BN90" s="446"/>
      <c r="BO90" s="446"/>
      <c r="BP90" s="446"/>
      <c r="BQ90" s="446"/>
      <c r="BR90" s="446"/>
      <c r="BS90" s="446"/>
      <c r="BT90" s="446"/>
      <c r="BU90" s="446"/>
      <c r="BV90" s="446"/>
      <c r="BW90" s="446"/>
      <c r="BX90" s="446"/>
      <c r="BY90" s="446"/>
      <c r="BZ90" s="446"/>
      <c r="CA90" s="446"/>
      <c r="CB90" s="446"/>
      <c r="CC90" s="446"/>
      <c r="CD90" s="446"/>
      <c r="CE90" s="446"/>
      <c r="CF90" s="446"/>
      <c r="CG90" s="446"/>
      <c r="CH90" s="446"/>
      <c r="CI90" s="446"/>
      <c r="CJ90" s="446"/>
      <c r="CK90" s="446"/>
      <c r="CL90" s="446"/>
      <c r="CM90" s="446"/>
      <c r="CN90" s="446"/>
      <c r="CO90" s="446"/>
      <c r="CP90" s="446"/>
      <c r="CQ90" s="446"/>
      <c r="CR90" s="446"/>
      <c r="CS90" s="446"/>
      <c r="CT90" s="446"/>
      <c r="CU90" s="446"/>
      <c r="CV90" s="446"/>
      <c r="CW90" s="446"/>
      <c r="CX90" s="446"/>
      <c r="CY90" s="446"/>
      <c r="CZ90" s="446"/>
      <c r="DA90" s="446"/>
      <c r="DB90" s="446"/>
      <c r="DC90" s="446"/>
      <c r="DD90" s="446"/>
      <c r="DE90" s="446"/>
      <c r="DF90" s="446"/>
      <c r="DG90" s="446"/>
      <c r="DH90" s="446"/>
      <c r="DI90" s="446"/>
      <c r="DJ90" s="446"/>
      <c r="DK90" s="446"/>
      <c r="DL90" s="446"/>
      <c r="DM90" s="446"/>
      <c r="DN90" s="446"/>
      <c r="DO90" s="446"/>
      <c r="DP90" s="446"/>
      <c r="DQ90" s="446"/>
      <c r="DR90" s="446"/>
      <c r="DS90" s="446"/>
      <c r="DT90" s="446"/>
      <c r="DU90" s="446"/>
      <c r="DV90" s="446"/>
      <c r="DW90" s="446"/>
      <c r="DX90" s="446"/>
      <c r="DY90" s="446"/>
      <c r="DZ90" s="446"/>
      <c r="EA90" s="446"/>
      <c r="EB90" s="446"/>
      <c r="EC90" s="446"/>
    </row>
    <row r="91" spans="4:133">
      <c r="D91" s="446"/>
      <c r="E91" s="446"/>
      <c r="F91" s="446"/>
      <c r="G91" s="446"/>
      <c r="H91" s="446"/>
      <c r="I91" s="446"/>
      <c r="J91" s="446"/>
      <c r="K91" s="446"/>
      <c r="L91" s="446"/>
      <c r="M91" s="446"/>
      <c r="N91" s="446"/>
      <c r="O91" s="446"/>
      <c r="P91" s="446"/>
      <c r="Q91" s="446"/>
      <c r="R91" s="446"/>
      <c r="S91" s="446"/>
      <c r="T91" s="446"/>
      <c r="U91" s="446"/>
      <c r="V91" s="446"/>
      <c r="W91" s="446"/>
      <c r="X91" s="446"/>
      <c r="Y91" s="446"/>
      <c r="Z91" s="446"/>
      <c r="AA91" s="446"/>
      <c r="AB91" s="446"/>
      <c r="AC91" s="446"/>
      <c r="AD91" s="446"/>
      <c r="AE91" s="446"/>
      <c r="AF91" s="446"/>
      <c r="AG91" s="446"/>
      <c r="AH91" s="446"/>
      <c r="AI91" s="446"/>
      <c r="AJ91" s="446"/>
      <c r="AK91" s="446"/>
      <c r="AL91" s="446"/>
      <c r="AM91" s="446"/>
      <c r="AN91" s="446"/>
      <c r="AO91" s="446"/>
      <c r="AP91" s="446"/>
      <c r="AQ91" s="446"/>
      <c r="AR91" s="446"/>
      <c r="AS91" s="446"/>
      <c r="AT91" s="446"/>
      <c r="AU91" s="446"/>
      <c r="AV91" s="446"/>
      <c r="AW91" s="446"/>
      <c r="AX91" s="446"/>
      <c r="AY91" s="446"/>
      <c r="AZ91" s="446"/>
      <c r="BA91" s="446"/>
      <c r="BB91" s="446"/>
      <c r="BC91" s="446"/>
      <c r="BD91" s="446"/>
      <c r="BE91" s="446"/>
      <c r="BF91" s="446"/>
      <c r="BG91" s="446"/>
      <c r="BH91" s="446"/>
      <c r="BI91" s="446"/>
      <c r="BJ91" s="446"/>
      <c r="BK91" s="446"/>
      <c r="BL91" s="446"/>
      <c r="BM91" s="446"/>
      <c r="BN91" s="446"/>
      <c r="BO91" s="446"/>
      <c r="BP91" s="446"/>
      <c r="BQ91" s="446"/>
      <c r="BR91" s="446"/>
      <c r="BS91" s="446"/>
      <c r="BT91" s="446"/>
      <c r="BU91" s="446"/>
      <c r="BV91" s="446"/>
      <c r="BW91" s="446"/>
      <c r="BX91" s="446"/>
      <c r="BY91" s="446"/>
      <c r="BZ91" s="446"/>
      <c r="CA91" s="446"/>
      <c r="CB91" s="446"/>
      <c r="CC91" s="446"/>
      <c r="CD91" s="446"/>
      <c r="CE91" s="446"/>
      <c r="CF91" s="446"/>
      <c r="CG91" s="446"/>
      <c r="CH91" s="446"/>
      <c r="CI91" s="446"/>
      <c r="CJ91" s="446"/>
      <c r="CK91" s="446"/>
      <c r="CL91" s="446"/>
      <c r="CM91" s="446"/>
      <c r="CN91" s="446"/>
      <c r="CO91" s="446"/>
      <c r="CP91" s="446"/>
      <c r="CQ91" s="446"/>
      <c r="CR91" s="446"/>
      <c r="CS91" s="446"/>
      <c r="CT91" s="446"/>
      <c r="CU91" s="446"/>
      <c r="CV91" s="446"/>
      <c r="CW91" s="446"/>
      <c r="CX91" s="446"/>
      <c r="CY91" s="446"/>
      <c r="CZ91" s="446"/>
      <c r="DA91" s="446"/>
      <c r="DB91" s="446"/>
      <c r="DC91" s="446"/>
      <c r="DD91" s="446"/>
      <c r="DE91" s="446"/>
      <c r="DF91" s="446"/>
      <c r="DG91" s="446"/>
      <c r="DH91" s="446"/>
      <c r="DI91" s="446"/>
      <c r="DJ91" s="446"/>
      <c r="DK91" s="446"/>
      <c r="DL91" s="446"/>
      <c r="DM91" s="446"/>
      <c r="DN91" s="446"/>
      <c r="DO91" s="446"/>
      <c r="DP91" s="446"/>
      <c r="DQ91" s="446"/>
      <c r="DR91" s="446"/>
      <c r="DS91" s="446"/>
      <c r="DT91" s="446"/>
      <c r="DU91" s="446"/>
      <c r="DV91" s="446"/>
      <c r="DW91" s="446"/>
      <c r="DX91" s="446"/>
      <c r="DY91" s="446"/>
      <c r="DZ91" s="446"/>
      <c r="EA91" s="446"/>
      <c r="EB91" s="446"/>
      <c r="EC91" s="446"/>
    </row>
    <row r="92" spans="4:133">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446"/>
      <c r="AB92" s="446"/>
      <c r="AC92" s="446"/>
      <c r="AD92" s="446"/>
      <c r="AE92" s="446"/>
      <c r="AF92" s="446"/>
      <c r="AG92" s="446"/>
      <c r="AH92" s="446"/>
      <c r="AI92" s="446"/>
      <c r="AJ92" s="446"/>
      <c r="AK92" s="446"/>
      <c r="AL92" s="446"/>
      <c r="AM92" s="446"/>
      <c r="AN92" s="446"/>
      <c r="AO92" s="446"/>
      <c r="AP92" s="446"/>
      <c r="AQ92" s="446"/>
      <c r="AR92" s="446"/>
      <c r="AS92" s="446"/>
      <c r="AT92" s="446"/>
      <c r="AU92" s="446"/>
      <c r="AV92" s="446"/>
      <c r="AW92" s="446"/>
      <c r="AX92" s="446"/>
      <c r="AY92" s="446"/>
      <c r="AZ92" s="446"/>
      <c r="BA92" s="446"/>
      <c r="BB92" s="446"/>
      <c r="BC92" s="446"/>
      <c r="BD92" s="446"/>
      <c r="BE92" s="446"/>
      <c r="BF92" s="446"/>
      <c r="BG92" s="446"/>
      <c r="BH92" s="446"/>
      <c r="BI92" s="446"/>
      <c r="BJ92" s="446"/>
      <c r="BK92" s="446"/>
      <c r="BL92" s="446"/>
      <c r="BM92" s="446"/>
      <c r="BN92" s="446"/>
      <c r="BO92" s="446"/>
      <c r="BP92" s="446"/>
      <c r="BQ92" s="446"/>
      <c r="BR92" s="446"/>
      <c r="BS92" s="446"/>
      <c r="BT92" s="446"/>
      <c r="BU92" s="446"/>
      <c r="BV92" s="446"/>
      <c r="BW92" s="446"/>
      <c r="BX92" s="446"/>
      <c r="BY92" s="446"/>
      <c r="BZ92" s="446"/>
      <c r="CA92" s="446"/>
      <c r="CB92" s="446"/>
      <c r="CC92" s="446"/>
      <c r="CD92" s="446"/>
      <c r="CE92" s="446"/>
      <c r="CF92" s="446"/>
      <c r="CG92" s="446"/>
      <c r="CH92" s="446"/>
      <c r="CI92" s="446"/>
      <c r="CJ92" s="446"/>
      <c r="CK92" s="446"/>
      <c r="CL92" s="446"/>
      <c r="CM92" s="446"/>
      <c r="CN92" s="446"/>
      <c r="CO92" s="446"/>
      <c r="CP92" s="446"/>
      <c r="CQ92" s="446"/>
      <c r="CR92" s="446"/>
      <c r="CS92" s="446"/>
      <c r="CT92" s="446"/>
      <c r="CU92" s="446"/>
      <c r="CV92" s="446"/>
      <c r="CW92" s="446"/>
      <c r="CX92" s="446"/>
      <c r="CY92" s="446"/>
      <c r="CZ92" s="446"/>
      <c r="DA92" s="446"/>
      <c r="DB92" s="446"/>
      <c r="DC92" s="446"/>
      <c r="DD92" s="446"/>
      <c r="DE92" s="446"/>
      <c r="DF92" s="446"/>
      <c r="DG92" s="446"/>
      <c r="DH92" s="446"/>
      <c r="DI92" s="446"/>
      <c r="DJ92" s="446"/>
      <c r="DK92" s="446"/>
      <c r="DL92" s="446"/>
      <c r="DM92" s="446"/>
      <c r="DN92" s="446"/>
      <c r="DO92" s="446"/>
      <c r="DP92" s="446"/>
      <c r="DQ92" s="446"/>
      <c r="DR92" s="446"/>
      <c r="DS92" s="446"/>
      <c r="DT92" s="446"/>
      <c r="DU92" s="446"/>
      <c r="DV92" s="446"/>
      <c r="DW92" s="446"/>
      <c r="DX92" s="446"/>
      <c r="DY92" s="446"/>
      <c r="DZ92" s="446"/>
      <c r="EA92" s="446"/>
      <c r="EB92" s="446"/>
      <c r="EC92" s="446"/>
    </row>
    <row r="93" spans="4:133">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446"/>
      <c r="AB93" s="446"/>
      <c r="AC93" s="446"/>
      <c r="AD93" s="446"/>
      <c r="AE93" s="446"/>
      <c r="AF93" s="446"/>
      <c r="AG93" s="446"/>
      <c r="AH93" s="446"/>
      <c r="AI93" s="446"/>
      <c r="AJ93" s="446"/>
      <c r="AK93" s="446"/>
      <c r="AL93" s="446"/>
      <c r="AM93" s="446"/>
      <c r="AN93" s="446"/>
      <c r="AO93" s="446"/>
      <c r="AP93" s="446"/>
      <c r="AQ93" s="446"/>
      <c r="AR93" s="446"/>
      <c r="AS93" s="446"/>
      <c r="AT93" s="446"/>
      <c r="AU93" s="446"/>
      <c r="AV93" s="446"/>
      <c r="AW93" s="446"/>
      <c r="AX93" s="446"/>
      <c r="AY93" s="446"/>
      <c r="AZ93" s="446"/>
      <c r="BA93" s="446"/>
      <c r="BB93" s="446"/>
      <c r="BC93" s="446"/>
      <c r="BD93" s="446"/>
      <c r="BE93" s="446"/>
      <c r="BF93" s="446"/>
      <c r="BG93" s="446"/>
      <c r="BH93" s="446"/>
      <c r="BI93" s="446"/>
      <c r="BJ93" s="446"/>
      <c r="BK93" s="446"/>
      <c r="BL93" s="446"/>
      <c r="BM93" s="446"/>
      <c r="BN93" s="446"/>
      <c r="BO93" s="446"/>
      <c r="BP93" s="446"/>
      <c r="BQ93" s="446"/>
      <c r="BR93" s="446"/>
      <c r="BS93" s="446"/>
      <c r="BT93" s="446"/>
      <c r="BU93" s="446"/>
      <c r="BV93" s="446"/>
      <c r="BW93" s="446"/>
      <c r="BX93" s="446"/>
      <c r="BY93" s="446"/>
      <c r="BZ93" s="446"/>
      <c r="CA93" s="446"/>
      <c r="CB93" s="446"/>
      <c r="CC93" s="446"/>
      <c r="CD93" s="446"/>
      <c r="CE93" s="446"/>
      <c r="CF93" s="446"/>
      <c r="CG93" s="446"/>
      <c r="CH93" s="446"/>
      <c r="CI93" s="446"/>
      <c r="CJ93" s="446"/>
      <c r="CK93" s="446"/>
      <c r="CL93" s="446"/>
      <c r="CM93" s="446"/>
      <c r="CN93" s="446"/>
      <c r="CO93" s="446"/>
      <c r="CP93" s="446"/>
      <c r="CQ93" s="446"/>
      <c r="CR93" s="446"/>
      <c r="CS93" s="446"/>
      <c r="CT93" s="446"/>
      <c r="CU93" s="446"/>
      <c r="CV93" s="446"/>
      <c r="CW93" s="446"/>
      <c r="CX93" s="446"/>
      <c r="CY93" s="446"/>
      <c r="CZ93" s="446"/>
      <c r="DA93" s="446"/>
      <c r="DB93" s="446"/>
      <c r="DC93" s="446"/>
      <c r="DD93" s="446"/>
      <c r="DE93" s="446"/>
      <c r="DF93" s="446"/>
      <c r="DG93" s="446"/>
      <c r="DH93" s="446"/>
      <c r="DI93" s="446"/>
      <c r="DJ93" s="446"/>
      <c r="DK93" s="446"/>
      <c r="DL93" s="446"/>
      <c r="DM93" s="446"/>
      <c r="DN93" s="446"/>
      <c r="DO93" s="446"/>
      <c r="DP93" s="446"/>
      <c r="DQ93" s="446"/>
      <c r="DR93" s="446"/>
      <c r="DS93" s="446"/>
      <c r="DT93" s="446"/>
      <c r="DU93" s="446"/>
      <c r="DV93" s="446"/>
      <c r="DW93" s="446"/>
      <c r="DX93" s="446"/>
      <c r="DY93" s="446"/>
      <c r="DZ93" s="446"/>
      <c r="EA93" s="446"/>
      <c r="EB93" s="446"/>
      <c r="EC93" s="446"/>
    </row>
    <row r="94" spans="4:133">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446"/>
      <c r="AB94" s="446"/>
      <c r="AC94" s="446"/>
      <c r="AD94" s="446"/>
      <c r="AE94" s="446"/>
      <c r="AF94" s="446"/>
      <c r="AG94" s="446"/>
      <c r="AH94" s="446"/>
      <c r="AI94" s="446"/>
      <c r="AJ94" s="446"/>
      <c r="AK94" s="446"/>
      <c r="AL94" s="446"/>
      <c r="AM94" s="446"/>
      <c r="AN94" s="446"/>
      <c r="AO94" s="446"/>
      <c r="AP94" s="446"/>
      <c r="AQ94" s="446"/>
      <c r="AR94" s="446"/>
      <c r="AS94" s="446"/>
      <c r="AT94" s="446"/>
      <c r="AU94" s="446"/>
      <c r="AV94" s="446"/>
      <c r="AW94" s="446"/>
      <c r="AX94" s="446"/>
      <c r="AY94" s="446"/>
      <c r="AZ94" s="446"/>
      <c r="BA94" s="446"/>
      <c r="BB94" s="446"/>
      <c r="BC94" s="446"/>
      <c r="BD94" s="446"/>
      <c r="BE94" s="446"/>
      <c r="BF94" s="446"/>
      <c r="BG94" s="446"/>
      <c r="BH94" s="446"/>
      <c r="BI94" s="446"/>
      <c r="BJ94" s="446"/>
      <c r="BK94" s="446"/>
      <c r="BL94" s="446"/>
      <c r="BM94" s="446"/>
      <c r="BN94" s="446"/>
      <c r="BO94" s="446"/>
      <c r="BP94" s="446"/>
      <c r="BQ94" s="446"/>
      <c r="BR94" s="446"/>
      <c r="BS94" s="446"/>
      <c r="BT94" s="446"/>
      <c r="BU94" s="446"/>
      <c r="BV94" s="446"/>
      <c r="BW94" s="446"/>
      <c r="BX94" s="446"/>
      <c r="BY94" s="446"/>
      <c r="BZ94" s="446"/>
      <c r="CA94" s="446"/>
      <c r="CB94" s="446"/>
      <c r="CC94" s="446"/>
      <c r="CD94" s="446"/>
      <c r="CE94" s="446"/>
      <c r="CF94" s="446"/>
      <c r="CG94" s="446"/>
      <c r="CH94" s="446"/>
      <c r="CI94" s="446"/>
      <c r="CJ94" s="446"/>
      <c r="CK94" s="446"/>
      <c r="CL94" s="446"/>
      <c r="CM94" s="446"/>
      <c r="CN94" s="446"/>
      <c r="CO94" s="446"/>
      <c r="CP94" s="446"/>
      <c r="CQ94" s="446"/>
      <c r="CR94" s="446"/>
      <c r="CS94" s="446"/>
      <c r="CT94" s="446"/>
      <c r="CU94" s="446"/>
      <c r="CV94" s="446"/>
      <c r="CW94" s="446"/>
      <c r="CX94" s="446"/>
      <c r="CY94" s="446"/>
      <c r="CZ94" s="446"/>
      <c r="DA94" s="446"/>
      <c r="DB94" s="446"/>
      <c r="DC94" s="446"/>
      <c r="DD94" s="446"/>
      <c r="DE94" s="446"/>
      <c r="DF94" s="446"/>
      <c r="DG94" s="446"/>
      <c r="DH94" s="446"/>
      <c r="DI94" s="446"/>
      <c r="DJ94" s="446"/>
      <c r="DK94" s="446"/>
      <c r="DL94" s="446"/>
      <c r="DM94" s="446"/>
      <c r="DN94" s="446"/>
      <c r="DO94" s="446"/>
      <c r="DP94" s="446"/>
      <c r="DQ94" s="446"/>
      <c r="DR94" s="446"/>
      <c r="DS94" s="446"/>
      <c r="DT94" s="446"/>
      <c r="DU94" s="446"/>
      <c r="DV94" s="446"/>
      <c r="DW94" s="446"/>
      <c r="DX94" s="446"/>
      <c r="DY94" s="446"/>
      <c r="DZ94" s="446"/>
      <c r="EA94" s="446"/>
      <c r="EB94" s="446"/>
      <c r="EC94" s="446"/>
    </row>
    <row r="95" spans="4:133">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446"/>
      <c r="AB95" s="446"/>
      <c r="AC95" s="446"/>
      <c r="AD95" s="446"/>
      <c r="AE95" s="446"/>
      <c r="AF95" s="446"/>
      <c r="AG95" s="446"/>
      <c r="AH95" s="446"/>
      <c r="AI95" s="446"/>
      <c r="AJ95" s="446"/>
      <c r="AK95" s="446"/>
      <c r="AL95" s="446"/>
      <c r="AM95" s="446"/>
      <c r="AN95" s="446"/>
      <c r="AO95" s="446"/>
      <c r="AP95" s="446"/>
      <c r="AQ95" s="446"/>
      <c r="AR95" s="446"/>
      <c r="AS95" s="446"/>
      <c r="AT95" s="446"/>
      <c r="AU95" s="446"/>
      <c r="AV95" s="446"/>
      <c r="AW95" s="446"/>
      <c r="AX95" s="446"/>
      <c r="AY95" s="446"/>
      <c r="AZ95" s="446"/>
      <c r="BA95" s="446"/>
      <c r="BB95" s="446"/>
      <c r="BC95" s="446"/>
      <c r="BD95" s="446"/>
      <c r="BE95" s="446"/>
      <c r="BF95" s="446"/>
      <c r="BG95" s="446"/>
      <c r="BH95" s="446"/>
      <c r="BI95" s="446"/>
      <c r="BJ95" s="446"/>
      <c r="BK95" s="446"/>
      <c r="BL95" s="446"/>
      <c r="BM95" s="446"/>
      <c r="BN95" s="446"/>
      <c r="BO95" s="446"/>
      <c r="BP95" s="446"/>
      <c r="BQ95" s="446"/>
      <c r="BR95" s="446"/>
      <c r="BS95" s="446"/>
      <c r="BT95" s="446"/>
      <c r="BU95" s="446"/>
      <c r="BV95" s="446"/>
      <c r="BW95" s="446"/>
      <c r="BX95" s="446"/>
      <c r="BY95" s="446"/>
      <c r="BZ95" s="446"/>
      <c r="CA95" s="446"/>
      <c r="CB95" s="446"/>
      <c r="CC95" s="446"/>
      <c r="CD95" s="446"/>
      <c r="CE95" s="446"/>
      <c r="CF95" s="446"/>
      <c r="CG95" s="446"/>
      <c r="CH95" s="446"/>
      <c r="CI95" s="446"/>
      <c r="CJ95" s="446"/>
      <c r="CK95" s="446"/>
      <c r="CL95" s="446"/>
      <c r="CM95" s="446"/>
      <c r="CN95" s="446"/>
      <c r="CO95" s="446"/>
      <c r="CP95" s="446"/>
      <c r="CQ95" s="446"/>
      <c r="CR95" s="446"/>
      <c r="CS95" s="446"/>
      <c r="CT95" s="446"/>
      <c r="CU95" s="446"/>
      <c r="CV95" s="446"/>
      <c r="CW95" s="446"/>
      <c r="CX95" s="446"/>
      <c r="CY95" s="446"/>
      <c r="CZ95" s="446"/>
      <c r="DA95" s="446"/>
      <c r="DB95" s="446"/>
      <c r="DC95" s="446"/>
      <c r="DD95" s="446"/>
      <c r="DE95" s="446"/>
      <c r="DF95" s="446"/>
      <c r="DG95" s="446"/>
      <c r="DH95" s="446"/>
      <c r="DI95" s="446"/>
      <c r="DJ95" s="446"/>
      <c r="DK95" s="446"/>
      <c r="DL95" s="446"/>
      <c r="DM95" s="446"/>
      <c r="DN95" s="446"/>
      <c r="DO95" s="446"/>
      <c r="DP95" s="446"/>
      <c r="DQ95" s="446"/>
      <c r="DR95" s="446"/>
      <c r="DS95" s="446"/>
      <c r="DT95" s="446"/>
      <c r="DU95" s="446"/>
      <c r="DV95" s="446"/>
      <c r="DW95" s="446"/>
      <c r="DX95" s="446"/>
      <c r="DY95" s="446"/>
      <c r="DZ95" s="446"/>
      <c r="EA95" s="446"/>
      <c r="EB95" s="446"/>
      <c r="EC95" s="446"/>
    </row>
    <row r="96" spans="4:133">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446"/>
      <c r="AB96" s="446"/>
      <c r="AC96" s="446"/>
      <c r="AD96" s="446"/>
      <c r="AE96" s="446"/>
      <c r="AF96" s="446"/>
      <c r="AG96" s="446"/>
      <c r="AH96" s="446"/>
      <c r="AI96" s="446"/>
      <c r="AJ96" s="446"/>
      <c r="AK96" s="446"/>
      <c r="AL96" s="446"/>
      <c r="AM96" s="446"/>
      <c r="AN96" s="446"/>
      <c r="AO96" s="446"/>
      <c r="AP96" s="446"/>
      <c r="AQ96" s="446"/>
      <c r="AR96" s="446"/>
      <c r="AS96" s="446"/>
      <c r="AT96" s="446"/>
      <c r="AU96" s="446"/>
      <c r="AV96" s="446"/>
      <c r="AW96" s="446"/>
      <c r="AX96" s="446"/>
      <c r="AY96" s="446"/>
      <c r="AZ96" s="446"/>
      <c r="BA96" s="446"/>
      <c r="BB96" s="446"/>
      <c r="BC96" s="446"/>
      <c r="BD96" s="446"/>
      <c r="BE96" s="446"/>
      <c r="BF96" s="446"/>
      <c r="BG96" s="446"/>
      <c r="BH96" s="446"/>
      <c r="BI96" s="446"/>
      <c r="BJ96" s="446"/>
      <c r="BK96" s="446"/>
      <c r="BL96" s="446"/>
      <c r="BM96" s="446"/>
      <c r="BN96" s="446"/>
      <c r="BO96" s="446"/>
      <c r="BP96" s="446"/>
      <c r="BQ96" s="446"/>
      <c r="BR96" s="446"/>
      <c r="BS96" s="446"/>
      <c r="BT96" s="446"/>
      <c r="BU96" s="446"/>
      <c r="BV96" s="446"/>
      <c r="BW96" s="446"/>
      <c r="BX96" s="446"/>
      <c r="BY96" s="446"/>
      <c r="BZ96" s="446"/>
      <c r="CA96" s="446"/>
      <c r="CB96" s="446"/>
      <c r="CC96" s="446"/>
      <c r="CD96" s="446"/>
      <c r="CE96" s="446"/>
      <c r="CF96" s="446"/>
      <c r="CG96" s="446"/>
      <c r="CH96" s="446"/>
      <c r="CI96" s="446"/>
      <c r="CJ96" s="446"/>
      <c r="CK96" s="446"/>
      <c r="CL96" s="446"/>
      <c r="CM96" s="446"/>
      <c r="CN96" s="446"/>
      <c r="CO96" s="446"/>
      <c r="CP96" s="446"/>
      <c r="CQ96" s="446"/>
      <c r="CR96" s="446"/>
      <c r="CS96" s="446"/>
      <c r="CT96" s="446"/>
      <c r="CU96" s="446"/>
      <c r="CV96" s="446"/>
      <c r="CW96" s="446"/>
      <c r="CX96" s="446"/>
      <c r="CY96" s="446"/>
      <c r="CZ96" s="446"/>
      <c r="DA96" s="446"/>
      <c r="DB96" s="446"/>
      <c r="DC96" s="446"/>
      <c r="DD96" s="446"/>
      <c r="DE96" s="446"/>
      <c r="DF96" s="446"/>
      <c r="DG96" s="446"/>
      <c r="DH96" s="446"/>
      <c r="DI96" s="446"/>
      <c r="DJ96" s="446"/>
      <c r="DK96" s="446"/>
      <c r="DL96" s="446"/>
      <c r="DM96" s="446"/>
      <c r="DN96" s="446"/>
      <c r="DO96" s="446"/>
      <c r="DP96" s="446"/>
      <c r="DQ96" s="446"/>
      <c r="DR96" s="446"/>
      <c r="DS96" s="446"/>
      <c r="DT96" s="446"/>
      <c r="DU96" s="446"/>
      <c r="DV96" s="446"/>
      <c r="DW96" s="446"/>
      <c r="DX96" s="446"/>
      <c r="DY96" s="446"/>
      <c r="DZ96" s="446"/>
      <c r="EA96" s="446"/>
      <c r="EB96" s="446"/>
      <c r="EC96" s="446"/>
    </row>
    <row r="97" spans="4:133">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446"/>
      <c r="AB97" s="446"/>
      <c r="AC97" s="446"/>
      <c r="AD97" s="446"/>
      <c r="AE97" s="446"/>
      <c r="AF97" s="446"/>
      <c r="AG97" s="446"/>
      <c r="AH97" s="446"/>
      <c r="AI97" s="446"/>
      <c r="AJ97" s="446"/>
      <c r="AK97" s="446"/>
      <c r="AL97" s="446"/>
      <c r="AM97" s="446"/>
      <c r="AN97" s="446"/>
      <c r="AO97" s="446"/>
      <c r="AP97" s="446"/>
      <c r="AQ97" s="446"/>
      <c r="AR97" s="446"/>
      <c r="AS97" s="446"/>
      <c r="AT97" s="446"/>
      <c r="AU97" s="446"/>
      <c r="AV97" s="446"/>
      <c r="AW97" s="446"/>
      <c r="AX97" s="446"/>
      <c r="AY97" s="446"/>
      <c r="AZ97" s="446"/>
      <c r="BA97" s="446"/>
      <c r="BB97" s="446"/>
      <c r="BC97" s="446"/>
      <c r="BD97" s="446"/>
      <c r="BE97" s="446"/>
      <c r="BF97" s="446"/>
      <c r="BG97" s="446"/>
      <c r="BH97" s="446"/>
      <c r="BI97" s="446"/>
      <c r="BJ97" s="446"/>
      <c r="BK97" s="446"/>
      <c r="BL97" s="446"/>
      <c r="BM97" s="446"/>
      <c r="BN97" s="446"/>
      <c r="BO97" s="446"/>
      <c r="BP97" s="446"/>
      <c r="BQ97" s="446"/>
      <c r="BR97" s="446"/>
      <c r="BS97" s="446"/>
      <c r="BT97" s="446"/>
      <c r="BU97" s="446"/>
      <c r="BV97" s="446"/>
      <c r="BW97" s="446"/>
      <c r="BX97" s="446"/>
      <c r="BY97" s="446"/>
      <c r="BZ97" s="446"/>
      <c r="CA97" s="446"/>
      <c r="CB97" s="446"/>
      <c r="CC97" s="446"/>
      <c r="CD97" s="446"/>
      <c r="CE97" s="446"/>
      <c r="CF97" s="446"/>
      <c r="CG97" s="446"/>
      <c r="CH97" s="446"/>
      <c r="CI97" s="446"/>
      <c r="CJ97" s="446"/>
      <c r="CK97" s="446"/>
      <c r="CL97" s="446"/>
      <c r="CM97" s="446"/>
      <c r="CN97" s="446"/>
      <c r="CO97" s="446"/>
      <c r="CP97" s="446"/>
      <c r="CQ97" s="446"/>
      <c r="CR97" s="446"/>
      <c r="CS97" s="446"/>
      <c r="CT97" s="446"/>
      <c r="CU97" s="446"/>
      <c r="CV97" s="446"/>
      <c r="CW97" s="446"/>
      <c r="CX97" s="446"/>
      <c r="CY97" s="446"/>
      <c r="CZ97" s="446"/>
      <c r="DA97" s="446"/>
      <c r="DB97" s="446"/>
      <c r="DC97" s="446"/>
      <c r="DD97" s="446"/>
      <c r="DE97" s="446"/>
      <c r="DF97" s="446"/>
      <c r="DG97" s="446"/>
      <c r="DH97" s="446"/>
      <c r="DI97" s="446"/>
      <c r="DJ97" s="446"/>
      <c r="DK97" s="446"/>
      <c r="DL97" s="446"/>
      <c r="DM97" s="446"/>
      <c r="DN97" s="446"/>
      <c r="DO97" s="446"/>
      <c r="DP97" s="446"/>
      <c r="DQ97" s="446"/>
      <c r="DR97" s="446"/>
      <c r="DS97" s="446"/>
      <c r="DT97" s="446"/>
      <c r="DU97" s="446"/>
      <c r="DV97" s="446"/>
      <c r="DW97" s="446"/>
      <c r="DX97" s="446"/>
      <c r="DY97" s="446"/>
      <c r="DZ97" s="446"/>
      <c r="EA97" s="446"/>
      <c r="EB97" s="446"/>
      <c r="EC97" s="446"/>
    </row>
    <row r="98" spans="4:133">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446"/>
      <c r="AB98" s="446"/>
      <c r="AC98" s="446"/>
      <c r="AD98" s="446"/>
      <c r="AE98" s="446"/>
      <c r="AF98" s="446"/>
      <c r="AG98" s="446"/>
      <c r="AH98" s="446"/>
      <c r="AI98" s="446"/>
      <c r="AJ98" s="446"/>
      <c r="AK98" s="446"/>
      <c r="AL98" s="446"/>
      <c r="AM98" s="446"/>
      <c r="AN98" s="446"/>
      <c r="AO98" s="446"/>
      <c r="AP98" s="446"/>
      <c r="AQ98" s="446"/>
      <c r="AR98" s="446"/>
      <c r="AS98" s="446"/>
      <c r="AT98" s="446"/>
      <c r="AU98" s="446"/>
      <c r="AV98" s="446"/>
      <c r="AW98" s="446"/>
      <c r="AX98" s="446"/>
      <c r="AY98" s="446"/>
      <c r="AZ98" s="446"/>
      <c r="BA98" s="446"/>
      <c r="BB98" s="446"/>
      <c r="BC98" s="446"/>
      <c r="BD98" s="446"/>
      <c r="BE98" s="446"/>
      <c r="BF98" s="446"/>
      <c r="BG98" s="446"/>
      <c r="BH98" s="446"/>
      <c r="BI98" s="446"/>
      <c r="BJ98" s="446"/>
      <c r="BK98" s="446"/>
      <c r="BL98" s="446"/>
      <c r="BM98" s="446"/>
      <c r="BN98" s="446"/>
      <c r="BO98" s="446"/>
      <c r="BP98" s="446"/>
      <c r="BQ98" s="446"/>
      <c r="BR98" s="446"/>
      <c r="BS98" s="446"/>
      <c r="BT98" s="446"/>
      <c r="BU98" s="446"/>
      <c r="BV98" s="446"/>
      <c r="BW98" s="446"/>
      <c r="BX98" s="446"/>
      <c r="BY98" s="446"/>
      <c r="BZ98" s="446"/>
      <c r="CA98" s="446"/>
      <c r="CB98" s="446"/>
      <c r="CC98" s="446"/>
      <c r="CD98" s="446"/>
      <c r="CE98" s="446"/>
      <c r="CF98" s="446"/>
      <c r="CG98" s="446"/>
      <c r="CH98" s="446"/>
      <c r="CI98" s="446"/>
      <c r="CJ98" s="446"/>
      <c r="CK98" s="446"/>
      <c r="CL98" s="446"/>
      <c r="CM98" s="446"/>
      <c r="CN98" s="446"/>
      <c r="CO98" s="446"/>
      <c r="CP98" s="446"/>
      <c r="CQ98" s="446"/>
      <c r="CR98" s="446"/>
      <c r="CS98" s="446"/>
      <c r="CT98" s="446"/>
      <c r="CU98" s="446"/>
      <c r="CV98" s="446"/>
      <c r="CW98" s="446"/>
      <c r="CX98" s="446"/>
      <c r="CY98" s="446"/>
      <c r="CZ98" s="446"/>
      <c r="DA98" s="446"/>
      <c r="DB98" s="446"/>
      <c r="DC98" s="446"/>
      <c r="DD98" s="446"/>
      <c r="DE98" s="446"/>
      <c r="DF98" s="446"/>
      <c r="DG98" s="446"/>
      <c r="DH98" s="446"/>
      <c r="DI98" s="446"/>
      <c r="DJ98" s="446"/>
      <c r="DK98" s="446"/>
      <c r="DL98" s="446"/>
      <c r="DM98" s="446"/>
      <c r="DN98" s="446"/>
      <c r="DO98" s="446"/>
      <c r="DP98" s="446"/>
      <c r="DQ98" s="446"/>
      <c r="DR98" s="446"/>
      <c r="DS98" s="446"/>
      <c r="DT98" s="446"/>
      <c r="DU98" s="446"/>
      <c r="DV98" s="446"/>
      <c r="DW98" s="446"/>
      <c r="DX98" s="446"/>
      <c r="DY98" s="446"/>
      <c r="DZ98" s="446"/>
      <c r="EA98" s="446"/>
      <c r="EB98" s="446"/>
      <c r="EC98" s="446"/>
    </row>
    <row r="99" spans="4:133">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446"/>
      <c r="AB99" s="446"/>
      <c r="AC99" s="446"/>
      <c r="AD99" s="446"/>
      <c r="AE99" s="446"/>
      <c r="AF99" s="446"/>
      <c r="AG99" s="446"/>
      <c r="AH99" s="446"/>
      <c r="AI99" s="446"/>
      <c r="AJ99" s="446"/>
      <c r="AK99" s="446"/>
      <c r="AL99" s="446"/>
      <c r="AM99" s="446"/>
      <c r="AN99" s="446"/>
      <c r="AO99" s="446"/>
      <c r="AP99" s="446"/>
      <c r="AQ99" s="446"/>
      <c r="AR99" s="446"/>
      <c r="AS99" s="446"/>
      <c r="AT99" s="446"/>
      <c r="AU99" s="446"/>
      <c r="AV99" s="446"/>
      <c r="AW99" s="446"/>
      <c r="AX99" s="446"/>
      <c r="AY99" s="446"/>
      <c r="AZ99" s="446"/>
      <c r="BA99" s="446"/>
      <c r="BB99" s="446"/>
      <c r="BC99" s="446"/>
      <c r="BD99" s="446"/>
      <c r="BE99" s="446"/>
      <c r="BF99" s="446"/>
      <c r="BG99" s="446"/>
      <c r="BH99" s="446"/>
      <c r="BI99" s="446"/>
      <c r="BJ99" s="446"/>
      <c r="BK99" s="446"/>
      <c r="BL99" s="446"/>
      <c r="BM99" s="446"/>
      <c r="BN99" s="446"/>
      <c r="BO99" s="446"/>
      <c r="BP99" s="446"/>
      <c r="BQ99" s="446"/>
      <c r="BR99" s="446"/>
      <c r="BS99" s="446"/>
      <c r="BT99" s="446"/>
      <c r="BU99" s="446"/>
      <c r="BV99" s="446"/>
      <c r="BW99" s="446"/>
      <c r="BX99" s="446"/>
      <c r="BY99" s="446"/>
      <c r="BZ99" s="446"/>
      <c r="CA99" s="446"/>
      <c r="CB99" s="446"/>
      <c r="CC99" s="446"/>
      <c r="CD99" s="446"/>
      <c r="CE99" s="446"/>
      <c r="CF99" s="446"/>
      <c r="CG99" s="446"/>
      <c r="CH99" s="446"/>
      <c r="CI99" s="446"/>
      <c r="CJ99" s="446"/>
      <c r="CK99" s="446"/>
      <c r="CL99" s="446"/>
      <c r="CM99" s="446"/>
      <c r="CN99" s="446"/>
      <c r="CO99" s="446"/>
      <c r="CP99" s="446"/>
      <c r="CQ99" s="446"/>
      <c r="CR99" s="446"/>
      <c r="CS99" s="446"/>
      <c r="CT99" s="446"/>
      <c r="CU99" s="446"/>
      <c r="CV99" s="446"/>
      <c r="CW99" s="446"/>
      <c r="CX99" s="446"/>
      <c r="CY99" s="446"/>
      <c r="CZ99" s="446"/>
      <c r="DA99" s="446"/>
      <c r="DB99" s="446"/>
      <c r="DC99" s="446"/>
      <c r="DD99" s="446"/>
      <c r="DE99" s="446"/>
      <c r="DF99" s="446"/>
      <c r="DG99" s="446"/>
      <c r="DH99" s="446"/>
      <c r="DI99" s="446"/>
      <c r="DJ99" s="446"/>
      <c r="DK99" s="446"/>
      <c r="DL99" s="446"/>
      <c r="DM99" s="446"/>
      <c r="DN99" s="446"/>
      <c r="DO99" s="446"/>
      <c r="DP99" s="446"/>
      <c r="DQ99" s="446"/>
      <c r="DR99" s="446"/>
      <c r="DS99" s="446"/>
      <c r="DT99" s="446"/>
      <c r="DU99" s="446"/>
      <c r="DV99" s="446"/>
      <c r="DW99" s="446"/>
      <c r="DX99" s="446"/>
      <c r="DY99" s="446"/>
      <c r="DZ99" s="446"/>
      <c r="EA99" s="446"/>
      <c r="EB99" s="446"/>
      <c r="EC99" s="446"/>
    </row>
    <row r="100" spans="4:133">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446"/>
      <c r="AB100" s="446"/>
      <c r="AC100" s="446"/>
      <c r="AD100" s="446"/>
      <c r="AE100" s="446"/>
      <c r="AF100" s="446"/>
      <c r="AG100" s="446"/>
      <c r="AH100" s="446"/>
      <c r="AI100" s="446"/>
      <c r="AJ100" s="446"/>
      <c r="AK100" s="446"/>
      <c r="AL100" s="446"/>
      <c r="AM100" s="446"/>
      <c r="AN100" s="446"/>
      <c r="AO100" s="446"/>
      <c r="AP100" s="446"/>
      <c r="AQ100" s="446"/>
      <c r="AR100" s="446"/>
      <c r="AS100" s="446"/>
      <c r="AT100" s="446"/>
      <c r="AU100" s="446"/>
      <c r="AV100" s="446"/>
      <c r="AW100" s="446"/>
      <c r="AX100" s="446"/>
      <c r="AY100" s="446"/>
      <c r="AZ100" s="446"/>
      <c r="BA100" s="446"/>
      <c r="BB100" s="446"/>
      <c r="BC100" s="446"/>
      <c r="BD100" s="446"/>
      <c r="BE100" s="446"/>
      <c r="BF100" s="446"/>
      <c r="BG100" s="446"/>
      <c r="BH100" s="446"/>
      <c r="BI100" s="446"/>
      <c r="BJ100" s="446"/>
      <c r="BK100" s="446"/>
      <c r="BL100" s="446"/>
      <c r="BM100" s="446"/>
      <c r="BN100" s="446"/>
      <c r="BO100" s="446"/>
      <c r="BP100" s="446"/>
      <c r="BQ100" s="446"/>
      <c r="BR100" s="446"/>
      <c r="BS100" s="446"/>
      <c r="BT100" s="446"/>
      <c r="BU100" s="446"/>
      <c r="BV100" s="446"/>
      <c r="BW100" s="446"/>
      <c r="BX100" s="446"/>
      <c r="BY100" s="446"/>
      <c r="BZ100" s="446"/>
      <c r="CA100" s="446"/>
      <c r="CB100" s="446"/>
      <c r="CC100" s="446"/>
      <c r="CD100" s="446"/>
      <c r="CE100" s="446"/>
      <c r="CF100" s="446"/>
      <c r="CG100" s="446"/>
      <c r="CH100" s="446"/>
      <c r="CI100" s="446"/>
      <c r="CJ100" s="446"/>
      <c r="CK100" s="446"/>
      <c r="CL100" s="446"/>
      <c r="CM100" s="446"/>
      <c r="CN100" s="446"/>
      <c r="CO100" s="446"/>
      <c r="CP100" s="446"/>
      <c r="CQ100" s="446"/>
      <c r="CR100" s="446"/>
      <c r="CS100" s="446"/>
      <c r="CT100" s="446"/>
      <c r="CU100" s="446"/>
      <c r="CV100" s="446"/>
      <c r="CW100" s="446"/>
      <c r="CX100" s="446"/>
      <c r="CY100" s="446"/>
      <c r="CZ100" s="446"/>
      <c r="DA100" s="446"/>
      <c r="DB100" s="446"/>
      <c r="DC100" s="446"/>
      <c r="DD100" s="446"/>
      <c r="DE100" s="446"/>
      <c r="DF100" s="446"/>
      <c r="DG100" s="446"/>
      <c r="DH100" s="446"/>
      <c r="DI100" s="446"/>
      <c r="DJ100" s="446"/>
      <c r="DK100" s="446"/>
      <c r="DL100" s="446"/>
      <c r="DM100" s="446"/>
      <c r="DN100" s="446"/>
      <c r="DO100" s="446"/>
      <c r="DP100" s="446"/>
      <c r="DQ100" s="446"/>
      <c r="DR100" s="446"/>
      <c r="DS100" s="446"/>
      <c r="DT100" s="446"/>
      <c r="DU100" s="446"/>
      <c r="DV100" s="446"/>
      <c r="DW100" s="446"/>
      <c r="DX100" s="446"/>
      <c r="DY100" s="446"/>
      <c r="DZ100" s="446"/>
      <c r="EA100" s="446"/>
      <c r="EB100" s="446"/>
      <c r="EC100" s="446"/>
    </row>
    <row r="101" spans="4:133">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446"/>
      <c r="AB101" s="446"/>
      <c r="AC101" s="446"/>
      <c r="AD101" s="446"/>
      <c r="AE101" s="446"/>
      <c r="AF101" s="446"/>
      <c r="AG101" s="446"/>
      <c r="AH101" s="446"/>
      <c r="AI101" s="446"/>
      <c r="AJ101" s="446"/>
      <c r="AK101" s="446"/>
      <c r="AL101" s="446"/>
      <c r="AM101" s="446"/>
      <c r="AN101" s="446"/>
      <c r="AO101" s="446"/>
      <c r="AP101" s="446"/>
      <c r="AQ101" s="446"/>
      <c r="AR101" s="446"/>
      <c r="AS101" s="446"/>
      <c r="AT101" s="446"/>
      <c r="AU101" s="446"/>
      <c r="AV101" s="446"/>
      <c r="AW101" s="446"/>
      <c r="AX101" s="446"/>
      <c r="AY101" s="446"/>
      <c r="AZ101" s="446"/>
      <c r="BA101" s="446"/>
      <c r="BB101" s="446"/>
      <c r="BC101" s="446"/>
      <c r="BD101" s="446"/>
      <c r="BE101" s="446"/>
      <c r="BF101" s="446"/>
      <c r="BG101" s="446"/>
      <c r="BH101" s="446"/>
      <c r="BI101" s="446"/>
      <c r="BJ101" s="446"/>
      <c r="BK101" s="446"/>
      <c r="BL101" s="446"/>
      <c r="BM101" s="446"/>
      <c r="BN101" s="446"/>
      <c r="BO101" s="446"/>
      <c r="BP101" s="446"/>
      <c r="BQ101" s="446"/>
      <c r="BR101" s="446"/>
      <c r="BS101" s="446"/>
      <c r="BT101" s="446"/>
      <c r="BU101" s="446"/>
      <c r="BV101" s="446"/>
      <c r="BW101" s="446"/>
      <c r="BX101" s="446"/>
      <c r="BY101" s="446"/>
      <c r="BZ101" s="446"/>
      <c r="CA101" s="446"/>
      <c r="CB101" s="446"/>
      <c r="CC101" s="446"/>
      <c r="CD101" s="446"/>
      <c r="CE101" s="446"/>
      <c r="CF101" s="446"/>
      <c r="CG101" s="446"/>
      <c r="CH101" s="446"/>
      <c r="CI101" s="446"/>
      <c r="CJ101" s="446"/>
      <c r="CK101" s="446"/>
      <c r="CL101" s="446"/>
      <c r="CM101" s="446"/>
      <c r="CN101" s="446"/>
      <c r="CO101" s="446"/>
      <c r="CP101" s="446"/>
      <c r="CQ101" s="446"/>
      <c r="CR101" s="446"/>
      <c r="CS101" s="446"/>
      <c r="CT101" s="446"/>
      <c r="CU101" s="446"/>
      <c r="CV101" s="446"/>
      <c r="CW101" s="446"/>
      <c r="CX101" s="446"/>
      <c r="CY101" s="446"/>
      <c r="CZ101" s="446"/>
      <c r="DA101" s="446"/>
      <c r="DB101" s="446"/>
      <c r="DC101" s="446"/>
      <c r="DD101" s="446"/>
      <c r="DE101" s="446"/>
      <c r="DF101" s="446"/>
      <c r="DG101" s="446"/>
      <c r="DH101" s="446"/>
      <c r="DI101" s="446"/>
      <c r="DJ101" s="446"/>
      <c r="DK101" s="446"/>
      <c r="DL101" s="446"/>
      <c r="DM101" s="446"/>
      <c r="DN101" s="446"/>
      <c r="DO101" s="446"/>
      <c r="DP101" s="446"/>
      <c r="DQ101" s="446"/>
      <c r="DR101" s="446"/>
      <c r="DS101" s="446"/>
      <c r="DT101" s="446"/>
      <c r="DU101" s="446"/>
      <c r="DV101" s="446"/>
      <c r="DW101" s="446"/>
      <c r="DX101" s="446"/>
      <c r="DY101" s="446"/>
      <c r="DZ101" s="446"/>
      <c r="EA101" s="446"/>
      <c r="EB101" s="446"/>
      <c r="EC101" s="446"/>
    </row>
    <row r="102" spans="4:133">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446"/>
      <c r="AB102" s="446"/>
      <c r="AC102" s="446"/>
      <c r="AD102" s="446"/>
      <c r="AE102" s="446"/>
      <c r="AF102" s="446"/>
      <c r="AG102" s="446"/>
      <c r="AH102" s="446"/>
      <c r="AI102" s="446"/>
      <c r="AJ102" s="446"/>
      <c r="AK102" s="446"/>
      <c r="AL102" s="446"/>
      <c r="AM102" s="446"/>
      <c r="AN102" s="446"/>
      <c r="AO102" s="446"/>
      <c r="AP102" s="446"/>
      <c r="AQ102" s="446"/>
      <c r="AR102" s="446"/>
      <c r="AS102" s="446"/>
      <c r="AT102" s="446"/>
      <c r="AU102" s="446"/>
      <c r="AV102" s="446"/>
      <c r="AW102" s="446"/>
      <c r="AX102" s="446"/>
      <c r="AY102" s="446"/>
      <c r="AZ102" s="446"/>
      <c r="BA102" s="446"/>
      <c r="BB102" s="446"/>
      <c r="BC102" s="446"/>
      <c r="BD102" s="446"/>
      <c r="BE102" s="446"/>
      <c r="BF102" s="446"/>
      <c r="BG102" s="446"/>
      <c r="BH102" s="446"/>
      <c r="BI102" s="446"/>
      <c r="BJ102" s="446"/>
      <c r="BK102" s="446"/>
      <c r="BL102" s="446"/>
      <c r="BM102" s="446"/>
      <c r="BN102" s="446"/>
      <c r="BO102" s="446"/>
      <c r="BP102" s="446"/>
      <c r="BQ102" s="446"/>
      <c r="BR102" s="446"/>
      <c r="BS102" s="446"/>
      <c r="BT102" s="446"/>
      <c r="BU102" s="446"/>
      <c r="BV102" s="446"/>
      <c r="BW102" s="446"/>
      <c r="BX102" s="446"/>
      <c r="BY102" s="446"/>
      <c r="BZ102" s="446"/>
      <c r="CA102" s="446"/>
      <c r="CB102" s="446"/>
      <c r="CC102" s="446"/>
      <c r="CD102" s="446"/>
      <c r="CE102" s="446"/>
      <c r="CF102" s="446"/>
      <c r="CG102" s="446"/>
      <c r="CH102" s="446"/>
      <c r="CI102" s="446"/>
      <c r="CJ102" s="446"/>
      <c r="CK102" s="446"/>
      <c r="CL102" s="446"/>
      <c r="CM102" s="446"/>
      <c r="CN102" s="446"/>
      <c r="CO102" s="446"/>
      <c r="CP102" s="446"/>
      <c r="CQ102" s="446"/>
      <c r="CR102" s="446"/>
      <c r="CS102" s="446"/>
      <c r="CT102" s="446"/>
      <c r="CU102" s="446"/>
      <c r="CV102" s="446"/>
      <c r="CW102" s="446"/>
      <c r="CX102" s="446"/>
      <c r="CY102" s="446"/>
      <c r="CZ102" s="446"/>
      <c r="DA102" s="446"/>
      <c r="DB102" s="446"/>
      <c r="DC102" s="446"/>
      <c r="DD102" s="446"/>
      <c r="DE102" s="446"/>
      <c r="DF102" s="446"/>
      <c r="DG102" s="446"/>
      <c r="DH102" s="446"/>
      <c r="DI102" s="446"/>
      <c r="DJ102" s="446"/>
      <c r="DK102" s="446"/>
      <c r="DL102" s="446"/>
      <c r="DM102" s="446"/>
      <c r="DN102" s="446"/>
      <c r="DO102" s="446"/>
      <c r="DP102" s="446"/>
      <c r="DQ102" s="446"/>
      <c r="DR102" s="446"/>
      <c r="DS102" s="446"/>
      <c r="DT102" s="446"/>
      <c r="DU102" s="446"/>
      <c r="DV102" s="446"/>
      <c r="DW102" s="446"/>
      <c r="DX102" s="446"/>
      <c r="DY102" s="446"/>
      <c r="DZ102" s="446"/>
      <c r="EA102" s="446"/>
      <c r="EB102" s="446"/>
      <c r="EC102" s="446"/>
    </row>
    <row r="103" spans="4:133">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446"/>
      <c r="AB103" s="446"/>
      <c r="AC103" s="446"/>
      <c r="AD103" s="446"/>
      <c r="AE103" s="446"/>
      <c r="AF103" s="446"/>
      <c r="AG103" s="446"/>
      <c r="AH103" s="446"/>
      <c r="AI103" s="446"/>
      <c r="AJ103" s="446"/>
      <c r="AK103" s="446"/>
      <c r="AL103" s="446"/>
      <c r="AM103" s="446"/>
      <c r="AN103" s="446"/>
      <c r="AO103" s="446"/>
      <c r="AP103" s="446"/>
      <c r="AQ103" s="446"/>
      <c r="AR103" s="446"/>
      <c r="AS103" s="446"/>
      <c r="AT103" s="446"/>
      <c r="AU103" s="446"/>
      <c r="AV103" s="446"/>
      <c r="AW103" s="446"/>
      <c r="AX103" s="446"/>
      <c r="AY103" s="446"/>
      <c r="AZ103" s="446"/>
      <c r="BA103" s="446"/>
      <c r="BB103" s="446"/>
      <c r="BC103" s="446"/>
      <c r="BD103" s="446"/>
      <c r="BE103" s="446"/>
      <c r="BF103" s="446"/>
      <c r="BG103" s="446"/>
      <c r="BH103" s="446"/>
      <c r="BI103" s="446"/>
      <c r="BJ103" s="446"/>
      <c r="BK103" s="446"/>
      <c r="BL103" s="446"/>
      <c r="BM103" s="446"/>
      <c r="BN103" s="446"/>
      <c r="BO103" s="446"/>
      <c r="BP103" s="446"/>
      <c r="BQ103" s="446"/>
      <c r="BR103" s="446"/>
      <c r="BS103" s="446"/>
      <c r="BT103" s="446"/>
      <c r="BU103" s="446"/>
      <c r="BV103" s="446"/>
      <c r="BW103" s="446"/>
      <c r="BX103" s="446"/>
      <c r="BY103" s="446"/>
      <c r="BZ103" s="446"/>
      <c r="CA103" s="446"/>
      <c r="CB103" s="446"/>
      <c r="CC103" s="446"/>
      <c r="CD103" s="446"/>
      <c r="CE103" s="446"/>
      <c r="CF103" s="446"/>
      <c r="CG103" s="446"/>
      <c r="CH103" s="446"/>
      <c r="CI103" s="446"/>
      <c r="CJ103" s="446"/>
      <c r="CK103" s="446"/>
      <c r="CL103" s="446"/>
      <c r="CM103" s="446"/>
      <c r="CN103" s="446"/>
      <c r="CO103" s="446"/>
      <c r="CP103" s="446"/>
      <c r="CQ103" s="446"/>
      <c r="CR103" s="446"/>
      <c r="CS103" s="446"/>
      <c r="CT103" s="446"/>
      <c r="CU103" s="446"/>
      <c r="CV103" s="446"/>
      <c r="CW103" s="446"/>
      <c r="CX103" s="446"/>
      <c r="CY103" s="446"/>
      <c r="CZ103" s="446"/>
      <c r="DA103" s="446"/>
      <c r="DB103" s="446"/>
      <c r="DC103" s="446"/>
      <c r="DD103" s="446"/>
      <c r="DE103" s="446"/>
      <c r="DF103" s="446"/>
      <c r="DG103" s="446"/>
      <c r="DH103" s="446"/>
      <c r="DI103" s="446"/>
      <c r="DJ103" s="446"/>
      <c r="DK103" s="446"/>
      <c r="DL103" s="446"/>
      <c r="DM103" s="446"/>
      <c r="DN103" s="446"/>
      <c r="DO103" s="446"/>
      <c r="DP103" s="446"/>
      <c r="DQ103" s="446"/>
      <c r="DR103" s="446"/>
      <c r="DS103" s="446"/>
      <c r="DT103" s="446"/>
      <c r="DU103" s="446"/>
      <c r="DV103" s="446"/>
      <c r="DW103" s="446"/>
      <c r="DX103" s="446"/>
      <c r="DY103" s="446"/>
      <c r="DZ103" s="446"/>
      <c r="EA103" s="446"/>
      <c r="EB103" s="446"/>
      <c r="EC103" s="446"/>
    </row>
    <row r="104" spans="4:133">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446"/>
      <c r="AB104" s="446"/>
      <c r="AC104" s="446"/>
      <c r="AD104" s="446"/>
      <c r="AE104" s="446"/>
      <c r="AF104" s="446"/>
      <c r="AG104" s="446"/>
      <c r="AH104" s="446"/>
      <c r="AI104" s="446"/>
      <c r="AJ104" s="446"/>
      <c r="AK104" s="446"/>
      <c r="AL104" s="446"/>
      <c r="AM104" s="446"/>
      <c r="AN104" s="446"/>
      <c r="AO104" s="446"/>
      <c r="AP104" s="446"/>
      <c r="AQ104" s="446"/>
      <c r="AR104" s="446"/>
      <c r="AS104" s="446"/>
      <c r="AT104" s="446"/>
      <c r="AU104" s="446"/>
      <c r="AV104" s="446"/>
      <c r="AW104" s="446"/>
      <c r="AX104" s="446"/>
      <c r="AY104" s="446"/>
      <c r="AZ104" s="446"/>
      <c r="BA104" s="446"/>
      <c r="BB104" s="446"/>
      <c r="BC104" s="446"/>
      <c r="BD104" s="446"/>
      <c r="BE104" s="446"/>
      <c r="BF104" s="446"/>
      <c r="BG104" s="446"/>
      <c r="BH104" s="446"/>
      <c r="BI104" s="446"/>
      <c r="BJ104" s="446"/>
      <c r="BK104" s="446"/>
      <c r="BL104" s="446"/>
      <c r="BM104" s="446"/>
      <c r="BN104" s="446"/>
      <c r="BO104" s="446"/>
      <c r="BP104" s="446"/>
      <c r="BQ104" s="446"/>
      <c r="BR104" s="446"/>
      <c r="BS104" s="446"/>
      <c r="BT104" s="446"/>
      <c r="BU104" s="446"/>
      <c r="BV104" s="446"/>
      <c r="BW104" s="446"/>
      <c r="BX104" s="446"/>
      <c r="BY104" s="446"/>
      <c r="BZ104" s="446"/>
      <c r="CA104" s="446"/>
      <c r="CB104" s="446"/>
      <c r="CC104" s="446"/>
      <c r="CD104" s="446"/>
      <c r="CE104" s="446"/>
      <c r="CF104" s="446"/>
      <c r="CG104" s="446"/>
      <c r="CH104" s="446"/>
      <c r="CI104" s="446"/>
      <c r="CJ104" s="446"/>
      <c r="CK104" s="446"/>
      <c r="CL104" s="446"/>
      <c r="CM104" s="446"/>
      <c r="CN104" s="446"/>
      <c r="CO104" s="446"/>
      <c r="CP104" s="446"/>
      <c r="CQ104" s="446"/>
      <c r="CR104" s="446"/>
      <c r="CS104" s="446"/>
      <c r="CT104" s="446"/>
      <c r="CU104" s="446"/>
      <c r="CV104" s="446"/>
      <c r="CW104" s="446"/>
      <c r="CX104" s="446"/>
      <c r="CY104" s="446"/>
      <c r="CZ104" s="446"/>
      <c r="DA104" s="446"/>
      <c r="DB104" s="446"/>
      <c r="DC104" s="446"/>
      <c r="DD104" s="446"/>
      <c r="DE104" s="446"/>
      <c r="DF104" s="446"/>
      <c r="DG104" s="446"/>
      <c r="DH104" s="446"/>
      <c r="DI104" s="446"/>
      <c r="DJ104" s="446"/>
      <c r="DK104" s="446"/>
      <c r="DL104" s="446"/>
      <c r="DM104" s="446"/>
      <c r="DN104" s="446"/>
      <c r="DO104" s="446"/>
      <c r="DP104" s="446"/>
      <c r="DQ104" s="446"/>
      <c r="DR104" s="446"/>
      <c r="DS104" s="446"/>
      <c r="DT104" s="446"/>
      <c r="DU104" s="446"/>
      <c r="DV104" s="446"/>
      <c r="DW104" s="446"/>
      <c r="DX104" s="446"/>
      <c r="DY104" s="446"/>
      <c r="DZ104" s="446"/>
      <c r="EA104" s="446"/>
      <c r="EB104" s="446"/>
      <c r="EC104" s="446"/>
    </row>
    <row r="105" spans="4:133">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446"/>
      <c r="AB105" s="446"/>
      <c r="AC105" s="446"/>
      <c r="AD105" s="446"/>
      <c r="AE105" s="446"/>
      <c r="AF105" s="446"/>
      <c r="AG105" s="446"/>
      <c r="AH105" s="446"/>
      <c r="AI105" s="446"/>
      <c r="AJ105" s="446"/>
      <c r="AK105" s="446"/>
      <c r="AL105" s="446"/>
      <c r="AM105" s="446"/>
      <c r="AN105" s="446"/>
      <c r="AO105" s="446"/>
      <c r="AP105" s="446"/>
      <c r="AQ105" s="446"/>
      <c r="AR105" s="446"/>
      <c r="AS105" s="446"/>
      <c r="AT105" s="446"/>
      <c r="AU105" s="446"/>
      <c r="AV105" s="446"/>
      <c r="AW105" s="446"/>
      <c r="AX105" s="446"/>
      <c r="AY105" s="446"/>
      <c r="AZ105" s="446"/>
      <c r="BA105" s="446"/>
      <c r="BB105" s="446"/>
      <c r="BC105" s="446"/>
      <c r="BD105" s="446"/>
      <c r="BE105" s="446"/>
      <c r="BF105" s="446"/>
      <c r="BG105" s="446"/>
      <c r="BH105" s="446"/>
      <c r="BI105" s="446"/>
      <c r="BJ105" s="446"/>
      <c r="BK105" s="446"/>
      <c r="BL105" s="446"/>
      <c r="BM105" s="446"/>
      <c r="BN105" s="446"/>
      <c r="BO105" s="446"/>
      <c r="BP105" s="446"/>
      <c r="BQ105" s="446"/>
      <c r="BR105" s="446"/>
      <c r="BS105" s="446"/>
      <c r="BT105" s="446"/>
      <c r="BU105" s="446"/>
      <c r="BV105" s="446"/>
      <c r="BW105" s="446"/>
      <c r="BX105" s="446"/>
      <c r="BY105" s="446"/>
      <c r="BZ105" s="446"/>
      <c r="CA105" s="446"/>
      <c r="CB105" s="446"/>
      <c r="CC105" s="446"/>
      <c r="CD105" s="446"/>
      <c r="CE105" s="446"/>
      <c r="CF105" s="446"/>
      <c r="CG105" s="446"/>
      <c r="CH105" s="446"/>
      <c r="CI105" s="446"/>
      <c r="CJ105" s="446"/>
      <c r="CK105" s="446"/>
      <c r="CL105" s="446"/>
      <c r="CM105" s="446"/>
      <c r="CN105" s="446"/>
      <c r="CO105" s="446"/>
      <c r="CP105" s="446"/>
      <c r="CQ105" s="446"/>
      <c r="CR105" s="446"/>
      <c r="CS105" s="446"/>
      <c r="CT105" s="446"/>
      <c r="CU105" s="446"/>
      <c r="CV105" s="446"/>
      <c r="CW105" s="446"/>
      <c r="CX105" s="446"/>
      <c r="CY105" s="446"/>
      <c r="CZ105" s="446"/>
      <c r="DA105" s="446"/>
      <c r="DB105" s="446"/>
      <c r="DC105" s="446"/>
      <c r="DD105" s="446"/>
      <c r="DE105" s="446"/>
      <c r="DF105" s="446"/>
      <c r="DG105" s="446"/>
      <c r="DH105" s="446"/>
      <c r="DI105" s="446"/>
      <c r="DJ105" s="446"/>
      <c r="DK105" s="446"/>
      <c r="DL105" s="446"/>
      <c r="DM105" s="446"/>
      <c r="DN105" s="446"/>
      <c r="DO105" s="446"/>
      <c r="DP105" s="446"/>
      <c r="DQ105" s="446"/>
      <c r="DR105" s="446"/>
      <c r="DS105" s="446"/>
      <c r="DT105" s="446"/>
      <c r="DU105" s="446"/>
      <c r="DV105" s="446"/>
      <c r="DW105" s="446"/>
      <c r="DX105" s="446"/>
      <c r="DY105" s="446"/>
      <c r="DZ105" s="446"/>
      <c r="EA105" s="446"/>
      <c r="EB105" s="446"/>
      <c r="EC105" s="446"/>
    </row>
    <row r="106" spans="4:133">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446"/>
      <c r="AB106" s="446"/>
      <c r="AC106" s="446"/>
      <c r="AD106" s="446"/>
      <c r="AE106" s="446"/>
      <c r="AF106" s="446"/>
      <c r="AG106" s="446"/>
      <c r="AH106" s="446"/>
      <c r="AI106" s="446"/>
      <c r="AJ106" s="446"/>
      <c r="AK106" s="446"/>
      <c r="AL106" s="446"/>
      <c r="AM106" s="446"/>
      <c r="AN106" s="446"/>
      <c r="AO106" s="446"/>
      <c r="AP106" s="446"/>
      <c r="AQ106" s="446"/>
      <c r="AR106" s="446"/>
      <c r="AS106" s="446"/>
      <c r="AT106" s="446"/>
      <c r="AU106" s="446"/>
      <c r="AV106" s="446"/>
      <c r="AW106" s="446"/>
      <c r="AX106" s="446"/>
      <c r="AY106" s="446"/>
      <c r="AZ106" s="446"/>
      <c r="BA106" s="446"/>
      <c r="BB106" s="446"/>
      <c r="BC106" s="446"/>
      <c r="BD106" s="446"/>
      <c r="BE106" s="446"/>
      <c r="BF106" s="446"/>
      <c r="BG106" s="446"/>
      <c r="BH106" s="446"/>
      <c r="BI106" s="446"/>
      <c r="BJ106" s="446"/>
      <c r="BK106" s="446"/>
      <c r="BL106" s="446"/>
      <c r="BM106" s="446"/>
      <c r="BN106" s="446"/>
      <c r="BO106" s="446"/>
      <c r="BP106" s="446"/>
      <c r="BQ106" s="446"/>
      <c r="BR106" s="446"/>
      <c r="BS106" s="446"/>
      <c r="BT106" s="446"/>
      <c r="BU106" s="446"/>
      <c r="BV106" s="446"/>
      <c r="BW106" s="446"/>
      <c r="BX106" s="446"/>
      <c r="BY106" s="446"/>
      <c r="BZ106" s="446"/>
      <c r="CA106" s="446"/>
      <c r="CB106" s="446"/>
      <c r="CC106" s="446"/>
      <c r="CD106" s="446"/>
      <c r="CE106" s="446"/>
      <c r="CF106" s="446"/>
      <c r="CG106" s="446"/>
      <c r="CH106" s="446"/>
      <c r="CI106" s="446"/>
      <c r="CJ106" s="446"/>
      <c r="CK106" s="446"/>
      <c r="CL106" s="446"/>
      <c r="CM106" s="446"/>
      <c r="CN106" s="446"/>
      <c r="CO106" s="446"/>
      <c r="CP106" s="446"/>
      <c r="CQ106" s="446"/>
      <c r="CR106" s="446"/>
      <c r="CS106" s="446"/>
      <c r="CT106" s="446"/>
      <c r="CU106" s="446"/>
      <c r="CV106" s="446"/>
      <c r="CW106" s="446"/>
      <c r="CX106" s="446"/>
      <c r="CY106" s="446"/>
      <c r="CZ106" s="446"/>
      <c r="DA106" s="446"/>
      <c r="DB106" s="446"/>
      <c r="DC106" s="446"/>
      <c r="DD106" s="446"/>
      <c r="DE106" s="446"/>
      <c r="DF106" s="446"/>
      <c r="DG106" s="446"/>
      <c r="DH106" s="446"/>
      <c r="DI106" s="446"/>
      <c r="DJ106" s="446"/>
      <c r="DK106" s="446"/>
      <c r="DL106" s="446"/>
      <c r="DM106" s="446"/>
      <c r="DN106" s="446"/>
      <c r="DO106" s="446"/>
      <c r="DP106" s="446"/>
      <c r="DQ106" s="446"/>
      <c r="DR106" s="446"/>
      <c r="DS106" s="446"/>
      <c r="DT106" s="446"/>
      <c r="DU106" s="446"/>
      <c r="DV106" s="446"/>
      <c r="DW106" s="446"/>
      <c r="DX106" s="446"/>
      <c r="DY106" s="446"/>
      <c r="DZ106" s="446"/>
      <c r="EA106" s="446"/>
      <c r="EB106" s="446"/>
      <c r="EC106" s="446"/>
    </row>
    <row r="107" spans="4:133">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446"/>
      <c r="AB107" s="446"/>
      <c r="AC107" s="446"/>
      <c r="AD107" s="446"/>
      <c r="AE107" s="446"/>
      <c r="AF107" s="446"/>
      <c r="AG107" s="446"/>
      <c r="AH107" s="446"/>
      <c r="AI107" s="446"/>
      <c r="AJ107" s="446"/>
      <c r="AK107" s="446"/>
      <c r="AL107" s="446"/>
      <c r="AM107" s="446"/>
      <c r="AN107" s="446"/>
      <c r="AO107" s="446"/>
      <c r="AP107" s="446"/>
      <c r="AQ107" s="446"/>
      <c r="AR107" s="446"/>
      <c r="AS107" s="446"/>
      <c r="AT107" s="446"/>
      <c r="AU107" s="446"/>
      <c r="AV107" s="446"/>
      <c r="AW107" s="446"/>
      <c r="AX107" s="446"/>
      <c r="AY107" s="446"/>
      <c r="AZ107" s="446"/>
      <c r="BA107" s="446"/>
      <c r="BB107" s="446"/>
      <c r="BC107" s="446"/>
      <c r="BD107" s="446"/>
      <c r="BE107" s="446"/>
      <c r="BF107" s="446"/>
      <c r="BG107" s="446"/>
      <c r="BH107" s="446"/>
      <c r="BI107" s="446"/>
      <c r="BJ107" s="446"/>
      <c r="BK107" s="446"/>
      <c r="BL107" s="446"/>
      <c r="BM107" s="446"/>
      <c r="BN107" s="446"/>
      <c r="BO107" s="446"/>
      <c r="BP107" s="446"/>
      <c r="BQ107" s="446"/>
      <c r="BR107" s="446"/>
      <c r="BS107" s="446"/>
      <c r="BT107" s="446"/>
      <c r="BU107" s="446"/>
      <c r="BV107" s="446"/>
      <c r="BW107" s="446"/>
      <c r="BX107" s="446"/>
      <c r="BY107" s="446"/>
      <c r="BZ107" s="446"/>
      <c r="CA107" s="446"/>
      <c r="CB107" s="446"/>
      <c r="CC107" s="446"/>
      <c r="CD107" s="446"/>
      <c r="CE107" s="446"/>
      <c r="CF107" s="446"/>
      <c r="CG107" s="446"/>
      <c r="CH107" s="446"/>
      <c r="CI107" s="446"/>
      <c r="CJ107" s="446"/>
      <c r="CK107" s="446"/>
      <c r="CL107" s="446"/>
      <c r="CM107" s="446"/>
      <c r="CN107" s="446"/>
      <c r="CO107" s="446"/>
      <c r="CP107" s="446"/>
      <c r="CQ107" s="446"/>
      <c r="CR107" s="446"/>
      <c r="CS107" s="446"/>
      <c r="CT107" s="446"/>
      <c r="CU107" s="446"/>
      <c r="CV107" s="446"/>
      <c r="CW107" s="446"/>
      <c r="CX107" s="446"/>
      <c r="CY107" s="446"/>
      <c r="CZ107" s="446"/>
      <c r="DA107" s="446"/>
      <c r="DB107" s="446"/>
      <c r="DC107" s="446"/>
      <c r="DD107" s="446"/>
      <c r="DE107" s="446"/>
      <c r="DF107" s="446"/>
      <c r="DG107" s="446"/>
      <c r="DH107" s="446"/>
      <c r="DI107" s="446"/>
      <c r="DJ107" s="446"/>
      <c r="DK107" s="446"/>
      <c r="DL107" s="446"/>
      <c r="DM107" s="446"/>
      <c r="DN107" s="446"/>
      <c r="DO107" s="446"/>
      <c r="DP107" s="446"/>
      <c r="DQ107" s="446"/>
      <c r="DR107" s="446"/>
      <c r="DS107" s="446"/>
      <c r="DT107" s="446"/>
      <c r="DU107" s="446"/>
      <c r="DV107" s="446"/>
      <c r="DW107" s="446"/>
      <c r="DX107" s="446"/>
      <c r="DY107" s="446"/>
      <c r="DZ107" s="446"/>
      <c r="EA107" s="446"/>
      <c r="EB107" s="446"/>
      <c r="EC107" s="446"/>
    </row>
    <row r="108" spans="4:133">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446"/>
      <c r="AB108" s="446"/>
      <c r="AC108" s="446"/>
      <c r="AD108" s="446"/>
      <c r="AE108" s="446"/>
      <c r="AF108" s="446"/>
      <c r="AG108" s="446"/>
      <c r="AH108" s="446"/>
      <c r="AI108" s="446"/>
      <c r="AJ108" s="446"/>
      <c r="AK108" s="446"/>
      <c r="AL108" s="446"/>
      <c r="AM108" s="446"/>
      <c r="AN108" s="446"/>
      <c r="AO108" s="446"/>
      <c r="AP108" s="446"/>
      <c r="AQ108" s="446"/>
      <c r="AR108" s="446"/>
      <c r="AS108" s="446"/>
      <c r="AT108" s="446"/>
      <c r="AU108" s="446"/>
      <c r="AV108" s="446"/>
      <c r="AW108" s="446"/>
      <c r="AX108" s="446"/>
      <c r="AY108" s="446"/>
      <c r="AZ108" s="446"/>
      <c r="BA108" s="446"/>
      <c r="BB108" s="446"/>
      <c r="BC108" s="446"/>
      <c r="BD108" s="446"/>
      <c r="BE108" s="446"/>
      <c r="BF108" s="446"/>
      <c r="BG108" s="446"/>
      <c r="BH108" s="446"/>
      <c r="BI108" s="446"/>
      <c r="BJ108" s="446"/>
      <c r="BK108" s="446"/>
      <c r="BL108" s="446"/>
      <c r="BM108" s="446"/>
      <c r="BN108" s="446"/>
      <c r="BO108" s="446"/>
      <c r="BP108" s="446"/>
      <c r="BQ108" s="446"/>
      <c r="BR108" s="446"/>
      <c r="BS108" s="446"/>
      <c r="BT108" s="446"/>
      <c r="BU108" s="446"/>
      <c r="BV108" s="446"/>
      <c r="BW108" s="446"/>
      <c r="BX108" s="446"/>
      <c r="BY108" s="446"/>
      <c r="BZ108" s="446"/>
      <c r="CA108" s="446"/>
      <c r="CB108" s="446"/>
      <c r="CC108" s="446"/>
      <c r="CD108" s="446"/>
      <c r="CE108" s="446"/>
      <c r="CF108" s="446"/>
      <c r="CG108" s="446"/>
      <c r="CH108" s="446"/>
      <c r="CI108" s="446"/>
      <c r="CJ108" s="446"/>
      <c r="CK108" s="446"/>
      <c r="CL108" s="446"/>
      <c r="CM108" s="446"/>
      <c r="CN108" s="446"/>
      <c r="CO108" s="446"/>
      <c r="CP108" s="446"/>
      <c r="CQ108" s="446"/>
      <c r="CR108" s="446"/>
      <c r="CS108" s="446"/>
      <c r="CT108" s="446"/>
      <c r="CU108" s="446"/>
      <c r="CV108" s="446"/>
      <c r="CW108" s="446"/>
      <c r="CX108" s="446"/>
      <c r="CY108" s="446"/>
      <c r="CZ108" s="446"/>
      <c r="DA108" s="446"/>
      <c r="DB108" s="446"/>
      <c r="DC108" s="446"/>
      <c r="DD108" s="446"/>
      <c r="DE108" s="446"/>
      <c r="DF108" s="446"/>
      <c r="DG108" s="446"/>
      <c r="DH108" s="446"/>
      <c r="DI108" s="446"/>
      <c r="DJ108" s="446"/>
      <c r="DK108" s="446"/>
      <c r="DL108" s="446"/>
      <c r="DM108" s="446"/>
      <c r="DN108" s="446"/>
      <c r="DO108" s="446"/>
      <c r="DP108" s="446"/>
      <c r="DQ108" s="446"/>
      <c r="DR108" s="446"/>
      <c r="DS108" s="446"/>
      <c r="DT108" s="446"/>
      <c r="DU108" s="446"/>
      <c r="DV108" s="446"/>
      <c r="DW108" s="446"/>
      <c r="DX108" s="446"/>
      <c r="DY108" s="446"/>
      <c r="DZ108" s="446"/>
      <c r="EA108" s="446"/>
      <c r="EB108" s="446"/>
      <c r="EC108" s="446"/>
    </row>
    <row r="109" spans="4:133">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446"/>
      <c r="AB109" s="446"/>
      <c r="AC109" s="446"/>
      <c r="AD109" s="446"/>
      <c r="AE109" s="446"/>
      <c r="AF109" s="446"/>
      <c r="AG109" s="446"/>
      <c r="AH109" s="446"/>
      <c r="AI109" s="446"/>
      <c r="AJ109" s="446"/>
      <c r="AK109" s="446"/>
      <c r="AL109" s="446"/>
      <c r="AM109" s="446"/>
      <c r="AN109" s="446"/>
      <c r="AO109" s="446"/>
      <c r="AP109" s="446"/>
      <c r="AQ109" s="446"/>
      <c r="AR109" s="446"/>
      <c r="AS109" s="446"/>
      <c r="AT109" s="446"/>
      <c r="AU109" s="446"/>
      <c r="AV109" s="446"/>
      <c r="AW109" s="446"/>
      <c r="AX109" s="446"/>
      <c r="AY109" s="446"/>
      <c r="AZ109" s="446"/>
      <c r="BA109" s="446"/>
      <c r="BB109" s="446"/>
      <c r="BC109" s="446"/>
      <c r="BD109" s="446"/>
      <c r="BE109" s="446"/>
      <c r="BF109" s="446"/>
      <c r="BG109" s="446"/>
      <c r="BH109" s="446"/>
      <c r="BI109" s="446"/>
      <c r="BJ109" s="446"/>
      <c r="BK109" s="446"/>
      <c r="BL109" s="446"/>
      <c r="BM109" s="446"/>
      <c r="BN109" s="446"/>
      <c r="BO109" s="446"/>
      <c r="BP109" s="446"/>
      <c r="BQ109" s="446"/>
      <c r="BR109" s="446"/>
      <c r="BS109" s="446"/>
      <c r="BT109" s="446"/>
      <c r="BU109" s="446"/>
      <c r="BV109" s="446"/>
      <c r="BW109" s="446"/>
      <c r="BX109" s="446"/>
      <c r="BY109" s="446"/>
      <c r="BZ109" s="446"/>
      <c r="CA109" s="446"/>
      <c r="CB109" s="446"/>
      <c r="CC109" s="446"/>
      <c r="CD109" s="446"/>
      <c r="CE109" s="446"/>
      <c r="CF109" s="446"/>
      <c r="CG109" s="446"/>
      <c r="CH109" s="446"/>
      <c r="CI109" s="446"/>
      <c r="CJ109" s="446"/>
      <c r="CK109" s="446"/>
      <c r="CL109" s="446"/>
      <c r="CM109" s="446"/>
      <c r="CN109" s="446"/>
      <c r="CO109" s="446"/>
      <c r="CP109" s="446"/>
      <c r="CQ109" s="446"/>
      <c r="CR109" s="446"/>
      <c r="CS109" s="446"/>
      <c r="CT109" s="446"/>
      <c r="CU109" s="446"/>
      <c r="CV109" s="446"/>
      <c r="CW109" s="446"/>
      <c r="CX109" s="446"/>
      <c r="CY109" s="446"/>
      <c r="CZ109" s="446"/>
      <c r="DA109" s="446"/>
      <c r="DB109" s="446"/>
      <c r="DC109" s="446"/>
      <c r="DD109" s="446"/>
      <c r="DE109" s="446"/>
      <c r="DF109" s="446"/>
      <c r="DG109" s="446"/>
      <c r="DH109" s="446"/>
      <c r="DI109" s="446"/>
      <c r="DJ109" s="446"/>
      <c r="DK109" s="446"/>
      <c r="DL109" s="446"/>
      <c r="DM109" s="446"/>
      <c r="DN109" s="446"/>
      <c r="DO109" s="446"/>
      <c r="DP109" s="446"/>
      <c r="DQ109" s="446"/>
      <c r="DR109" s="446"/>
      <c r="DS109" s="446"/>
      <c r="DT109" s="446"/>
      <c r="DU109" s="446"/>
      <c r="DV109" s="446"/>
      <c r="DW109" s="446"/>
      <c r="DX109" s="446"/>
      <c r="DY109" s="446"/>
      <c r="DZ109" s="446"/>
      <c r="EA109" s="446"/>
      <c r="EB109" s="446"/>
      <c r="EC109" s="446"/>
    </row>
    <row r="110" spans="4:133">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446"/>
      <c r="AB110" s="446"/>
      <c r="AC110" s="446"/>
      <c r="AD110" s="446"/>
      <c r="AE110" s="446"/>
      <c r="AF110" s="446"/>
      <c r="AG110" s="446"/>
      <c r="AH110" s="446"/>
      <c r="AI110" s="446"/>
      <c r="AJ110" s="446"/>
      <c r="AK110" s="446"/>
      <c r="AL110" s="446"/>
      <c r="AM110" s="446"/>
      <c r="AN110" s="446"/>
      <c r="AO110" s="446"/>
      <c r="AP110" s="446"/>
      <c r="AQ110" s="446"/>
      <c r="AR110" s="446"/>
      <c r="AS110" s="446"/>
      <c r="AT110" s="446"/>
      <c r="AU110" s="446"/>
      <c r="AV110" s="446"/>
      <c r="AW110" s="446"/>
      <c r="AX110" s="446"/>
      <c r="AY110" s="446"/>
      <c r="AZ110" s="446"/>
      <c r="BA110" s="446"/>
      <c r="BB110" s="446"/>
      <c r="BC110" s="446"/>
      <c r="BD110" s="446"/>
      <c r="BE110" s="446"/>
      <c r="BF110" s="446"/>
      <c r="BG110" s="446"/>
      <c r="BH110" s="446"/>
      <c r="BI110" s="446"/>
      <c r="BJ110" s="446"/>
      <c r="BK110" s="446"/>
      <c r="BL110" s="446"/>
      <c r="BM110" s="446"/>
      <c r="BN110" s="446"/>
      <c r="BO110" s="446"/>
      <c r="BP110" s="446"/>
      <c r="BQ110" s="446"/>
      <c r="BR110" s="446"/>
      <c r="BS110" s="446"/>
      <c r="BT110" s="446"/>
      <c r="BU110" s="446"/>
      <c r="BV110" s="446"/>
      <c r="BW110" s="446"/>
      <c r="BX110" s="446"/>
      <c r="BY110" s="446"/>
      <c r="BZ110" s="446"/>
      <c r="CA110" s="446"/>
      <c r="CB110" s="446"/>
      <c r="CC110" s="446"/>
      <c r="CD110" s="446"/>
      <c r="CE110" s="446"/>
      <c r="CF110" s="446"/>
      <c r="CG110" s="446"/>
      <c r="CH110" s="446"/>
      <c r="CI110" s="446"/>
      <c r="CJ110" s="446"/>
      <c r="CK110" s="446"/>
      <c r="CL110" s="446"/>
      <c r="CM110" s="446"/>
      <c r="CN110" s="446"/>
      <c r="CO110" s="446"/>
      <c r="CP110" s="446"/>
      <c r="CQ110" s="446"/>
      <c r="CR110" s="446"/>
      <c r="CS110" s="446"/>
      <c r="CT110" s="446"/>
      <c r="CU110" s="446"/>
      <c r="CV110" s="446"/>
      <c r="CW110" s="446"/>
      <c r="CX110" s="446"/>
      <c r="CY110" s="446"/>
      <c r="CZ110" s="446"/>
      <c r="DA110" s="446"/>
      <c r="DB110" s="446"/>
      <c r="DC110" s="446"/>
      <c r="DD110" s="446"/>
      <c r="DE110" s="446"/>
      <c r="DF110" s="446"/>
      <c r="DG110" s="446"/>
      <c r="DH110" s="446"/>
      <c r="DI110" s="446"/>
      <c r="DJ110" s="446"/>
      <c r="DK110" s="446"/>
      <c r="DL110" s="446"/>
      <c r="DM110" s="446"/>
      <c r="DN110" s="446"/>
      <c r="DO110" s="446"/>
      <c r="DP110" s="446"/>
      <c r="DQ110" s="446"/>
      <c r="DR110" s="446"/>
      <c r="DS110" s="446"/>
      <c r="DT110" s="446"/>
      <c r="DU110" s="446"/>
      <c r="DV110" s="446"/>
      <c r="DW110" s="446"/>
      <c r="DX110" s="446"/>
      <c r="DY110" s="446"/>
      <c r="DZ110" s="446"/>
      <c r="EA110" s="446"/>
      <c r="EB110" s="446"/>
      <c r="EC110" s="446"/>
    </row>
  </sheetData>
  <phoneticPr fontId="0" type="noConversion"/>
  <pageMargins left="0.15" right="0.15" top="0.3" bottom="0.3" header="0.25" footer="0.25"/>
  <pageSetup scale="10" pageOrder="overThenDown" orientation="portrait" verticalDpi="598" r:id="rId1"/>
  <headerFooter alignWithMargins="0">
    <oddFooter>&amp;R&amp;"Book Antiqua,Regular"&amp;8Daniel Salmon
BMO Capital Markets
 (212) 885-4029</oddFooter>
  </headerFooter>
  <ignoredErrors>
    <ignoredError sqref="CT44 CT41 CT18 CT17" formulaRange="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FdsFormulaCache xmlns="urn:fdsformulacache" version="2" timestamp="1736444332"><![CDATA[{"SHOP-US^FE_TIMESERIES(DEPR_AMORT,MEAN,2027,,Y,'CURRENCY=USD')":null,"SHOP-US^FE_TIMESERIES(DEPR_AMORT,MEAN,2021,,Y,'CURRENCY=USD')":64.22754,"SHOP-US^FE_TIMESERIES(FCF,MEAN,2023,,Y,'CURRENCY=USD')":904.9133,"SHOP-US^FE_TIMESERIES(CAPEX,MEAN,2025,,Y,'CURRENCY=USD')":32.17273,"SHOP-US^FE_TIMESERIES(CFO,MEAN,2027,,Y,'CURRENCY=USD')":3720.0,"SHOP-US^FE_TIMESERIES(CFO,MEAN,2021,,Y,'CURRENCY=USD')":552.4646,"SHOP-US^FE_TIMESERIES(EAG,MEAN,2023,,Y,'CURRENCY=USD')":0.1,"SHOP-US^FE_TIMESERIES(EPS,MEAN,2025,,Y,'CURRENCY=USD')":1.5340447,"SHOP-US^FE_TIMESERIES(NETPROFIT,MEAN,2027,,Y,'CURRENCY=USD')":3250.2156,"SHOP-US^FE_TIMESERIES(NETPROFIT,MEAN,2021,,Y,'CURRENCY=USD')":814.4,"SHOP-US^FE_TIMESERIES(EBITDA_ADJ,MEAN,2023,,Y,'CURRENCY=USD')":824.5797,"SHOP-US^FE_TIMESERIES(EBITDA_REP,MEAN,2025,,Y,'CURRENCY=USD')":1717.8488,"SHOP-US^FE_TIMESERIES(EBIT_ADJ,MEAN,2027,,Y,'CURRENCY=USD')":3639.985,"SHOP-US^FE_TIMESERIES(DEPR_AMORT,MEAN,2026,,Y,'CURRENCY=USD')":48.1825,"SHOP-US^FE_TIMESERIES(DEPR_AMORT,MEAN,2020,,Y,'CURRENCY=USD')":66.02623,"SHOP-US^FE_TIMESERIES(FCF,MEAN,2022,,Y,'CURRENCY=USD')":-190.181,"SHOP-US^FE_TIMESERIES(CAPEX,MEAN,2024,,Y,'CURRENCY=USD')":21.771305,"SHOP-US^FE_TIMESERIES(CFO,MEAN,2026,,Y,'CURRENCY=USD')":2603.751,"SHOP-US^FE_TIMESERIES(CFO,MEAN,2020,,Y,'CURRENCY=USD')":385.94446,"SHOP-US^FE_TIMESERIES(EAG,MEAN,2022,,Y,'CURRENCY=USD')":-2.69,"SHOP-US^FE_TIMESERIES(EPS,MEAN,2024,,Y,'CURRENCY=USD')":1.2719381,"SHOP-US^FE_TIMESERIES(NETPROFIT,MEAN,2026,,Y,'CURRENCY=USD')":2556.6604,"SHOP-US^FE_TIMESERIES(NETPROFIT,MEAN,2020,,Y,'CURRENCY=USD')":491.291,"SHOP-US^FE_TIMESERIES(EBITDA_ADJ,MEAN,2022,,Y,'CURRENCY=USD')":79.164,"SHOP-US^FE_TIMESERIES(EBITDA_REP,MEAN,2024,,Y,'CURRENCY=USD')":1176.1501,"SHOP-US^FE_TIMESERIES(EBIT_ADJ,MEAN,2026,,Y,'CURRENCY=USD')":2581.489,"SHOP-US^FE_TIMESERIES(EBIT_ADJ,MEAN,2020,,Y,'CURRENCY=USD')":437.351,"SHOP-US^FE_TIMESERIES(EBITR,MEAN,2022,,Y,'CURRENCY=USD')":-822.1685,"SHOP-US^FE_TIMESERIES(GROSSINCOME,MEAN,2024,,Y,'CURRENCY=USD')":4454.647,"SHOP-US^FE_TIMESERIES(PRODLINE_SALES_2,MEAN,2026,,Y,'CURRENCY=USD')":9683.017,"SHOP-US^FE_TIMESERIES(PRODLINE_SALES_2,MEAN,2020,,Y,'CURRENCY=USD')":2020.734,"SHOP-US^FE_TIMESERIES(PRODLINE_SALES_1,MEAN,2022,,Y,'CURRENCY=USD')":1487.759,"SHOP-US^FE_TIMESERIES(SALES,MEAN,2024,,Y,'CURRENCY=USD')":8799.232,"SHOP-US^FE_TIMESERIES(GMV,MEAN,2026,,Y,'CURRENCY=USD')":415727.38,"SHOP-US^FE_TIMESERIES(GMV,MEAN,2020,,Y,'CURRENCY=USD')":119496.14,"SHOP-US^FE_TIMESERIES(DEPR_AMORT,MEAN,2024/3F,,Q,'CURRENCY=USD')":8.0,"SHOP-US^FE_TIMESERIES(DEPR_AMORT,MEAN,2023/1F,,Q,'CURRENCY=USD')":29.0,"SHOP-US^FE_TIMESERIES(DEPR_AMORT,MEAN,2021/3F,,Q,'CURRENCY=USD')":18.3045,"SHOP-US^FE_TIMESERIES(DEPR_AMORT,MEAN,2020/1F,,Q,'CURRENCY=USD')":14.3796,"SHOP-US^FE_TIMESERIES(FCF,MEAN,2024/3F,,Q,'CURRENCY=USD')":421.0,"SHOP-US^FE_TIMESERIES(FCF,MEAN,2023/1F,,Q,'CURRENCY=USD')":87.76428,"SHOP-US^FE_TIMESERIES(FCF,MEAN,2021/3F,,Q,'CURRENCY=USD')":45.403,"SHOP-US^FE_TIMESERIES(FCF,MEAN,2020/1F,,Q,'CURRENCY=USD')":-101.69583,"SHOP-US^FE_TIMESERIES(CAPEX,MEAN,2024/3F,,Q,'CURRENCY=USD')":2.0,"SHOP-US^FE_TIMESERIES(CAPEX,MEAN,2023/1F,,Q,'CURRENCY=USD')":14.0,"SHOP-US^FE_TIMESERIES(CAPEX,MEAN,2021/3F,,Q,'CURRENCY=USD')":11.902445,"SHOP-US^FE_TIMESERIES(CAPEX,MEAN,2020/1F,,Q,'CURRENCY=USD')":16.734285,"SHOP-US^FE_TIMESERIES(CFO,MEAN,2024/3F,,Q,'CURRENCY=USD')":423.0,"SHOP-US^FE_TIMESERIES(CFO,MEAN,2023/1F,,Q,'CURRENCY=USD')":100.0,"SHOP-US^FE_TIMESERIES(CFO,MEAN,2021/3F,,Q,'CURRENCY=USD')":41.887,"SHOP-US^FE_TIMESERIES(CFO,MEAN,2020/1F,,Q,'CURRENCY=USD')":-84.961426,"SHOP-US^FE_TIMESERIES(EAG,MEAN,2024/3F,,Q,'CURRENCY=USD')":0.6380796,"SHOP-US^FE_TIMESERIES(EAG,MEAN,2023/1F,,Q,'CURRENCY=USD')":0.05,"SHOP-US^FE_TIMESERIES(EAG,MEAN,2021/3F,,Q,'CURRENCY=USD')":0.9,"SHOP-US^FE_TIMESERIES(EAG,MEAN,2020/1F,,Q,'CURRENCY=USD')":-0.027,"SHOP-US^FE_TIMESERIES(EPS,MEAN,2024/3F,,Q,'CURRENCY=USD')":0.34206286,"SHOP-US^FE_TIMESERIES(EPS,MEAN,2023/1F,,Q,'CURRENCY=USD')":0.01,"SHOP-US^FE_TIMESERIES(EPS,MEAN,2021/3F,,Q,'CURRENCY=USD')":0.081,"SHOP-US^FE_TIMESERIES(EPS,MEAN,2020/1F,,Q,'CURRENCY=USD')":0.019,"SHOP-US^FE_TIMESERIES(NETPROFIT,MEAN,2024/3F,,Q,'CURRENCY=USD')":344.0,"SHOP-US^FE_TIMESERIES(EBITR,MEAN,2026,,Y,'CURRENCY=USD')":2009.6965,"SHOP-US^FE_TIMESERIES(PRODLINE_SALES_1,MEAN,2026,,Y,'CURRENCY=USD')":3247.7937,"SHOP-US^FE_TIMESERIES(DEPR_AMORT,MEAN,2025/3F,,Q,'CURRENCY=USD')":14.502,"SHOP-US^FE_TIMESERIES(FCF,MEAN,2025/3F,,Q,'CURRENCY=USD')":463.75244,"SHOP-US^FE_TIMESERIES(CAPEX,MEAN,2025/3F,,Q,'CURRENCY=USD')":6.5946,"SHOP-US^FE_TIMESERIES(CFO,MEAN,2025/3F,,Q,'CURRENCY=USD')":478.64713,"SHOP-US^FE_TIMESERIES(EAG,MEAN,2025/3F,,Q,'CURRENCY=USD')":0.29405507,"SHOP-US^FE_TIMESERIES(EPS,MEAN,2025/3F,,Q,'CURRENCY=USD')":0.37531054,"SHOP-US^FE_TIMESERIES(NETPROFIT,MEAN,2025/3F,,Q,'CURRENCY=USD')":480.82443,"SHOP-US^FE_TIMESERIES(NETPROFIT,MEAN,2021/4F,,Q,'CURRENCY=USD')":172.8,"SHOP-US^FE_TIMESERIES(EBITDA_REP,MEAN,2024/4F,,Q,'CURRENCY=USD')":477.86685,"SHOP-US^FE_TIMESERIES(EBIT_ADJ,MEAN,2021/4F,,Q,'CURRENCY=USD')":130.17845,"SHOP-US^FE_TIMESERIES(GROSSINCOME,MEAN,2024/4F,,Q,'CURRENCY=USD')":1321.9026,"SHOP-US^FE_TIMESERIES(PRODLINE_SALES_2,MEAN,2021/4F,,Q,'CURRENCY=USD')":1028.816,"SHOP-US^FE_TIMESERIES(SALES,MEAN,2024/4F,,Q,'CURRENCY=USD')":2725.7952,"SHOP-US^FE_TIMESERIES(GMV,MEAN,2021/4F,,Q,'CURRENCY=USD')":54088.273,"SHOP-US^FE_ESTIMATE(GMV,MEAN,QTR,2024/1F,NOW,,,'')":60855.0,"SHOP-US^FE_ESTIMATE(NETBG,MEAN,QTR,2024/1F,NOW,,,'')":256.0,"SHOP-US^FE_ESTIMATE(SALES,MEAN,QTR,2024/2F,NOW,,,'')":2045.0,"SHOP-US^FE_ESTIMATE(BFNG,MEAN,QTR,2024/2F,NOW,,,'')":171.0,"SHOP-US^FE_ESTIMATE(PRODLINE_SALES_2,MEAN,QTR,2024/3F,NOW,,,'')":1552.0,"SHOP-US^FE_ESTIMATE(GMV,MEAN,QTR,2024/4F,NOW,,,'')":92277.09,"SHOP-US^FE_ESTIMATE(NETBG,MEAN,QTR,2024/4F,NOW,,,'')":568.6455,"SHOP-US^FE_ESTIMATE(SALES,MEAN,ANNUAL_ROLL,2024,NOW,,,'')":8799.232,"SHOP-US^FE_ESTIMATE(BFNG,MEAN,ANNUAL_ROLL,2024,NOW,,,'')":1155.2559,"SHOP-US^FE_ESTIMATE(PRODLINE_SALES_2,MEAN,QTR,2025/1F,NOW,,,'')":1688.2764,"SHOP-US^FE_ESTIMATE(GMV,MEAN,QTR,2025/2F,NOW,,,'')":81665.945,"SHOP-US^FE_ESTIMATE(NETBG,MEAN,QTR,2025/2F,NOW,,,'')":434.8261,"SHOP-US^FE_ESTIMATE(SALES,MEAN,QTR,2025/3F,NOW,,,'')":2637.6206,"SHOP-US^FE_ESTIMATE(BFNG,MEAN,QTR,2025/3F,NOW,,,'')":381.7996,"SHOP-US^FE_ESTIMATE(PRODLINE_SALES_2,MEAN,QTR,2025/4F,NOW,,,'')":2531.854,"SHOP-US^FE_ESTIMATE(GMV,MEAN,ANNUAL_ROLL,2025,NOW,,,'')":348713.47,"SHOP-US^FE_ESTIMATE(NETBG,MEAN,ANNUAL_ROLL,2025,NOW,,,'')":2017.6532,"SHOP-US^FE_ESTIMATE(SALES,MEAN,QTR,2026/1F,NOW,,,'')":2786.8684,"SHOP-US^FE_ESTIMATE(BFNG,MEAN,QTR,2026/1F,NOW,,,'')":377.68954,"SHOP-US^FE_ESTIMATE(PRODLINE_SALES_2,MEAN,QTR,2026/2F,NOW,,,'')":2208.6367,"SHOP-US^FE_ESTIMATE(GMV,MEAN,QTR,2026/3F,NOW,,,'')":101578.0,"SHOP-US^FE_ESTIMATE(NETBG,MEAN,QTR,2026/3F,NOW,,,'')":644.3727,"SHOP-US^FE_ESTIMATE(SALES,MEAN,QTR,2026/4F,NOW,,,'')":3918.613,"SHOP-US^FE_ESTIMATE(BFNG,MEAN,QTR,2026/4F,NOW,,,'')":841.9171,"SHOP-US^FE_ESTIMATE(PRODLINE_SALES_2,MEAN,ANNUAL_ROLL,2026,NOW,,,'')":9683.017,"SHOP-US^FE_ESTIMATE(GMV,MEAN,QTR,2027/1F,NOW,,,'')":null,"SHOP-US^FE_ESTIMATE(NETBG,MEAN,QTR,2027/1F,NOW,,,'')":623.0,"SHOP-US^FE_ESTIMATE(SALES,MEAN,QTR,2027/2F,NOW,,,'')":3782.0,"SHOP-US^FE_ESTIMATE(BFNG,MEAN,QTR,2027/2F,NOW,,,'')":null,"SHOP-US^FE_ESTIMATE(PRODLINE_SALES_2,MEAN,QTR,2027/3F,NOW,,,'')":2967.0,"SHOP-US^FE_ESTIMATE(GMV,MEAN,QTR,2027/4F,NOW,,,'')":null,"SHOP-US^FE_ESTIMATE(NETBG,MEAN,QTR,2027/4F,NOW,,,'')":1380.0,"SHOP-US^FE_ESTIMATE(SALES,MEAN,ANNUAL_ROLL,2027,NOW,,,'')":17304.154,"SHOP-US^FE_ESTIMATE(BFNG,MEAN,ANNUAL_ROLL,2027,NOW,,,'')":2940.2495,"SHOP-US^FE_TIMESERIES(SALES,MEAN,2024/3F,,Q,'CURRENCY=USD')":2162.0,"SHOP-US^FE_TIMESERIES(GMV,MEAN,2023/3F,,Q,'CURRENCY=USD')":56205.0,"SHOP-US^FE_TIMESERIES(GMV,MEAN,2021/3F,,Q,'CURRENCY=USD')":41792.223,"SHOP-US^FE_TIMESERIES(GMV,MEAN,2020/1F,,Q,'CURRENCY=USD')":17284.334,"SHOP-US^FE_ESTIMATE(SALES,MEAN,QTR_ROLL,2026/4F,NOW,,,'')":3918.613,"SHOP-US^FE_ESTIMATE(SALES,MEAN,QTR_ROLL,2025/3F,NOW,,,'')":2637.6206,"SHOP^FE_ESTIMATE(EBITDA_ADJ,MEAN,ANNUAL_ROLL,2027,NOW,,,'')":3219.5,"SHOP-US^P_PRICE(NOW)":107.64,"SHOP-US^FE_TIMESERIES(DEPR_AMORT,MEAN,2022/4F,,Q,'CURRENCY=USD')":29.832,"SHOP-US^FE_TIMESERIES(CAPEX,MEAN,2022/4F,,Q,'CURRENCY=USD')":7.6604443,"SHOP-US^FE_TIMESERIES(EAG,MEAN,2022/4F,,Q,'CURRENCY=USD')":-0.48,"SHOP-US^FE_TIMESERIES(EBITDA_ADJ,MEAN,2021/4F,,Q,'CURRENCY=USD')":147.48819,"SHOP-US^FE_TIMESERIES(EBITR,MEAN,2021/4F,,Q,'CURRENCY=USD')":14.329091,"SHOP-US^FE_ESTIMATE(PRODLINE_SALES_2,MEAN,ANNUAL_ROLL,2024,NOW,,,'')":6460.0054,"SHOP-US^FE_ESTIMATE(PRODLINE_SALES_2,MEAN,QTR,2025/3F,NOW,,,'')":1913.0764,"SHOP-US^FE_ESTIMATE(PRODLINE_SALES_2,MEAN,QTR,2026/1F,NOW,,,'')":2031.7443,"SHOP-US^FE_ESTIMATE(BFNG,MEAN,QTR,2026/3F,NOW,,,'')":594.6461,"SHOP-US^FE_ESTIMATE(BFNG,MEAN,QTR,2027/1F,NOW,,,'')":null,"SHOP-US^FE_ESTIMATE(BFNG,MEAN,QTR,2027/4F,NOW,,,'')":null,"SHOP-US^FE_TIMESERIES(DEPR_AMORT,MEAN,2025,,Y,'CURRENCY=USD')":42.768715,"SHOP-US^FE_TIMESERIES(FCF,MEAN,2025,,Y,'CURRENCY=USD')":2012.9906,"SHOP-US^FE_TIMESERIES(CAPEX,MEAN,2023,,Y,'CURRENCY=USD')":39.0,"SHOP-US^FE_TIMESERIES(CFO,MEAN,2023,,Y,'CURRENCY=USD')":944.0769,"SHOP-US^FE_TIMESERIES(EAG,MEAN,2021,,Y,'CURRENCY=USD')":2.29,"SHOP-US^FE_TIMESERIES(EPS,MEAN,2021,,Y,'CURRENCY=USD')":0.641,"SHOP-US^FE_TIMESERIES(EBITDA_ADJ,MEAN,2027,,Y,'CURRENCY=USD')":3219.5,"SHOP-US^FE_TIMESERIES(EBITDA_REP,MEAN,2027,,Y,'CURRENCY=USD')":2708.0,"SHOP-US^FE_TIMESERIES(EBIT_ADJ,MEAN,2025,,Y,'CURRENCY=USD')":1978.1372,"SHOP-US^FE_TIMESERIES(GROSSINCOME,MEAN,2026,,Y,'CURRENCY=USD')":6453.41,"SHOP-US^FE_TIMESERIES(PRODLINE_SALES_2,MEAN,2025,,Y,'CURRENCY=USD')":8000.8755,"SHOP-US^FE_TIMESERIES(SALES,MEAN,2026,,Y,'CURRENCY=USD')":13154.029,"SHOP-US^FE_TIMESERIES(GMV,MEAN,2025,,Y,'CURRENCY=USD')":348713.47,"SHOP-US^FE_TIMESERIES(DEPR_AMORT,MEAN,2023/3F,,Q,'CURRENCY=USD')":13.0,"SHOP-US^FE_TIMESERIES(DEPR_AMORT,MEAN,2021/2F,,Q,'CURRENCY=USD')":14.7378,"SHOP-US^FE_TIMESERIES(FCF,MEAN,2023/3F,,Q,'CURRENCY=USD')":276.0,"SHOP-US^FE_TIMESERIES(FCF,MEAN,2021/2F,,Q,'CURRENCY=USD')":85.33691,"SHOP-US^FE_TIMESERIES(CAPEX,MEAN,2023/3F,,Q,'CURRENCY=USD')":2.0,"SHOP-US^FE_TIMESERIES(CAPEX,MEAN,2021/2F,,Q,'CURRENCY=USD')":8.2141,"SHOP-US^FE_TIMESERIES(CFO,MEAN,2023/3F,,Q,'CURRENCY=USD')":310.83334,"SHOP-US^FE_TIMESERIES(CFO,MEAN,2021/2F,,Q,'CURRENCY=USD')":83.849724,"SHOP-US^FE_TIMESERIES(EAG,MEAN,2023/3F,,Q,'CURRENCY=USD')":0.55,"SHOP-US^FE_TIMESERIES(EAG,MEAN,2021/2F,,Q,'CURRENCY=USD')":0.69,"SHOP-US^FE_TIMESERIES(EPS,MEAN,2023/3F,,Q,'CURRENCY=USD')":0.24,"SHOP-US^FE_TIMESERIES(EPS,MEAN,2021/2F,,Q,'CURRENCY=USD')":0.224,"SHOP-US^FE_TIMESERIES(NETPROFIT,MEAN,2023/3F,,Q,'CURRENCY=USD')":316.0,"SHOP-US^FE_TIMESERIES(NETPROFIT,MEAN,2021/3F,,Q,'CURRENCY=USD')":102.82,"SHOP-US^FE_TIMESERIES(EBITDA_ADJ,MEAN,2025/4F,,Q,'CURRENCY=USD')":716.18854,"SHOP-US^FE_TIMESERIES(EBITDA_ADJ,MEAN,2024/1F,,Q,'CURRENCY=USD')":209.07143,"SHOP-US^FE_TIMESERIES(EBITDA_ADJ,MEAN,2022/2F,,Q,'CURRENCY=USD')":-27.44143,"SHOP-US^FE_TIMESERIES(EBITDA_ADJ,MEAN,2020/3F,,Q,'CURRENCY=USD')":146.3078,"SHOP-US^FE_TIMESERIES(EBITDA_REP,MEAN,2024/3F,,Q,'CURRENCY=USD')":329.0,"SHOP-US^FE_TIMESERIES(EBITDA_REP,MEAN,2022/4F,,Q,'CURRENCY=USD')":90.814,"SHOP-US^FE_TIMESERIES(EBITDA_REP,MEAN,2021/1F,,Q,'CURRENCY=USD')":134.6995,"SHOP-US^FE_TIMESERIES(EBIT_ADJ,MEAN,2025/2F,,Q,'CURRENCY=USD')":428.70016,"SHOP-US^FE_TIMESERIES(EBIT_ADJ,MEAN,2023/3F,,Q,'CURRENCY=USD')":271.02902,"SHOP-US^FE_TIMESERIES(EBIT_ADJ,MEAN,2021/3F,,Q,'CURRENCY=USD')":140.16113,"SHOP-US^FE_TIMESERIES(EBITR,MEAN,2025/4F,,Q,'CURRENCY=USD')":563.384,"SHOP-US^FE_TIMESERIES(EBITR,MEAN,2024/1F,,Q,'CURRENCY=USD')":86.0,"SHOP-US^FE_TIMESERIES(EBITR,MEAN,2022/2F,,Q,'CURRENCY=USD')":-190.1491,"SHOP-US^FE_TIMESERIES(EBITR,MEAN,2020/3F,,Q,'CURRENCY=USD')":50.561,"SHOP-US^FE_TIMESERIES(GROSSINCOME,MEAN,2024/3F,,Q,'CURRENCY=USD')":1120.2693,"SHOP-US^FE_TIMESERIES(GROSSINCOME,MEAN,2022/4F,,Q,'CURRENCY=USD')":812.59644,"SHOP-US^FE_TIMESERIES(GROSSINCOME,MEAN,2021/1F,,Q,'CURRENCY=USD')":562.9237,"SHOP-US^FE_TIMESERIES(PRODLINE_SALES_2,MEAN,2025/2F,,Q,'CURRENCY=USD')":1848.4647,"SHOP-US^FE_TIMESERIES(PRODLINE_SALES_2,MEAN,2023/3F,,Q,'CURRENCY=USD')":1228.0,"SHOP-US^FE_TIMESERIES(PRODLINE_SALES_2,MEAN,2021/3F,,Q,'CURRENCY=USD')":787.532,"SHOP-US^FE_TIMESERIES(PRODLINE_SALES_1,MEAN,2025/4F,,Q,'CURRENCY=USD')":759.7652,"SHOP-US^FE_TIMESERIES(PRODLINE_SALES_1,MEAN,2024/1F,,Q,'CURRENCY=USD')":511.0,"SHOP-US^FE_TIMESERIES(PRODLINE_SALES_1,MEAN,2022/2F,,Q,'CURRENCY=USD')":366.443,"SHOP-US^FE_TIMESERIES(PRODLINE_SALES_1,MEAN,2020/3F,,Q,'CURRENCY=USD')":245.274,"SHOP-US^FE_TIMESERIES(SALES,MEAN,2022/4F,,Q,'CURRENCY=USD')":1734.978,"SHOP-US^FE_TIMESERIES(SALES,MEAN,2021/1F,,Q,'CURRENCY=USD')":988.647,"SHOP-US^FE_TIMESERIES(GMV,MEAN,2025/2F,,Q,'CURRENCY=USD')":81665.945,"SHOP-US^FE_ESTIMATE(SALES,MEAN,QTR_ROLL,2024/1F,NOW,,,'')":1861.0,"SHOP-US^FE_TIMESERIES(FCF,MEAN,2022/4F,,Q,'CURRENCY=USD')":220.33885,"SHOP-US^FE_TIMESERIES(EAG,MEAN,2025/1F,,Q,'CURRENCY=USD')":0.1920025,"SHOP-US^FE_TIMESERIES(EPS,MEAN,2025/1F,,Q,'CURRENCY=USD')":0.27411988,"SHOP-US^FE_TIMESERIES(EBIT_ADJ,MEAN,2024/4F,,Q,'CURRENCY=USD')":550.71295,"SHOP-US^FE_TIMESERIES(GMV,MEAN,2024/4F,,Q,'CURRENCY=USD')":92277.09,"SHOP-US^FE_ESTIMATE(SALES,MEAN,QTR,2024/1F,NOW,,,'')":1861.0,"SHOP-US^FE_ESTIMATE(SALES,MEAN,QTR,2024/4F,NOW,,,'')":2725.7952,"SHOP-US^FE_ESTIMATE(NETBG,MEAN,QTR,2025/1F,NOW,,,'')":349.9797,"SHOP-US^FE_ESTIMATE(GMV,MEAN,QTR,2025/4F,NOW,,,'')":107817.516,"SHOP-US^FE_ESTIMATE(GMV,MEAN,QTR,2026/2F,NOW,,,'')":98876.1,"SHOP-US^FE_ESTIMATE(PRODLINE_SALES_2,MEAN,QTR,2026/4F,NOW,,,'')":3025.4333,"SHOP-US^FE_ESTIMATE(SALES,MEAN,QTR,2027/1F,NOW,,,'')":3549.0,"SHOP-US^FE_ESTIMATE(NETBG,MEAN,QTR,2027/3F,NOW,,,'')":880.0,"SHOP-US^FE_TIMESERIES(EBITR,MEAN,2025,,Y,'CURRENCY=USD')":1496.0663,"SHOP-US^FE_TIMESERIES(GROSSINCOME,MEAN,2025,,Y,'CURRENCY=USD')":5417.8647,"SHOP-US^FE_TIMESERIES(PRODLINE_SALES_1,MEAN,2025,,Y,'CURRENCY=USD')":2769.6775,"SHOP-US^FE_TIMESERIES(SALES,MEAN,2025,,Y,'CURRENCY=USD')":10858.165,"SHOP-US^FE_TIMESERIES(DEPR_AMORT,MEAN,2025/2F,,Q,'CURRENCY=USD')":14.295834,"SHOP-US^FE_TIMESERIES(DEPR_AMORT,MEAN,2023/2F,,Q,'CURRENCY=USD')":17.0,"SHOP-US^FE_TIMESERIES(FCF,MEAN,2025/2F,,Q,'CURRENCY=USD')":410.5688,"SHOP-US^FE_TIMESERIES(FCF,MEAN,2023/2F,,Q,'CURRENCY=USD')":81.25,"SHOP-US^FE_TIMESERIES(CAPEX,MEAN,2025/2F,,Q,'CURRENCY=USD')":6.9049,"SHOP-US^FE_TIMESERIES(CAPEX,MEAN,2023/2F,,Q,'CURRENCY=USD')":21.0,"SHOP-US^FE_TIMESERIES(CFO,MEAN,2025/2F,,Q,'CURRENCY=USD')":415.0102,"SHOP-US^FE_TIMESERIES(CFO,MEAN,2023/2F,,Q,'CURRENCY=USD')":118.0,"SHOP-US^FE_TIMESERIES(EAG,MEAN,2025/2F,,Q,'CURRENCY=USD')":0.252757,"SHOP-US^FE_TIMESERIES(EAG,MEAN,2023/2F,,Q,'CURRENCY=USD')":-1.01,"SHOP-US^FE_TIMESERIES(EPS,MEAN,2025/2F,,Q,'CURRENCY=USD')":0.33338046,"SHOP-US^FE_TIMESERIES(EPS,MEAN,2023/2F,,Q,'CURRENCY=USD')":0.14,"SHOP-US^FE_TIMESERIES(NETPROFIT,MEAN,2025/2F,,Q,'CURRENCY=USD')":422.08337,"SHOP-US^FE_TIMESERIES(NETPROFIT,MEAN,2023/2F,,Q,'CURRENCY=USD')":178.0,"SHOP-US^FE_TIMESERIES(EBITDA_ADJ,MEAN,2020/2F,,Q,'CURRENCY=USD')":131.75458,"SHOP-US^FE_TIMESERIES(EBIT_ADJ,MEAN,2023/2F,,Q,'CURRENCY=USD')":146.0,"SHOP-US^FE_TIMESERIES(EBITR,MEAN,2020/2F,,Q,'CURRENCY=USD')":0.284,"SHOP-US^FE_TIMESERIES(PRODLINE_SALES_2,MEAN,2023/2F,,Q,'CURRENCY=USD')":1250.0,"SHOP-US^FE_TIMESERIES(PRODLINE_SALES_1,MEAN,2020/2F,,Q,'CURRENCY=USD')":196.434,"SHOP-US^FE_TIMESERIES(GMV,MEAN,2023/2F,,Q,'CURRENCY=USD')":55012.0,"SHOP-US^FE_ESTIMATE(SPEC_GROSS_1,MEAN,QTR,2024/1F,NOW,,,'')":151.0,"SHOP-US^FE_ESTIMATE(CUSTOM_EPS,MEAN,QTR,2024/1F,NOW,,,'')":0.2,"SHOP-US^FE_ESTIMATE(PRODLINE_SALES_1,MEAN,QTR,2024/2F,NOW,,,'')":563.0,"SHOP-US^FE_ESTIMATE(EAG,MEAN,QTR,2024/2F,NOW,,,'')":0.13,"SHOP-US^FE_ESTIMATE(EBITDA_ADJ,MEAN,QTR,2024/3F,NOW,,,'')":405.69232,"SHOP-US^FE_ESTIMATE(SPEC_GROSS_1,MEAN,QTR,2024/4F,NOW,,,'')":181.75308,"SHOP-US^FE_ESTIMATE(CUSTOM_EPS,MEAN,QTR,2024/4F,NOW,,,'')":0.42742747,"SHOP-US^FE_ESTIMATE(PRODLINE_SALES_1,MEAN,ANNUAL_ROLL,2024,NOW,,,'')":2330.2126,"SHOP-US^FE_ESTIMATE(EAG,MEAN,ANNUAL_ROLL,2024,NOW,,,'')":0.90200496,"SHOP-US^FE_ESTIMATE(EBITDA_ADJ,MEAN,QTR,2025/1F,NOW,,,'')":345.72888,"SHOP-US^FE_ESTIMATE(SPEC_GROSS_1,MEAN,QTR,2025/2F,NOW,,,'')":202.34143,"SHOP-US^FE_ESTIMATE(CUSTOM_EPS,MEAN,QTR,2025/2F,NOW,,,'')":0.33338046,"SHOP-US^FE_ESTIMATE(PRODLINE_SALES_1,MEAN,QTR,2025/3F,NOW,,,'')":711.474,"SHOP-US^FE_ESTIMATE(EAG,MEAN,QTR,2025/3F,NOW,,,'')":0.29405507,"SHOP-US^FE_ESTIMATE(EBITDA_ADJ,MEAN,QTR,2025/4F,NOW,,,'')":716.18854,"SHOP-US^FE_ESTIMATE(SPEC_GROSS_1,MEAN,ANNUAL_ROLL,2025,NOW,,,'')":208.3801,"SHOP-US^FE_ESTIMATE(CUSTOM_EPS,MEAN,ANNUAL_ROLL,2025,NOW,,,'')":1.5340447,"SHOP-US^FE_ESTIMATE(PRODLINE_SALES_1,MEAN,QTR,2026/1F,NOW,,,'')":749.4497,"SHOP-US^FE_ESTIMATE(EAG,MEAN,QTR,2026/1F,NOW,,,'')":0.2862062,"SHOP-US^FE_ESTIMATE(EBITDA_ADJ,MEAN,QTR,2026/2F,NOW,,,'')":578.6324,"SHOP-US^FE_ESTIMATE(SPEC_GROSS_1,MEAN,QTR,2026/3F,NOW,,,'')":233.6,"SHOP-US^FE_ESTIMATE(CUSTOM_EPS,MEAN,QTR,2026/3F,NOW,,,'')":0.48378876,"SHOP-US^FE_ESTIMATE(PRODLINE_SALES_1,MEAN,QTR,2026/4F,NOW,,,'')":916.15,"SHOP-US^FE_ESTIMATE(EAG,MEAN,QTR,2026/4F,NOW,,,'')":0.6352626,"SHOP-US^FE_ESTIMATE(EBITDA_ADJ,MEAN,ANNUAL_ROLL,2026,NOW,,,'')":2602.1292,"SHOP-US^FE_ESTIMATE(SPEC_GROSS_1,MEAN,QTR,2027/1F,NOW,,,'')":null,"SHOP-US^FE_ESTIMATE(CUSTOM_EPS,MEAN,QTR,2027/1F,NOW,,,'')":0.47,"SHOP-US^FE_ESTIMATE(PRODLINE_SALES_1,MEAN,QTR,2027/2F,NOW,,,'')":953.0,"SHOP-US^FE_ESTIMATE(EAG,MEAN,QTR,2027/2F,NOW,,,'')":null,"SHOP-US^FE_ESTIMATE(EBITDA_ADJ,MEAN,QTR,2027/3F,NOW,,,'')":902.0,"SHOP-US^FE_ESTIMATE(SPEC_GROSS_1,MEAN,QTR,2027/4F,NOW,,,'')":null,"SHOP-US^FE_ESTIMATE(CUSTOM_EPS,MEAN,QTR,2027/4F,NOW,,,'')":1.04,"SHOP-US^FE_ESTIMATE(PRODLINE_SALES_1,MEAN,ANNUAL_ROLL,2027,NOW,,,'')":3739.4333,"SHOP-US^FE_ESTIMATE(EAG,MEAN,ANNUAL_ROLL,2027,NOW,,,'')":2.230065,"SHOP-US^FE_TIMESERIES(NETPROFIT,MEAN,2023/1F,,Q,'CURRENCY=USD')":12.0,"SHOP-US^FE_TIMESERIES(NETPROFIT,MEAN,2021/2F,,Q,'CURRENCY=USD')":284.614,"SHOP-US^FE_TIMESERIES(EBITDA_ADJ,MEAN,2023/4F,,Q,'CURRENCY=USD')":404.0,"SHOP-US^FE_TIMESERIES(EBITDA_ADJ,MEAN,2022/1F,,Q,'CURRENCY=USD')":47.48757,"SHOP-US^FE_TIMESERIES(EBITDA_ADJ,MEAN,2020/1F,,Q,'CURRENCY=USD')":4.4897,"SHOP-US^FE_TIMESERIES(EBITDA_REP,MEAN,2022/3F,,Q,'CURRENCY=USD')":-167.596,"SHOP-US^FE_TIMESERIES(EBIT_ADJ,MEAN,2025/1F,,Q,'CURRENCY=USD')":346.8101,"SHOP-US^FE_TIMESERIES(EBIT_ADJ,MEAN,2023/1F,,Q,'CURRENCY=USD')":-30.995705,"SHOP-US^FE_TIMESERIES(EBITR,MEAN,2025/3F,,Q,'CURRENCY=USD')":358.04565,"SHOP-US^FE_TIMESERIES(EBITR,MEAN,2023/4F,,Q,'CURRENCY=USD')":289.0,"SHOP-US^FE_TIMESERIES(EBITR,MEAN,2020/1F,,Q,'CURRENCY=USD')":-73.233,"SHOP-US^FE_TIMESERIES(GROSSINCOME,MEAN,2024/2F,,Q,'CURRENCY=USD')":1050.3667,"SHOP-US^FE_TIMESERIES(GROSSINCOME,MEAN,2020/4F,,Q,'CURRENCY=USD')":508.32648,"SHOP-US^FE_TIMESERIES(PRODLINE_SALES_2,MEAN,2025/1F,,Q,'CURRENCY=USD')":1688.2764,"SHOP-US^FE_TIMESERIES(PRODLINE_SALES_2,MEAN,2023/1F,,Q,'CURRENCY=USD')":1126.0,"SHOP-US^FE_TIMESERIES(PRODLINE_SALES_1,MEAN,2025/3F,,Q,'CURRENCY=USD')":711.474,"SHOP-US^FE_TIMESERIES(PRODLINE_SALES_1,MEAN,2023/4F,,Q,'CURRENCY=USD')":525.0,"SHOP-US^FE_TIMESERIES(PRODLINE_SALES_1,MEAN,2020/1F,,Q,'CURRENCY=USD')":187.609,"SHOP-US^FE_TIMESERIES(SALES,MEAN,2022/3F,,Q,'CURRENCY=USD')":1366.2,"SHOP-US^FE_TIMESERIES(GMV,MEAN,2025/1F,,Q,'CURRENCY=USD')":74473.41,"SHOP-US^FE_ESTIMATE(SALES,MEAN,QTR_ROLL,2026/3F,NOW,,,'')":3153.4597,"SHOP-US^FE_ESTIMATE(SALES,MEAN,QTR_ROLL,2025/2F,NOW,,,'')":2527.689,"SHOP^FE_ESTIMATE(EBITDA_ADJ,MEAN,ANNUAL_ROLL,2026,NOW,,,'')":2602.1292,"SHOP-US^FE_ACTUAL(ACTUAL,SALES,ANNUAL,2024,,,,'')@FE_ESTIMATE(SALES,MEAN,ANNUAL,2024,NOW,,,'')":8799.232,"SHOP-US^FE_TIMESERIES(EBITR,MEAN,2024,,Y,'CURRENCY=USD')":1027.8622,"SHOP-US^FE_TIMESERIES(GROSSINCOME,MEAN,2023,,Y,'CURRENCY=USD')":3544.3145,"SHOP-US^FE_TIMESERIES(PRODLINE_SALES_1,MEAN,2024,,Y,'CURRENCY=USD')":2330.2126,"SHOP-US^FE_TIMESERIES(SALES,MEAN,2023,,Y,'CURRENCY=USD')":7060.0,"SHOP-US^FE_TIMESERIES(FCF,MEAN,2025/1F,,Q,'CURRENCY=USD')":387.28564,"SHOP-US^FE_TIMESERIES(CAPEX,MEAN,2025/1F,,Q,'CURRENCY=USD')":6.4972,"SHOP-US^FE_TIMESERIES(CFO,MEAN,2022/4F,,Q,'CURRENCY=USD')":255.3125,"SHOP-US^FE_TIMESERIES(EPS,MEAN,2022/4F,,Q,'CURRENCY=USD')":0.07,"SHOP-US^FE_TIMESERIES(PRODLINE_SALES_2,MEAN,2024/4F,,Q,'CURRENCY=USD')":2069.3555,"SHOP-US^FE_ESTIMATE(PRODLINE_SALES_2,MEAN,QTR,2024/2F,NOW,,,'')":1482.0,"SHOP-US^FE_ESTIMATE(NETBG,MEAN,QTR,2024/3F,NOW,,,'')":344.0,"SHOP-US^FE_ESTIMATE(BFNG,MEAN,QTR,2024/4F,NOW,,,'')":447.14105,"SHOP-US^FE_ESTIMATE(SALES,MEAN,QTR,2025/2F,NOW,,,'')":2527.689,"SHOP-US^FE_ESTIMATE(NETBG,MEAN,QTR,2025/4F,NOW,,,'')":690.453,"SHOP-US^FE_ESTIMATE(BFNG,MEAN,ANNUAL_ROLL,2025,NOW,,,'')":1529.5284,"SHOP-US^FE_ESTIMATE(SALES,MEAN,QTR,2026/3F,NOW,,,'')":3153.4597,"SHOP-US^FE_ESTIMATE(GMV,MEAN,ANNUAL_ROLL,2026,NOW,,,'')":415727.38,"SHOP-US^FE_ESTIMATE(PRODLINE_SALES_2,MEAN,QTR,2027/2F,NOW,,,'')":2828.0,"SHOP-US^FE_ESTIMATE(SALES,MEAN,QTR,2027/4F,NOW,,,'')":4965.0,"SHOP-US^FE_TIMESERIES(DEPR_AMORT,MEAN,2023,,Y,'CURRENCY=USD')":69.23077,"SHOP-US^FE_TIMESERIES(EPS,MEAN,2027,,Y,'CURRENCY=USD')":2.5437374,"SHOP-US^FE_TIMESERIES(DEPR_AMORT,MEAN,2024,,Y,'CURRENCY=USD')":37.94406,"SHOP-US^FE_TIMESERIES(FCF,MEAN,2024,,Y,'CURRENCY=USD')":1542.643,"SHOP-US^FE_TIMESERIES(CAPEX,MEAN,2022,,Y,'CURRENCY=USD')":50.018,"SHOP-US^FE_TIMESERIES(CFO,MEAN,2022,,Y,'CURRENCY=USD')":-141.92906,"SHOP-US^FE_TIMESERIES(EAG,MEAN,2020,,Y,'CURRENCY=USD')":0.259,"SHOP-US^FE_TIMESERIES(EPS,MEAN,2020,,Y,'CURRENCY=USD')":0.398,"SHOP-US^FE_TIMESERIES(EBITDA_ADJ,MEAN,2026,,Y,'CURRENCY=USD')":2602.1292,"SHOP-US^FE_TIMESERIES(EBITDA_REP,MEAN,2026,,Y,'CURRENCY=USD')":2210.7207,"SHOP-US^FE_TIMESERIES(EBIT_ADJ,MEAN,2024,,Y,'CURRENCY=USD')":1440.3165,"SHOP-US^FE_TIMESERIES(PRODLINE_SALES_2,MEAN,2024,,Y,'CURRENCY=USD')":6460.0054,"SHOP-US^FE_TIMESERIES(GMV,MEAN,2024,,Y,'CURRENCY=USD')":289784.2,"SHOP-US^FE_TIMESERIES(DEPR_AMORT,MEAN,2021/1F,,Q,'CURRENCY=USD')":15.836364,"SHOP-US^FE_TIMESERIES(FCF,MEAN,2021/1F,,Q,'CURRENCY=USD')":130.49562,"SHOP-US^FE_TIMESERIES(CAPEX,MEAN,2021/1F,,Q,'CURRENCY=USD')":5.1684446,"SHOP-US^FE_TIMESERIES(CFO,MEAN,2021/1F,,Q,'CURRENCY=USD')":135.75282,"SHOP-US^FE_TIMESERIES(EAG,MEAN,2021/1F,,Q,'CURRENCY=USD')":0.994,"SHOP-US^FE_TIMESERIES(EPS,MEAN,2021/1F,,Q,'CURRENCY=USD')":0.201,"SHOP-US^FE_TIMESERIES(EBITDA_ADJ,MEAN,2025/3F,,Q,'CURRENCY=USD')":504.27817,"SHOP-US^FE_TIMESERIES(EBITDA_REP,MEAN,2024/2F,,Q,'CURRENCY=USD')":270.33334,"SHOP-US^FE_TIMESERIES(EBITDA_REP,MEAN,2020/4F,,Q,'CURRENCY=USD')":137.278,"SHOP-US^FE_TIMESERIES(EBIT_ADJ,MEAN,2021/2F,,Q,'CURRENCY=USD')":236.803,"SHOP-US^FE_TIMESERIES(EBITR,MEAN,2022/1F,,Q,'CURRENCY=USD')":-97.98964,"SHOP-US^FE_TIMESERIES(GROSSINCOME,MEAN,2022/3F,,Q,'CURRENCY=USD')":674.50964,"SHOP-US^FE_TIMESERIES(PRODLINE_SALES_2,MEAN,2021/2F,,Q,'CURRENCY=USD')":785.208,"SHOP-US^FE_TIMESERIES(PRODLINE_SALES_1,MEAN,2022/1F,,Q,'CURRENCY=USD')":344.761,"SHOP-US^FE_TIMESERIES(SALES,MEAN,2024/2F,,Q,'CURRENCY=USD')":2045.0,"SHOP-US^FE_TIMESERIES(SALES,MEAN,2020/4F,,Q,'CURRENCY=USD')":977.744,"SHOP-US^FE_TIMESERIES(GMV,MEAN,2023/1F,,Q,'CURRENCY=USD')":49610.8,"SHOP-US^FE_TIMESERIES(GMV,MEAN,2021/2F,,Q,'CURRENCY=USD')":42200.0,"SHOP-US^FE_ESTIMATE(SALES,MEAN,QTR_ROLL,2027/4F,NOW,,,'')":4965.0,"SHOP^FE_ESTIMATE(EPS,MEAN,ANNUAL_ROLL,2027,NOW,,,'')":2.5437374,"SHOP-US^FE_TIMESERIES(DEPR_AMORT,MEAN,2025/1F,,Q,'CURRENCY=USD')":13.510667,"SHOP-US^FE_TIMESERIES(CFO,MEAN,2025/1F,,Q,'CURRENCY=USD')":409.7241,"SHOP-US^FE_TIMESERIES(NETPROFIT,MEAN,2025/1F,,Q,'CURRENCY=USD')":335.86826,"SHOP-US^FE_TIMESERIES(PRODLINE_SALES_1,MEAN,2021/4F,,Q,'CURRENCY=USD')":351.208,"SHOP-US^FE_ESTIMATE(BFNG,MEAN,QTR,2024/1F,NOW,,,'')":-273.0,"SHOP-US^FE_ESTIMATE(GMV,MEAN,QTR,2024/3F,NOW,,,'')":69715.0,"SHOP-US^FE_ESTIMATE(GMV,MEAN,QTR,2025/1F,NOW,,,'')":74473.41,"SHOP-US^FE_ESTIMATE(BFNG,MEAN,QTR,2025/2F,NOW,,,'')":328.10092,"SHOP-US^FE_ESTIMATE(SALES,MEAN,ANNUAL_ROLL,2025,NOW,,,'')":10858.165,"SHOP-US^FE_ESTIMATE(NETBG,MEAN,QTR,2026/2F,NOW,,,'')":566.5267,"SHOP-US^FE_ESTIMATE(NETBG,MEAN,ANNUAL_ROLL,2026,NOW,,,'')":2556.7402,"SHOP-US^FE_ESTIMATE(GMV,MEAN,QTR,2027/3F,NOW,,,'')":null,"SHOP-US^FE_ESTIMATE(PRODLINE_SALES_2,MEAN,ANNUAL_ROLL,2027,NOW,,,'')":12144.833,"SHOP-US^FE_TIMESERIES(CAPEX,MEAN,2026,,Y,'CURRENCY=USD')":34.835674,"SHOP-US^FE_TIMESERIES(EAG,MEAN,2025,,Y,'CURRENCY=USD')":1.1713703,"SHOP-US^FE_TIMESERIES(PRODLINE_SALES_1,MEAN,2021,,Y,'CURRENCY=USD')":1342.334,"SHOP-US^FE_TIMESERIES(GMV,MEAN,2023,,Y,'CURRENCY=USD')":235910.0,"SHOP-US^FE_TIMESERIES(DEPR_AMORT,MEAN,2020/2F,,Q,'CURRENCY=USD')":19.920666,"SHOP-US^FE_TIMESERIES(FCF,MEAN,2022/3F,,Q,'CURRENCY=USD')":-81.08791,"SHOP-US^FE_TIMESERIES(CFO,MEAN,2024/2F,,Q,'CURRENCY=USD')":340.0,"SHOP-US^FE_TIMESERIES(CFO,MEAN,2020/4F,,Q,'CURRENCY=USD')":245.3245,"SHOP-US^FE_TIMESERIES(EAG,MEAN,2020/2F,,Q,'CURRENCY=USD')":0.029,"SHOP-US^FE_TIMESERIES(EPS,MEAN,2022/3F,,Q,'CURRENCY=USD')":-0.02,"SHOP-US^FE_TIMESERIES(NETPROFIT,MEAN,2022/2F,,Q,'CURRENCY=USD')":-38.453,"SHOP-US^FE_TIMESERIES(EBITDA_ADJ,MEAN,2025/1F,,Q,'CURRENCY=USD')":345.72888,"SHOP-US^FE_TIMESERIES(EBITDA_ADJ,MEAN,2021/3F,,Q,'CURRENCY=USD')":151.156,"SHOP-US^FE_TIMESERIES(EBITDA_REP,MEAN,2021/4F,,Q,'CURRENCY=USD')":90.4825,"SHOP-US^FE_TIMESERIES(EBIT_ADJ,MEAN,2022/1F,,Q,'CURRENCY=USD')":31.9256,"SHOP-US^FE_TIMESERIES(EBITR,MEAN,2024/3F,,Q,'CURRENCY=USD')":283.0,"SHOP-US^FE_TIMESERIES(EBITR,MEAN,2021/2F,,Q,'CURRENCY=USD')":139.441,"SHOP-US^FE_TIMESERIES(GROSSINCOME,MEAN,2024/1F,,Q,'CURRENCY=USD')":960.59375,"SHOP-US^FE_TIMESERIES(PRODLINE_SALES_1,MEAN,2024/2F,,Q,'CURRENCY=USD')":563.0,"SHOP-US^FE_TIMESERIES(PRODLINE_SALES_1,MEAN,2021/1F,,Q,'CURRENCY=USD')":320.681,"SHOP-US^FE_TIMESERIES(SALES,MEAN,2023/4F,,Q,'CURRENCY=USD')":2144.0,"SHOP-US^FE_TIMESERIES(SALES,MEAN,2020/3F,,Q,'CURRENCY=USD')":767.405,"SHOP-US^FE_ESTIMATE(SALES,MEAN,QTR_ROLL,2025/4F,NOW,,,'')":3309.5315,"SHOP^FE_ESTIMATE(EPS,MEAN,ANNUAL_ROLL,2024,NOW,,,'')":1.2719381,"SHOP-US^FE_ACTUAL(ACTUAL,GMV,ANNUAL,2026,,,,'')@FE_ESTIMATE(GMV,MEAN,ANNUAL,2026,NOW,,,'')":415727.38,"SHOP-US^FE_ESTIMATE(EBITDA_ADJ,MEAN,QTR,2024/4F,NOW,,,'')":565.91003,"SHOP-US^FE_ESTIMATE(NETBG,MEAN,ANNUAL_ROLL,2024,NOW,,,'')":1625.3816,"SHOP-US^FE_ESTIMATE(CUSTOM_EPS,MEAN,QTR,2025/1F,NOW,,,'')":0.27411988,"SHOP-US^FE_ESTIMATE(CUSTOM_EPS,MEAN,QTR,2026/1F,NOW,,,'')":0.3312709,"SHOP-US^FE_ESTIMATE(BFNG,MEAN,QTR,2026/2F,NOW,,,'')":510.2173,"SHOP-US^FE_ESTIMATE(EAG,MEAN,QTR,2026/3F,NOW,,,'')":0.4481952,"SHOP-US^FE_ESTIMATE(EAG,MEAN,QTR,2027/3F,NOW,,,'')":null,"SHOP-US^FE_ESTIMATE(GMV,MEAN,ANNUAL_ROLL,2027,NOW,,,'')":504811.16,"SHOP-US^FE_TIMESERIES(PRODLINE_SALES_2,MEAN,2020/4F,,Q,'CURRENCY=USD')":698.304,"SHOP-US^FE_TIMESERIES(SALES,MEAN,2020/2F,,Q,'CURRENCY=USD')":714.341,"SHOP-US^FE_TIMESERIES(GMV,MEAN,2020/3F,,Q,'CURRENCY=USD')":30923.24,"SHOP-US^FE_ESTIMATE(SALES,MEAN,QTR_ROLL,2025/1F,NOW,,,'')":2319.768,"SHOP-US^FE_ESTIMATE(EBITDA_ADJ,MEAN,QTR,2024/1F,NOW,,,'')":209.07143,"SHOP-US^FE_ESTIMATE(NETBG,MEAN,QTR,2024/2F,NOW,,,'')":345.0,"SHOP-US^FE_ESTIMATE(CUSTOM_EPS,MEAN,QTR,2025/3F,NOW,,,'')":0.37531054,"SHOP-US^FE_ESTIMATE(BFNG,MEAN,QTR,2025/4F,NOW,,,'')":572.292,"SHOP-US^FE_ESTIMATE(EAG,MEAN,ANNUAL_ROLL,2026,NOW,,,'')":1.5342542,"SHOP-US^FE_ESTIMATE(GMV,MEAN,QTR,2027/2F,NOW,,,'')":null,"SHOP-US^FE_ESTIMATE(EAG,MEAN,QTR,2025/1F,NOW,,,'')":0.1920025,"SHOP-US^FE_ESTIMATE(SPEC_GROSS_1,MEAN,QTR,2025/4F,NOW,,,'')":215.64133,"SHOP-US^FE_TIMESERIES(FCF,MEAN,2026,,Y,'CURRENCY=USD')":2528.3079,"SHOP-US^FE_TIMESERIES(CAPEX,MEAN,2020/3F,,Q,'CURRENCY=USD')":10.042,"SHOP-US^FE_TIMESERIES(EBITDA_ADJ,MEAN,2023/3F,,Q,'CURRENCY=USD')":281.92856,"SHOP-US^FE_TIMESERIES(GROSSINCOME,MEAN,2025/4F,,Q,'CURRENCY=USD')":1605.9171,"SHOP-US^FE_TIMESERIES(PRODLINE_SALES_1,MEAN,2022/4F,,Q,'CURRENCY=USD')":400.254,"SHOP^FE_ESTIMATE(EBITDA_ADJ,MEAN,ANNUAL_ROLL,2024,NOW,,,'')":1485.8966,"SHOP-US^FE_ESTIMATE(EAG,MEAN,QTR,2024/3F,NOW,,,'')":0.6380796,"SHOP-US^FE_ESTIMATE(SALES,MEAN,QTR,2026/2F,NOW,,,'')":3026.1296,"SHOP-US^FE_ESTIMATE(PRODLINE_SALES_2,MEAN,QTR,2027/4F,NOW,,,'')":3927.0,"SHOP-US^FE_TIMESERIES(EPS,MEAN,2023,,Y,'CURRENCY=USD')":0.73,"SHOP-US^FE_TIMESERIES(CFO,MEAN,2022/3F,,Q,'CURRENCY=USD')":-214.073,"SHOP-US^FE_TIMESERIES(EBITDA_ADJ,MEAN,2020/4F,,Q,'CURRENCY=USD')":212.45651,"SHOP-US^FE_TIMESERIES(EBITDA_REP,MEAN,2020/1F,,Q,'CURRENCY=USD')":-58.8835,"SHOP-US^FE_TIMESERIES(GROSSINCOME,MEAN,2023/1F,,Q,'CURRENCY=USD')":732.00415,"SHOP-US^FE_TIMESERIES(GMV,MEAN,2025/3F,,Q,'CURRENCY=USD')":83821.76,"SHOP-US^FE_ESTIMATE(GMV,MEAN,QTR,2024/2F,NOW,,,'')":67245.0,"SHOP-US^FE_ESTIMATE(SALES,MEAN,QTR,2025/4F,NOW,,,'')":3309.5315,"SHOP-US^FE_ESTIMATE(EBITDA_ADJ,MEAN,QTR,2027/2F,NOW,,,'')":795.0,"SHOP-US^FE_TIMESERIES(EAG,MEAN,2024/4F,,Q,'CURRENCY=USD')":0.34056,"SHOP-US^FE_TIMESERIES(NETPROFIT,MEAN,2023/4F,,Q,'CURRENCY=USD')":441.0,"SHOP-US^FE_TIMESERIES(EBITDA_REP,MEAN,2025/4F,,Q,'CURRENCY=USD')":684.46686,"SHOP-US^FE_TIMESERIES(GROSSINCOME,MEAN,2025/3F,,Q,'CURRENCY=USD')":1339.9728,"SHOP-US^FE_TIMESERIES(SALES,MEAN,2025/2F,,Q,'CURRENCY=USD')":2527.689,"SHOP-US^FE_ESTIMATE(PRODLINE_SALES_1,MEAN,QTR,2025/2F,NOW,,,'')":673.83167,"SHOP-US^FE_ESTIMATE(EBITDA_ADJ,MEAN,QTR,2027/4F,NOW,,,'')":1394.0,"SHOP-US^FE_TIMESERIES(EPS,MEAN,2022,,Y,'CURRENCY=USD')":0.04,"SHOP-US^FE_TIMESERIES(FCF,MEAN,2020/3F,,Q,'CURRENCY=USD')":72.653,"SHOP-US^FE_TIMESERIES(EPS,MEAN,2024/1F,,Q,'CURRENCY=USD')":0.2,"SHOP-US^FE_TIMESERIES(EBITDA_REP,MEAN,2023/1F,,Q,'CURRENCY=USD')":-2.0,"SHOP-US^FE_TIMESERIES(EBIT_ADJ,MEAN,2022/3F,,Q,'CURRENCY=USD')":-45.073193,"SHOP-US^FE_TIMESERIES(PRODLINE_SALES_2,MEAN,2022/2F,,Q,'CURRENCY=USD')":928.62,"SHOP-US^FE_ESTIMATE(PRODLINE_SALES_1,MEAN,QTR,2024/4F,NOW,,,'')":648.8926,"SHOP-US^FE_ESTIMATE(PRODLINE_SALES_1,MEAN,QTR,2025/4F,NOW,,,'')":759.7652,"SHOP-US^FE_ESTIMATE(EBITDA_ADJ,MEAN,QTR,2027/1F,NOW,,,'')":640.0,"SHOP-US^FE_TIMESERIES(EBITR,MEAN,2022/3F,,Q,'CURRENCY=USD')":-345.2576,"SHOP-US^FE_TIMESERIES(GROSSINCOME,MEAN,2022/1F,,Q,'CURRENCY=USD')":643.5187,"SHOP-US^FE_TIMESERIES(SALES,MEAN,2021/3F,,Q,'CURRENCY=USD')":1123.74,"SHOP-US^FE_ACTUAL(ACTUAL,SALES,ANNUAL,2026,,,,'')@FE_ESTIMATE(SALES,MEAN,ANNUAL,2026,NOW,,,'')":13154.029,"SHOP-US^FE_ESTIMATE(PRODLINE_SALES_1,MEAN,QTR,2025/1F,NOW,,,'')":633.1609,"SHOP-US^FE_ESTIMATE(CUSTOM_EPS,MEAN,ANNUAL_ROLL,2026,NOW,,,'')":1.928615,"SHOP-US^FE_TIMESERIES(FCF,MEAN,2023/4F,,Q,'CURRENCY=USD')":446.0,"SHOP-US^FE_TIMESERIES(EPS,MEAN,2023/4F,,Q,'CURRENCY=USD')":0.34,"SHOP-US^FE_TIMESERIES(GROSSINCOME,MEAN,2021/4F,,Q,'CURRENCY=USD')":698.2491,"SHOP-US^FE_TIMESERIES(SALES,MEAN,2024/1F,,Q,'CURRENCY=USD')":1861.0,"SHOP-US^FE_ESTIMATE(PRODLINE_SALES_1,MEAN,QTR,2024/3F,NOW,,,'')":610.0,"SHOP-US^FE_ESTIMATE(EBITDA_ADJ,MEAN,ANNUAL_ROLL,2025,NOW,,,'')":1996.2725,"SHOP-US^FE_ESTIMATE(CUSTOM_EPS,MEAN,QTR,2027/2F,NOW,,,'')":0.59,"SHOP-US^FE_TIMESERIES(DEPR_AMORT,MEAN,2020/3F,,Q,'CURRENCY=USD')":18.013334,"SHOP-US^FE_TIMESERIES(EAG,MEAN,2020/3F,,Q,'CURRENCY=USD')":0.154,"SHOP-US^FE_TIMESERIES(EBITDA_REP,MEAN,2025/2F,,Q,'CURRENCY=USD')":406.41388,"SHOP-US^FE_TIMESERIES(DEPR_AMORT,MEAN,2022,,Y,'CURRENCY=USD')":90.75833,"SHOP-US^FE_TIMESERIES(CAPEX,MEAN,2021,,Y,'CURRENCY=USD')":50.850285,"SHOP-US^FE_TIMESERIES(NETPROFIT,MEAN,2023,,Y,'CURRENCY=USD')":947.0,"SHOP-US^FE_TIMESERIES(EBITDA_REP,MEAN,2022,,Y,'CURRENCY=USD')":-317.7105,"SHOP-US^FE_TIMESERIES(EBITR,MEAN,2023,,Y,'CURRENCY=USD')":-1409.0588,"SHOP-US^FE_TIMESERIES(GROSSINCOME,MEAN,2020,,Y,'CURRENCY=USD')":1557.4036,"SHOP-US^FE_TIMESERIES(DEPR_AMORT,MEAN,2023/4F,,Q,'CURRENCY=USD')":10.0,"SHOP-US^FE_TIMESERIES(CAPEX,MEAN,2024/4F,,Q,'CURRENCY=USD')":5.39675,"SHOP-US^FE_TIMESERIES(CAPEX,MEAN,2022/1F,,Q,'CURRENCY=USD')":15.9375,"SHOP-US^FE_TIMESERIES(EAG,MEAN,2023/4F,,Q,'CURRENCY=USD')":0.51,"SHOP-US^FE_TIMESERIES(NETPROFIT,MEAN,2024/4F,,Q,'CURRENCY=USD')":552.6298,"SHOP-US^FE_TIMESERIES(EBITDA_ADJ,MEAN,2024/4F,,Q,'CURRENCY=USD')":565.91003,"SHOP-US^FE_TIMESERIES(EBITDA_REP,MEAN,2025/1F,,Q,'CURRENCY=USD')":260.30283,"SHOP-US^FE_TIMESERIES(EBITDA_REP,MEAN,2021/3F,,Q,'CURRENCY=USD')":13.5515,"SHOP-US^FE_TIMESERIES(EBIT_ADJ,MEAN,2024/2F,,Q,'CURRENCY=USD')":299.0,"SHOP-US^FE_TIMESERIES(EBIT_ADJ,MEAN,2021/1F,,Q,'CURRENCY=USD')":210.842,"SHOP-US^FE_TIMESERIES(GROSSINCOME,MEAN,2021/2F,,Q,'CURRENCY=USD')":624.6344,"SHOP-US^FE_TIMESERIES(PRODLINE_SALES_2,MEAN,2024/1F,,Q,'CURRENCY=USD')":1350.0,"SHOP-US^FE_TIMESERIES(PRODLINE_SALES_1,MEAN,2023/3F,,Q,'CURRENCY=USD')":486.0,"SHOP-US^FE_TIMESERIES(GMV,MEAN,2023/4F,,Q,'CURRENCY=USD')":75125.0,"SHOP-US^FE_ESTIMATE(SALES,MEAN,QTR_ROLL,2027/2F,NOW,,,'')":3782.0,"SHOP-US^FE_ESTIMATE(CUSTOM_EPS,MEAN,QTR,2024/3F,NOW,,,'')":0.34206286,"SHOP-US^FE_ESTIMATE(EAG,MEAN,ANNUAL_ROLL,2025,NOW,,,'')":1.1713703,"SHOP-US^FE_ESTIMATE(SPEC_GROSS_1,MEAN,QTR,2027/3F,NOW,,,'')":null,"SHOP-US^FE_TIMESERIES(GMV,MEAN,2022/3F,,Q,'CURRENCY=USD')":46179.855,"SHOP-US^FE_ESTIMATE(EAG,MEAN,QTR,2024/1F,NOW,,,'')":-0.21,"SHOP-US^FE_ESTIMATE(SALES,MEAN,ANNUAL_ROLL,2026,NOW,,,'')":13154.029,"SHOP-US^FE_TIMESERIES(CFO,MEAN,2025,,Y,'CURRENCY=USD')":2104.9238,"SHOP-US^FE_TIMESERIES(CAPEX,MEAN,2024/1F,,Q,'CURRENCY=USD')":6.0,"SHOP-US^FE_TIMESERIES(NETPROFIT,MEAN,2024/1F,,Q,'CURRENCY=USD')":256.0,"SHOP-US^FE_TIMESERIES(EBIT_ADJ,MEAN,2023/4F,,Q,'CURRENCY=USD')":398.58066,"SHOP-US^FE_TIMESERIES(GROSSINCOME,MEAN,2023/2F,,Q,'CURRENCY=USD')":840.90625,"SHOP-US^FE_TIMESERIES(SALES,MEAN,2025/3F,,Q,'CURRENCY=USD')":2637.6206,"SHOP-US^FE_ESTIMATE(SALES,MEAN,QTR_ROLL,2024/4F,NOW,,,'')":2725.7952,"SHOP-US^FE_ESTIMATE(SPEC_GROSS_1,MEAN,QTR,2025/1F,NOW,,,'')":188.28714,"SHOP-US^FE_ESTIMATE(EBITDA_ADJ,MEAN,ANNUAL_ROLL,2027,NOW,,,'')":3219.5,"SHOP-US^FE_TIMESERIES(FCF,MEAN,2020/4F,,Q,'CURRENCY=USD')":239.0075,"SHOP-US^FE_TIMESERIES(EPS,MEAN,2020/4F,,Q,'CURRENCY=USD')":0.158,"SHOP-US^FE_TIMESERIES(EBITDA_REP,MEAN,2023/3F,,Q,'CURRENCY=USD')":209.5,"SHOP-US^FE_TIMESERIES(EBIT_ADJ,MEAN,2020/2F,,Q,'CURRENCY=USD')":113.7,"SHOP-US^FE_TIMESERIES(PRODLINE_SALES_2,MEAN,2022/3F,,Q,'CURRENCY=USD')":989.899,"SHOP-US^FE_ESTIMATE(SPEC_GROSS_1,MEAN,QTR,2024/3F,NOW,,,'')":175.0,"SHOP-US^FE_ESTIMATE(SPEC_GROSS_1,MEAN,QTR,2025/3F,NOW,,,'')":207.93333,"SHOP-US^FE_ESTIMATE(PRODLINE_SALES_1,MEAN,ANNUAL_ROLL,2026,NOW,,,'')":3247.7937,"SHOP-US^FE_TIMESERIES(CFO,MEAN,2024,,Y,'CURRENCY=USD')":1618.5018,"SHOP-US^FE_TIMESERIES(EAG,MEAN,2022/1F,,Q,'CURRENCY=USD')":-1.155,"SHOP-US^FE_TIMESERIES(EBITDA_ADJ,MEAN,2023/1F,,Q,'CURRENCY=USD')":-1.9851,"SHOP-US^FE_TIMESERIES(GROSSINCOME,MEAN,2022/2F,,Q,'CURRENCY=USD')":662.0971,"SHOP-US^FE_TIMESERIES(GMV,MEAN,2024/3F,,Q,'CURRENCY=USD')":69715.0,"SHOP-US^FE_ESTIMATE(SALES,MEAN,QTR,2025/1F,NOW,,,'')":2319.768,"SHOP-US^FE_ESTIMATE(PRODLINE_SALES_2,MEAN,QTR,2026/3F,NOW,,,'')":2295.6624,"SHOP-US^FE_TIMESERIES(EAG,MEAN,2027,,Y,'CURRENCY=USD')":2.230065,"SHOP-US^FE_TIMESERIES(DEPR_AMORT,MEAN,2021/4F,,Q,'CURRENCY=USD')":20.654667,"SHOP-US^FE_TIMESERIES(CFO,MEAN,2025/4F,,Q,'CURRENCY=USD')":710.0138,"SHOP-US^FE_TIMESERIES(EPS,MEAN,2020/3F,,Q,'CURRENCY=USD')":0.113,"SHOP-US^FE_TIMESERIES(NETPROFIT,MEAN,2020/2F,,Q,'CURRENCY=USD')":129.4,"SHOP-US^FE_TIMESERIES(EBIT_ADJ,MEAN,2025/4F,,Q,'CURRENCY=USD')":693.22485,"SHOP-US^FE_TIMESERIES(EBITR,MEAN,2025/2F,,Q,'CURRENCY=USD')":311.51846,"SHOP-US^FE_TIMESERIES(PRODLINE_SALES_1,MEAN,2021/3F,,Q,'CURRENCY=USD')":336.208,"SHOP-US^FE_ESTIMATE(SALES,MEAN,QTR_ROLL,2026/1F,NOW,,,'')":2786.8684,"SHOP-US^FE_ESTIMATE(SALES,MEAN,QTR,2024/3F,NOW,,,'')":2162.0,"SHOP-US^FE_ESTIMATE(PRODLINE_SALES_2,MEAN,ANNUAL_ROLL,2025,NOW,,,'')":8000.8755,"SHOP-US^FE_ESTIMATE(CUSTOM_EPS,MEAN,QTR,2027/3F,NOW,,,'')":0.67,"SHOP-US^FE_TIMESERIES(EAG,MEAN,2024/2F,,Q,'CURRENCY=USD')":0.13,"SHOP-US^FE_TIMESERIES(PRODLINE_SALES_2,MEAN,2024/3F,,Q,'CURRENCY=USD')":1552.0,"SHOP-US^FE_TIMESERIES(GMV,MEAN,2021/1F,,Q,'CURRENCY=USD')":37300.0,"SHOP-US^FE_ESTIMATE(EBITDA_ADJ,MEAN,QTR,2025/3F,NOW,,,'')":504.27817,"SHOP-US^FE_ESTIMATE(NETBG,MEAN,QTR,2026/4F,NOW,,,'')":925.9799,"SHOP-US^FE_ESTIMATE(CUSTOM_EPS,MEAN,ANNUAL_ROLL,2027,NOW,,,'')":2.5437374,"SHOP-US^FE_TIMESERIES(EBITDA_ADJ,MEAN,2020,,Y,'CURRENCY=USD')":480.82114,"SHOP-US^FE_TIMESERIES(CFO,MEAN,2024/4F,,Q,'CURRENCY=USD')":559.6438,"SHOP-US^FE_TIMESERIES(EBITDA_ADJ,MEAN,2025/2F,,Q,'CURRENCY=USD')":438.14517,"SHOP-US^FE_TIMESERIES(EBITR,MEAN,2025/1F,,Q,'CURRENCY=USD')":228.42036,"SHOP-US^FE_TIMESERIES(PRODLINE_SALES_2,MEAN,2022/1F,,Q,'CURRENCY=USD')":858.862,"SHOP-US^FE_ACTUAL(ACTUAL,GMV,ANNUAL,2027,,,,'')@FE_ESTIMATE(GMV,MEAN,ANNUAL,2027,NOW,,,'')":504811.16,"SHOP-US^FE_ESTIMATE(EBITDA_ADJ,MEAN,ANNUAL_ROLL,2024,NOW,,,'')":1485.8966,"SHOP-US^FE_ESTIMATE(CUSTOM_EPS,MEAN,QTR,2026/2F,NOW,,,'')":0.42760354,"SHOP-US^FE_TIMESERIES(GROSSINCOME,MEAN,2021,,Y,'CURRENCY=USD')":2498.6135,"SHOP-US^FE_TIMESERIES(CAPEX,MEAN,2025/4F,,Q,'CURRENCY=USD')":7.4151,"SHOP-US^FE_TIMESERIES(EAG,MEAN,2024/1F,,Q,'CURRENCY=USD')":-0.21,"SHOP-US^FE_TIMESERIES(EAG,MEAN,2024,,Y,'CURRENCY=USD')":0.90200496,"SHOP-US^FE_TIMESERIES(PRODLINE_SALES_2,MEAN,2027,,Y,'CURRENCY=USD')":12144.833,"SHOP-US^FE_TIMESERIES(PRODLINE_SALES_1,MEAN,2020,,Y,'CURRENCY=USD')":908.757,"SHOP-US^FE_TIMESERIES(GMV,MEAN,2022,,Y,'CURRENCY=USD')":197242.28,"SHOP-US^FE_TIMESERIES(FCF,MEAN,2025/4F,,Q,'CURRENCY=USD')":705.52,"SHOP-US^FE_TIMESERIES(FCF,MEAN,2022/2F,,Q,'CURRENCY=USD')":-220.7698,"SHOP-US^FE_TIMESERIES(CAPEX,MEAN,2021/4F,,Q,'CURRENCY=USD')":25.98125,"SHOP-US^FE_TIMESERIES(CFO,MEAN,2024/1F,,Q,'CURRENCY=USD')":233.75,"SHOP-US^FE_TIMESERIES(CFO,MEAN,2020/3F,,Q,'CURRENCY=USD')":82.7075,"SHOP-US^FE_TIMESERIES(EPS,MEAN,2025/4F,,Q,'CURRENCY=USD')":0.5186198,"SHOP-US^FE_TIMESERIES(EPS,MEAN,2022/2F,,Q,'CURRENCY=USD')":-0.03,"SHOP-US^FE_TIMESERIES(NETPROFIT,MEAN,2022/1F,,Q,'CURRENCY=USD')":25.082,"SHOP-US^FE_TIMESERIES(EBITDA_ADJ,MEAN,2024/3F,,Q,'CURRENCY=USD')":405.69232,"SHOP-US^FE_TIMESERIES(EBITDA_ADJ,MEAN,2021/2F,,Q,'CURRENCY=USD')":248.38783,"SHOP-US^FE_TIMESERIES(EBITDA_REP,MEAN,2024/1F,,Q,'CURRENCY=USD')":134.33333,"SHOP-US^FE_TIMESERIES(EBITR,MEAN,2024/2F,,Q,'CURRENCY=USD')":241.0,"SHOP-US^FE_TIMESERIES(EBITR,MEAN,2021/1F,,Q,'CURRENCY=USD')":118.899,"SHOP-US^FE_TIMESERIES(GROSSINCOME,MEAN,2023/4F,,Q,'CURRENCY=USD')":1065.5483,"SHOP-US^FE_TIMESERIES(GROSSINCOME,MEAN,2020/3F,,Q,'CURRENCY=USD')":410.30615,"SHOP-US^FE_TIMESERIES(PRODLINE_SALES_1,MEAN,2023/2F,,Q,'CURRENCY=USD')":444.0,"SHOP-US^FE_TIMESERIES(PRODLINE_SALES_1,MEAN,2020/4F,,Q,'CURRENCY=USD')":279.44,"SHOP-US^FE_TIMESERIES(SALES,MEAN,2023/3F,,Q,'CURRENCY=USD')":1714.0,"SHOP-US^FE_TIMESERIES(SALES,MEAN,2020/1F,,Q,'CURRENCY=USD')":470.001,"SHOP-US^FE_TIMESERIES(GMV,MEAN,2022/4F,,Q,'CURRENCY=USD')":60984.25,"SHOP^FE_ESTIMATE(EPS,MEAN,ANNUAL_ROLL,2023,NOW,,,'')":0.73,"SHOP-US^FE_ESTIMATE(CUSTOM_EPS,MEAN,ANNUAL_ROLL,2024,NOW,,,'')":1.2719381,"SHOP-US^FE_ESTIMATE(BFNG,MEAN,QTR,2025/1F,NOW,,,'')":242.79967,"SHOP-US^FE_ESTIMATE(EAG,MEAN,QTR,2025/2F,NOW,,,'')":0.252757,"SHOP-US^FE_ESTIMATE(EAG,MEAN,QTR,2026/2F,NOW,,,'')":0.385983,"SHOP-US^FE_ESTIMATE(GMV,MEAN,QTR,2026/4F,NOW,,,'')":133418.7,"SHOP-US^FE_ESTIMATE(SPEC_GROSS_1,MEAN,ANNUAL_ROLL,2026,NOW,,,'')":248.959,"SHOP-US^FE_ESTIMATE(SPEC_GROSS_1,MEAN,ANNUAL_ROLL,2027,NOW,,,'')":270.3,"SHOP-US^FE_TIMESERIES(FCF,MEAN,2027,,Y,'CURRENCY=USD')":3544.9421,"SHOP-US^FE_TIMESERIES(CAPEX,MEAN,2020,,Y,'CURRENCY=USD')":41.733,"SHOP-US^FE_TIMESERIES(NETPROFIT,MEAN,2022,,Y,'CURRENCY=USD')":47.586,"SHOP-US^FE_TIMESERIES(EBITDA_REP,MEAN,2021,,Y,'CURRENCY=USD')":484.74832,"SHOP-US^FE_TIMESERIES(EBITR,MEAN,2021,,Y,'CURRENCY=USD')":270.37787,"SHOP-US^FE_TIMESERIES(PRODLINE_SALES_2,MEAN,2023,,Y,'CURRENCY=USD')":5223.0,"SHOP-US^FE_TIMESERIES(GMV,MEAN,2021,,Y,'CURRENCY=USD')":175400.0,"SHOP-US^FE_TIMESERIES(DEPR_AMORT,MEAN,2022/3F,,Q,'CURRENCY=USD')":27.7125,"SHOP-US^FE_TIMESERIES(CAPEX,MEAN,2024/2F,,Q,'CURRENCY=USD')":7.0,"SHOP-US^FE_TIMESERIES(CAPEX,MEAN,2020/4F,,Q,'CURRENCY=USD')":6.317,"SHOP-US^FE_TIMESERIES(CFO,MEAN,2020/2F,,Q,'CURRENCY=USD')":158.63487,"SHOP-US^FE_TIMESERIES(EAG,MEAN,2022/3F,,Q,'CURRENCY=USD')":-0.12,"SHOP-US^FE_TIMESERIES(NETPROFIT,MEAN,2024/2F,,Q,'CURRENCY=USD')":345.0,"SHOP-US^FE_TIMESERIES(NETPROFIT,MEAN,2021/1F,,Q,'CURRENCY=USD')":254.11,"SHOP-US^FE_TIMESERIES(EBITDA_REP,MEAN,2021/2F,,Q,'CURRENCY=USD')":154.104,"SHOP-US^FE_TIMESERIES(EBIT_ADJ,MEAN,2024/1F,,Q,'CURRENCY=USD')":201.0,"SHOP-US^FE_TIMESERIES(EBIT_ADJ,MEAN,2020/4F,,Q,'CURRENCY=USD')":200.007,"SHOP-US^FE_TIMESERIES(EBITR,MEAN,2023/3F,,Q,'CURRENCY=USD')":122.0,"SHOP-US^FE_TIMESERIES(GROSSINCOME,MEAN,2020/2F,,Q,'CURRENCY=USD')":379.1723,"SHOP-US^FE_TIMESERIES(PRODLINE_SALES_2,MEAN,2023/4F,,Q,'CURRENCY=USD')":1619.0,"SHOP-US^FE_TIMESERIES(PRODLINE_SALES_2,MEAN,2020/3F,,Q,'CURRENCY=USD')":522.131,"SHOP-US^FE_TIMESERIES(PRODLINE_SALES_1,MEAN,2023/1F,,Q,'CURRENCY=USD')":382.0,"SHOP-US^FE_TIMESERIES(SALES,MEAN,2025/4F,,Q,'CURRENCY=USD')":3309.5315,"SHOP-US^FE_TIMESERIES(SALES,MEAN,2023/2F,,Q,'CURRENCY=USD')":1694.0,"SHOP-US^FE_TIMESERIES(GMV,MEAN,2020/2F,,Q,'CURRENCY=USD')":30114.0,"SHOP-US^FE_ESTIMATE(SALES,MEAN,QTR_ROLL,2027/1F,NOW,,,'')":3549.0,"SHOP-US^FE_ESTIMATE(CUSTOM_EPS,MEAN,QTR,2024/2F,NOW,,,'')":0.26,"SHOP-US^FE_ESTIMATE(BFNG,MEAN,QTR,2024/3F,NOW,,,'')":828.0,"SHOP-US^FE_ESTIMATE(EAG,MEAN,QTR,2024/4F,NOW,,,'')":0.34056,"SHOP-US^FE_ESTIMATE(EAG,MEAN,QTR,2025/4F,NOW,,,'')":0.434958,"SHOP-US^FE_ESTIMATE(GMV,MEAN,QTR,2026/1F,NOW,,,'')":90423.8,"SHOP-US^FE_ESTIMATE(SPEC_GROSS_1,MEAN,QTR,2026/2F,NOW,,,'')":227.2,"SHOP-US^FE_ESTIMATE(SPEC_GROSS_1,MEAN,QTR,2027/2F,NOW,,,'')":null,"SHOP-US^FE_ESTIMATE(SALES,MEAN,QTR,2027/3F,NOW,,,'')":3975.0,"SHOP-US^FE_ESTIMATE(PRODLINE_SALES_1,MEAN,QTR,2027/4F,NOW,,,'')":1038.0,"SHOP-US^FE_TIMESERIES(EPS,MEAN,2026,,Y,'CURRENCY=USD')":1.928615,"SHOP-US^FE_TIMESERIES(EBITDA_ADJ,MEAN,2025,,Y,'CURRENCY=USD')":1996.2725,"SHOP-US^FE_TIMESERIES(SALES,MEAN,2027,,Y,'CURRENCY=USD')":17304.154,"SHOP-US^FE_TIMESERIES(FCF,MEAN,2024/4F,,Q,'CURRENCY=USD')":546.7794,"SHOP-US^FE_TIMESERIES(FCF,MEAN,2022/1F,,Q,'CURRENCY=USD')":-65.67,"SHOP-US^FE_TIMESERIES(CFO,MEAN,2023/4F,,Q,'CURRENCY=USD')":448.0,"SHOP-US^FE_TIMESERIES(EPS,MEAN,2024/4F,,Q,'CURRENCY=USD')":0.42742747,"SHOP-US^FE_TIMESERIES(EPS,MEAN,2022/1F,,Q,'CURRENCY=USD')":0.02,"SHOP-US^FE_TIMESERIES(EBITDA_ADJ,MEAN,2024/2F,,Q,'CURRENCY=USD')":307.92856,"SHOP-US^FE_TIMESERIES(EBITDA_ADJ,MEAN,2021/1F,,Q,'CURRENCY=USD')":225.19383,"SHOP-US^FE_TIMESERIES(EBITDA_REP,MEAN,2023/4F,,Q,'CURRENCY=USD')":352.5,"SHOP-US^FE_TIMESERIES(EBITDA_REP,MEAN,2020/3F,,Q,'CURRENCY=USD')":68.4155,"SHOP-US^FE_TIMESERIES(EBITR,MEAN,2023/2F,,Q,'CURRENCY=USD')":-1636.0,"SHOP-US^FE_TIMESERIES(EBITR,MEAN,2020/4F,,Q,'CURRENCY=USD')":112.541,"SHOP-US^FE_TIMESERIES(GROSSINCOME,MEAN,2023/3F,,Q,'CURRENCY=USD')":903.6667,"SHOP-US^FE_TIMESERIES(GROSSINCOME,MEAN,2020/1F,,Q,'CURRENCY=USD')":261.69946,"SHOP-US^FE_TIMESERIES(PRODLINE_SALES_2,MEAN,2022/4F,,Q,'CURRENCY=USD')":1334.724,"SHOP-US^FE_TIMESERIES(PRODLINE_SALES_2,MEAN,2020/2F,,Q,'CURRENCY=USD')":517.907,"SHOP-US^FE_TIMESERIES(SALES,MEAN,2023/1F,,Q,'CURRENCY=USD')":1508.0,"SHOP-US^FE_TIMESERIES(GMV,MEAN,2025/4F,,Q,'CURRENCY=USD')":107817.516,"SHOP-US^FE_ACTUAL(ACTUAL,GMV,ANNUAL,2024,,,,'')@FE_ESTIMATE(GMV,MEAN,ANNUAL,2024,NOW,,,'')":289784.2,"SHOP-US^FE_ESTIMATE(GMV,MEAN,QTR,2025/3F,NOW,,,'')":83821.76,"SHOP-US^FE_ESTIMATE(SPEC_GROSS_1,MEAN,QTR,2026/4F,NOW,,,'')":242.55,"SHOP-US^FE_ESTIMATE(PRODLINE_SALES_1,MEAN,QTR,2027/1F,NOW,,,'')":908.0,"SHOP-US^FE_TIMESERIES(EBITDA_REP,MEAN,2020,,Y,'CURRENCY=USD')":193.471,"SHOP-US^FE_TIMESERIES(EBITR,MEAN,2020,,Y,'CURRENCY=USD')":90.153,"SHOP-US^FE_TIMESERIES(PRODLINE_SALES_2,MEAN,2022,,Y,'CURRENCY=USD')":4112.105,"SHOP-US^FE_TIMESERIES(DEPR_AMORT,MEAN,2025/4F,,Q,'CURRENCY=USD')":17.055334,"SHOP-US^FE_TIMESERIES(DEPR_AMORT,MEAN,2022/2F,,Q,'CURRENCY=USD')":16.357222,"SHOP-US^FE_TIMESERIES(FCF,MEAN,2021/4F,,Q,'CURRENCY=USD')":229.98567,"SHOP-US^FE_TIMESERIES(EAG,MEAN,2025/4F,,Q,'CURRENCY=USD')":0.434958,"SHOP-US^FE_TIMESERIES(EAG,MEAN,2022/2F,,Q,'CURRENCY=USD')":-0.95,"SHOP-US^FE_TIMESERIES(EPS,MEAN,2021/4F,,Q,'CURRENCY=USD')":0.136,"SHOP-US^FE_TIMESERIES(NETPROFIT,MEAN,2020/4F,,Q,'CURRENCY=USD')":198.839,"SHOP-US^FE_TIMESERIES(EBITDA_REP,MEAN,2020/2F,,Q,'CURRENCY=USD')":20.2075,"SHOP-US^FE_TIMESERIES(EBIT_ADJ,MEAN,2020/3F,,Q,'CURRENCY=USD')":130.94,"SHOP-US^FE_TIMESERIES(EBITR,MEAN,2023/1F,,Q,'CURRENCY=USD')":-193.0,"SHOP-US^FE_TIMESERIES(PRODLINE_SALES_2,MEAN,2020/1F,,Q,'CURRENCY=USD')":282.392,"SHOP-US^FE_TIMESERIES(SALES,MEAN,2022/2F,,Q,'CURRENCY=USD')":1295.063,"SHOP-US^FE_ESTIMATE(GMV,MEAN,ANNUAL_ROLL,2024,NOW,,,'')":289784.2,"SHOP-US^FE_ESTIMATE(SPEC_GROSS_1,MEAN,QTR,2026/1F,NOW,,,'')":220.4,"SHOP-US^FE_ESTIMATE(PRODLINE_SALES_1,MEAN,QTR,2026/3F,NOW,,,'')":842.7693,"SHOP-US^FE_ESTIMATE(PRODLINE_SALES_1,MEAN,QTR,2027/3F,NOW,,,'')":1007.0,"SHOP-US^FE_TIMESERIES(FCF,MEAN,2021,,Y,'CURRENCY=USD')":474.27332,"SHOP-US^FE_TIMESERIES(EBITDA_ADJ,MEAN,2024,,Y,'CURRENCY=USD')":1485.8966,"SHOP-US^FE_TIMESERIES(EBIT_ADJ,MEAN,2023,,Y,'CURRENCY=USD')":770.3643,"SHOP-US^FE_TIMESERIES(PRODLINE_SALES_2,MEAN,2021,,Y,'CURRENCY=USD')":3269.522,"SHOP-US^FE_TIMESERIES(SALES,MEAN,2022,,Y,'CURRENCY=USD')":5599.864,"SHOP-US^FE_TIMESERIES(FCF,MEAN,2024/2F,,Q,'CURRENCY=USD')":333.0,"SHOP-US^FE_TIMESERIES(CAPEX,MEAN,2020/2F,,Q,'CURRENCY=USD')":8.590375,"SHOP-US^FE_TIMESERIES(EPS,MEAN,2024/2F,,Q,'CURRENCY=USD')":0.26,"SHOP-US^FE_TIMESERIES(EBITDA_ADJ,MEAN,2023/2F,,Q,'CURRENCY=USD')":157.85715,"SHOP-US^FE_TIMESERIES(EBIT_ADJ,MEAN,2022/4F,,Q,'CURRENCY=USD')":60.99743,"SHOP-US^FE_TIMESERIES(PRODLINE_SALES_2,MEAN,2025/4F,,Q,'CURRENCY=USD')":2531.854,"SHOP-US^FE_TIMESERIES(PRODLINE_SALES_1,MEAN,2025/2F,,Q,'CURRENCY=USD')":673.83167,"SHOP-US^FE_TIMESERIES(GMV,MEAN,2022/2F,,Q,'CURRENCY=USD')":46891.668,"SHOP-US^FE_ESTIMATE(SALES,MEAN,QTR_ROLL,2026/2F,NOW,,,'')":3026.1296,"SHOP-US^FE_ESTIMATE(PRODLINE_SALES_1,MEAN,ANNUAL_ROLL,2025,NOW,,,'')":2769.6775,"SHOP-US^FE_ESTIMATE(PRODLINE_SALES_2,MEAN,QTR,2027/1F,NOW,,,'')":2641.0,"SHOP-US^FE_TIMESERIES(GROSSINCOME,MEAN,2027,,Y,'CURRENCY=USD')":7926.875,"SHOP-US^FE_TIMESERIES(DEPR_AMORT,MEAN,2024/4F,,Q,'CURRENCY=USD')":10.392693,"SHOP-US^FE_TIMESERIES(DEPR_AMORT,MEAN,2022/1F,,Q,'CURRENCY=USD')":16.7451,"SHOP-US^FE_TIMESERIES(CAPEX,MEAN,2023/4F,,Q,'CURRENCY=USD')":2.0,"SHOP-US^FE_TIMESERIES(NETPROFIT,MEAN,2020/3F,,Q,'CURRENCY=USD')":140.754,"SHOP-US^FE_TIMESERIES(EBITDA_REP,MEAN,2023/2F,,Q,'CURRENCY=USD')":-728.0,"SHOP-US^FE_TIMESERIES(EBIT_ADJ,MEAN,2020/1F,,Q,'CURRENCY=USD')":-7.272,"SHOP-US^FE_TIMESERIES(EBITR,MEAN,2022/4F,,Q,'CURRENCY=USD')":-188.80907,"SHOP-US^FE_TIMESERIES(PRODLINE_SALES_1,MEAN,2022/3F,,Q,'CURRENCY=USD')":376.301,"SHOP-US^FE_TIMESERIES(SALES,MEAN,2022/1F,,Q,'CURRENCY=USD')":1203.623,"SHOP-US^FE_ACTUAL(ACTUAL,SALES,ANNUAL,2027,,,,'')@FE_ESTIMATE(SALES,MEAN,ANNUAL,2027,NOW,,,'')":17304.154,"SHOP-US^FE_ESTIMATE(SPEC_GROSS_1,MEAN,ANNUAL_ROLL,2024,NOW,,,'')":178.91164,"SHOP-US^FE_ESTIMATE(PRODLINE_SALES_1,MEAN,QTR,2026/2F,NOW,,,'')":798.7728,"SHOP-US^FE_ESTIMATE(EBITDA_ADJ,MEAN,QTR,2026/4F,NOW,,,'')":939.1577,"SHOP-US^FE_ESTIMATE(NETBG,MEAN,ANNUAL_ROLL,2027,NOW,,,'')":3289.4587,"SHOP-US^FE_TIMESERIES(FCF,MEAN,2020,,Y,'CURRENCY=USD')":347.324,"SHOP-US^FE_TIMESERIES(EBITDA_ADJ,MEAN,2021,,Y,'CURRENCY=USD')":760.8224,"SHOP-US^FE_TIMESERIES(EBIT_ADJ,MEAN,2022,,Y,'CURRENCY=USD')":6.07468,"SHOP-US^FE_TIMESERIES(PRODLINE_SALES_1,MEAN,2027,,Y,'CURRENCY=USD')":3739.4333,"SHOP-US^FE_TIMESERIES(SALES,MEAN,2021,,Y,'CURRENCY=USD')":4611.856,"SHOP-US^FE_TIMESERIES(FCF,MEAN,2024/1F,,Q,'CURRENCY=USD')":227.2,"SHOP-US^FE_TIMESERIES(CFO,MEAN,2022/2F,,Q,'CURRENCY=USD')":-130.13922,"SHOP-US^FE_TIMESERIES(EAG,MEAN,2021/4F,,Q,'CURRENCY=USD')":-0.29,"SHOP-US^FE_TIMESERIES(NETPROFIT,MEAN,2022/4F,,Q,'CURRENCY=USD')":90.996,"SHOP-US^FE_TIMESERIES(PRODLINE_SALES_2,MEAN,2025/3F,,Q,'CURRENCY=USD')":1913.0764,"SHOP-US^FE_TIMESERIES(PRODLINE_SALES_1,MEAN,2025/1F,,Q,'CURRENCY=USD')":633.1609,"SHOP-US^FE_TIMESERIES(SALES,MEAN,2021/4F,,Q,'CURRENCY=USD')":1380.024,"SHOP-US^FE_TIMESERIES(GMV,MEAN,2022/1F,,Q,'CURRENCY=USD')":43200.0,"SHOP^FE_ESTIMATE(EPS,MEAN,ANNUAL_ROLL,2026,NOW,,,'')":1.928615,"SHOP-US^FE_ESTIMATE(SPEC_GROSS_1,MEAN,QTR,2024/2F,NOW,,,'')":169.0,"SHOP-US^FE_ESTIMATE(EBITDA_ADJ,MEAN,QTR,2026/1F,NOW,,,'')":450.0533,"SHOP-US^FE_ESTIMATE(NETBG,MEAN,QTR,2027/2F,NOW,,,'')":778.0,"SHOP-US^FE_TIMESERIES(EPS,MEAN,2020/2F,,Q,'CURRENCY=USD')":0.105,"SHOP-US^FE_TIMESERIES(NETPROFIT,MEAN,2020/1F,,Q,'CURRENCY=USD')":22.332,"SHOP-US^FE_TIMESERIES(EBITDA_REP,MEAN,2025/3F,,Q,'CURRENCY=USD')":465.4105,"SHOP-US^FE_TIMESERIES(EBITDA_REP,MEAN,2022/2F,,Q,'CURRENCY=USD')":-99.5865,"SHOP-US^FE_TIMESERIES(SALES,MEAN,2025/1F,,Q,'CURRENCY=USD')":2319.768,"SHOP-US^FE_ESTIMATE(PRODLINE_SALES_1,MEAN,QTR,2024/1F,NOW,,,'')":511.0,"SHOP-US^FE_ESTIMATE(PRODLINE_SALES_2,MEAN,QTR,2025/2F,NOW,,,'')":1848.4647,"SHOP-US^FE_ESTIMATE(EBITDA_ADJ,MEAN,QTR,2026/3F,NOW,,,'')":657.7661,"SHOP-US^FE_TIMESERIES(CAPEX,MEAN,2027,,Y,'CURRENCY=USD')":40.931866,"SHOP-US^FE_TIMESERIES(PRODLINE_SALES_1,MEAN,2023,,Y,'CURRENCY=USD')":1837.0,"SHOP-US^FE_TIMESERIES(SALES,MEAN,2020,,Y,'CURRENCY=USD')":2929.491,"SHOP-US^FE_TIMESERIES(NETPROFIT,MEAN,2022/3F,,Q,'CURRENCY=USD')":-30.0,"SHOP-US^FE_TIMESERIES(EBIT_ADJ,MEAN,2025/3F,,Q,'CURRENCY=USD')":488.01785,"SHOP-US^FE_TIMESERIES(EBITR,MEAN,2021/3F,,Q,'CURRENCY=USD')":-4.085077,"SHOP-US^FE_TIMESERIES(PRODLINE_SALES_1,MEAN,2021/2F,,Q,'CURRENCY=USD')":334.237,"SHOP-US^FE_ESTIMATE(EAG,MEAN,QTR,2027/4F,NOW,,,'')":null,"SHOP-US^FE_TIMESERIES(EBITDA_REP,MEAN,2023,,Y,'CURRENCY=USD')":-132.0,"SHOP-US^FE_TIMESERIES(EBITR,MEAN,2027,,Y,'CURRENCY=USD')":3042.0,"SHOP-US^FE_TIMESERIES(GMV,MEAN,2027,,Y,'CURRENCY=USD')":504811.16,"SHOP-US^FE_TIMESERIES(CFO,MEAN,2021/4F,,Q,'CURRENCY=USD')":260.5526,"SHOP-US^FE_TIMESERIES(NETPROFIT,MEAN,2025/4F,,Q,'CURRENCY=USD')":676.0038,"SHOP-US^FE_TIMESERIES(EBIT_ADJ,MEAN,2024/3F,,Q,'CURRENCY=USD')":396.7857,"SHOP-US^FE_TIMESERIES(NETPROFIT,MEAN,2025,,Y,'CURRENCY=USD')":2013.152,"SHOP-US^FE_TIMESERIES(EBIT_ADJ,MEAN,2021,,Y,'CURRENCY=USD')":711.4762,"SHOP-US^FE_TIMESERIES(GROSSINCOME,MEAN,2022,,Y,'CURRENCY=USD')":2795.2517,"SHOP-US^FE_TIMESERIES(DEPR_AMORT,MEAN,2024/2F,,Q,'CURRENCY=USD')":10.0,"SHOP-US^FE_TIMESERIES(DEPR_AMORT,MEAN,2020/4F,,Q,'CURRENCY=USD')":24.7486,"SHOP-US^FE_TIMESERIES(FCF,MEAN,2020/2F,,Q,'CURRENCY=USD')":137.332,"SHOP-US^FE_TIMESERIES(CAPEX,MEAN,2022/3F,,Q,'CURRENCY=USD')":13.914444,"SHOP-US^FE_TIMESERIES(EAG,MEAN,2020/4F,,Q,'CURRENCY=USD')":0.099,"SHOP-US^FE_TIMESERIES(EBITDA_ADJ,MEAN,2022/4F,,Q,'CURRENCY=USD')":85.80839,"SHOP-US^FE_TIMESERIES(GROSSINCOME,MEAN,2025/2F,,Q,'CURRENCY=USD')":1281.7762,"SHOP-US^FE_TIMESERIES(PRODLINE_SALES_1,MEAN,2024/4F,,Q,'CURRENCY=USD')":648.8926,"SHOP-US^FE_TIMESERIES(GMV,MEAN,2024/2F,,Q,'CURRENCY=USD')":67245.0,"SHOP-US^FE_TIMESERIES(EAG,MEAN,2026,,Y,'CURRENCY=USD')":1.5342542,"SHOP-US^FE_TIMESERIES(CFO,MEAN,2022/1F,,Q,'CURRENCY=USD')":-53.7,"SHOP-US^FE_TIMESERIES(EBIT_ADJ,MEAN,2022/2F,,Q,'CURRENCY=USD')":-41.803856,"SHOP-US^FE_TIMESERIES(PRODLINE_SALES_1,MEAN,2024/3F,,Q,'CURRENCY=USD')":610.0,"SHOP-US^FE_ESTIMATE(PRODLINE_SALES_2,MEAN,QTR,2024/4F,NOW,,,'')":2069.3555,"SHOP-US^FE_ESTIMATE(NETBG,MEAN,QTR,2026/1F,NOW,,,'')":447.52667,"SHOP-US^FE_ESTIMATE(BFNG,MEAN,QTR,2027/3F,NOW,,,'')":null,"SHOP-US^FE_TIMESERIES(NETPROFIT,MEAN,2024,,Y,'CURRENCY=USD')":1625.3816,"SHOP-US^FE_TIMESERIES(DEPR_AMORT,MEAN,2024/1F,,Q,'CURRENCY=USD')":10.0,"SHOP-US^FE_TIMESERIES(CAPEX,MEAN,2022/2F,,Q,'CURRENCY=USD')":12.535,"SHOP-US^FE_TIMESERIES(EBITDA_ADJ,MEAN,2022/3F,,Q,'CURRENCY=USD')":-23.87625,"SHOP-US^FE_TIMESERIES(EBITDA_REP,MEAN,2022/1F,,Q,'CURRENCY=USD')":-16.361,"SHOP-US^FE_TIMESERIES(GMV,MEAN,2024/1F,,Q,'CURRENCY=USD')":60855.0,"SHOP-US^FE_TIMESERIES(GMV,MEAN,2020/4F,,Q,'CURRENCY=USD')":41089.375,"SHOP^FE_ESTIMATE(EBITDA_ADJ,MEAN,ANNUAL_ROLL,2025,NOW,,,'')":1996.2725,"SHOP-US^FE_ESTIMATE(PRODLINE_SALES_2,MEAN,QTR,2024/1F,NOW,,,'')":1350.0,"SHOP-US^FE_ESTIMATE(EBITDA_ADJ,MEAN,QTR,2024/2F,NOW,,,'')":307.92856,"SHOP-US^FE_ESTIMATE(CUSTOM_EPS,MEAN,QTR,2026/4F,NOW,,,'')":0.6759283,"SHOP-US^FE_TIMESERIES(GROSSINCOME,MEAN,2025/1F,,Q,'CURRENCY=USD')":1182.4972,"SHOP-US^FE_ESTIMATE(BFNG,MEAN,ANNUAL_ROLL,2026,NOW,,,'')":2098.087,"SHOP-US^FE_TIMESERIES(GROSSINCOME,MEAN,2021/3F,,Q,'CURRENCY=USD')":613.64575,"SHOP-US^FE_TIMESERIES(PRODLINE_SALES_2,MEAN,2024/2F,,Q,'CURRENCY=USD')":1482.0,"SHOP-US^FE_TIMESERIES(PRODLINE_SALES_2,MEAN,2021/1F,,Q,'CURRENCY=USD')":667.966,"SHOP-US^FE_ESTIMATE(EBITDA_ADJ,MEAN,QTR,2025/2F,NOW,,,'')":438.14517,"SHOP-US^FE_TIMESERIES(SALES,MEAN,2021/2F,,Q,'CURRENCY=USD')":1119.4,"SHOP-US^FE_TIMESERIES(EBITR,MEAN,2024/4F,,Q,'CURRENCY=USD')":424.81213,"SHOP-US^FE_ESTIMATE(SALES,MEAN,QTR_ROLL,2027/3F,NOW,,,'')":3975.0,"SHOP-US^FE_ESTIMATE(EAG,MEAN,QTR,2027/1F,NOW,,,'')":null,"SHOP-US^FE_ESTIMATE(NETBG,MEAN,QTR,2025/3F,NOW,,,'')":492.6197,"SHOP-US^FE_ESTIMATE(CUSTOM_EPS,MEAN,QTR,2025/4F,NOW,,,'')":0.5186198,"SHOP-US^FE_ACTUAL(ACTUAL,SALES,ANNUAL,2025,,,,'')@FE_ESTIMATE(SALES,MEAN,ANNUAL,2025,NOW,,,'')":10858.165,"SHOP^FE_ESTIMATE(EPS,MEAN,ANNUAL_ROLL,2025,NOW,,,'')":1.5340447,"SHOP-US^FE_ACTUAL(ACTUAL,GMV,ANNUAL,2025,,,,'')@FE_ESTIMATE(GMV,MEAN,ANNUAL,2025,NOW,,,'')":348713.47}]]></FdsFormulaCache>
</file>

<file path=customXml/item2.xml><?xml version="1.0" encoding="utf-8"?>
<p:properties xmlns:p="http://schemas.microsoft.com/office/2006/metadata/properties" xmlns:xsi="http://www.w3.org/2001/XMLSchema-instance" xmlns:pc="http://schemas.microsoft.com/office/infopath/2007/PartnerControls">
  <documentManagement>
    <TaxCatchAll xmlns="0d5cb446-661f-45af-a955-fc33b50a7cf2" xsi:nil="true"/>
    <lcf76f155ced4ddcb4097134ff3c332f xmlns="29f09638-1068-4cdc-b1ae-2bbb702c601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0F0680845C0F941973D3FF1CCF55A48" ma:contentTypeVersion="14" ma:contentTypeDescription="Create a new document." ma:contentTypeScope="" ma:versionID="cc24059ac7a928b0faf7416e8b3e733d">
  <xsd:schema xmlns:xsd="http://www.w3.org/2001/XMLSchema" xmlns:xs="http://www.w3.org/2001/XMLSchema" xmlns:p="http://schemas.microsoft.com/office/2006/metadata/properties" xmlns:ns2="29f09638-1068-4cdc-b1ae-2bbb702c6014" xmlns:ns3="0d5cb446-661f-45af-a955-fc33b50a7cf2" targetNamespace="http://schemas.microsoft.com/office/2006/metadata/properties" ma:root="true" ma:fieldsID="77b5a87a70657772dea350960f03d51e" ns2:_="" ns3:_="">
    <xsd:import namespace="29f09638-1068-4cdc-b1ae-2bbb702c6014"/>
    <xsd:import namespace="0d5cb446-661f-45af-a955-fc33b50a7cf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f09638-1068-4cdc-b1ae-2bbb702c60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e47c01aa-fa72-499e-a558-c0906cb7ca65"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d5cb446-661f-45af-a955-fc33b50a7cf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bb376825-9a6a-40ff-bde1-dfdfc1a2a458}" ma:internalName="TaxCatchAll" ma:showField="CatchAllData" ma:web="0d5cb446-661f-45af-a955-fc33b50a7cf2">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2050EA-98C1-477D-9934-D1507620EED7}">
  <ds:schemaRefs>
    <ds:schemaRef ds:uri="urn:fdsformulacache"/>
  </ds:schemaRefs>
</ds:datastoreItem>
</file>

<file path=customXml/itemProps2.xml><?xml version="1.0" encoding="utf-8"?>
<ds:datastoreItem xmlns:ds="http://schemas.openxmlformats.org/officeDocument/2006/customXml" ds:itemID="{B4AE15C6-627B-4F04-B65A-8AFE1CE63E12}">
  <ds:schemaRefs>
    <ds:schemaRef ds:uri="http://schemas.openxmlformats.org/package/2006/metadata/core-properties"/>
    <ds:schemaRef ds:uri="http://purl.org/dc/elements/1.1/"/>
    <ds:schemaRef ds:uri="0d5cb446-661f-45af-a955-fc33b50a7cf2"/>
    <ds:schemaRef ds:uri="http://schemas.microsoft.com/office/2006/metadata/properties"/>
    <ds:schemaRef ds:uri="http://schemas.microsoft.com/office/2006/documentManagement/types"/>
    <ds:schemaRef ds:uri="http://www.w3.org/XML/1998/namespace"/>
    <ds:schemaRef ds:uri="http://purl.org/dc/terms/"/>
    <ds:schemaRef ds:uri="http://purl.org/dc/dcmitype/"/>
    <ds:schemaRef ds:uri="http://schemas.microsoft.com/office/infopath/2007/PartnerControls"/>
    <ds:schemaRef ds:uri="29f09638-1068-4cdc-b1ae-2bbb702c6014"/>
  </ds:schemaRefs>
</ds:datastoreItem>
</file>

<file path=customXml/itemProps3.xml><?xml version="1.0" encoding="utf-8"?>
<ds:datastoreItem xmlns:ds="http://schemas.openxmlformats.org/officeDocument/2006/customXml" ds:itemID="{88DC034E-B5EB-4F59-B0C8-DC5AB091F25C}">
  <ds:schemaRefs>
    <ds:schemaRef ds:uri="http://schemas.microsoft.com/sharepoint/v3/contenttype/forms"/>
  </ds:schemaRefs>
</ds:datastoreItem>
</file>

<file path=customXml/itemProps4.xml><?xml version="1.0" encoding="utf-8"?>
<ds:datastoreItem xmlns:ds="http://schemas.openxmlformats.org/officeDocument/2006/customXml" ds:itemID="{737C7549-638E-4CCE-8327-2F330EE168A8}">
  <ds:schemaRefs>
    <ds:schemaRef ds:uri="http://schemas.microsoft.com/office/2006/metadata/contentType"/>
    <ds:schemaRef ds:uri="http://schemas.microsoft.com/office/2006/metadata/properties/metaAttributes"/>
    <ds:schemaRef ds:uri="http://www.w3.org/2000/xmlns/"/>
    <ds:schemaRef ds:uri="http://www.w3.org/2001/XMLSchema"/>
    <ds:schemaRef ds:uri="29f09638-1068-4cdc-b1ae-2bbb702c6014"/>
    <ds:schemaRef ds:uri="0d5cb446-661f-45af-a955-fc33b50a7cf2"/>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SheetList</vt:lpstr>
      <vt:lpstr>Old Changes to ests</vt:lpstr>
      <vt:lpstr>Summary</vt:lpstr>
      <vt:lpstr>DCF</vt:lpstr>
      <vt:lpstr>Scenario</vt:lpstr>
      <vt:lpstr>Income</vt:lpstr>
      <vt:lpstr>Balance Sheet</vt:lpstr>
      <vt:lpstr>Cash Flow</vt:lpstr>
      <vt:lpstr>Revenue Build</vt:lpstr>
      <vt:lpstr>TAM</vt:lpstr>
      <vt:lpstr>Estimate Changes</vt:lpstr>
      <vt:lpstr>Quarterly Flash</vt:lpstr>
      <vt:lpstr>Charts</vt:lpstr>
      <vt:lpstr>Consensus</vt:lpstr>
      <vt:lpstr>frame_stop_2</vt:lpstr>
      <vt:lpstr>frame_stop_3</vt:lpstr>
      <vt:lpstr>frame_stop_4</vt:lpstr>
      <vt:lpstr>frame_stop_5</vt:lpstr>
      <vt:lpstr>frame_stop_6</vt:lpstr>
      <vt:lpstr>frame_stop_7</vt:lpstr>
      <vt:lpstr>frame_stop_8</vt:lpstr>
      <vt:lpstr>frame_stop_9</vt:lpstr>
      <vt:lpstr>SheetNames</vt:lpstr>
    </vt:vector>
  </TitlesOfParts>
  <Company>PaineWebber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 Spaeth</dc:creator>
  <cp:lastModifiedBy>Dan Salmon</cp:lastModifiedBy>
  <cp:lastPrinted>2023-11-26T20:50:33Z</cp:lastPrinted>
  <dcterms:created xsi:type="dcterms:W3CDTF">1997-10-27T19:56:48Z</dcterms:created>
  <dcterms:modified xsi:type="dcterms:W3CDTF">2025-01-10T06:05:29Z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TOPEABusinessType">
    <vt:lpwstr>Equity</vt:lpwstr>
  </property>
  <property fmtid="{D5CDD505-2E9C-101B-9397-08002B2CF9AE}" pid="3" name="Id">
    <vt:lpwstr>81eed131-f328-496a-bb55-5f414b58f6fe</vt:lpwstr>
  </property>
  <property fmtid="{D5CDD505-2E9C-101B-9397-08002B2CF9AE}" pid="4" name="=fdsSearchOrder">
    <vt:i4>0</vt:i4>
  </property>
  <property fmtid="{D5CDD505-2E9C-101B-9397-08002B2CF9AE}" pid="5" name="{A44787D4-0540-4523-9961-78E4036D8C6D}">
    <vt:lpwstr>{52B0677E-31B8-4119-BF76-A9836F4277BD}</vt:lpwstr>
  </property>
  <property fmtid="{D5CDD505-2E9C-101B-9397-08002B2CF9AE}" pid="6" name="MSIP_Label_0cf00cb3-7a5d-4674-b157-6d675423df49_Enabled">
    <vt:lpwstr>true</vt:lpwstr>
  </property>
  <property fmtid="{D5CDD505-2E9C-101B-9397-08002B2CF9AE}" pid="7" name="MSIP_Label_0cf00cb3-7a5d-4674-b157-6d675423df49_SetDate">
    <vt:lpwstr>2021-11-10T12:46:43Z</vt:lpwstr>
  </property>
  <property fmtid="{D5CDD505-2E9C-101B-9397-08002B2CF9AE}" pid="8" name="MSIP_Label_0cf00cb3-7a5d-4674-b157-6d675423df49_Method">
    <vt:lpwstr>Standard</vt:lpwstr>
  </property>
  <property fmtid="{D5CDD505-2E9C-101B-9397-08002B2CF9AE}" pid="9" name="MSIP_Label_0cf00cb3-7a5d-4674-b157-6d675423df49_Name">
    <vt:lpwstr>Internal</vt:lpwstr>
  </property>
  <property fmtid="{D5CDD505-2E9C-101B-9397-08002B2CF9AE}" pid="10" name="MSIP_Label_0cf00cb3-7a5d-4674-b157-6d675423df49_SiteId">
    <vt:lpwstr>ece76e02-a02b-4c4a-906d-98a34c5ce07a</vt:lpwstr>
  </property>
  <property fmtid="{D5CDD505-2E9C-101B-9397-08002B2CF9AE}" pid="11" name="MSIP_Label_0cf00cb3-7a5d-4674-b157-6d675423df49_ActionId">
    <vt:lpwstr>c68462c7-74ab-4a2d-b89d-81ff7a86a5d3</vt:lpwstr>
  </property>
  <property fmtid="{D5CDD505-2E9C-101B-9397-08002B2CF9AE}" pid="12" name="MSIP_Label_0cf00cb3-7a5d-4674-b157-6d675423df49_ContentBits">
    <vt:lpwstr>0</vt:lpwstr>
  </property>
  <property fmtid="{D5CDD505-2E9C-101B-9397-08002B2CF9AE}" pid="13" name="ContentTypeId">
    <vt:lpwstr>0x010100D0F0680845C0F941973D3FF1CCF55A48</vt:lpwstr>
  </property>
  <property fmtid="{D5CDD505-2E9C-101B-9397-08002B2CF9AE}" pid="14" name="MediaServiceImageTags">
    <vt:lpwstr/>
  </property>
</Properties>
</file>